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4380" windowWidth="15480" windowHeight="3120" tabRatio="756" firstSheet="15" activeTab="22"/>
  </bookViews>
  <sheets>
    <sheet name="P.V.P" sheetId="29" r:id="rId1"/>
    <sheet name="Costo" sheetId="36" r:id="rId2"/>
    <sheet name="VENTAS-PROYECTADAS" sheetId="37" r:id="rId3"/>
    <sheet name="COSTO-VTA" sheetId="39" r:id="rId4"/>
    <sheet name="Maquinaria y Equipo" sheetId="57" r:id="rId5"/>
    <sheet name="Menaje" sheetId="58" r:id="rId6"/>
    <sheet name="Equipo de Oficina" sheetId="59" r:id="rId7"/>
    <sheet name="Materiales de Oficina" sheetId="60" r:id="rId8"/>
    <sheet name="Equipos de Computo" sheetId="61" r:id="rId9"/>
    <sheet name="Muebles y Enseres" sheetId="62" r:id="rId10"/>
    <sheet name="Inversión Inicial" sheetId="56" r:id="rId11"/>
    <sheet name="AMORTIZ" sheetId="73" r:id="rId12"/>
    <sheet name="Gastos de Instalación" sheetId="63" r:id="rId13"/>
    <sheet name="GASTOS" sheetId="67" r:id="rId14"/>
    <sheet name="Gastos Legales" sheetId="65" r:id="rId15"/>
    <sheet name="Gastos de Publicidad" sheetId="64" r:id="rId16"/>
    <sheet name="DEPRE" sheetId="66" r:id="rId17"/>
    <sheet name="capital-trabajo" sheetId="55" r:id="rId18"/>
    <sheet name="BENEFICIOS SOCIALES" sheetId="19" r:id="rId19"/>
    <sheet name="PRESTAMO" sheetId="21" r:id="rId20"/>
    <sheet name="SENSIBILIDAD" sheetId="68" r:id="rId21"/>
    <sheet name="P&amp;G" sheetId="47" r:id="rId22"/>
    <sheet name="FC" sheetId="71" r:id="rId23"/>
    <sheet name="DATOS" sheetId="72" r:id="rId24"/>
  </sheets>
  <externalReferences>
    <externalReference r:id="rId25"/>
  </externalReferences>
  <definedNames>
    <definedName name="_xlnm.Print_Area" localSheetId="4">'Maquinaria y Equipo'!$A$1:$D$20</definedName>
  </definedNames>
  <calcPr calcId="124519"/>
</workbook>
</file>

<file path=xl/calcChain.xml><?xml version="1.0" encoding="utf-8"?>
<calcChain xmlns="http://schemas.openxmlformats.org/spreadsheetml/2006/main">
  <c r="J47" i="71"/>
  <c r="J46"/>
  <c r="L46"/>
  <c r="L45"/>
  <c r="M45"/>
  <c r="F14" i="21"/>
  <c r="E14"/>
  <c r="D14"/>
  <c r="C14"/>
  <c r="B14"/>
  <c r="N136" i="47"/>
  <c r="M136"/>
  <c r="L136"/>
  <c r="K136"/>
  <c r="J136"/>
  <c r="I136"/>
  <c r="H136"/>
  <c r="G136"/>
  <c r="F136"/>
  <c r="E136"/>
  <c r="D136"/>
  <c r="C136"/>
  <c r="O136" s="1"/>
  <c r="N135"/>
  <c r="N137" s="1"/>
  <c r="M135"/>
  <c r="M137" s="1"/>
  <c r="L135"/>
  <c r="L137" s="1"/>
  <c r="K135"/>
  <c r="K137" s="1"/>
  <c r="J135"/>
  <c r="J137" s="1"/>
  <c r="I135"/>
  <c r="I137" s="1"/>
  <c r="H135"/>
  <c r="H137" s="1"/>
  <c r="G135"/>
  <c r="G137" s="1"/>
  <c r="F135"/>
  <c r="F137" s="1"/>
  <c r="E135"/>
  <c r="E137" s="1"/>
  <c r="D135"/>
  <c r="D137" s="1"/>
  <c r="C135"/>
  <c r="C137" s="1"/>
  <c r="N107"/>
  <c r="M107"/>
  <c r="L107"/>
  <c r="K107"/>
  <c r="J107"/>
  <c r="I107"/>
  <c r="H107"/>
  <c r="G107"/>
  <c r="F107"/>
  <c r="E107"/>
  <c r="D107"/>
  <c r="C107"/>
  <c r="O107" s="1"/>
  <c r="N106"/>
  <c r="N108" s="1"/>
  <c r="M106"/>
  <c r="M108" s="1"/>
  <c r="L106"/>
  <c r="L108" s="1"/>
  <c r="K106"/>
  <c r="K108" s="1"/>
  <c r="J106"/>
  <c r="J108" s="1"/>
  <c r="I106"/>
  <c r="I108" s="1"/>
  <c r="H106"/>
  <c r="H108" s="1"/>
  <c r="G106"/>
  <c r="G108" s="1"/>
  <c r="F106"/>
  <c r="F108" s="1"/>
  <c r="E106"/>
  <c r="E108" s="1"/>
  <c r="D106"/>
  <c r="D108" s="1"/>
  <c r="C106"/>
  <c r="C108" s="1"/>
  <c r="N81"/>
  <c r="M81"/>
  <c r="L81"/>
  <c r="K81"/>
  <c r="J81"/>
  <c r="I81"/>
  <c r="H81"/>
  <c r="G81"/>
  <c r="F81"/>
  <c r="E81"/>
  <c r="D81"/>
  <c r="C81"/>
  <c r="O81" s="1"/>
  <c r="N80"/>
  <c r="N82" s="1"/>
  <c r="M80"/>
  <c r="M82" s="1"/>
  <c r="L80"/>
  <c r="L82" s="1"/>
  <c r="K80"/>
  <c r="K82" s="1"/>
  <c r="J80"/>
  <c r="J82" s="1"/>
  <c r="I80"/>
  <c r="I82" s="1"/>
  <c r="H80"/>
  <c r="H82" s="1"/>
  <c r="G80"/>
  <c r="G82" s="1"/>
  <c r="F80"/>
  <c r="F82" s="1"/>
  <c r="E80"/>
  <c r="E82" s="1"/>
  <c r="D80"/>
  <c r="D82" s="1"/>
  <c r="C80"/>
  <c r="C82" s="1"/>
  <c r="N53"/>
  <c r="M53"/>
  <c r="L53"/>
  <c r="K53"/>
  <c r="J53"/>
  <c r="I53"/>
  <c r="H53"/>
  <c r="G53"/>
  <c r="F53"/>
  <c r="E53"/>
  <c r="D53"/>
  <c r="C53"/>
  <c r="O53" s="1"/>
  <c r="N52"/>
  <c r="N54" s="1"/>
  <c r="M52"/>
  <c r="M54" s="1"/>
  <c r="L52"/>
  <c r="L54" s="1"/>
  <c r="K52"/>
  <c r="K54" s="1"/>
  <c r="J52"/>
  <c r="J54" s="1"/>
  <c r="I52"/>
  <c r="I54" s="1"/>
  <c r="H52"/>
  <c r="H54" s="1"/>
  <c r="G52"/>
  <c r="G54" s="1"/>
  <c r="F52"/>
  <c r="F54" s="1"/>
  <c r="E52"/>
  <c r="E54" s="1"/>
  <c r="D52"/>
  <c r="D54" s="1"/>
  <c r="C52"/>
  <c r="C54" s="1"/>
  <c r="C31" i="64"/>
  <c r="E15" i="62"/>
  <c r="E14"/>
  <c r="E13"/>
  <c r="E16" s="1"/>
  <c r="E34" i="71" s="1"/>
  <c r="M46" l="1"/>
  <c r="L47" s="1"/>
  <c r="O135" i="47"/>
  <c r="O137" s="1"/>
  <c r="O106"/>
  <c r="O108" s="1"/>
  <c r="O80"/>
  <c r="O82" s="1"/>
  <c r="O52"/>
  <c r="O54" s="1"/>
  <c r="D7" i="39"/>
  <c r="D6"/>
  <c r="D5"/>
  <c r="D4"/>
  <c r="D7" i="37"/>
  <c r="D6"/>
  <c r="D5"/>
  <c r="D4"/>
  <c r="M47" i="71" l="1"/>
  <c r="J48" s="1"/>
  <c r="G35"/>
  <c r="F35"/>
  <c r="E35"/>
  <c r="D35"/>
  <c r="C35"/>
  <c r="C47" i="21"/>
  <c r="C44"/>
  <c r="D37"/>
  <c r="E29"/>
  <c r="D30" s="1"/>
  <c r="B30" s="1"/>
  <c r="D29"/>
  <c r="B29" s="1"/>
  <c r="D18"/>
  <c r="C18" s="1"/>
  <c r="E18" s="1"/>
  <c r="F10"/>
  <c r="F12" s="1"/>
  <c r="E10"/>
  <c r="E12" s="1"/>
  <c r="D10"/>
  <c r="D12" s="1"/>
  <c r="C10"/>
  <c r="C12" s="1"/>
  <c r="B10"/>
  <c r="B12" s="1"/>
  <c r="F9"/>
  <c r="E9"/>
  <c r="D9"/>
  <c r="C9"/>
  <c r="B9"/>
  <c r="E30" l="1"/>
  <c r="E31" s="1"/>
  <c r="E32" s="1"/>
  <c r="D19"/>
  <c r="C19" s="1"/>
  <c r="E19" s="1"/>
  <c r="L48" i="71" l="1"/>
  <c r="M48" s="1"/>
  <c r="J49" s="1"/>
  <c r="D32" i="21"/>
  <c r="B32" s="1"/>
  <c r="D31"/>
  <c r="B31" s="1"/>
  <c r="D20"/>
  <c r="C20" s="1"/>
  <c r="E20" s="1"/>
  <c r="E33"/>
  <c r="D33"/>
  <c r="B33" s="1"/>
  <c r="L49" i="71" l="1"/>
  <c r="M49" s="1"/>
  <c r="D21" i="21"/>
  <c r="C21" s="1"/>
  <c r="E21" s="1"/>
  <c r="D22" l="1"/>
  <c r="C22" s="1"/>
  <c r="E22" s="1"/>
  <c r="O25" i="47" l="1"/>
  <c r="C23" i="71" s="1"/>
  <c r="C30" s="1"/>
  <c r="O141" i="47"/>
  <c r="G23" i="71" s="1"/>
  <c r="G30" s="1"/>
  <c r="O112" i="47"/>
  <c r="F23" i="71" s="1"/>
  <c r="F30" s="1"/>
  <c r="O86" i="47"/>
  <c r="E23" i="71" s="1"/>
  <c r="E30" s="1"/>
  <c r="O58" i="47"/>
  <c r="D23" i="71" s="1"/>
  <c r="D30" s="1"/>
  <c r="C129" i="19"/>
  <c r="E129"/>
  <c r="F129"/>
  <c r="G129"/>
  <c r="H129"/>
  <c r="I129"/>
  <c r="J129"/>
  <c r="K129"/>
  <c r="L129"/>
  <c r="C123"/>
  <c r="E123"/>
  <c r="F123"/>
  <c r="G123"/>
  <c r="H123"/>
  <c r="I123"/>
  <c r="J123"/>
  <c r="K123"/>
  <c r="L123"/>
  <c r="E40" i="36" l="1"/>
  <c r="F40"/>
  <c r="E41"/>
  <c r="F41"/>
  <c r="E42"/>
  <c r="F42"/>
  <c r="E43"/>
  <c r="F43"/>
  <c r="F39"/>
  <c r="F44" s="1"/>
  <c r="E39"/>
  <c r="E44" s="1"/>
  <c r="E29"/>
  <c r="F29"/>
  <c r="E30"/>
  <c r="F30"/>
  <c r="E31"/>
  <c r="E32"/>
  <c r="F32"/>
  <c r="E33"/>
  <c r="F33"/>
  <c r="E34"/>
  <c r="F34"/>
  <c r="F28"/>
  <c r="E28"/>
  <c r="E35" s="1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F12"/>
  <c r="F24" s="1"/>
  <c r="E12"/>
  <c r="E24" s="1"/>
  <c r="E5"/>
  <c r="F5"/>
  <c r="E6"/>
  <c r="F6"/>
  <c r="E7"/>
  <c r="F7"/>
  <c r="F4"/>
  <c r="F8" s="1"/>
  <c r="E4"/>
  <c r="E8" s="1"/>
  <c r="O129" i="47" l="1"/>
  <c r="G11" i="71" s="1"/>
  <c r="O100" i="47"/>
  <c r="F11" i="71" s="1"/>
  <c r="O74" i="47"/>
  <c r="E11" i="71" s="1"/>
  <c r="O46" i="47"/>
  <c r="D11" i="71" s="1"/>
  <c r="O13" i="47"/>
  <c r="C11" i="71" s="1"/>
  <c r="A26" i="39" l="1"/>
  <c r="E6" s="1"/>
  <c r="F6" s="1"/>
  <c r="G6" s="1"/>
  <c r="B15" s="1"/>
  <c r="A25"/>
  <c r="A24" i="37"/>
  <c r="A25" s="1"/>
  <c r="E6" s="1"/>
  <c r="F4" i="39"/>
  <c r="G4" s="1"/>
  <c r="D13" s="1"/>
  <c r="F5"/>
  <c r="G5" s="1"/>
  <c r="B14" s="1"/>
  <c r="F3"/>
  <c r="G3" s="1"/>
  <c r="C13" s="1"/>
  <c r="D8" i="47" s="1"/>
  <c r="F3" i="37"/>
  <c r="G3" s="1"/>
  <c r="B12" s="1"/>
  <c r="C7" i="47" l="1"/>
  <c r="B13" i="39"/>
  <c r="C8" i="47" s="1"/>
  <c r="C12" i="37"/>
  <c r="E7"/>
  <c r="E7" i="39"/>
  <c r="F7" s="1"/>
  <c r="C69" i="47"/>
  <c r="C41"/>
  <c r="E8"/>
  <c r="F7" i="37"/>
  <c r="G7" s="1"/>
  <c r="J16" s="1"/>
  <c r="F6"/>
  <c r="G6" s="1"/>
  <c r="J14" s="1"/>
  <c r="L13" i="39"/>
  <c r="J13"/>
  <c r="H13"/>
  <c r="F13"/>
  <c r="M13"/>
  <c r="K13"/>
  <c r="I13"/>
  <c r="G13"/>
  <c r="E13"/>
  <c r="L14"/>
  <c r="J14"/>
  <c r="H14"/>
  <c r="F14"/>
  <c r="D14"/>
  <c r="M14"/>
  <c r="K14"/>
  <c r="I14"/>
  <c r="G14"/>
  <c r="E14"/>
  <c r="C14"/>
  <c r="L15"/>
  <c r="J15"/>
  <c r="H15"/>
  <c r="F15"/>
  <c r="D15"/>
  <c r="K15"/>
  <c r="I15"/>
  <c r="G15"/>
  <c r="E15"/>
  <c r="C15"/>
  <c r="G7"/>
  <c r="M15" s="1"/>
  <c r="L14" i="37"/>
  <c r="H14"/>
  <c r="F14"/>
  <c r="D14"/>
  <c r="B14"/>
  <c r="K14"/>
  <c r="I14"/>
  <c r="G14"/>
  <c r="E14"/>
  <c r="C14"/>
  <c r="D16"/>
  <c r="L15"/>
  <c r="H15"/>
  <c r="D15"/>
  <c r="M16"/>
  <c r="I16"/>
  <c r="E16"/>
  <c r="M15"/>
  <c r="I15"/>
  <c r="E15"/>
  <c r="M14"/>
  <c r="D7" i="47" l="1"/>
  <c r="D9" s="1"/>
  <c r="C27" i="37"/>
  <c r="C9" i="47"/>
  <c r="C15" i="37"/>
  <c r="G15"/>
  <c r="K15"/>
  <c r="C16"/>
  <c r="G16"/>
  <c r="K16"/>
  <c r="B15"/>
  <c r="F15"/>
  <c r="J15"/>
  <c r="B16"/>
  <c r="F16"/>
  <c r="B27"/>
  <c r="L16"/>
  <c r="H16"/>
  <c r="I123" i="47" s="1"/>
  <c r="N69"/>
  <c r="D69"/>
  <c r="H69"/>
  <c r="L69"/>
  <c r="G69"/>
  <c r="K69"/>
  <c r="F69"/>
  <c r="J69"/>
  <c r="E69"/>
  <c r="I69"/>
  <c r="M69"/>
  <c r="D41"/>
  <c r="H41"/>
  <c r="L41"/>
  <c r="E41"/>
  <c r="I41"/>
  <c r="M41"/>
  <c r="F41"/>
  <c r="J41"/>
  <c r="N41"/>
  <c r="G41"/>
  <c r="K41"/>
  <c r="H8"/>
  <c r="L8"/>
  <c r="G8"/>
  <c r="K8"/>
  <c r="F8"/>
  <c r="J8"/>
  <c r="N8"/>
  <c r="I8"/>
  <c r="M8"/>
  <c r="D94"/>
  <c r="M29" i="37"/>
  <c r="N68" i="47"/>
  <c r="F94"/>
  <c r="J94"/>
  <c r="N94"/>
  <c r="F123"/>
  <c r="J123"/>
  <c r="N123"/>
  <c r="E94"/>
  <c r="I94"/>
  <c r="M94"/>
  <c r="E123"/>
  <c r="M123"/>
  <c r="H94"/>
  <c r="L94"/>
  <c r="D123"/>
  <c r="H123"/>
  <c r="L123"/>
  <c r="C94"/>
  <c r="G94"/>
  <c r="K94"/>
  <c r="C123"/>
  <c r="G123"/>
  <c r="K123"/>
  <c r="E29" i="37"/>
  <c r="F68" i="47"/>
  <c r="I29" i="37"/>
  <c r="J68" i="47"/>
  <c r="C68"/>
  <c r="B29" i="37"/>
  <c r="G68" i="47"/>
  <c r="F29" i="37"/>
  <c r="K68" i="47"/>
  <c r="J29" i="37"/>
  <c r="C29"/>
  <c r="D68" i="47"/>
  <c r="G29" i="37"/>
  <c r="H68" i="47"/>
  <c r="K29" i="37"/>
  <c r="L68" i="47"/>
  <c r="E68"/>
  <c r="D29" i="37"/>
  <c r="I68" i="47"/>
  <c r="H29" i="37"/>
  <c r="M68" i="47"/>
  <c r="L29" i="37"/>
  <c r="F8" i="39"/>
  <c r="L17"/>
  <c r="J17"/>
  <c r="H17"/>
  <c r="F17"/>
  <c r="D17"/>
  <c r="B17"/>
  <c r="L16"/>
  <c r="J16"/>
  <c r="H16"/>
  <c r="F16"/>
  <c r="D16"/>
  <c r="B16"/>
  <c r="M17"/>
  <c r="K17"/>
  <c r="I17"/>
  <c r="G17"/>
  <c r="E17"/>
  <c r="C17"/>
  <c r="M16"/>
  <c r="K16"/>
  <c r="I16"/>
  <c r="G16"/>
  <c r="E16"/>
  <c r="C16"/>
  <c r="M18"/>
  <c r="C18"/>
  <c r="D18"/>
  <c r="H18"/>
  <c r="L18"/>
  <c r="M70" i="47" l="1"/>
  <c r="I70"/>
  <c r="E70"/>
  <c r="K70"/>
  <c r="G70"/>
  <c r="N70"/>
  <c r="L70"/>
  <c r="H70"/>
  <c r="D70"/>
  <c r="J70"/>
  <c r="F70"/>
  <c r="H124"/>
  <c r="H125" s="1"/>
  <c r="C124"/>
  <c r="G124"/>
  <c r="G125" s="1"/>
  <c r="K124"/>
  <c r="D95"/>
  <c r="D96" s="1"/>
  <c r="K30" i="37"/>
  <c r="D124" i="47"/>
  <c r="D125" s="1"/>
  <c r="L124"/>
  <c r="L125" s="1"/>
  <c r="E30" i="37"/>
  <c r="I30"/>
  <c r="N95" i="47"/>
  <c r="N96" s="1"/>
  <c r="F124"/>
  <c r="F125" s="1"/>
  <c r="J124"/>
  <c r="J125" s="1"/>
  <c r="N124"/>
  <c r="N125" s="1"/>
  <c r="E95"/>
  <c r="E96" s="1"/>
  <c r="I95"/>
  <c r="I96" s="1"/>
  <c r="M95"/>
  <c r="M96" s="1"/>
  <c r="E124"/>
  <c r="E125" s="1"/>
  <c r="I124"/>
  <c r="M124"/>
  <c r="M125" s="1"/>
  <c r="O69"/>
  <c r="E6" i="71" s="1"/>
  <c r="O41" i="47"/>
  <c r="D6" i="71" s="1"/>
  <c r="O8" i="47"/>
  <c r="C6" i="71" s="1"/>
  <c r="G18" i="39"/>
  <c r="H95" i="47"/>
  <c r="H96" s="1"/>
  <c r="B18" i="39"/>
  <c r="C95" i="47"/>
  <c r="C96" s="1"/>
  <c r="F18" i="39"/>
  <c r="G95" i="47"/>
  <c r="J18" i="39"/>
  <c r="K95" i="47"/>
  <c r="K96" s="1"/>
  <c r="K31" i="37"/>
  <c r="G31"/>
  <c r="C31"/>
  <c r="G30"/>
  <c r="M31"/>
  <c r="I31"/>
  <c r="E31"/>
  <c r="M30"/>
  <c r="C30"/>
  <c r="K18" i="39"/>
  <c r="L95" i="47"/>
  <c r="L96" s="1"/>
  <c r="E18" i="39"/>
  <c r="F95" i="47"/>
  <c r="I18" i="39"/>
  <c r="J95" i="47"/>
  <c r="J96" s="1"/>
  <c r="J31" i="37"/>
  <c r="F31"/>
  <c r="B31"/>
  <c r="J30"/>
  <c r="F30"/>
  <c r="B30"/>
  <c r="L31"/>
  <c r="H31"/>
  <c r="D31"/>
  <c r="L30"/>
  <c r="H30"/>
  <c r="D30"/>
  <c r="O123" i="47"/>
  <c r="G5" i="71" s="1"/>
  <c r="C125" i="47"/>
  <c r="O94"/>
  <c r="F5" i="71" s="1"/>
  <c r="O68" i="47"/>
  <c r="E5" i="71" s="1"/>
  <c r="E7" s="1"/>
  <c r="C70" i="47"/>
  <c r="N18" i="39" l="1"/>
  <c r="O70" i="47"/>
  <c r="O124"/>
  <c r="I125"/>
  <c r="G96"/>
  <c r="F96"/>
  <c r="K125"/>
  <c r="O95"/>
  <c r="F21" i="66"/>
  <c r="G21" s="1"/>
  <c r="C28" i="56"/>
  <c r="D22" i="67"/>
  <c r="E22" s="1"/>
  <c r="D16"/>
  <c r="E16" s="1"/>
  <c r="F16" s="1"/>
  <c r="N130" i="47" l="1"/>
  <c r="L130"/>
  <c r="J130"/>
  <c r="H130"/>
  <c r="F130"/>
  <c r="D130"/>
  <c r="N101"/>
  <c r="L101"/>
  <c r="J101"/>
  <c r="H101"/>
  <c r="F101"/>
  <c r="D101"/>
  <c r="N75"/>
  <c r="L75"/>
  <c r="J75"/>
  <c r="H75"/>
  <c r="F75"/>
  <c r="D75"/>
  <c r="N47"/>
  <c r="L47"/>
  <c r="J47"/>
  <c r="H47"/>
  <c r="F47"/>
  <c r="D47"/>
  <c r="D14"/>
  <c r="F14"/>
  <c r="H14"/>
  <c r="J14"/>
  <c r="L14"/>
  <c r="N14"/>
  <c r="M130"/>
  <c r="K130"/>
  <c r="I130"/>
  <c r="G130"/>
  <c r="E130"/>
  <c r="C130"/>
  <c r="M101"/>
  <c r="K101"/>
  <c r="I101"/>
  <c r="G101"/>
  <c r="E101"/>
  <c r="C101"/>
  <c r="M75"/>
  <c r="K75"/>
  <c r="I75"/>
  <c r="G75"/>
  <c r="E75"/>
  <c r="C75"/>
  <c r="M47"/>
  <c r="K47"/>
  <c r="I47"/>
  <c r="G47"/>
  <c r="E47"/>
  <c r="C47"/>
  <c r="E14"/>
  <c r="G14"/>
  <c r="I14"/>
  <c r="K14"/>
  <c r="M14"/>
  <c r="C14"/>
  <c r="N132"/>
  <c r="L132"/>
  <c r="J132"/>
  <c r="H132"/>
  <c r="F132"/>
  <c r="D132"/>
  <c r="N103"/>
  <c r="L103"/>
  <c r="J103"/>
  <c r="H103"/>
  <c r="F103"/>
  <c r="D103"/>
  <c r="N77"/>
  <c r="L77"/>
  <c r="J77"/>
  <c r="H77"/>
  <c r="F77"/>
  <c r="D77"/>
  <c r="N49"/>
  <c r="L49"/>
  <c r="J49"/>
  <c r="H49"/>
  <c r="F49"/>
  <c r="D49"/>
  <c r="D16"/>
  <c r="F16"/>
  <c r="H16"/>
  <c r="J16"/>
  <c r="L16"/>
  <c r="N16"/>
  <c r="M132"/>
  <c r="K132"/>
  <c r="I132"/>
  <c r="G132"/>
  <c r="E132"/>
  <c r="C132"/>
  <c r="M103"/>
  <c r="K103"/>
  <c r="I103"/>
  <c r="G103"/>
  <c r="E103"/>
  <c r="C103"/>
  <c r="M77"/>
  <c r="K77"/>
  <c r="I77"/>
  <c r="G77"/>
  <c r="E77"/>
  <c r="C77"/>
  <c r="M49"/>
  <c r="K49"/>
  <c r="I49"/>
  <c r="G49"/>
  <c r="E49"/>
  <c r="C49"/>
  <c r="E16"/>
  <c r="G16"/>
  <c r="I16"/>
  <c r="K16"/>
  <c r="M16"/>
  <c r="C16"/>
  <c r="O125"/>
  <c r="G6" i="71"/>
  <c r="G7" s="1"/>
  <c r="O96" i="47"/>
  <c r="F6" i="71"/>
  <c r="F7" s="1"/>
  <c r="H21" i="66"/>
  <c r="B8" i="67"/>
  <c r="K112" i="19"/>
  <c r="K113"/>
  <c r="K114"/>
  <c r="K115"/>
  <c r="I112"/>
  <c r="I113"/>
  <c r="I114"/>
  <c r="I115"/>
  <c r="G112"/>
  <c r="G113"/>
  <c r="G114"/>
  <c r="G115"/>
  <c r="E112"/>
  <c r="E113"/>
  <c r="E114"/>
  <c r="E115"/>
  <c r="C112"/>
  <c r="C113"/>
  <c r="C114"/>
  <c r="C115"/>
  <c r="B53"/>
  <c r="C53" s="1"/>
  <c r="D53" s="1"/>
  <c r="E53" s="1"/>
  <c r="F53" s="1"/>
  <c r="G53" s="1"/>
  <c r="H53" s="1"/>
  <c r="I53" s="1"/>
  <c r="J53" s="1"/>
  <c r="K53" s="1"/>
  <c r="L53" s="1"/>
  <c r="M53" s="1"/>
  <c r="B27" i="64"/>
  <c r="B26"/>
  <c r="C29" i="66"/>
  <c r="F7"/>
  <c r="F8"/>
  <c r="F9"/>
  <c r="F10"/>
  <c r="F11"/>
  <c r="F12"/>
  <c r="F13"/>
  <c r="F14"/>
  <c r="F15"/>
  <c r="F16"/>
  <c r="F17"/>
  <c r="F18"/>
  <c r="F19"/>
  <c r="F20"/>
  <c r="F22"/>
  <c r="F23"/>
  <c r="F24"/>
  <c r="F25"/>
  <c r="F26"/>
  <c r="F27"/>
  <c r="F28"/>
  <c r="F4"/>
  <c r="G4" s="1"/>
  <c r="F5"/>
  <c r="G5" s="1"/>
  <c r="H5"/>
  <c r="F6"/>
  <c r="G6" s="1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2"/>
  <c r="H22"/>
  <c r="G23"/>
  <c r="H23"/>
  <c r="G24"/>
  <c r="H24"/>
  <c r="G25"/>
  <c r="H25"/>
  <c r="G26"/>
  <c r="H26"/>
  <c r="G27"/>
  <c r="H27"/>
  <c r="G28"/>
  <c r="H28"/>
  <c r="F3"/>
  <c r="G3" s="1"/>
  <c r="H4" l="1"/>
  <c r="B28" i="64"/>
  <c r="C28" s="1"/>
  <c r="J113" i="19"/>
  <c r="C27" i="67"/>
  <c r="N131" i="47"/>
  <c r="L131"/>
  <c r="J131"/>
  <c r="H131"/>
  <c r="F131"/>
  <c r="D131"/>
  <c r="N102"/>
  <c r="L102"/>
  <c r="J102"/>
  <c r="H102"/>
  <c r="F102"/>
  <c r="D102"/>
  <c r="N76"/>
  <c r="L76"/>
  <c r="J76"/>
  <c r="H76"/>
  <c r="F76"/>
  <c r="D76"/>
  <c r="N48"/>
  <c r="L48"/>
  <c r="J48"/>
  <c r="H48"/>
  <c r="F48"/>
  <c r="D48"/>
  <c r="D15"/>
  <c r="F15"/>
  <c r="H15"/>
  <c r="J15"/>
  <c r="L15"/>
  <c r="N15"/>
  <c r="M131"/>
  <c r="K131"/>
  <c r="I131"/>
  <c r="G131"/>
  <c r="E131"/>
  <c r="C131"/>
  <c r="M102"/>
  <c r="K102"/>
  <c r="I102"/>
  <c r="G102"/>
  <c r="E102"/>
  <c r="C102"/>
  <c r="M76"/>
  <c r="K76"/>
  <c r="I76"/>
  <c r="G76"/>
  <c r="E76"/>
  <c r="C76"/>
  <c r="M48"/>
  <c r="K48"/>
  <c r="I48"/>
  <c r="G48"/>
  <c r="E48"/>
  <c r="C48"/>
  <c r="E15"/>
  <c r="G15"/>
  <c r="I15"/>
  <c r="K15"/>
  <c r="M15"/>
  <c r="C15"/>
  <c r="O14"/>
  <c r="O47"/>
  <c r="O75"/>
  <c r="O101"/>
  <c r="O130"/>
  <c r="O16"/>
  <c r="C14" i="71" s="1"/>
  <c r="O49" i="47"/>
  <c r="D14" i="71" s="1"/>
  <c r="O77" i="47"/>
  <c r="E14" i="71" s="1"/>
  <c r="O103" i="47"/>
  <c r="F14" i="71" s="1"/>
  <c r="O132" i="47"/>
  <c r="G14" i="71" s="1"/>
  <c r="H3" i="66"/>
  <c r="H29" s="1"/>
  <c r="N139" i="47" l="1"/>
  <c r="L139"/>
  <c r="J139"/>
  <c r="H139"/>
  <c r="F139"/>
  <c r="D139"/>
  <c r="N110"/>
  <c r="L110"/>
  <c r="J110"/>
  <c r="H110"/>
  <c r="F110"/>
  <c r="D110"/>
  <c r="N84"/>
  <c r="L84"/>
  <c r="J84"/>
  <c r="H84"/>
  <c r="F84"/>
  <c r="D84"/>
  <c r="N56"/>
  <c r="L56"/>
  <c r="J56"/>
  <c r="H56"/>
  <c r="F56"/>
  <c r="D56"/>
  <c r="D23"/>
  <c r="F23"/>
  <c r="H23"/>
  <c r="J23"/>
  <c r="L23"/>
  <c r="N23"/>
  <c r="M139"/>
  <c r="K139"/>
  <c r="I139"/>
  <c r="G139"/>
  <c r="E139"/>
  <c r="C139"/>
  <c r="O139" s="1"/>
  <c r="G21" i="71" s="1"/>
  <c r="G29" s="1"/>
  <c r="M110" i="47"/>
  <c r="K110"/>
  <c r="I110"/>
  <c r="G110"/>
  <c r="E110"/>
  <c r="C110"/>
  <c r="O110" s="1"/>
  <c r="F21" i="71" s="1"/>
  <c r="F29" s="1"/>
  <c r="M84" i="47"/>
  <c r="K84"/>
  <c r="I84"/>
  <c r="G84"/>
  <c r="E84"/>
  <c r="C84"/>
  <c r="O84" s="1"/>
  <c r="E21" i="71" s="1"/>
  <c r="E29" s="1"/>
  <c r="M56" i="47"/>
  <c r="K56"/>
  <c r="I56"/>
  <c r="G56"/>
  <c r="E56"/>
  <c r="C56"/>
  <c r="O56" s="1"/>
  <c r="D21" i="71" s="1"/>
  <c r="D29" s="1"/>
  <c r="E23" i="47"/>
  <c r="G23"/>
  <c r="I23"/>
  <c r="K23"/>
  <c r="M23"/>
  <c r="C23"/>
  <c r="O23" s="1"/>
  <c r="C21" i="71" s="1"/>
  <c r="C29" s="1"/>
  <c r="D19" i="47"/>
  <c r="F19"/>
  <c r="H19"/>
  <c r="J19"/>
  <c r="L19"/>
  <c r="N19"/>
  <c r="C19"/>
  <c r="E19"/>
  <c r="G19"/>
  <c r="I19"/>
  <c r="K19"/>
  <c r="M19"/>
  <c r="O15"/>
  <c r="C13" i="71" s="1"/>
  <c r="O48" i="47"/>
  <c r="D13" i="71" s="1"/>
  <c r="O76" i="47"/>
  <c r="E13" i="71" s="1"/>
  <c r="O102" i="47"/>
  <c r="F13" i="71" s="1"/>
  <c r="O131" i="47"/>
  <c r="G13" i="71" s="1"/>
  <c r="F3" i="73"/>
  <c r="B2"/>
  <c r="G12" i="71"/>
  <c r="F12"/>
  <c r="E12"/>
  <c r="D12"/>
  <c r="C12"/>
  <c r="E3" i="62"/>
  <c r="E4"/>
  <c r="E5"/>
  <c r="E6"/>
  <c r="E7"/>
  <c r="E8"/>
  <c r="B6" i="56"/>
  <c r="D5" i="65"/>
  <c r="D12" s="1"/>
  <c r="F16" i="64"/>
  <c r="F11"/>
  <c r="C11"/>
  <c r="E5"/>
  <c r="D5"/>
  <c r="C5"/>
  <c r="E4"/>
  <c r="E3"/>
  <c r="E2"/>
  <c r="D31" i="63"/>
  <c r="D7" s="1"/>
  <c r="D8" s="1"/>
  <c r="B9" i="56" s="1"/>
  <c r="E2" i="62"/>
  <c r="D4" i="61"/>
  <c r="B7" i="56" s="1"/>
  <c r="D5" i="60"/>
  <c r="D4" i="59"/>
  <c r="B5" i="56" s="1"/>
  <c r="D30" i="58"/>
  <c r="B4" i="56" s="1"/>
  <c r="F14" i="58"/>
  <c r="H14" s="1"/>
  <c r="D20" i="57"/>
  <c r="B3" i="56" s="1"/>
  <c r="N20" i="47" l="1"/>
  <c r="N21" s="1"/>
  <c r="M20"/>
  <c r="M21" s="1"/>
  <c r="G20"/>
  <c r="G21" s="1"/>
  <c r="E20"/>
  <c r="E21" s="1"/>
  <c r="C20"/>
  <c r="D20"/>
  <c r="D21" s="1"/>
  <c r="I20"/>
  <c r="I21" s="1"/>
  <c r="F20"/>
  <c r="F21" s="1"/>
  <c r="K20"/>
  <c r="K21" s="1"/>
  <c r="L20"/>
  <c r="L21" s="1"/>
  <c r="H20"/>
  <c r="H21" s="1"/>
  <c r="J20"/>
  <c r="J21" s="1"/>
  <c r="C21"/>
  <c r="O19"/>
  <c r="E6" i="64"/>
  <c r="B10" i="56" s="1"/>
  <c r="B11"/>
  <c r="B3" i="73"/>
  <c r="B4" s="1"/>
  <c r="C2" s="1"/>
  <c r="F4"/>
  <c r="I4" s="1"/>
  <c r="H4" s="1"/>
  <c r="D17" i="71"/>
  <c r="E17"/>
  <c r="F17"/>
  <c r="G17"/>
  <c r="F5" i="73"/>
  <c r="I3"/>
  <c r="E9" i="62"/>
  <c r="B8" i="56" s="1"/>
  <c r="I14" i="58"/>
  <c r="J14" s="1"/>
  <c r="C17" i="71" l="1"/>
  <c r="D18"/>
  <c r="D19" s="1"/>
  <c r="E18"/>
  <c r="E19" s="1"/>
  <c r="F18"/>
  <c r="F19" s="1"/>
  <c r="G18"/>
  <c r="G19" s="1"/>
  <c r="O20" i="47"/>
  <c r="C18" i="71" s="1"/>
  <c r="B9" i="73"/>
  <c r="C3"/>
  <c r="H3"/>
  <c r="H5" s="1"/>
  <c r="I5"/>
  <c r="C4"/>
  <c r="B12" i="56"/>
  <c r="B31" i="71" s="1"/>
  <c r="O21" i="47" l="1"/>
  <c r="C19" i="71"/>
  <c r="B8" i="73"/>
  <c r="C5" i="56"/>
  <c r="C10"/>
  <c r="C6"/>
  <c r="C4"/>
  <c r="C7"/>
  <c r="C11"/>
  <c r="C9"/>
  <c r="C3"/>
  <c r="C8"/>
  <c r="B7" i="73"/>
  <c r="B15" s="1"/>
  <c r="H6" i="19"/>
  <c r="H7"/>
  <c r="H8"/>
  <c r="H9"/>
  <c r="B44"/>
  <c r="B35"/>
  <c r="B26"/>
  <c r="B17"/>
  <c r="I7"/>
  <c r="J7"/>
  <c r="L7"/>
  <c r="M7"/>
  <c r="O7"/>
  <c r="G7"/>
  <c r="F7"/>
  <c r="D7"/>
  <c r="C7"/>
  <c r="C17" l="1"/>
  <c r="D17" s="1"/>
  <c r="E17" s="1"/>
  <c r="F17" s="1"/>
  <c r="G17" s="1"/>
  <c r="H17" s="1"/>
  <c r="I17" s="1"/>
  <c r="J17" s="1"/>
  <c r="K17" s="1"/>
  <c r="L17" s="1"/>
  <c r="M17" s="1"/>
  <c r="C35"/>
  <c r="D35" s="1"/>
  <c r="E35" s="1"/>
  <c r="F35" s="1"/>
  <c r="G35" s="1"/>
  <c r="H35" s="1"/>
  <c r="I35" s="1"/>
  <c r="J35" s="1"/>
  <c r="K35" s="1"/>
  <c r="L35" s="1"/>
  <c r="M35" s="1"/>
  <c r="C26"/>
  <c r="D26" s="1"/>
  <c r="E26" s="1"/>
  <c r="F26" s="1"/>
  <c r="G26" s="1"/>
  <c r="H26" s="1"/>
  <c r="I26" s="1"/>
  <c r="J26" s="1"/>
  <c r="K26" s="1"/>
  <c r="L26" s="1"/>
  <c r="M26" s="1"/>
  <c r="C44"/>
  <c r="D44" s="1"/>
  <c r="E44" s="1"/>
  <c r="F44" s="1"/>
  <c r="G44" s="1"/>
  <c r="H44" s="1"/>
  <c r="I44" s="1"/>
  <c r="J44" s="1"/>
  <c r="K44" s="1"/>
  <c r="L44" s="1"/>
  <c r="M44" s="1"/>
  <c r="C9" i="73"/>
  <c r="C10"/>
  <c r="C8"/>
  <c r="P7" i="19"/>
  <c r="H113" l="1"/>
  <c r="D113"/>
  <c r="F113"/>
  <c r="B113"/>
  <c r="H5"/>
  <c r="D43" i="36" l="1"/>
  <c r="D42"/>
  <c r="D41"/>
  <c r="D40"/>
  <c r="D39"/>
  <c r="D34"/>
  <c r="D33"/>
  <c r="D32"/>
  <c r="D30"/>
  <c r="D29"/>
  <c r="D28"/>
  <c r="D23"/>
  <c r="D22"/>
  <c r="D21"/>
  <c r="D20"/>
  <c r="D19"/>
  <c r="D18"/>
  <c r="D17"/>
  <c r="D16"/>
  <c r="D15"/>
  <c r="D14"/>
  <c r="D13"/>
  <c r="D12"/>
  <c r="D5"/>
  <c r="D6"/>
  <c r="D7"/>
  <c r="M106" i="19" l="1"/>
  <c r="L106"/>
  <c r="K106"/>
  <c r="J106"/>
  <c r="I106"/>
  <c r="H106"/>
  <c r="G106"/>
  <c r="F106"/>
  <c r="E106"/>
  <c r="D106"/>
  <c r="C106"/>
  <c r="B106"/>
  <c r="M96"/>
  <c r="L96"/>
  <c r="K96"/>
  <c r="J96"/>
  <c r="I96"/>
  <c r="H96"/>
  <c r="G96"/>
  <c r="F96"/>
  <c r="E96"/>
  <c r="D96"/>
  <c r="C96"/>
  <c r="B96"/>
  <c r="M86"/>
  <c r="L86"/>
  <c r="K86"/>
  <c r="J86"/>
  <c r="I86"/>
  <c r="H86"/>
  <c r="G86"/>
  <c r="F86"/>
  <c r="E86"/>
  <c r="D86"/>
  <c r="C86"/>
  <c r="B86"/>
  <c r="M76"/>
  <c r="L76"/>
  <c r="K76"/>
  <c r="J76"/>
  <c r="I76"/>
  <c r="H76"/>
  <c r="G76"/>
  <c r="F76"/>
  <c r="E76"/>
  <c r="D76"/>
  <c r="C76"/>
  <c r="B76"/>
  <c r="B37"/>
  <c r="B36"/>
  <c r="B34"/>
  <c r="B33"/>
  <c r="C33" s="1"/>
  <c r="D33" s="1"/>
  <c r="E33" s="1"/>
  <c r="F33" s="1"/>
  <c r="G33" s="1"/>
  <c r="H33" s="1"/>
  <c r="I33" s="1"/>
  <c r="J33" s="1"/>
  <c r="K33" s="1"/>
  <c r="L33" s="1"/>
  <c r="M33" s="1"/>
  <c r="B25"/>
  <c r="B27"/>
  <c r="B28"/>
  <c r="B24"/>
  <c r="C24" s="1"/>
  <c r="D24" s="1"/>
  <c r="E24" s="1"/>
  <c r="F24" s="1"/>
  <c r="G24" s="1"/>
  <c r="H24" s="1"/>
  <c r="I24" s="1"/>
  <c r="J24" s="1"/>
  <c r="K24" s="1"/>
  <c r="L24" s="1"/>
  <c r="M24" s="1"/>
  <c r="B18"/>
  <c r="B19"/>
  <c r="B16"/>
  <c r="B15"/>
  <c r="C15" s="1"/>
  <c r="D15" s="1"/>
  <c r="E15" s="1"/>
  <c r="F15" s="1"/>
  <c r="G15" s="1"/>
  <c r="H15" s="1"/>
  <c r="I15" s="1"/>
  <c r="J15" s="1"/>
  <c r="K15" s="1"/>
  <c r="L15" s="1"/>
  <c r="M15" s="1"/>
  <c r="C34" l="1"/>
  <c r="D34" s="1"/>
  <c r="E34" s="1"/>
  <c r="F34" s="1"/>
  <c r="G34" s="1"/>
  <c r="H34" s="1"/>
  <c r="I34" s="1"/>
  <c r="J34" s="1"/>
  <c r="K34" s="1"/>
  <c r="L34" s="1"/>
  <c r="M34" s="1"/>
  <c r="C37"/>
  <c r="D37" s="1"/>
  <c r="E37" s="1"/>
  <c r="F37" s="1"/>
  <c r="G37" s="1"/>
  <c r="H37" s="1"/>
  <c r="I37" s="1"/>
  <c r="J37" s="1"/>
  <c r="K37" s="1"/>
  <c r="L37" s="1"/>
  <c r="M37" s="1"/>
  <c r="C36"/>
  <c r="D36" s="1"/>
  <c r="E36" s="1"/>
  <c r="F36" s="1"/>
  <c r="G36" s="1"/>
  <c r="H36" s="1"/>
  <c r="I36" s="1"/>
  <c r="J36" s="1"/>
  <c r="K36" s="1"/>
  <c r="L36" s="1"/>
  <c r="M36" s="1"/>
  <c r="F114"/>
  <c r="C28"/>
  <c r="D28" s="1"/>
  <c r="E28" s="1"/>
  <c r="F28" s="1"/>
  <c r="G28" s="1"/>
  <c r="H28" s="1"/>
  <c r="I28" s="1"/>
  <c r="J28" s="1"/>
  <c r="K28" s="1"/>
  <c r="L28" s="1"/>
  <c r="M28" s="1"/>
  <c r="C25"/>
  <c r="D25" s="1"/>
  <c r="E25" s="1"/>
  <c r="F25" s="1"/>
  <c r="G25" s="1"/>
  <c r="H25" s="1"/>
  <c r="I25" s="1"/>
  <c r="J25" s="1"/>
  <c r="K25" s="1"/>
  <c r="L25" s="1"/>
  <c r="M25" s="1"/>
  <c r="C27"/>
  <c r="D27" s="1"/>
  <c r="E27" s="1"/>
  <c r="F27" s="1"/>
  <c r="G27" s="1"/>
  <c r="H27" s="1"/>
  <c r="I27" s="1"/>
  <c r="J27" s="1"/>
  <c r="K27" s="1"/>
  <c r="L27" s="1"/>
  <c r="M27" s="1"/>
  <c r="C19"/>
  <c r="D19" s="1"/>
  <c r="E19" s="1"/>
  <c r="F19" s="1"/>
  <c r="G19" s="1"/>
  <c r="H19" s="1"/>
  <c r="I19" s="1"/>
  <c r="J19" s="1"/>
  <c r="K19" s="1"/>
  <c r="L19" s="1"/>
  <c r="M19" s="1"/>
  <c r="C18"/>
  <c r="D18" s="1"/>
  <c r="E18" s="1"/>
  <c r="F18" s="1"/>
  <c r="G18" s="1"/>
  <c r="H18" s="1"/>
  <c r="I18" s="1"/>
  <c r="J18" s="1"/>
  <c r="K18" s="1"/>
  <c r="L18" s="1"/>
  <c r="M18" s="1"/>
  <c r="C16"/>
  <c r="D16" s="1"/>
  <c r="E16" s="1"/>
  <c r="F16" s="1"/>
  <c r="G16" s="1"/>
  <c r="H16" s="1"/>
  <c r="I16" s="1"/>
  <c r="J16" s="1"/>
  <c r="K16" s="1"/>
  <c r="L16" s="1"/>
  <c r="M16" s="1"/>
  <c r="D112" l="1"/>
  <c r="B114"/>
  <c r="B115"/>
  <c r="D114"/>
  <c r="D115"/>
  <c r="B112"/>
  <c r="F115"/>
  <c r="F112"/>
  <c r="B46"/>
  <c r="B55"/>
  <c r="B45"/>
  <c r="B54"/>
  <c r="B43"/>
  <c r="B52"/>
  <c r="B42"/>
  <c r="C42" s="1"/>
  <c r="D42" s="1"/>
  <c r="E42" s="1"/>
  <c r="F42" s="1"/>
  <c r="G42" s="1"/>
  <c r="H42" s="1"/>
  <c r="I42" s="1"/>
  <c r="J42" s="1"/>
  <c r="K42" s="1"/>
  <c r="L42" s="1"/>
  <c r="M42" s="1"/>
  <c r="B51"/>
  <c r="C51" s="1"/>
  <c r="C43" l="1"/>
  <c r="D43" s="1"/>
  <c r="E43" s="1"/>
  <c r="F43" s="1"/>
  <c r="G43" s="1"/>
  <c r="H43" s="1"/>
  <c r="I43" s="1"/>
  <c r="J43" s="1"/>
  <c r="K43" s="1"/>
  <c r="L43" s="1"/>
  <c r="M43" s="1"/>
  <c r="C45"/>
  <c r="D45" s="1"/>
  <c r="E45" s="1"/>
  <c r="F45" s="1"/>
  <c r="G45" s="1"/>
  <c r="H45" s="1"/>
  <c r="I45" s="1"/>
  <c r="J45" s="1"/>
  <c r="K45" s="1"/>
  <c r="L45" s="1"/>
  <c r="M45" s="1"/>
  <c r="C46"/>
  <c r="D46" s="1"/>
  <c r="E46" s="1"/>
  <c r="F46" s="1"/>
  <c r="G46" s="1"/>
  <c r="H46" s="1"/>
  <c r="I46" s="1"/>
  <c r="J46" s="1"/>
  <c r="K46" s="1"/>
  <c r="L46" s="1"/>
  <c r="M46" s="1"/>
  <c r="C52"/>
  <c r="D52" s="1"/>
  <c r="E52" s="1"/>
  <c r="F52" s="1"/>
  <c r="G52" s="1"/>
  <c r="H52" s="1"/>
  <c r="I52" s="1"/>
  <c r="J52" s="1"/>
  <c r="K52" s="1"/>
  <c r="L52" s="1"/>
  <c r="M52" s="1"/>
  <c r="C54"/>
  <c r="D54" s="1"/>
  <c r="E54" s="1"/>
  <c r="F54" s="1"/>
  <c r="G54" s="1"/>
  <c r="H54" s="1"/>
  <c r="I54" s="1"/>
  <c r="J54" s="1"/>
  <c r="K54" s="1"/>
  <c r="L54" s="1"/>
  <c r="M54" s="1"/>
  <c r="C55"/>
  <c r="D55" s="1"/>
  <c r="E55" s="1"/>
  <c r="F55" s="1"/>
  <c r="G55" s="1"/>
  <c r="H55" s="1"/>
  <c r="I55" s="1"/>
  <c r="J55" s="1"/>
  <c r="K55" s="1"/>
  <c r="L55" s="1"/>
  <c r="M55" s="1"/>
  <c r="C56"/>
  <c r="D51"/>
  <c r="J115" l="1"/>
  <c r="J114"/>
  <c r="J112"/>
  <c r="H115"/>
  <c r="H114"/>
  <c r="H112"/>
  <c r="E51"/>
  <c r="D56"/>
  <c r="F51" l="1"/>
  <c r="E56"/>
  <c r="G51" l="1"/>
  <c r="F56"/>
  <c r="H51" l="1"/>
  <c r="G56"/>
  <c r="I51" l="1"/>
  <c r="H56"/>
  <c r="J51" l="1"/>
  <c r="I56"/>
  <c r="E12" i="29"/>
  <c r="B16"/>
  <c r="K51" i="19" l="1"/>
  <c r="J56"/>
  <c r="E4" i="29"/>
  <c r="L51" i="19" l="1"/>
  <c r="K56"/>
  <c r="M51" l="1"/>
  <c r="M56" s="1"/>
  <c r="L56"/>
  <c r="B44" i="36" l="1"/>
  <c r="C31"/>
  <c r="B35"/>
  <c r="B44" i="29"/>
  <c r="B32"/>
  <c r="E11" s="1"/>
  <c r="B23"/>
  <c r="E5" s="1"/>
  <c r="E6" s="1"/>
  <c r="B8" i="36"/>
  <c r="B24"/>
  <c r="D31" l="1"/>
  <c r="F31"/>
  <c r="F35" s="1"/>
  <c r="E10" i="29"/>
  <c r="B47"/>
  <c r="B51" i="36"/>
  <c r="D48"/>
  <c r="C24"/>
  <c r="C44"/>
  <c r="C35"/>
  <c r="C8"/>
  <c r="D24"/>
  <c r="D4"/>
  <c r="D8" s="1"/>
  <c r="E4" i="37" l="1"/>
  <c r="F4" s="1"/>
  <c r="E5"/>
  <c r="F5" s="1"/>
  <c r="G5" s="1"/>
  <c r="C51" i="36"/>
  <c r="D44"/>
  <c r="D35"/>
  <c r="G4" i="37" l="1"/>
  <c r="F8"/>
  <c r="G8" i="39" s="1"/>
  <c r="J13" i="37"/>
  <c r="F13"/>
  <c r="B13"/>
  <c r="K13"/>
  <c r="G13"/>
  <c r="C13"/>
  <c r="L13"/>
  <c r="H13"/>
  <c r="D13"/>
  <c r="M13"/>
  <c r="I13"/>
  <c r="E13"/>
  <c r="D51" i="36"/>
  <c r="N40" i="47" l="1"/>
  <c r="M28" i="37"/>
  <c r="H28"/>
  <c r="I40" i="47"/>
  <c r="L40"/>
  <c r="K28" i="37"/>
  <c r="J40" i="47"/>
  <c r="I28" i="37"/>
  <c r="D28"/>
  <c r="E40" i="47"/>
  <c r="L28" i="37"/>
  <c r="M40" i="47"/>
  <c r="H40"/>
  <c r="G28" i="37"/>
  <c r="B28"/>
  <c r="B17"/>
  <c r="C40" i="47"/>
  <c r="J28" i="37"/>
  <c r="K40" i="47"/>
  <c r="J12" i="37"/>
  <c r="F12"/>
  <c r="M12"/>
  <c r="I12"/>
  <c r="E12"/>
  <c r="L12"/>
  <c r="D12"/>
  <c r="K12"/>
  <c r="G12"/>
  <c r="H12"/>
  <c r="F40" i="47"/>
  <c r="E28" i="37"/>
  <c r="D40" i="47"/>
  <c r="C17" i="37"/>
  <c r="C28"/>
  <c r="F28"/>
  <c r="G40" i="47"/>
  <c r="E140" l="1"/>
  <c r="G140"/>
  <c r="I140"/>
  <c r="K140"/>
  <c r="M140"/>
  <c r="C140"/>
  <c r="D140"/>
  <c r="F140"/>
  <c r="H140"/>
  <c r="J140"/>
  <c r="L140"/>
  <c r="N140"/>
  <c r="E111"/>
  <c r="G111"/>
  <c r="I111"/>
  <c r="K111"/>
  <c r="M111"/>
  <c r="C111"/>
  <c r="D111"/>
  <c r="F111"/>
  <c r="H111"/>
  <c r="J111"/>
  <c r="L111"/>
  <c r="N111"/>
  <c r="E85"/>
  <c r="G85"/>
  <c r="I85"/>
  <c r="K85"/>
  <c r="M85"/>
  <c r="C85"/>
  <c r="D85"/>
  <c r="F85"/>
  <c r="H85"/>
  <c r="J85"/>
  <c r="L85"/>
  <c r="N85"/>
  <c r="E57"/>
  <c r="G57"/>
  <c r="I57"/>
  <c r="K57"/>
  <c r="M57"/>
  <c r="C57"/>
  <c r="D57"/>
  <c r="F57"/>
  <c r="H57"/>
  <c r="J57"/>
  <c r="L57"/>
  <c r="N57"/>
  <c r="D24"/>
  <c r="F24"/>
  <c r="H24"/>
  <c r="J24"/>
  <c r="L24"/>
  <c r="N24"/>
  <c r="C24"/>
  <c r="E24"/>
  <c r="G24"/>
  <c r="I24"/>
  <c r="K24"/>
  <c r="M24"/>
  <c r="D42"/>
  <c r="E42"/>
  <c r="J42"/>
  <c r="G42"/>
  <c r="F42"/>
  <c r="K42"/>
  <c r="H42"/>
  <c r="M42"/>
  <c r="L42"/>
  <c r="I42"/>
  <c r="N42"/>
  <c r="L27" i="37"/>
  <c r="M7" i="47"/>
  <c r="L17" i="37"/>
  <c r="G27"/>
  <c r="H7" i="47"/>
  <c r="G17" i="37"/>
  <c r="D27"/>
  <c r="D17"/>
  <c r="E7" i="47"/>
  <c r="E9" s="1"/>
  <c r="E27" i="37"/>
  <c r="E17"/>
  <c r="F7" i="47"/>
  <c r="M27" i="37"/>
  <c r="M17"/>
  <c r="N7" i="47"/>
  <c r="J27" i="37"/>
  <c r="K7" i="47"/>
  <c r="J17" i="37"/>
  <c r="O40" i="47"/>
  <c r="C42"/>
  <c r="H27" i="37"/>
  <c r="H17"/>
  <c r="I7" i="47"/>
  <c r="K27" i="37"/>
  <c r="K17"/>
  <c r="L7" i="47"/>
  <c r="I27" i="37"/>
  <c r="I17"/>
  <c r="J7" i="47"/>
  <c r="F27" i="37"/>
  <c r="F17"/>
  <c r="G7" i="47"/>
  <c r="P9" i="19"/>
  <c r="O9"/>
  <c r="P8"/>
  <c r="O8"/>
  <c r="P6"/>
  <c r="O6"/>
  <c r="P5"/>
  <c r="P10" s="1"/>
  <c r="O5"/>
  <c r="O10" s="1"/>
  <c r="N10"/>
  <c r="N11" s="1"/>
  <c r="K10"/>
  <c r="M9"/>
  <c r="L9"/>
  <c r="M8"/>
  <c r="L8"/>
  <c r="M6"/>
  <c r="L6"/>
  <c r="M5"/>
  <c r="M10" s="1"/>
  <c r="L5"/>
  <c r="L10" s="1"/>
  <c r="H10"/>
  <c r="E10"/>
  <c r="J9"/>
  <c r="I9"/>
  <c r="J8"/>
  <c r="I8"/>
  <c r="J6"/>
  <c r="I6"/>
  <c r="J5"/>
  <c r="J10" s="1"/>
  <c r="B126" s="1"/>
  <c r="B129" s="1"/>
  <c r="I5"/>
  <c r="I10" s="1"/>
  <c r="G9"/>
  <c r="F9"/>
  <c r="G8"/>
  <c r="F8"/>
  <c r="G6"/>
  <c r="F6"/>
  <c r="G5"/>
  <c r="G10" s="1"/>
  <c r="F5"/>
  <c r="F10" s="1"/>
  <c r="C111"/>
  <c r="C116" s="1"/>
  <c r="B66"/>
  <c r="B47"/>
  <c r="B29"/>
  <c r="B20"/>
  <c r="C9"/>
  <c r="C8"/>
  <c r="C6"/>
  <c r="C5"/>
  <c r="D9"/>
  <c r="D8"/>
  <c r="D6"/>
  <c r="D5"/>
  <c r="B10"/>
  <c r="N17" i="37" l="1"/>
  <c r="O42" i="47"/>
  <c r="D5" i="71"/>
  <c r="D7" s="1"/>
  <c r="O140" i="47"/>
  <c r="G22" i="71" s="1"/>
  <c r="O111" i="47"/>
  <c r="F22" i="71" s="1"/>
  <c r="O85" i="47"/>
  <c r="E22" i="71" s="1"/>
  <c r="O57" i="47"/>
  <c r="D22" i="71" s="1"/>
  <c r="O24" i="47"/>
  <c r="C22" i="71" s="1"/>
  <c r="K9" i="47"/>
  <c r="H9"/>
  <c r="M9"/>
  <c r="G9"/>
  <c r="J9"/>
  <c r="L9"/>
  <c r="I9"/>
  <c r="N9"/>
  <c r="F9"/>
  <c r="O7"/>
  <c r="E11" i="19"/>
  <c r="H11"/>
  <c r="K11"/>
  <c r="B38"/>
  <c r="C29"/>
  <c r="D121"/>
  <c r="D123" s="1"/>
  <c r="G111"/>
  <c r="K111"/>
  <c r="E111"/>
  <c r="I111"/>
  <c r="I116" s="1"/>
  <c r="D66"/>
  <c r="C66"/>
  <c r="B56"/>
  <c r="D47"/>
  <c r="C47"/>
  <c r="D29"/>
  <c r="C20"/>
  <c r="C10"/>
  <c r="B11" s="1"/>
  <c r="D10"/>
  <c r="B120" s="1"/>
  <c r="B123" s="1"/>
  <c r="D119" l="1"/>
  <c r="F119"/>
  <c r="H119"/>
  <c r="J119"/>
  <c r="L119"/>
  <c r="B119"/>
  <c r="C44" i="47" s="1"/>
  <c r="C119" i="19"/>
  <c r="E119"/>
  <c r="G119"/>
  <c r="I119"/>
  <c r="K119"/>
  <c r="M119"/>
  <c r="C5" i="71"/>
  <c r="C7" s="1"/>
  <c r="O9" i="47"/>
  <c r="C125" i="19"/>
  <c r="D125"/>
  <c r="E125"/>
  <c r="F125"/>
  <c r="G125"/>
  <c r="H125"/>
  <c r="I125"/>
  <c r="J125"/>
  <c r="K125"/>
  <c r="L125"/>
  <c r="M125"/>
  <c r="B125"/>
  <c r="C38"/>
  <c r="D38"/>
  <c r="M20"/>
  <c r="G20"/>
  <c r="K20"/>
  <c r="J20"/>
  <c r="E20"/>
  <c r="I20"/>
  <c r="D20"/>
  <c r="H20"/>
  <c r="L20"/>
  <c r="K116"/>
  <c r="B111"/>
  <c r="B116" s="1"/>
  <c r="M122" s="1"/>
  <c r="M123" s="1"/>
  <c r="N123" s="1"/>
  <c r="O123" s="1"/>
  <c r="E116"/>
  <c r="G116"/>
  <c r="D127" s="1"/>
  <c r="D129" s="1"/>
  <c r="E66"/>
  <c r="E47"/>
  <c r="E38"/>
  <c r="E29"/>
  <c r="M45" i="47" l="1"/>
  <c r="K45"/>
  <c r="I45"/>
  <c r="G45"/>
  <c r="E45"/>
  <c r="C45"/>
  <c r="E12"/>
  <c r="G12"/>
  <c r="I12"/>
  <c r="K12"/>
  <c r="M12"/>
  <c r="C12"/>
  <c r="N45"/>
  <c r="L45"/>
  <c r="J45"/>
  <c r="H45"/>
  <c r="F45"/>
  <c r="D45"/>
  <c r="D12"/>
  <c r="F12"/>
  <c r="H12"/>
  <c r="J12"/>
  <c r="L12"/>
  <c r="N12"/>
  <c r="C127"/>
  <c r="C98"/>
  <c r="C72"/>
  <c r="M127"/>
  <c r="M98"/>
  <c r="M72"/>
  <c r="K127"/>
  <c r="K98"/>
  <c r="K72"/>
  <c r="I127"/>
  <c r="I98"/>
  <c r="I72"/>
  <c r="G127"/>
  <c r="G98"/>
  <c r="G72"/>
  <c r="E127"/>
  <c r="E98"/>
  <c r="E72"/>
  <c r="L11"/>
  <c r="L17" s="1"/>
  <c r="L26" s="1"/>
  <c r="L27" s="1"/>
  <c r="L44"/>
  <c r="L50" s="1"/>
  <c r="L59" s="1"/>
  <c r="L60" s="1"/>
  <c r="L61" s="1"/>
  <c r="L62" s="1"/>
  <c r="L63" s="1"/>
  <c r="H11"/>
  <c r="H17" s="1"/>
  <c r="H26" s="1"/>
  <c r="H27" s="1"/>
  <c r="H44"/>
  <c r="H50" s="1"/>
  <c r="H59" s="1"/>
  <c r="H60" s="1"/>
  <c r="H61" s="1"/>
  <c r="H62" s="1"/>
  <c r="H63" s="1"/>
  <c r="C11"/>
  <c r="D11"/>
  <c r="D17" s="1"/>
  <c r="D26" s="1"/>
  <c r="D27" s="1"/>
  <c r="D28" s="1"/>
  <c r="D29" s="1"/>
  <c r="D30" s="1"/>
  <c r="C3" i="55" s="1"/>
  <c r="D44" i="47"/>
  <c r="D50" s="1"/>
  <c r="D59" s="1"/>
  <c r="D60" s="1"/>
  <c r="D61" s="1"/>
  <c r="D62" s="1"/>
  <c r="D63" s="1"/>
  <c r="M44"/>
  <c r="M50" s="1"/>
  <c r="M59" s="1"/>
  <c r="M60" s="1"/>
  <c r="M61" s="1"/>
  <c r="M62" s="1"/>
  <c r="M63" s="1"/>
  <c r="M11"/>
  <c r="M17" s="1"/>
  <c r="M26" s="1"/>
  <c r="M27" s="1"/>
  <c r="I44"/>
  <c r="I50" s="1"/>
  <c r="I59" s="1"/>
  <c r="I60" s="1"/>
  <c r="I61" s="1"/>
  <c r="I62" s="1"/>
  <c r="I63" s="1"/>
  <c r="I11"/>
  <c r="I17" s="1"/>
  <c r="I26" s="1"/>
  <c r="I27" s="1"/>
  <c r="E44"/>
  <c r="E50" s="1"/>
  <c r="E59" s="1"/>
  <c r="E60" s="1"/>
  <c r="E61" s="1"/>
  <c r="E62" s="1"/>
  <c r="E63" s="1"/>
  <c r="E11"/>
  <c r="E17" s="1"/>
  <c r="E26" s="1"/>
  <c r="E27" s="1"/>
  <c r="E28" s="1"/>
  <c r="N127"/>
  <c r="N98"/>
  <c r="N72"/>
  <c r="L127"/>
  <c r="L98"/>
  <c r="L72"/>
  <c r="J127"/>
  <c r="J98"/>
  <c r="J72"/>
  <c r="H127"/>
  <c r="H98"/>
  <c r="H72"/>
  <c r="F127"/>
  <c r="F98"/>
  <c r="F72"/>
  <c r="D127"/>
  <c r="D98"/>
  <c r="D72"/>
  <c r="N11"/>
  <c r="N17" s="1"/>
  <c r="N26" s="1"/>
  <c r="N27" s="1"/>
  <c r="N44"/>
  <c r="N50" s="1"/>
  <c r="N59" s="1"/>
  <c r="N60" s="1"/>
  <c r="N61" s="1"/>
  <c r="N62" s="1"/>
  <c r="N63" s="1"/>
  <c r="J11"/>
  <c r="J17" s="1"/>
  <c r="J26" s="1"/>
  <c r="J27" s="1"/>
  <c r="J44"/>
  <c r="J50" s="1"/>
  <c r="J59" s="1"/>
  <c r="J60" s="1"/>
  <c r="J61" s="1"/>
  <c r="J62" s="1"/>
  <c r="J63" s="1"/>
  <c r="F11"/>
  <c r="F17" s="1"/>
  <c r="F26" s="1"/>
  <c r="F27" s="1"/>
  <c r="F44"/>
  <c r="F50" s="1"/>
  <c r="F59" s="1"/>
  <c r="F60" s="1"/>
  <c r="F61" s="1"/>
  <c r="F62" s="1"/>
  <c r="F63" s="1"/>
  <c r="C50"/>
  <c r="C59" s="1"/>
  <c r="K44"/>
  <c r="K50" s="1"/>
  <c r="K59" s="1"/>
  <c r="K60" s="1"/>
  <c r="K61" s="1"/>
  <c r="K62" s="1"/>
  <c r="K63" s="1"/>
  <c r="K11"/>
  <c r="K17" s="1"/>
  <c r="K26" s="1"/>
  <c r="K27" s="1"/>
  <c r="G44"/>
  <c r="G50" s="1"/>
  <c r="G59" s="1"/>
  <c r="G60" s="1"/>
  <c r="G61" s="1"/>
  <c r="G62" s="1"/>
  <c r="G63" s="1"/>
  <c r="G11"/>
  <c r="G17" s="1"/>
  <c r="G26" s="1"/>
  <c r="G27" s="1"/>
  <c r="M28"/>
  <c r="M29" s="1"/>
  <c r="M30" s="1"/>
  <c r="L3" i="55" s="1"/>
  <c r="I28" i="47"/>
  <c r="I29" s="1"/>
  <c r="I30" s="1"/>
  <c r="H3" i="55" s="1"/>
  <c r="H28" i="47"/>
  <c r="H29" s="1"/>
  <c r="H30" s="1"/>
  <c r="G3" i="55" s="1"/>
  <c r="L28" i="47"/>
  <c r="L29" s="1"/>
  <c r="L30" s="1"/>
  <c r="K3" i="55" s="1"/>
  <c r="K28" i="47"/>
  <c r="K29" s="1"/>
  <c r="K30" s="1"/>
  <c r="J3" i="55" s="1"/>
  <c r="J28" i="47"/>
  <c r="J29" s="1"/>
  <c r="J30" s="1"/>
  <c r="I3" i="55" s="1"/>
  <c r="F28" i="47"/>
  <c r="F29" s="1"/>
  <c r="F30" s="1"/>
  <c r="E3" i="55" s="1"/>
  <c r="E29" i="47"/>
  <c r="F20" i="19"/>
  <c r="F66"/>
  <c r="F47"/>
  <c r="F38"/>
  <c r="F29"/>
  <c r="N28" i="47" l="1"/>
  <c r="N29" s="1"/>
  <c r="N30" s="1"/>
  <c r="M3" i="55" s="1"/>
  <c r="G28" i="47"/>
  <c r="G29" s="1"/>
  <c r="G30" s="1"/>
  <c r="F3" i="55" s="1"/>
  <c r="C60" i="47"/>
  <c r="O59"/>
  <c r="O11"/>
  <c r="C17"/>
  <c r="C26" s="1"/>
  <c r="O72"/>
  <c r="O127"/>
  <c r="O98"/>
  <c r="O44"/>
  <c r="O12"/>
  <c r="C10" i="71" s="1"/>
  <c r="O45" i="47"/>
  <c r="D10" i="71" s="1"/>
  <c r="E30" i="47"/>
  <c r="D3" i="55" s="1"/>
  <c r="G66" i="19"/>
  <c r="G47"/>
  <c r="G38"/>
  <c r="G29"/>
  <c r="D9" i="71" l="1"/>
  <c r="D15" s="1"/>
  <c r="D24" s="1"/>
  <c r="D25" s="1"/>
  <c r="D26" s="1"/>
  <c r="D27" s="1"/>
  <c r="D28" s="1"/>
  <c r="D37" s="1"/>
  <c r="O50" i="47"/>
  <c r="F9" i="71"/>
  <c r="G9"/>
  <c r="E9"/>
  <c r="C9"/>
  <c r="C15" s="1"/>
  <c r="C24" s="1"/>
  <c r="C25" s="1"/>
  <c r="C26" s="1"/>
  <c r="C27" s="1"/>
  <c r="C28" s="1"/>
  <c r="C37" s="1"/>
  <c r="O17" i="47"/>
  <c r="C61"/>
  <c r="O60"/>
  <c r="O61" s="1"/>
  <c r="O26"/>
  <c r="C27"/>
  <c r="O27" s="1"/>
  <c r="H66" i="19"/>
  <c r="H47"/>
  <c r="H38"/>
  <c r="H29"/>
  <c r="C28" i="47" l="1"/>
  <c r="C29" s="1"/>
  <c r="O29" s="1"/>
  <c r="C62"/>
  <c r="O62" s="1"/>
  <c r="O63" s="1"/>
  <c r="O28"/>
  <c r="I66" i="19"/>
  <c r="I47"/>
  <c r="I38"/>
  <c r="I29"/>
  <c r="C30" i="47" l="1"/>
  <c r="B3" i="55" s="1"/>
  <c r="B4" s="1"/>
  <c r="C4" s="1"/>
  <c r="C63" i="47"/>
  <c r="O30"/>
  <c r="J66" i="19"/>
  <c r="J47"/>
  <c r="J38"/>
  <c r="J29"/>
  <c r="B32" i="71" l="1"/>
  <c r="B37" s="1"/>
  <c r="D4" i="55"/>
  <c r="E4" s="1"/>
  <c r="F4" s="1"/>
  <c r="G4" s="1"/>
  <c r="H4" s="1"/>
  <c r="I4" s="1"/>
  <c r="J4" s="1"/>
  <c r="K4" s="1"/>
  <c r="L4" s="1"/>
  <c r="M4" s="1"/>
  <c r="K66" i="19"/>
  <c r="J111"/>
  <c r="J116" s="1"/>
  <c r="H111"/>
  <c r="H116" s="1"/>
  <c r="K47"/>
  <c r="F111"/>
  <c r="F116" s="1"/>
  <c r="M128" s="1"/>
  <c r="M129" s="1"/>
  <c r="N129" s="1"/>
  <c r="O129" s="1"/>
  <c r="K38"/>
  <c r="D111"/>
  <c r="D116" s="1"/>
  <c r="K29"/>
  <c r="M128" i="47" l="1"/>
  <c r="M133" s="1"/>
  <c r="M142" s="1"/>
  <c r="M143" s="1"/>
  <c r="M144" s="1"/>
  <c r="M145" s="1"/>
  <c r="M146" s="1"/>
  <c r="K128"/>
  <c r="K133" s="1"/>
  <c r="K142" s="1"/>
  <c r="K143" s="1"/>
  <c r="K144" s="1"/>
  <c r="K145" s="1"/>
  <c r="K146" s="1"/>
  <c r="I128"/>
  <c r="I133" s="1"/>
  <c r="I142" s="1"/>
  <c r="I143" s="1"/>
  <c r="I144" s="1"/>
  <c r="I145" s="1"/>
  <c r="I146" s="1"/>
  <c r="G128"/>
  <c r="G133" s="1"/>
  <c r="G142" s="1"/>
  <c r="G143" s="1"/>
  <c r="G144" s="1"/>
  <c r="G145" s="1"/>
  <c r="G146" s="1"/>
  <c r="E128"/>
  <c r="E133" s="1"/>
  <c r="E142" s="1"/>
  <c r="E143" s="1"/>
  <c r="E144" s="1"/>
  <c r="E145" s="1"/>
  <c r="E146" s="1"/>
  <c r="C128"/>
  <c r="M99"/>
  <c r="M104" s="1"/>
  <c r="M113" s="1"/>
  <c r="M114" s="1"/>
  <c r="M115" s="1"/>
  <c r="M116" s="1"/>
  <c r="M117" s="1"/>
  <c r="K99"/>
  <c r="K104" s="1"/>
  <c r="K113" s="1"/>
  <c r="K114" s="1"/>
  <c r="K115" s="1"/>
  <c r="K116" s="1"/>
  <c r="K117" s="1"/>
  <c r="I99"/>
  <c r="I104" s="1"/>
  <c r="I113" s="1"/>
  <c r="I114" s="1"/>
  <c r="I115" s="1"/>
  <c r="I116" s="1"/>
  <c r="I117" s="1"/>
  <c r="G99"/>
  <c r="G104" s="1"/>
  <c r="G113" s="1"/>
  <c r="G114" s="1"/>
  <c r="G115" s="1"/>
  <c r="G116" s="1"/>
  <c r="G117" s="1"/>
  <c r="E99"/>
  <c r="E104" s="1"/>
  <c r="E113" s="1"/>
  <c r="E114" s="1"/>
  <c r="E115" s="1"/>
  <c r="E116" s="1"/>
  <c r="E117" s="1"/>
  <c r="C99"/>
  <c r="E73"/>
  <c r="E78" s="1"/>
  <c r="E87" s="1"/>
  <c r="E88" s="1"/>
  <c r="E89" s="1"/>
  <c r="E90" s="1"/>
  <c r="E91" s="1"/>
  <c r="G73"/>
  <c r="G78" s="1"/>
  <c r="G87" s="1"/>
  <c r="G88" s="1"/>
  <c r="G89" s="1"/>
  <c r="G90" s="1"/>
  <c r="G91" s="1"/>
  <c r="I73"/>
  <c r="I78" s="1"/>
  <c r="I87" s="1"/>
  <c r="I88" s="1"/>
  <c r="I89" s="1"/>
  <c r="I90" s="1"/>
  <c r="I91" s="1"/>
  <c r="K73"/>
  <c r="K78" s="1"/>
  <c r="K87" s="1"/>
  <c r="K88" s="1"/>
  <c r="K89" s="1"/>
  <c r="K90" s="1"/>
  <c r="K91" s="1"/>
  <c r="M73"/>
  <c r="M78" s="1"/>
  <c r="M87" s="1"/>
  <c r="M88" s="1"/>
  <c r="M89" s="1"/>
  <c r="M90" s="1"/>
  <c r="M91" s="1"/>
  <c r="C73"/>
  <c r="N128"/>
  <c r="N133" s="1"/>
  <c r="N142" s="1"/>
  <c r="N143" s="1"/>
  <c r="N144" s="1"/>
  <c r="N145" s="1"/>
  <c r="N146" s="1"/>
  <c r="L128"/>
  <c r="L133" s="1"/>
  <c r="L142" s="1"/>
  <c r="L143" s="1"/>
  <c r="L144" s="1"/>
  <c r="L145" s="1"/>
  <c r="L146" s="1"/>
  <c r="J128"/>
  <c r="J133" s="1"/>
  <c r="J142" s="1"/>
  <c r="J143" s="1"/>
  <c r="J144" s="1"/>
  <c r="J145" s="1"/>
  <c r="J146" s="1"/>
  <c r="H128"/>
  <c r="H133" s="1"/>
  <c r="H142" s="1"/>
  <c r="H143" s="1"/>
  <c r="H144" s="1"/>
  <c r="H145" s="1"/>
  <c r="H146" s="1"/>
  <c r="F128"/>
  <c r="F133" s="1"/>
  <c r="F142" s="1"/>
  <c r="F143" s="1"/>
  <c r="F144" s="1"/>
  <c r="F145" s="1"/>
  <c r="F146" s="1"/>
  <c r="D128"/>
  <c r="D133" s="1"/>
  <c r="D142" s="1"/>
  <c r="D143" s="1"/>
  <c r="D144" s="1"/>
  <c r="D145" s="1"/>
  <c r="D146" s="1"/>
  <c r="N99"/>
  <c r="N104" s="1"/>
  <c r="N113" s="1"/>
  <c r="N114" s="1"/>
  <c r="N115" s="1"/>
  <c r="N116" s="1"/>
  <c r="N117" s="1"/>
  <c r="L99"/>
  <c r="L104" s="1"/>
  <c r="L113" s="1"/>
  <c r="L114" s="1"/>
  <c r="L115" s="1"/>
  <c r="L116" s="1"/>
  <c r="L117" s="1"/>
  <c r="J99"/>
  <c r="J104" s="1"/>
  <c r="J113" s="1"/>
  <c r="J114" s="1"/>
  <c r="J115" s="1"/>
  <c r="J116" s="1"/>
  <c r="J117" s="1"/>
  <c r="H99"/>
  <c r="H104" s="1"/>
  <c r="H113" s="1"/>
  <c r="H114" s="1"/>
  <c r="H115" s="1"/>
  <c r="H116" s="1"/>
  <c r="H117" s="1"/>
  <c r="F99"/>
  <c r="F104" s="1"/>
  <c r="F113" s="1"/>
  <c r="F114" s="1"/>
  <c r="F115" s="1"/>
  <c r="F116" s="1"/>
  <c r="F117" s="1"/>
  <c r="D99"/>
  <c r="D104" s="1"/>
  <c r="D113" s="1"/>
  <c r="D114" s="1"/>
  <c r="D115" s="1"/>
  <c r="D116" s="1"/>
  <c r="D117" s="1"/>
  <c r="D73"/>
  <c r="D78" s="1"/>
  <c r="D87" s="1"/>
  <c r="D88" s="1"/>
  <c r="D89" s="1"/>
  <c r="D90" s="1"/>
  <c r="D91" s="1"/>
  <c r="F73"/>
  <c r="F78" s="1"/>
  <c r="F87" s="1"/>
  <c r="F88" s="1"/>
  <c r="F89" s="1"/>
  <c r="F90" s="1"/>
  <c r="F91" s="1"/>
  <c r="H73"/>
  <c r="H78" s="1"/>
  <c r="H87" s="1"/>
  <c r="H88" s="1"/>
  <c r="H89" s="1"/>
  <c r="H90" s="1"/>
  <c r="H91" s="1"/>
  <c r="J73"/>
  <c r="J78" s="1"/>
  <c r="J87" s="1"/>
  <c r="J88" s="1"/>
  <c r="J89" s="1"/>
  <c r="J90" s="1"/>
  <c r="J91" s="1"/>
  <c r="L73"/>
  <c r="L78" s="1"/>
  <c r="L87" s="1"/>
  <c r="L88" s="1"/>
  <c r="L89" s="1"/>
  <c r="L90" s="1"/>
  <c r="L91" s="1"/>
  <c r="N73"/>
  <c r="N78" s="1"/>
  <c r="N87" s="1"/>
  <c r="N88" s="1"/>
  <c r="N89" s="1"/>
  <c r="N90" s="1"/>
  <c r="N91" s="1"/>
  <c r="L66" i="19"/>
  <c r="M66"/>
  <c r="L47"/>
  <c r="M47"/>
  <c r="L38"/>
  <c r="M38"/>
  <c r="L29"/>
  <c r="M29"/>
  <c r="O73" i="47" l="1"/>
  <c r="C78"/>
  <c r="C87" s="1"/>
  <c r="O99"/>
  <c r="C104"/>
  <c r="C113" s="1"/>
  <c r="O128"/>
  <c r="C133"/>
  <c r="C142" s="1"/>
  <c r="E13" i="29"/>
  <c r="G10" i="71" l="1"/>
  <c r="G15" s="1"/>
  <c r="O133" i="47"/>
  <c r="F10" i="71"/>
  <c r="F15" s="1"/>
  <c r="F24" s="1"/>
  <c r="F25" s="1"/>
  <c r="F26" s="1"/>
  <c r="F27" s="1"/>
  <c r="F28" s="1"/>
  <c r="F37" s="1"/>
  <c r="G36" s="1"/>
  <c r="O104" i="47"/>
  <c r="E10" i="71"/>
  <c r="E15" s="1"/>
  <c r="E24" s="1"/>
  <c r="E25" s="1"/>
  <c r="E26" s="1"/>
  <c r="O78" i="47"/>
  <c r="O142"/>
  <c r="C143"/>
  <c r="O143" s="1"/>
  <c r="G25" i="71" s="1"/>
  <c r="C144" i="47"/>
  <c r="O113"/>
  <c r="C114"/>
  <c r="O114" s="1"/>
  <c r="O87"/>
  <c r="C88"/>
  <c r="O88" s="1"/>
  <c r="B13" i="73"/>
  <c r="C14" s="1"/>
  <c r="O115" i="47" l="1"/>
  <c r="C89"/>
  <c r="C90" s="1"/>
  <c r="C145"/>
  <c r="O145" s="1"/>
  <c r="G24" i="71"/>
  <c r="G26" s="1"/>
  <c r="O144" i="47"/>
  <c r="E27" i="71"/>
  <c r="E28" s="1"/>
  <c r="E37" s="1"/>
  <c r="O89" i="47"/>
  <c r="C115"/>
  <c r="C15" i="73"/>
  <c r="O90" i="47" l="1"/>
  <c r="O91" s="1"/>
  <c r="C91"/>
  <c r="G27" i="71"/>
  <c r="G28" s="1"/>
  <c r="G37" s="1"/>
  <c r="B40" s="1"/>
  <c r="C116" i="47"/>
  <c r="O116" s="1"/>
  <c r="O117" s="1"/>
  <c r="O146"/>
  <c r="C146"/>
  <c r="B41" i="71" l="1"/>
  <c r="C117" i="47"/>
</calcChain>
</file>

<file path=xl/comments1.xml><?xml version="1.0" encoding="utf-8"?>
<comments xmlns="http://schemas.openxmlformats.org/spreadsheetml/2006/main">
  <authors>
    <author>Cliente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SE ASUME QUE ES EL CONSUMO PROMEDIO POR PERSONA!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<sst xmlns="http://schemas.openxmlformats.org/spreadsheetml/2006/main" count="1229" uniqueCount="534">
  <si>
    <t>TOTAL</t>
  </si>
  <si>
    <t>Conexiones de Electricidad</t>
  </si>
  <si>
    <t xml:space="preserve"> (en US$)</t>
  </si>
  <si>
    <t>Reparación del Piso de Concreto</t>
  </si>
  <si>
    <t>Reconstrucción de la Oficina</t>
  </si>
  <si>
    <t>Monto del Préstamo / Principal</t>
  </si>
  <si>
    <t>USD</t>
  </si>
  <si>
    <t xml:space="preserve">Saldo </t>
  </si>
  <si>
    <t xml:space="preserve">Intereses </t>
  </si>
  <si>
    <t>Descripción</t>
  </si>
  <si>
    <t>AÑO 1</t>
  </si>
  <si>
    <t>DESCRIPCIÓN</t>
  </si>
  <si>
    <t>Tasa  (%)</t>
  </si>
  <si>
    <t>TIEMPO (AÑO)</t>
  </si>
  <si>
    <t>Abono a Capital</t>
  </si>
  <si>
    <t>Tiempo de Vida (en años)</t>
  </si>
  <si>
    <t>Depreciación (%)</t>
  </si>
  <si>
    <t>Depreciación Anual (Años 1-3)</t>
  </si>
  <si>
    <t>Depreciación Anual (Años 4-5)</t>
  </si>
  <si>
    <t>Depreciación Mensual Año 1</t>
  </si>
  <si>
    <t>AÑO 3</t>
  </si>
  <si>
    <t>AÑO 2</t>
  </si>
  <si>
    <t>AÑO 4</t>
  </si>
  <si>
    <t>AÑO 5</t>
  </si>
  <si>
    <t>VALOR PRESENTE</t>
  </si>
  <si>
    <t>PAGO</t>
  </si>
  <si>
    <t>INTERES</t>
  </si>
  <si>
    <t>CAPITAL</t>
  </si>
  <si>
    <t>PERIDODO</t>
  </si>
  <si>
    <t>SALDO INSOLUTO</t>
  </si>
  <si>
    <t>TABLAS DE AMORTIZACION</t>
  </si>
  <si>
    <t>AMORTIZANDO EL PAGO</t>
  </si>
  <si>
    <t>AMORTIZANDO LOS INTERESES</t>
  </si>
  <si>
    <t>CHEF DE COCINA</t>
  </si>
  <si>
    <t>AYUDANTE DE LIBRERÍA</t>
  </si>
  <si>
    <t>CAJERO</t>
  </si>
  <si>
    <t>SUELDO</t>
  </si>
  <si>
    <t>TRABAJADORES</t>
  </si>
  <si>
    <t>APORTACION PERSONAL 9.35%</t>
  </si>
  <si>
    <t>APORTACION PERSONAL 12,15%</t>
  </si>
  <si>
    <t>DECIMO TERCER SUELDO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</si>
  <si>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</si>
  <si>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</si>
  <si>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</si>
  <si>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</si>
  <si>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</si>
  <si>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</si>
  <si>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</si>
  <si>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</si>
  <si>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</si>
  <si>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</si>
  <si>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</si>
  <si>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</si>
  <si>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DECIMO CUARTO SUELDO</t>
  </si>
  <si>
    <t>TOTAL DECIMOS A PAGAR</t>
  </si>
  <si>
    <t>TOTAL 13TO SUELDO</t>
  </si>
  <si>
    <t>TRADICION CAFE (en USD)</t>
  </si>
  <si>
    <t>CANTIDAD</t>
  </si>
  <si>
    <t>Cafetera en acero inoxidable</t>
  </si>
  <si>
    <t>Opciones de Crédito: Préstamo Privado (en USD)</t>
  </si>
  <si>
    <t>Por lo que el primer año se paga mensualmente en intereses:</t>
  </si>
  <si>
    <t>Escoba</t>
  </si>
  <si>
    <t>Total</t>
  </si>
  <si>
    <t>UTILIDAD NETA</t>
  </si>
  <si>
    <t>Participación de Trabajadores</t>
  </si>
  <si>
    <t>Impuesto a la Renta</t>
  </si>
  <si>
    <t>COSTOS</t>
  </si>
  <si>
    <t>Agua Potable</t>
  </si>
  <si>
    <t>Internet ZONA WIFI</t>
  </si>
  <si>
    <t>Aperitivos de sal</t>
  </si>
  <si>
    <t>Precios</t>
  </si>
  <si>
    <t>Humitas</t>
  </si>
  <si>
    <t>Bolones</t>
  </si>
  <si>
    <t>Tigrillo</t>
  </si>
  <si>
    <t>Muchines</t>
  </si>
  <si>
    <t>Tamales</t>
  </si>
  <si>
    <t>Tostadas</t>
  </si>
  <si>
    <t>Empanadas</t>
  </si>
  <si>
    <t>Bollos</t>
  </si>
  <si>
    <t>Corviche</t>
  </si>
  <si>
    <t>Patacones</t>
  </si>
  <si>
    <t>Huevos Revueltos</t>
  </si>
  <si>
    <t>Papa rellena</t>
  </si>
  <si>
    <t>Consumo Promedio Individual</t>
  </si>
  <si>
    <t>Aperitivos de dulce</t>
  </si>
  <si>
    <t>Kimbolitos</t>
  </si>
  <si>
    <t>Torta de plátano</t>
  </si>
  <si>
    <t>Torta de Choclo</t>
  </si>
  <si>
    <t>Morocho</t>
  </si>
  <si>
    <t>Grupos de Productos</t>
  </si>
  <si>
    <t>Consumo Promedio Por Persona</t>
  </si>
  <si>
    <t>Consumo Promedio por persona (ALIMENTOS)</t>
  </si>
  <si>
    <t>Tipos de Café</t>
  </si>
  <si>
    <t>Café en Leche</t>
  </si>
  <si>
    <t>Café en agua</t>
  </si>
  <si>
    <t>Cappuccino</t>
  </si>
  <si>
    <t>Mocaccino</t>
  </si>
  <si>
    <t>Frapuccino</t>
  </si>
  <si>
    <t>Bebidas frías</t>
  </si>
  <si>
    <t>Jugo de naranjilla</t>
  </si>
  <si>
    <t>Jugo de tomate de árbol</t>
  </si>
  <si>
    <t>Jugo de naranja</t>
  </si>
  <si>
    <t>Jugo de maracuyá</t>
  </si>
  <si>
    <t>Té</t>
  </si>
  <si>
    <t>Colas</t>
  </si>
  <si>
    <t>Agua</t>
  </si>
  <si>
    <t xml:space="preserve">Cocina </t>
  </si>
  <si>
    <t>Evaporador</t>
  </si>
  <si>
    <t xml:space="preserve">Vitrina </t>
  </si>
  <si>
    <t>-</t>
  </si>
  <si>
    <t xml:space="preserve">Pyrex Rect. </t>
  </si>
  <si>
    <t>4Lt. 25x38 CM</t>
  </si>
  <si>
    <t>Envase vidrio</t>
  </si>
  <si>
    <t>367CC T/ Hongo</t>
  </si>
  <si>
    <t>200cc</t>
  </si>
  <si>
    <t>Maja Papa</t>
  </si>
  <si>
    <t>8+26cm</t>
  </si>
  <si>
    <t xml:space="preserve">Cuchara </t>
  </si>
  <si>
    <t>para spaguetti 23,5cm</t>
  </si>
  <si>
    <t xml:space="preserve">Cucharon </t>
  </si>
  <si>
    <t>32,5cm</t>
  </si>
  <si>
    <t xml:space="preserve">Espatula </t>
  </si>
  <si>
    <t xml:space="preserve">34cm </t>
  </si>
  <si>
    <t>Cuchareta</t>
  </si>
  <si>
    <t>33cm</t>
  </si>
  <si>
    <t>Batidor</t>
  </si>
  <si>
    <t>manual</t>
  </si>
  <si>
    <t xml:space="preserve">Rallo </t>
  </si>
  <si>
    <t>metalico inoxidable</t>
  </si>
  <si>
    <t xml:space="preserve">Olla </t>
  </si>
  <si>
    <t>16Ltrs. Metalico inoxidable</t>
  </si>
  <si>
    <t xml:space="preserve">Acero Inox </t>
  </si>
  <si>
    <t>Trinche</t>
  </si>
  <si>
    <t>Cuchillos con base</t>
  </si>
  <si>
    <t>6 piesas</t>
  </si>
  <si>
    <t>Sarten</t>
  </si>
  <si>
    <t xml:space="preserve">30 cm con teflon </t>
  </si>
  <si>
    <t>Paila</t>
  </si>
  <si>
    <t>aluminio inoxidable 10Ltrs</t>
  </si>
  <si>
    <t>Vaso</t>
  </si>
  <si>
    <t>forma cervecero 24 ONZ</t>
  </si>
  <si>
    <t>Jarra</t>
  </si>
  <si>
    <t>Primavera Nadir</t>
  </si>
  <si>
    <t>450 ml de vidrio</t>
  </si>
  <si>
    <t xml:space="preserve">Vajilla </t>
  </si>
  <si>
    <t>20Pcs</t>
  </si>
  <si>
    <t>Cubiertos</t>
  </si>
  <si>
    <t>24Psc Paraty</t>
  </si>
  <si>
    <t xml:space="preserve">Pomo </t>
  </si>
  <si>
    <t>Cristal Primavera 2 lt</t>
  </si>
  <si>
    <t xml:space="preserve">azucarera </t>
  </si>
  <si>
    <t>tipo ceramica con imágenes de guayaquil</t>
  </si>
  <si>
    <t>servilletero</t>
  </si>
  <si>
    <t>de madera con cultura ecuatoriana</t>
  </si>
  <si>
    <t xml:space="preserve">Repostero </t>
  </si>
  <si>
    <t>Millenioum Mediano</t>
  </si>
  <si>
    <t>Caja Registradora con lector</t>
  </si>
  <si>
    <t>Electrónica, desglose automático IVA,</t>
  </si>
  <si>
    <t>Telefono</t>
  </si>
  <si>
    <t xml:space="preserve"> Panasonic duos XPN-213</t>
  </si>
  <si>
    <t>AOCM92ALLINONE COMBO</t>
  </si>
  <si>
    <t>Computadora con parlantes, cpu, monitor</t>
  </si>
  <si>
    <t>impresora, regulador. Marca Hacer</t>
  </si>
  <si>
    <t xml:space="preserve">Sillon </t>
  </si>
  <si>
    <t xml:space="preserve">reclinable negro </t>
  </si>
  <si>
    <t>Escritorio</t>
  </si>
  <si>
    <t>rectangular</t>
  </si>
  <si>
    <t xml:space="preserve">Sofa </t>
  </si>
  <si>
    <t>3 lugares Habano</t>
  </si>
  <si>
    <t xml:space="preserve">Mesa Iberica </t>
  </si>
  <si>
    <t>Redonda</t>
  </si>
  <si>
    <t>Rep. Plano</t>
  </si>
  <si>
    <t>rectangular Primavera Gde.</t>
  </si>
  <si>
    <t>Silla</t>
  </si>
  <si>
    <t>Toledo S/B</t>
  </si>
  <si>
    <t>Televisor LCD</t>
  </si>
  <si>
    <t>de madera</t>
  </si>
  <si>
    <t>Trapeador</t>
  </si>
  <si>
    <t xml:space="preserve">127cm </t>
  </si>
  <si>
    <t>Cesto</t>
  </si>
  <si>
    <t>decorativo grande</t>
  </si>
  <si>
    <t>Balde</t>
  </si>
  <si>
    <t xml:space="preserve">de plastico </t>
  </si>
  <si>
    <t>Uniforme cocinero</t>
  </si>
  <si>
    <t>Pintura interiores</t>
  </si>
  <si>
    <t>Nivelación de piso usando cemento</t>
  </si>
  <si>
    <t>Reparación del techo y pared</t>
  </si>
  <si>
    <t>Imprermeabilizar parades debido a la humedad, empastar usando sanchos de metal</t>
  </si>
  <si>
    <t>Cafetería-Librería-Cocina-Oficinas</t>
  </si>
  <si>
    <t>Oficina de Administradores</t>
  </si>
  <si>
    <t>platillos</t>
  </si>
  <si>
    <t xml:space="preserve">colgados en la pared con cultura </t>
  </si>
  <si>
    <t>ecuatoriana</t>
  </si>
  <si>
    <t>Muñeca</t>
  </si>
  <si>
    <t>colgante, estilo trenzas, cultura sierra</t>
  </si>
  <si>
    <t>Reloj</t>
  </si>
  <si>
    <t xml:space="preserve">estilo escudo, madera </t>
  </si>
  <si>
    <t>Papagayo esquinero</t>
  </si>
  <si>
    <t>madera, 1 mtr</t>
  </si>
  <si>
    <t>pergamino</t>
  </si>
  <si>
    <t>cuero</t>
  </si>
  <si>
    <t>Tambor</t>
  </si>
  <si>
    <t xml:space="preserve">cuero de vaca </t>
  </si>
  <si>
    <t xml:space="preserve">Guitarra </t>
  </si>
  <si>
    <t xml:space="preserve">sombreros </t>
  </si>
  <si>
    <t>de paja toquilla</t>
  </si>
  <si>
    <t>cuadro</t>
  </si>
  <si>
    <t xml:space="preserve">de Huayasamin </t>
  </si>
  <si>
    <t>tortuga</t>
  </si>
  <si>
    <t>madera de nogal</t>
  </si>
  <si>
    <t xml:space="preserve">individuales </t>
  </si>
  <si>
    <t xml:space="preserve">juego con 6 pcs y porta vasos, cultura </t>
  </si>
  <si>
    <t>guayaquileña</t>
  </si>
  <si>
    <t>Atahualpa</t>
  </si>
  <si>
    <t>Cara colgante de pared, madera de nogal</t>
  </si>
  <si>
    <t>Cuadro</t>
  </si>
  <si>
    <t>cerro santa ana</t>
  </si>
  <si>
    <t>Banana</t>
  </si>
  <si>
    <t>Ceramica Mosaica</t>
  </si>
  <si>
    <t>Iguana</t>
  </si>
  <si>
    <t>Elaborada con cascara de coco, cultura</t>
  </si>
  <si>
    <t>esmeraldeña</t>
  </si>
  <si>
    <t>Escritorio para recepción</t>
  </si>
  <si>
    <t>Suscripciones de revistas</t>
  </si>
  <si>
    <t>Semana</t>
  </si>
  <si>
    <t>Dinero</t>
  </si>
  <si>
    <t>Jet-Set</t>
  </si>
  <si>
    <t>Fucsia</t>
  </si>
  <si>
    <t>Vanidades</t>
  </si>
  <si>
    <t>El Universo</t>
  </si>
  <si>
    <t>Precio al año</t>
  </si>
  <si>
    <t>Consumo Promedio por Persona (Bebidas)</t>
  </si>
  <si>
    <t>Períodos</t>
  </si>
  <si>
    <t>%</t>
  </si>
  <si>
    <t>Clientes</t>
  </si>
  <si>
    <t>Cons. Promed. x Per.</t>
  </si>
  <si>
    <t>Ventas Mensuales</t>
  </si>
  <si>
    <t>Ciclos de Vida</t>
  </si>
  <si>
    <t>(en meses)</t>
  </si>
  <si>
    <t>Proyectado</t>
  </si>
  <si>
    <t>por mes</t>
  </si>
  <si>
    <t>Instalación del Negocio</t>
  </si>
  <si>
    <t>Inicio Etapa de Madurez</t>
  </si>
  <si>
    <t>Etapa de Madurez</t>
  </si>
  <si>
    <t>Bebidas Frías</t>
  </si>
  <si>
    <t>Granos de Café</t>
  </si>
  <si>
    <t>Café en grano</t>
  </si>
  <si>
    <t>Lojano</t>
  </si>
  <si>
    <t>Costos</t>
  </si>
  <si>
    <t>Utilidad Marginal</t>
  </si>
  <si>
    <t>PRECIO DE VENTA AL PUBLICO DE APERITIVOS Y BEBIDAS EN GENERAL</t>
  </si>
  <si>
    <t>PVP</t>
  </si>
  <si>
    <t>COSTOS DE VENTA AL PUBLICO DE APERITIVOS Y BEBIDAS EN GENERAL</t>
  </si>
  <si>
    <t>ADMINISTRADOR</t>
  </si>
  <si>
    <t xml:space="preserve">LG 32 H30 </t>
  </si>
  <si>
    <t>Uniforme Ayudante de cocina</t>
  </si>
  <si>
    <t>Uniforme Cajero</t>
  </si>
  <si>
    <t>Camisa Piqué con el logotipo empresa</t>
  </si>
  <si>
    <t>Novelas</t>
  </si>
  <si>
    <t>Revistas Educativas para niños</t>
  </si>
  <si>
    <t>Folletos de Medicina, salud</t>
  </si>
  <si>
    <t>Revistas de Tecnología</t>
  </si>
  <si>
    <t>Literatura</t>
  </si>
  <si>
    <t>UTILIDADES DESPUES DE PARTICIPACION TRABAJADORES</t>
  </si>
  <si>
    <t>13º DIC</t>
  </si>
  <si>
    <t>14º MARZO</t>
  </si>
  <si>
    <t>Depreciación</t>
  </si>
  <si>
    <t>TOTAL CONSUMO PROMEDIO</t>
  </si>
  <si>
    <t>Religiones</t>
  </si>
  <si>
    <t>Libros de Ciencias</t>
  </si>
  <si>
    <t>Libro de Artes</t>
  </si>
  <si>
    <t>Historia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</si>
  <si>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</si>
  <si>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</si>
  <si>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</si>
  <si>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</si>
  <si>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</si>
  <si>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</si>
  <si>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</si>
  <si>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</si>
  <si>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Cafetería-Librería-Zona de Descanso 3 en 1</t>
  </si>
  <si>
    <t>Estado de Resultados</t>
  </si>
  <si>
    <t>Proyectado a 5 años</t>
  </si>
  <si>
    <t>Costo de ventas</t>
  </si>
  <si>
    <t>Utilidad Bruta</t>
  </si>
  <si>
    <t>Vistazo</t>
  </si>
  <si>
    <t>Emprendedores</t>
  </si>
  <si>
    <t>GASTOS OPERACIONALES</t>
  </si>
  <si>
    <t>Décimo Tercer Sueldo</t>
  </si>
  <si>
    <t>Décimo Cuarto Sueldo</t>
  </si>
  <si>
    <t>Beneficios Sociales</t>
  </si>
  <si>
    <t>BENENFICIOS SOCIALES</t>
  </si>
  <si>
    <t>AÑOS 1 Y 2</t>
  </si>
  <si>
    <t>AÑOS 3,4 Y 5</t>
  </si>
  <si>
    <t>Alquiler de Local</t>
  </si>
  <si>
    <t>Sueldos y Salarios</t>
  </si>
  <si>
    <t>Servicios Básicos</t>
  </si>
  <si>
    <t>Total Gastos Operacionales</t>
  </si>
  <si>
    <t>UTILIDAD OPERATIVA</t>
  </si>
  <si>
    <t>Utilidad antes de Impuestos</t>
  </si>
  <si>
    <t>Uniforme Personal</t>
  </si>
  <si>
    <t xml:space="preserve">Ventas </t>
  </si>
  <si>
    <t>Ventas Proyectadas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</si>
  <si>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</si>
  <si>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</si>
  <si>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</si>
  <si>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</si>
  <si>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</si>
  <si>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</si>
  <si>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</si>
  <si>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</si>
  <si>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</si>
  <si>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</si>
  <si>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</si>
  <si>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</si>
  <si>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Permiso SAYCE (Autorización de música)</t>
  </si>
  <si>
    <t>Precio</t>
  </si>
  <si>
    <t>Gastos de Publicidad</t>
  </si>
  <si>
    <t>Volantes</t>
  </si>
  <si>
    <t>Total Gastos de Publicidad</t>
  </si>
  <si>
    <t>Flujo de Caja</t>
  </si>
  <si>
    <t>(Inversión Inicial)</t>
  </si>
  <si>
    <t>(Capital de Trabajo)</t>
  </si>
  <si>
    <t>Préstamo</t>
  </si>
  <si>
    <t>(Pago de Capital)</t>
  </si>
  <si>
    <t>Valor de Salvamento</t>
  </si>
  <si>
    <t>VAN</t>
  </si>
  <si>
    <t>TIR</t>
  </si>
  <si>
    <t>AÑO 0</t>
  </si>
  <si>
    <t>FLUJO NETO</t>
  </si>
  <si>
    <t>CÁLCULO CAPITAL DE TRABAJO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</si>
  <si>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</si>
  <si>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</si>
  <si>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</si>
  <si>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</si>
  <si>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</si>
  <si>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</si>
  <si>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</si>
  <si>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</si>
  <si>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</si>
  <si>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</si>
  <si>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</si>
  <si>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</si>
  <si>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Saldo Mensual*</t>
  </si>
  <si>
    <t>Saldo Acumulado</t>
  </si>
  <si>
    <t>MESERO</t>
  </si>
  <si>
    <t>INVERSIÓN INICIAL</t>
  </si>
  <si>
    <t>MONTO</t>
  </si>
  <si>
    <t>Maquinaria y Equipo</t>
  </si>
  <si>
    <t>Menaje</t>
  </si>
  <si>
    <t>Equipos de Oficina</t>
  </si>
  <si>
    <t>Materiales de Oficina</t>
  </si>
  <si>
    <t>Equipos de Computo</t>
  </si>
  <si>
    <t>Muebles y Enseres</t>
  </si>
  <si>
    <t>Gastos de Instalación</t>
  </si>
  <si>
    <t>Gastos Legales</t>
  </si>
  <si>
    <t>Total Inversión Inicial</t>
  </si>
  <si>
    <t xml:space="preserve">Maquinaria y Equipo </t>
  </si>
  <si>
    <t>Cantidad</t>
  </si>
  <si>
    <t>Refigeradora (incluido microondas por regalo)</t>
  </si>
  <si>
    <t>Marca Indurama</t>
  </si>
  <si>
    <t>Mabe</t>
  </si>
  <si>
    <t>Campana o Extractor de olor</t>
  </si>
  <si>
    <t>Indurama</t>
  </si>
  <si>
    <t>Licuadora</t>
  </si>
  <si>
    <t>Oster</t>
  </si>
  <si>
    <t>Waflera</t>
  </si>
  <si>
    <t>LG</t>
  </si>
  <si>
    <t>Condensador</t>
  </si>
  <si>
    <t>Regulador</t>
  </si>
  <si>
    <t>Forsen</t>
  </si>
  <si>
    <t>Equipo de Sonido</t>
  </si>
  <si>
    <t>Sony, 6 amplificadores</t>
  </si>
  <si>
    <t>Maquina de Crema de Café 3 Grupos</t>
  </si>
  <si>
    <t>Modelo Espress, con surtidor independiente de agua caliente, pico de vapor, entrada de agua  automatica, equipo incorporado monofasico de 1/4HP 220V, 1400 RPM Marca Rilo (Argentina)</t>
  </si>
  <si>
    <t>Cafetera para 100 TZ. 110 VOLTS</t>
  </si>
  <si>
    <t>Reg-58001R Marca Legal (Estados Unidos)</t>
  </si>
  <si>
    <t>110V/60HZ, Temperatura constante, capacidad 19L Marca: Hardman (China)</t>
  </si>
  <si>
    <t>Mostrador Esquinero con vidrio Curvo</t>
  </si>
  <si>
    <t>1,25 MTS. Modelo Star Plus Marca Gelopar (Brasil)</t>
  </si>
  <si>
    <t xml:space="preserve">Mostrador de 0,65 CMS. </t>
  </si>
  <si>
    <t>Vidrio curvo Modelo star plus marca Gelopar (Brasil)</t>
  </si>
  <si>
    <t>Total Maquinaria y Equipos</t>
  </si>
  <si>
    <t>Descuento al x mayor (10%)</t>
  </si>
  <si>
    <t>Total con Descuento</t>
  </si>
  <si>
    <t>Vasos Termicos</t>
  </si>
  <si>
    <t>Vasos de Poliestileno</t>
  </si>
  <si>
    <t>Termicos</t>
  </si>
  <si>
    <t>Total Menaje</t>
  </si>
  <si>
    <t>Total Equipos de Oficina</t>
  </si>
  <si>
    <t>Resma de Papel</t>
  </si>
  <si>
    <t>A4</t>
  </si>
  <si>
    <t>Esferos</t>
  </si>
  <si>
    <t>Bic, punta gruesa</t>
  </si>
  <si>
    <t>Rollos de Nota de Venta</t>
  </si>
  <si>
    <t>Total Materiales de Oficina</t>
  </si>
  <si>
    <t>Total Equipos de Computo</t>
  </si>
  <si>
    <t>Total Muebles y Enseres</t>
  </si>
  <si>
    <t>Decoración (local)</t>
  </si>
  <si>
    <t>Tradicional</t>
  </si>
  <si>
    <t>Total de Gastos de Instalación</t>
  </si>
  <si>
    <t>Decoración</t>
  </si>
  <si>
    <t>Total Decoración</t>
  </si>
  <si>
    <t xml:space="preserve">Gastos de Publicidad </t>
  </si>
  <si>
    <t>Descripción ANUAL*</t>
  </si>
  <si>
    <t>Serigrafía en vasos</t>
  </si>
  <si>
    <t>Logotipo del Negocio impreso en vasos de Poliestileno</t>
  </si>
  <si>
    <t>Impresión en papel Couche</t>
  </si>
  <si>
    <t>Perigrafía</t>
  </si>
  <si>
    <t>Arte en Madera del nombre del local, menu del negocio</t>
  </si>
  <si>
    <t>Publicidad en Radio</t>
  </si>
  <si>
    <t>Radio Punto Rojo</t>
  </si>
  <si>
    <t>1er año</t>
  </si>
  <si>
    <t xml:space="preserve">Duración </t>
  </si>
  <si>
    <t>Cuñas de Radio</t>
  </si>
  <si>
    <t>10''</t>
  </si>
  <si>
    <t>GASTOS MENSUALES A PARTIR DEL 2DO AÑO HASTA EL 5TO AÑO</t>
  </si>
  <si>
    <t>2do año</t>
  </si>
  <si>
    <t>en adelante</t>
  </si>
  <si>
    <t>Tasa Municipal (Uso del Suelo)</t>
  </si>
  <si>
    <t>Ministerio de Salud</t>
  </si>
  <si>
    <t>Gasto de Constitución</t>
  </si>
  <si>
    <t>Extintores</t>
  </si>
  <si>
    <t>Acta de Inspección</t>
  </si>
  <si>
    <t>Cuenta de Integración de Capitales</t>
  </si>
  <si>
    <t>Tasa por registro de marca o patente</t>
  </si>
  <si>
    <t>Tasa por aprobación de registro de marca cada 10 años</t>
  </si>
  <si>
    <t>Permiso de Bomberos</t>
  </si>
  <si>
    <t>Total Gastos Legales</t>
  </si>
  <si>
    <t>PARTICIPACION</t>
  </si>
  <si>
    <t>TIPO</t>
  </si>
  <si>
    <t>MENSUAL SUSCRIPCION</t>
  </si>
  <si>
    <t>Descuento del 9,35%</t>
  </si>
  <si>
    <t>Energía Eléctrica</t>
  </si>
  <si>
    <t>Características</t>
  </si>
  <si>
    <t>Uniformes</t>
  </si>
  <si>
    <t>COSTO</t>
  </si>
  <si>
    <t xml:space="preserve">GASTOS MENSUALES </t>
  </si>
  <si>
    <t xml:space="preserve">Colección de Libros </t>
  </si>
  <si>
    <t>APORTE DE LOS SOCIOS</t>
  </si>
  <si>
    <t>Estantes para libros</t>
  </si>
  <si>
    <t>LIBREROS</t>
  </si>
  <si>
    <t>Estanterías para libros</t>
  </si>
  <si>
    <t>PRORRATEADO</t>
  </si>
  <si>
    <t>Mes 01 - 02</t>
  </si>
  <si>
    <t>Mes 03 - 12</t>
  </si>
  <si>
    <t>Mes 13 - 24</t>
  </si>
  <si>
    <t>Inicio de Madurez</t>
  </si>
  <si>
    <t>Mes 25 - 35</t>
  </si>
  <si>
    <t>Mes 36 - 60</t>
  </si>
  <si>
    <t>INCREMENTO PRECIO</t>
  </si>
  <si>
    <t>INCREMENTO DE COSTOS</t>
  </si>
  <si>
    <t>Etapa de Crecimiento</t>
  </si>
  <si>
    <t>Gastos de limpieza</t>
  </si>
  <si>
    <t>TOTAL MENSUAL</t>
  </si>
  <si>
    <t>TOTAL DE GASTOS PUBLICITARIOS DEL MES</t>
  </si>
  <si>
    <t>Publicidad y Propagandas</t>
  </si>
  <si>
    <t>Intereses del Préstamo</t>
  </si>
  <si>
    <t>Limpieza</t>
  </si>
  <si>
    <t>Alquiler del local</t>
  </si>
  <si>
    <t xml:space="preserve">Local </t>
  </si>
  <si>
    <t>Variación Ingresos</t>
  </si>
  <si>
    <t>Variación Costos</t>
  </si>
  <si>
    <t>Variación TMAR</t>
  </si>
  <si>
    <t>Ingresos</t>
  </si>
  <si>
    <t>Aumenta/disminuye</t>
  </si>
  <si>
    <t>Disminuye</t>
  </si>
  <si>
    <t>ANALISIS</t>
  </si>
  <si>
    <t>Aumenta</t>
  </si>
  <si>
    <t>SENSIBILIDAD</t>
  </si>
  <si>
    <t>TMAR</t>
  </si>
  <si>
    <t>PE</t>
  </si>
  <si>
    <t>CONCLUSIONES</t>
  </si>
  <si>
    <t>Rentabilidad</t>
  </si>
  <si>
    <t>Barreras a la entrada</t>
  </si>
  <si>
    <t>Barreras a la salida</t>
  </si>
  <si>
    <t>Posibilidades de crecimiento</t>
  </si>
  <si>
    <t>RECOMENDACIONES</t>
  </si>
  <si>
    <t>Manejo de marca</t>
  </si>
  <si>
    <t>Atención al cliente</t>
  </si>
  <si>
    <t>Continuar y convecer con el apoyo o propuestas sociales</t>
  </si>
  <si>
    <t>Aumento 6% Costos</t>
  </si>
  <si>
    <t>Aumento 6% Ingresos</t>
  </si>
  <si>
    <t xml:space="preserve">Precio </t>
  </si>
  <si>
    <t>Porcentaje</t>
  </si>
  <si>
    <t>Gastos de Puesta en Marcha</t>
  </si>
  <si>
    <t>TOTAL GASTOS DE PUESTA EN MARCHA</t>
  </si>
  <si>
    <t>Total Inversión Diferida</t>
  </si>
  <si>
    <t>TOTAL INVERSIÓN</t>
  </si>
  <si>
    <t>Activos Fijos</t>
  </si>
  <si>
    <t>Activos Diferidos</t>
  </si>
  <si>
    <t>Capital de Trabajo</t>
  </si>
  <si>
    <t>Inversión Total</t>
  </si>
  <si>
    <t>Financiamiento</t>
  </si>
  <si>
    <t>Aporte Propio</t>
  </si>
  <si>
    <t>VALOR</t>
  </si>
  <si>
    <t>% Amort.</t>
  </si>
  <si>
    <t>anual</t>
  </si>
  <si>
    <t>Mensual</t>
  </si>
  <si>
    <t>Anual</t>
  </si>
  <si>
    <t>Amortización</t>
  </si>
  <si>
    <t>Suscripciones a Revistas</t>
  </si>
  <si>
    <t>De 6:30 a 8:00</t>
  </si>
  <si>
    <t>De 8:00 a 12:00</t>
  </si>
  <si>
    <t>De 12:00 a 14:00</t>
  </si>
  <si>
    <t>De 14:00 a 19:00</t>
  </si>
  <si>
    <t>De 19:00 a 20:00</t>
  </si>
  <si>
    <t>De 20:00 a 22:00</t>
  </si>
  <si>
    <t>De 22:00 a 00:00</t>
  </si>
  <si>
    <t xml:space="preserve">Horarios </t>
  </si>
  <si>
    <t>$ 400</t>
  </si>
  <si>
    <t>Otros precios que se utilizarán serán en menciones</t>
  </si>
  <si>
    <t>durante programas en vivo, estos se venderán en</t>
  </si>
  <si>
    <t>paquete de 6 menciones teniendo un precio de $ 3.000.</t>
  </si>
  <si>
    <t>Finalmente están los auspicios de programas, estos</t>
  </si>
  <si>
    <t>serán de acuerdo al día de emisión De lunes a viernes</t>
  </si>
  <si>
    <t>el auspicio de un programa tendría una base de</t>
  </si>
  <si>
    <t>$12,000 mientras que un programa de fin de semana $20000</t>
  </si>
  <si>
    <t xml:space="preserve">Precio del minuto </t>
  </si>
  <si>
    <t>Gastos de Suscripciones y Publicidad</t>
  </si>
  <si>
    <t>Total Gastos de Suscripciones y Publicidad</t>
  </si>
  <si>
    <t>(Reinversiones)</t>
  </si>
  <si>
    <t>Reinversiones</t>
  </si>
  <si>
    <t xml:space="preserve">OJO CAMBIAR ESTE CUADRO EN EXCEL AFECTA A TOTAL INVERSION </t>
  </si>
  <si>
    <t>Sept</t>
  </si>
  <si>
    <t>Oct</t>
  </si>
  <si>
    <t>Nov</t>
  </si>
  <si>
    <t>Dic</t>
  </si>
  <si>
    <t>Costos Mensuales</t>
  </si>
  <si>
    <t>PERIODO</t>
  </si>
  <si>
    <t>SALDO DE INVERSION</t>
  </si>
  <si>
    <t>FLUJO DE CAJA</t>
  </si>
  <si>
    <t>RENTABILIDAD EXIGIDA</t>
  </si>
  <si>
    <t>RECUPERACION DE LA INVERSION</t>
  </si>
</sst>
</file>

<file path=xl/styles.xml><?xml version="1.0" encoding="utf-8"?>
<styleSheet xmlns="http://schemas.openxmlformats.org/spreadsheetml/2006/main">
  <numFmts count="13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&quot;$&quot;\ #,##0.00_);[Red]\(&quot;$&quot;\ #,##0.00\)"/>
    <numFmt numFmtId="166" formatCode="0;[Red]0"/>
    <numFmt numFmtId="167" formatCode="[$$-409]#,##0.00"/>
    <numFmt numFmtId="168" formatCode="&quot;$&quot;#,##0.00"/>
    <numFmt numFmtId="169" formatCode="[$$-409]#,##0"/>
    <numFmt numFmtId="170" formatCode="&quot;$&quot;#,##0"/>
    <numFmt numFmtId="171" formatCode="[$$-409]#,##0.00_ ;\-[$$-409]#,##0.00\ "/>
    <numFmt numFmtId="172" formatCode="_-[$$-409]* #,##0.00_ ;_-[$$-409]* \-#,##0.00\ ;_-[$$-409]* &quot;-&quot;??_ ;_-@_ "/>
    <numFmt numFmtId="173" formatCode="[$$-2409]#,##0"/>
    <numFmt numFmtId="174" formatCode="[$$-1009]#,##0"/>
    <numFmt numFmtId="175" formatCode="_(* #,##0_);_(* \(#,##0\);_(* &quot;-&quot;??_);_(@_)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164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50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3" fillId="0" borderId="0" xfId="1" applyFont="1" applyFill="1"/>
    <xf numFmtId="0" fontId="12" fillId="0" borderId="0" xfId="1" applyFont="1" applyFill="1"/>
    <xf numFmtId="0" fontId="4" fillId="0" borderId="1" xfId="1" applyFont="1" applyFill="1" applyBorder="1" applyAlignment="1">
      <alignment horizontal="center" vertical="center"/>
    </xf>
    <xf numFmtId="0" fontId="13" fillId="0" borderId="1" xfId="1" applyFont="1" applyFill="1" applyBorder="1"/>
    <xf numFmtId="167" fontId="14" fillId="0" borderId="1" xfId="1" applyNumberFormat="1" applyFont="1" applyFill="1" applyBorder="1" applyAlignment="1">
      <alignment horizontal="center"/>
    </xf>
    <xf numFmtId="167" fontId="13" fillId="0" borderId="1" xfId="1" applyNumberFormat="1" applyFont="1" applyFill="1" applyBorder="1" applyAlignment="1">
      <alignment horizontal="center"/>
    </xf>
    <xf numFmtId="167" fontId="12" fillId="0" borderId="1" xfId="1" applyNumberFormat="1" applyFont="1" applyFill="1" applyBorder="1" applyAlignment="1">
      <alignment horizontal="center"/>
    </xf>
    <xf numFmtId="0" fontId="12" fillId="0" borderId="1" xfId="1" applyFont="1" applyFill="1" applyBorder="1"/>
    <xf numFmtId="0" fontId="12" fillId="0" borderId="10" xfId="1" applyFont="1" applyFill="1" applyBorder="1"/>
    <xf numFmtId="0" fontId="12" fillId="0" borderId="20" xfId="1" applyFont="1" applyFill="1" applyBorder="1"/>
    <xf numFmtId="167" fontId="13" fillId="0" borderId="0" xfId="1" applyNumberFormat="1" applyFont="1" applyFill="1" applyBorder="1"/>
    <xf numFmtId="167" fontId="13" fillId="0" borderId="21" xfId="1" applyNumberFormat="1" applyFont="1" applyFill="1" applyBorder="1"/>
    <xf numFmtId="0" fontId="13" fillId="0" borderId="25" xfId="1" applyFont="1" applyFill="1" applyBorder="1"/>
    <xf numFmtId="167" fontId="12" fillId="0" borderId="26" xfId="1" applyNumberFormat="1" applyFont="1" applyFill="1" applyBorder="1"/>
    <xf numFmtId="0" fontId="13" fillId="0" borderId="12" xfId="1" applyFont="1" applyFill="1" applyBorder="1"/>
    <xf numFmtId="0" fontId="13" fillId="0" borderId="19" xfId="1" applyFont="1" applyFill="1" applyBorder="1"/>
    <xf numFmtId="171" fontId="5" fillId="0" borderId="1" xfId="11" applyNumberFormat="1" applyFont="1" applyBorder="1" applyAlignment="1">
      <alignment horizontal="center"/>
    </xf>
    <xf numFmtId="0" fontId="13" fillId="0" borderId="0" xfId="10" applyFont="1"/>
    <xf numFmtId="0" fontId="13" fillId="0" borderId="0" xfId="10" applyFont="1" applyAlignment="1">
      <alignment horizontal="center"/>
    </xf>
    <xf numFmtId="0" fontId="12" fillId="0" borderId="23" xfId="10" applyFont="1" applyBorder="1"/>
    <xf numFmtId="0" fontId="12" fillId="0" borderId="23" xfId="10" applyFont="1" applyBorder="1" applyAlignment="1">
      <alignment horizontal="center"/>
    </xf>
    <xf numFmtId="0" fontId="12" fillId="0" borderId="12" xfId="10" applyFont="1" applyBorder="1" applyAlignment="1">
      <alignment horizontal="center"/>
    </xf>
    <xf numFmtId="0" fontId="12" fillId="0" borderId="23" xfId="10" applyFont="1" applyFill="1" applyBorder="1" applyAlignment="1">
      <alignment horizontal="center"/>
    </xf>
    <xf numFmtId="0" fontId="13" fillId="0" borderId="1" xfId="10" applyFont="1" applyBorder="1"/>
    <xf numFmtId="0" fontId="13" fillId="0" borderId="1" xfId="10" applyFont="1" applyBorder="1" applyAlignment="1">
      <alignment horizontal="center"/>
    </xf>
    <xf numFmtId="0" fontId="13" fillId="0" borderId="18" xfId="10" applyFont="1" applyBorder="1"/>
    <xf numFmtId="0" fontId="13" fillId="0" borderId="18" xfId="10" applyFont="1" applyBorder="1" applyAlignment="1">
      <alignment horizontal="center"/>
    </xf>
    <xf numFmtId="167" fontId="5" fillId="0" borderId="0" xfId="0" applyNumberFormat="1" applyFont="1" applyFill="1" applyAlignment="1">
      <alignment horizontal="center"/>
    </xf>
    <xf numFmtId="0" fontId="15" fillId="0" borderId="1" xfId="0" applyFont="1" applyFill="1" applyBorder="1" applyAlignment="1">
      <alignment horizontal="center"/>
    </xf>
    <xf numFmtId="167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6" fillId="0" borderId="1" xfId="0" applyFont="1" applyBorder="1"/>
    <xf numFmtId="167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167" fontId="16" fillId="0" borderId="1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15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167" fontId="4" fillId="0" borderId="0" xfId="0" applyNumberFormat="1" applyFont="1" applyFill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4" fillId="0" borderId="17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167" fontId="5" fillId="0" borderId="0" xfId="0" applyNumberFormat="1" applyFont="1" applyFill="1"/>
    <xf numFmtId="167" fontId="18" fillId="0" borderId="1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5" fillId="0" borderId="11" xfId="0" applyFont="1" applyFill="1" applyBorder="1"/>
    <xf numFmtId="10" fontId="5" fillId="0" borderId="5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12" xfId="0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horizontal="right" vertical="center"/>
    </xf>
    <xf numFmtId="167" fontId="4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167" fontId="5" fillId="0" borderId="9" xfId="0" applyNumberFormat="1" applyFont="1" applyFill="1" applyBorder="1" applyAlignment="1">
      <alignment horizontal="right" vertical="center"/>
    </xf>
    <xf numFmtId="0" fontId="18" fillId="0" borderId="0" xfId="0" applyFont="1" applyFill="1"/>
    <xf numFmtId="167" fontId="1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right"/>
    </xf>
    <xf numFmtId="9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4" fillId="0" borderId="0" xfId="0" applyNumberFormat="1" applyFont="1" applyFill="1" applyAlignment="1">
      <alignment horizontal="left"/>
    </xf>
    <xf numFmtId="0" fontId="4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/>
    </xf>
    <xf numFmtId="0" fontId="13" fillId="0" borderId="0" xfId="9" applyFont="1"/>
    <xf numFmtId="0" fontId="12" fillId="0" borderId="23" xfId="9" applyFont="1" applyFill="1" applyBorder="1"/>
    <xf numFmtId="0" fontId="13" fillId="0" borderId="1" xfId="9" applyFont="1" applyFill="1" applyBorder="1"/>
    <xf numFmtId="0" fontId="12" fillId="0" borderId="23" xfId="9" applyFont="1" applyBorder="1" applyAlignment="1">
      <alignment horizontal="center"/>
    </xf>
    <xf numFmtId="0" fontId="13" fillId="0" borderId="18" xfId="9" applyFont="1" applyBorder="1"/>
    <xf numFmtId="0" fontId="13" fillId="0" borderId="27" xfId="9" applyFont="1" applyBorder="1"/>
    <xf numFmtId="0" fontId="13" fillId="0" borderId="27" xfId="9" applyFont="1" applyBorder="1" applyAlignment="1"/>
    <xf numFmtId="0" fontId="13" fillId="0" borderId="27" xfId="9" applyFont="1" applyBorder="1" applyAlignment="1">
      <alignment vertical="center"/>
    </xf>
    <xf numFmtId="0" fontId="13" fillId="0" borderId="27" xfId="9" applyFont="1" applyBorder="1" applyAlignment="1">
      <alignment wrapText="1"/>
    </xf>
    <xf numFmtId="167" fontId="12" fillId="0" borderId="23" xfId="9" applyNumberFormat="1" applyFont="1" applyBorder="1" applyAlignment="1">
      <alignment horizontal="center"/>
    </xf>
    <xf numFmtId="167" fontId="13" fillId="0" borderId="1" xfId="9" applyNumberFormat="1" applyFont="1" applyBorder="1" applyAlignment="1">
      <alignment horizontal="center" wrapText="1"/>
    </xf>
    <xf numFmtId="167" fontId="13" fillId="0" borderId="0" xfId="9" applyNumberFormat="1" applyFont="1"/>
    <xf numFmtId="0" fontId="13" fillId="0" borderId="18" xfId="9" applyFont="1" applyBorder="1" applyAlignment="1">
      <alignment horizontal="center"/>
    </xf>
    <xf numFmtId="167" fontId="13" fillId="0" borderId="1" xfId="9" applyNumberFormat="1" applyFont="1" applyBorder="1" applyAlignment="1">
      <alignment horizontal="center"/>
    </xf>
    <xf numFmtId="0" fontId="13" fillId="0" borderId="27" xfId="9" applyFont="1" applyBorder="1" applyAlignment="1">
      <alignment horizontal="center"/>
    </xf>
    <xf numFmtId="0" fontId="13" fillId="0" borderId="27" xfId="9" applyFont="1" applyBorder="1" applyAlignment="1">
      <alignment horizontal="center" wrapText="1"/>
    </xf>
    <xf numFmtId="167" fontId="13" fillId="0" borderId="18" xfId="9" applyNumberFormat="1" applyFont="1" applyBorder="1" applyAlignment="1">
      <alignment horizontal="center" wrapText="1"/>
    </xf>
    <xf numFmtId="167" fontId="13" fillId="0" borderId="27" xfId="9" applyNumberFormat="1" applyFont="1" applyBorder="1" applyAlignment="1">
      <alignment horizontal="center" wrapText="1"/>
    </xf>
    <xf numFmtId="167" fontId="13" fillId="0" borderId="6" xfId="9" applyNumberFormat="1" applyFont="1" applyBorder="1" applyAlignment="1">
      <alignment horizontal="center" wrapText="1"/>
    </xf>
    <xf numFmtId="0" fontId="13" fillId="0" borderId="15" xfId="9" applyFont="1" applyBorder="1" applyAlignment="1">
      <alignment horizontal="center"/>
    </xf>
    <xf numFmtId="167" fontId="12" fillId="0" borderId="1" xfId="9" applyNumberFormat="1" applyFont="1" applyBorder="1" applyAlignment="1">
      <alignment horizontal="center"/>
    </xf>
    <xf numFmtId="0" fontId="13" fillId="0" borderId="0" xfId="9" applyFont="1" applyAlignment="1">
      <alignment horizontal="center"/>
    </xf>
    <xf numFmtId="167" fontId="13" fillId="0" borderId="0" xfId="9" applyNumberFormat="1" applyFont="1" applyAlignment="1">
      <alignment horizontal="center"/>
    </xf>
    <xf numFmtId="0" fontId="13" fillId="0" borderId="6" xfId="9" applyFont="1" applyFill="1" applyBorder="1" applyAlignment="1">
      <alignment vertical="center"/>
    </xf>
    <xf numFmtId="0" fontId="13" fillId="0" borderId="6" xfId="9" applyFont="1" applyFill="1" applyBorder="1" applyAlignment="1">
      <alignment horizontal="left"/>
    </xf>
    <xf numFmtId="0" fontId="13" fillId="0" borderId="6" xfId="9" applyFont="1" applyFill="1" applyBorder="1" applyAlignment="1">
      <alignment horizontal="center"/>
    </xf>
    <xf numFmtId="0" fontId="13" fillId="0" borderId="1" xfId="9" applyFont="1" applyFill="1" applyBorder="1" applyAlignment="1">
      <alignment vertical="center"/>
    </xf>
    <xf numFmtId="0" fontId="13" fillId="0" borderId="1" xfId="9" applyFont="1" applyFill="1" applyBorder="1" applyAlignment="1">
      <alignment horizontal="left"/>
    </xf>
    <xf numFmtId="0" fontId="13" fillId="0" borderId="1" xfId="9" applyFont="1" applyFill="1" applyBorder="1" applyAlignment="1">
      <alignment horizontal="center"/>
    </xf>
    <xf numFmtId="0" fontId="13" fillId="0" borderId="18" xfId="9" applyFont="1" applyFill="1" applyBorder="1" applyAlignment="1">
      <alignment vertical="center"/>
    </xf>
    <xf numFmtId="0" fontId="13" fillId="0" borderId="18" xfId="9" applyFont="1" applyFill="1" applyBorder="1" applyAlignment="1">
      <alignment horizontal="left"/>
    </xf>
    <xf numFmtId="0" fontId="13" fillId="0" borderId="18" xfId="9" applyFont="1" applyFill="1" applyBorder="1" applyAlignment="1">
      <alignment horizontal="center"/>
    </xf>
    <xf numFmtId="0" fontId="12" fillId="0" borderId="11" xfId="9" applyFont="1" applyBorder="1"/>
    <xf numFmtId="0" fontId="12" fillId="0" borderId="11" xfId="9" applyFont="1" applyBorder="1" applyAlignment="1">
      <alignment horizontal="center"/>
    </xf>
    <xf numFmtId="0" fontId="12" fillId="0" borderId="1" xfId="9" applyFont="1" applyBorder="1"/>
    <xf numFmtId="0" fontId="12" fillId="0" borderId="22" xfId="9" applyFont="1" applyBorder="1"/>
    <xf numFmtId="0" fontId="13" fillId="0" borderId="1" xfId="9" applyFont="1" applyBorder="1"/>
    <xf numFmtId="0" fontId="13" fillId="0" borderId="29" xfId="9" applyFont="1" applyBorder="1"/>
    <xf numFmtId="167" fontId="12" fillId="0" borderId="5" xfId="9" applyNumberFormat="1" applyFont="1" applyBorder="1" applyAlignment="1">
      <alignment horizontal="center"/>
    </xf>
    <xf numFmtId="167" fontId="13" fillId="0" borderId="6" xfId="9" applyNumberFormat="1" applyFont="1" applyFill="1" applyBorder="1" applyAlignment="1">
      <alignment horizontal="center"/>
    </xf>
    <xf numFmtId="167" fontId="13" fillId="0" borderId="1" xfId="9" applyNumberFormat="1" applyFont="1" applyFill="1" applyBorder="1" applyAlignment="1">
      <alignment horizontal="center"/>
    </xf>
    <xf numFmtId="167" fontId="13" fillId="0" borderId="18" xfId="9" applyNumberFormat="1" applyFont="1" applyFill="1" applyBorder="1" applyAlignment="1">
      <alignment horizontal="center"/>
    </xf>
    <xf numFmtId="167" fontId="12" fillId="0" borderId="11" xfId="9" applyNumberFormat="1" applyFont="1" applyBorder="1" applyAlignment="1">
      <alignment horizontal="center"/>
    </xf>
    <xf numFmtId="0" fontId="5" fillId="0" borderId="1" xfId="10" applyFont="1" applyFill="1" applyBorder="1" applyAlignment="1">
      <alignment vertical="center"/>
    </xf>
    <xf numFmtId="0" fontId="5" fillId="0" borderId="1" xfId="10" applyFont="1" applyFill="1" applyBorder="1" applyAlignment="1">
      <alignment horizontal="left"/>
    </xf>
    <xf numFmtId="0" fontId="5" fillId="0" borderId="1" xfId="10" applyFont="1" applyFill="1" applyBorder="1" applyAlignment="1">
      <alignment horizontal="center"/>
    </xf>
    <xf numFmtId="167" fontId="5" fillId="0" borderId="1" xfId="9" applyNumberFormat="1" applyFont="1" applyFill="1" applyBorder="1" applyAlignment="1">
      <alignment horizontal="center"/>
    </xf>
    <xf numFmtId="167" fontId="12" fillId="0" borderId="1" xfId="9" applyNumberFormat="1" applyFont="1" applyBorder="1"/>
    <xf numFmtId="167" fontId="12" fillId="0" borderId="19" xfId="10" applyNumberFormat="1" applyFont="1" applyBorder="1"/>
    <xf numFmtId="167" fontId="13" fillId="0" borderId="1" xfId="10" applyNumberFormat="1" applyFont="1" applyBorder="1"/>
    <xf numFmtId="167" fontId="13" fillId="0" borderId="18" xfId="10" applyNumberFormat="1" applyFont="1" applyBorder="1"/>
    <xf numFmtId="167" fontId="12" fillId="0" borderId="11" xfId="10" applyNumberFormat="1" applyFont="1" applyBorder="1"/>
    <xf numFmtId="167" fontId="13" fillId="0" borderId="0" xfId="10" applyNumberFormat="1" applyFont="1"/>
    <xf numFmtId="0" fontId="13" fillId="0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left"/>
    </xf>
    <xf numFmtId="0" fontId="13" fillId="0" borderId="1" xfId="10" applyFont="1" applyFill="1" applyBorder="1" applyAlignment="1">
      <alignment horizontal="center"/>
    </xf>
    <xf numFmtId="167" fontId="13" fillId="0" borderId="1" xfId="10" applyNumberFormat="1" applyFont="1" applyFill="1" applyBorder="1" applyAlignment="1">
      <alignment horizontal="center"/>
    </xf>
    <xf numFmtId="0" fontId="13" fillId="0" borderId="18" xfId="10" applyFont="1" applyFill="1" applyBorder="1" applyAlignment="1">
      <alignment horizontal="left"/>
    </xf>
    <xf numFmtId="0" fontId="13" fillId="0" borderId="18" xfId="10" applyFont="1" applyFill="1" applyBorder="1" applyAlignment="1">
      <alignment horizontal="center"/>
    </xf>
    <xf numFmtId="167" fontId="13" fillId="0" borderId="18" xfId="10" applyNumberFormat="1" applyFont="1" applyFill="1" applyBorder="1" applyAlignment="1">
      <alignment horizontal="center"/>
    </xf>
    <xf numFmtId="0" fontId="12" fillId="0" borderId="11" xfId="10" applyFont="1" applyBorder="1"/>
    <xf numFmtId="0" fontId="12" fillId="0" borderId="1" xfId="10" applyFont="1" applyBorder="1"/>
    <xf numFmtId="167" fontId="12" fillId="0" borderId="1" xfId="10" applyNumberFormat="1" applyFont="1" applyBorder="1"/>
    <xf numFmtId="0" fontId="12" fillId="0" borderId="1" xfId="10" applyFont="1" applyBorder="1" applyAlignment="1">
      <alignment horizontal="center"/>
    </xf>
    <xf numFmtId="0" fontId="12" fillId="0" borderId="1" xfId="10" applyFont="1" applyFill="1" applyBorder="1" applyAlignment="1">
      <alignment horizontal="center"/>
    </xf>
    <xf numFmtId="167" fontId="12" fillId="0" borderId="1" xfId="10" applyNumberFormat="1" applyFont="1" applyBorder="1" applyAlignment="1">
      <alignment horizontal="center"/>
    </xf>
    <xf numFmtId="167" fontId="12" fillId="0" borderId="1" xfId="10" applyNumberFormat="1" applyFont="1" applyFill="1" applyBorder="1" applyAlignment="1">
      <alignment horizontal="center"/>
    </xf>
    <xf numFmtId="0" fontId="13" fillId="0" borderId="1" xfId="10" applyFont="1" applyFill="1" applyBorder="1" applyAlignment="1">
      <alignment vertical="center" wrapText="1"/>
    </xf>
    <xf numFmtId="0" fontId="13" fillId="0" borderId="1" xfId="10" applyFont="1" applyFill="1" applyBorder="1" applyAlignment="1">
      <alignment horizontal="left" vertical="center" wrapText="1"/>
    </xf>
    <xf numFmtId="167" fontId="5" fillId="0" borderId="1" xfId="10" applyNumberFormat="1" applyFont="1" applyFill="1" applyBorder="1" applyAlignment="1">
      <alignment horizontal="center"/>
    </xf>
    <xf numFmtId="0" fontId="5" fillId="0" borderId="1" xfId="10" applyFont="1" applyFill="1" applyBorder="1" applyAlignment="1">
      <alignment vertical="center" wrapText="1"/>
    </xf>
    <xf numFmtId="167" fontId="12" fillId="0" borderId="5" xfId="10" applyNumberFormat="1" applyFont="1" applyBorder="1"/>
    <xf numFmtId="1" fontId="13" fillId="0" borderId="1" xfId="10" applyNumberFormat="1" applyFont="1" applyBorder="1" applyAlignment="1">
      <alignment horizontal="center"/>
    </xf>
    <xf numFmtId="167" fontId="13" fillId="0" borderId="1" xfId="10" applyNumberFormat="1" applyFont="1" applyBorder="1" applyAlignment="1">
      <alignment horizontal="center"/>
    </xf>
    <xf numFmtId="167" fontId="13" fillId="0" borderId="18" xfId="10" applyNumberFormat="1" applyFont="1" applyBorder="1" applyAlignment="1">
      <alignment horizontal="center"/>
    </xf>
    <xf numFmtId="0" fontId="18" fillId="0" borderId="0" xfId="10" applyFont="1"/>
    <xf numFmtId="0" fontId="12" fillId="0" borderId="19" xfId="10" applyFont="1" applyBorder="1" applyAlignment="1">
      <alignment horizontal="center"/>
    </xf>
    <xf numFmtId="0" fontId="12" fillId="0" borderId="28" xfId="10" applyFont="1" applyBorder="1"/>
    <xf numFmtId="0" fontId="12" fillId="0" borderId="0" xfId="9" applyFont="1"/>
    <xf numFmtId="171" fontId="12" fillId="0" borderId="10" xfId="9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0" fontId="5" fillId="0" borderId="1" xfId="0" applyFont="1" applyBorder="1" applyAlignment="1"/>
    <xf numFmtId="0" fontId="5" fillId="0" borderId="1" xfId="0" applyFont="1" applyFill="1" applyBorder="1" applyAlignment="1"/>
    <xf numFmtId="0" fontId="12" fillId="0" borderId="25" xfId="9" applyFont="1" applyFill="1" applyBorder="1"/>
    <xf numFmtId="0" fontId="4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167" fontId="5" fillId="0" borderId="1" xfId="0" applyNumberFormat="1" applyFont="1" applyBorder="1" applyAlignment="1">
      <alignment horizontal="right" wrapText="1"/>
    </xf>
    <xf numFmtId="0" fontId="13" fillId="0" borderId="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7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12" fillId="0" borderId="19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2" fillId="0" borderId="10" xfId="1" applyFont="1" applyFill="1" applyBorder="1" applyAlignment="1">
      <alignment horizontal="left"/>
    </xf>
    <xf numFmtId="167" fontId="12" fillId="0" borderId="1" xfId="1" applyNumberFormat="1" applyFont="1" applyFill="1" applyBorder="1"/>
    <xf numFmtId="167" fontId="13" fillId="0" borderId="1" xfId="1" applyNumberFormat="1" applyFont="1" applyFill="1" applyBorder="1"/>
    <xf numFmtId="0" fontId="12" fillId="0" borderId="1" xfId="0" applyFont="1" applyFill="1" applyBorder="1" applyAlignment="1">
      <alignment vertical="center"/>
    </xf>
    <xf numFmtId="167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/>
    </xf>
    <xf numFmtId="167" fontId="13" fillId="0" borderId="1" xfId="0" applyNumberFormat="1" applyFont="1" applyFill="1" applyBorder="1" applyAlignment="1">
      <alignment horizontal="center"/>
    </xf>
    <xf numFmtId="171" fontId="13" fillId="0" borderId="0" xfId="9" applyNumberFormat="1" applyFont="1" applyAlignment="1">
      <alignment horizontal="center"/>
    </xf>
    <xf numFmtId="0" fontId="12" fillId="0" borderId="1" xfId="9" applyFont="1" applyBorder="1" applyAlignment="1">
      <alignment horizontal="center"/>
    </xf>
    <xf numFmtId="171" fontId="13" fillId="0" borderId="16" xfId="9" applyNumberFormat="1" applyFont="1" applyFill="1" applyBorder="1" applyAlignment="1">
      <alignment horizontal="center"/>
    </xf>
    <xf numFmtId="10" fontId="17" fillId="0" borderId="1" xfId="6" applyNumberFormat="1" applyFont="1" applyBorder="1" applyAlignment="1">
      <alignment horizontal="center"/>
    </xf>
    <xf numFmtId="10" fontId="13" fillId="0" borderId="1" xfId="6" applyNumberFormat="1" applyFont="1" applyBorder="1" applyAlignment="1">
      <alignment horizontal="center"/>
    </xf>
    <xf numFmtId="171" fontId="12" fillId="0" borderId="1" xfId="9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6" xfId="0" applyFont="1" applyBorder="1"/>
    <xf numFmtId="167" fontId="4" fillId="0" borderId="1" xfId="0" applyNumberFormat="1" applyFont="1" applyBorder="1" applyAlignment="1">
      <alignment horizontal="right"/>
    </xf>
    <xf numFmtId="172" fontId="5" fillId="0" borderId="1" xfId="0" applyNumberFormat="1" applyFont="1" applyFill="1" applyBorder="1"/>
    <xf numFmtId="172" fontId="4" fillId="0" borderId="1" xfId="0" applyNumberFormat="1" applyFont="1" applyFill="1" applyBorder="1"/>
    <xf numFmtId="172" fontId="12" fillId="0" borderId="0" xfId="10" applyNumberFormat="1" applyFont="1"/>
    <xf numFmtId="167" fontId="18" fillId="0" borderId="0" xfId="10" applyNumberFormat="1" applyFont="1" applyAlignment="1">
      <alignment horizontal="center"/>
    </xf>
    <xf numFmtId="0" fontId="4" fillId="0" borderId="0" xfId="10" applyFont="1" applyAlignment="1">
      <alignment horizontal="center"/>
    </xf>
    <xf numFmtId="172" fontId="4" fillId="0" borderId="1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/>
    <xf numFmtId="172" fontId="4" fillId="0" borderId="1" xfId="0" applyNumberFormat="1" applyFont="1" applyFill="1" applyBorder="1" applyAlignme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67" fontId="5" fillId="0" borderId="0" xfId="5" applyNumberFormat="1" applyFont="1" applyFill="1" applyBorder="1" applyAlignment="1">
      <alignment horizontal="center"/>
    </xf>
    <xf numFmtId="164" fontId="5" fillId="0" borderId="0" xfId="5" applyFont="1" applyFill="1" applyBorder="1"/>
    <xf numFmtId="167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10" fontId="4" fillId="0" borderId="1" xfId="0" applyNumberFormat="1" applyFont="1" applyFill="1" applyBorder="1"/>
    <xf numFmtId="164" fontId="5" fillId="0" borderId="1" xfId="5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4" fontId="5" fillId="0" borderId="1" xfId="5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8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8" fontId="4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2" fillId="0" borderId="1" xfId="0" applyFont="1" applyFill="1" applyBorder="1" applyAlignment="1"/>
    <xf numFmtId="167" fontId="12" fillId="0" borderId="1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/>
    <xf numFmtId="167" fontId="13" fillId="0" borderId="0" xfId="0" applyNumberFormat="1" applyFont="1" applyFill="1" applyBorder="1" applyAlignment="1">
      <alignment horizontal="center"/>
    </xf>
    <xf numFmtId="167" fontId="4" fillId="0" borderId="1" xfId="0" applyNumberFormat="1" applyFont="1" applyFill="1" applyBorder="1"/>
    <xf numFmtId="16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9" fontId="0" fillId="0" borderId="0" xfId="0" applyNumberFormat="1"/>
    <xf numFmtId="169" fontId="5" fillId="0" borderId="1" xfId="0" applyNumberFormat="1" applyFont="1" applyBorder="1" applyAlignment="1">
      <alignment horizontal="center"/>
    </xf>
    <xf numFmtId="169" fontId="5" fillId="0" borderId="1" xfId="0" applyNumberFormat="1" applyFont="1" applyBorder="1"/>
    <xf numFmtId="169" fontId="5" fillId="2" borderId="1" xfId="0" applyNumberFormat="1" applyFont="1" applyFill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9" fontId="5" fillId="0" borderId="1" xfId="5" applyNumberFormat="1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9" fontId="4" fillId="0" borderId="1" xfId="0" applyNumberFormat="1" applyFont="1" applyFill="1" applyBorder="1"/>
    <xf numFmtId="173" fontId="5" fillId="0" borderId="1" xfId="5" applyNumberFormat="1" applyFont="1" applyFill="1" applyBorder="1" applyAlignment="1">
      <alignment horizontal="center"/>
    </xf>
    <xf numFmtId="173" fontId="4" fillId="0" borderId="1" xfId="0" applyNumberFormat="1" applyFont="1" applyFill="1" applyBorder="1" applyAlignment="1">
      <alignment horizontal="center"/>
    </xf>
    <xf numFmtId="9" fontId="5" fillId="0" borderId="1" xfId="0" applyNumberFormat="1" applyFont="1" applyBorder="1"/>
    <xf numFmtId="170" fontId="5" fillId="0" borderId="1" xfId="0" applyNumberFormat="1" applyFont="1" applyBorder="1"/>
    <xf numFmtId="0" fontId="6" fillId="2" borderId="1" xfId="0" applyFont="1" applyFill="1" applyBorder="1"/>
    <xf numFmtId="0" fontId="6" fillId="2" borderId="0" xfId="0" applyFont="1" applyFill="1" applyBorder="1" applyAlignment="1"/>
    <xf numFmtId="0" fontId="7" fillId="0" borderId="0" xfId="0" applyFont="1" applyBorder="1"/>
    <xf numFmtId="168" fontId="5" fillId="0" borderId="1" xfId="0" applyNumberFormat="1" applyFont="1" applyBorder="1"/>
    <xf numFmtId="0" fontId="12" fillId="0" borderId="1" xfId="10" applyFont="1" applyBorder="1" applyAlignment="1">
      <alignment horizontal="center"/>
    </xf>
    <xf numFmtId="0" fontId="13" fillId="0" borderId="1" xfId="10" applyFont="1" applyFill="1" applyBorder="1" applyAlignment="1">
      <alignment vertical="center"/>
    </xf>
    <xf numFmtId="4" fontId="5" fillId="0" borderId="0" xfId="0" applyNumberFormat="1" applyFont="1" applyFill="1" applyAlignment="1"/>
    <xf numFmtId="4" fontId="4" fillId="0" borderId="0" xfId="0" applyNumberFormat="1" applyFont="1" applyFill="1"/>
    <xf numFmtId="10" fontId="4" fillId="0" borderId="0" xfId="6" applyNumberFormat="1" applyFont="1" applyFill="1" applyAlignment="1">
      <alignment horizontal="center"/>
    </xf>
    <xf numFmtId="167" fontId="12" fillId="0" borderId="31" xfId="1" applyNumberFormat="1" applyFont="1" applyFill="1" applyBorder="1"/>
    <xf numFmtId="4" fontId="18" fillId="0" borderId="0" xfId="0" applyNumberFormat="1" applyFont="1" applyFill="1"/>
    <xf numFmtId="167" fontId="12" fillId="0" borderId="0" xfId="1" applyNumberFormat="1" applyFont="1" applyFill="1"/>
    <xf numFmtId="167" fontId="18" fillId="0" borderId="0" xfId="0" applyNumberFormat="1" applyFont="1" applyFill="1" applyBorder="1"/>
    <xf numFmtId="167" fontId="4" fillId="0" borderId="1" xfId="0" applyNumberFormat="1" applyFont="1" applyFill="1" applyBorder="1" applyAlignment="1">
      <alignment horizontal="left"/>
    </xf>
    <xf numFmtId="171" fontId="18" fillId="0" borderId="1" xfId="10" applyNumberFormat="1" applyFont="1" applyBorder="1" applyAlignment="1">
      <alignment horizontal="center"/>
    </xf>
    <xf numFmtId="9" fontId="13" fillId="0" borderId="1" xfId="6" applyFont="1" applyFill="1" applyBorder="1" applyAlignment="1">
      <alignment horizontal="center"/>
    </xf>
    <xf numFmtId="9" fontId="5" fillId="0" borderId="1" xfId="6" applyFont="1" applyFill="1" applyBorder="1" applyAlignment="1">
      <alignment horizontal="center"/>
    </xf>
    <xf numFmtId="9" fontId="4" fillId="0" borderId="1" xfId="6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8" fontId="5" fillId="2" borderId="24" xfId="0" applyNumberFormat="1" applyFont="1" applyFill="1" applyBorder="1" applyAlignment="1">
      <alignment horizontal="center" vertical="center" wrapText="1"/>
    </xf>
    <xf numFmtId="168" fontId="5" fillId="2" borderId="18" xfId="0" applyNumberFormat="1" applyFont="1" applyFill="1" applyBorder="1" applyAlignment="1">
      <alignment horizontal="center" vertical="center" wrapText="1"/>
    </xf>
    <xf numFmtId="9" fontId="5" fillId="0" borderId="1" xfId="6" applyNumberFormat="1" applyFont="1" applyFill="1" applyBorder="1" applyAlignment="1">
      <alignment horizontal="center"/>
    </xf>
    <xf numFmtId="9" fontId="4" fillId="0" borderId="1" xfId="6" applyNumberFormat="1" applyFont="1" applyFill="1" applyBorder="1" applyAlignment="1">
      <alignment horizontal="center"/>
    </xf>
    <xf numFmtId="174" fontId="7" fillId="2" borderId="1" xfId="0" applyNumberFormat="1" applyFont="1" applyFill="1" applyBorder="1" applyAlignment="1">
      <alignment horizontal="center"/>
    </xf>
    <xf numFmtId="169" fontId="13" fillId="0" borderId="1" xfId="10" applyNumberFormat="1" applyFont="1" applyBorder="1" applyAlignment="1">
      <alignment horizontal="left"/>
    </xf>
    <xf numFmtId="169" fontId="12" fillId="0" borderId="1" xfId="10" applyNumberFormat="1" applyFont="1" applyBorder="1" applyAlignment="1">
      <alignment horizontal="left"/>
    </xf>
    <xf numFmtId="0" fontId="18" fillId="0" borderId="0" xfId="10" applyFont="1" applyBorder="1"/>
    <xf numFmtId="167" fontId="12" fillId="0" borderId="0" xfId="10" applyNumberFormat="1" applyFont="1"/>
    <xf numFmtId="174" fontId="19" fillId="2" borderId="1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23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vertical="center"/>
    </xf>
    <xf numFmtId="0" fontId="20" fillId="0" borderId="1" xfId="10" applyFont="1" applyBorder="1" applyAlignment="1">
      <alignment horizontal="center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Border="1"/>
    <xf numFmtId="175" fontId="4" fillId="0" borderId="0" xfId="5" applyNumberFormat="1" applyFont="1" applyFill="1" applyAlignment="1">
      <alignment horizontal="center"/>
    </xf>
    <xf numFmtId="175" fontId="4" fillId="0" borderId="18" xfId="5" applyNumberFormat="1" applyFont="1" applyFill="1" applyBorder="1" applyAlignment="1">
      <alignment horizontal="center"/>
    </xf>
    <xf numFmtId="175" fontId="5" fillId="0" borderId="1" xfId="5" applyNumberFormat="1" applyFont="1" applyFill="1" applyBorder="1" applyAlignment="1">
      <alignment horizontal="center"/>
    </xf>
    <xf numFmtId="175" fontId="4" fillId="0" borderId="1" xfId="5" applyNumberFormat="1" applyFont="1" applyFill="1" applyBorder="1" applyAlignment="1">
      <alignment horizontal="center"/>
    </xf>
    <xf numFmtId="175" fontId="5" fillId="0" borderId="0" xfId="5" applyNumberFormat="1" applyFont="1" applyFill="1" applyAlignment="1">
      <alignment horizontal="center"/>
    </xf>
    <xf numFmtId="175" fontId="5" fillId="0" borderId="0" xfId="5" applyNumberFormat="1" applyFont="1" applyFill="1"/>
    <xf numFmtId="167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8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13" fillId="0" borderId="27" xfId="9" applyFont="1" applyBorder="1" applyAlignment="1">
      <alignment horizontal="center" wrapText="1"/>
    </xf>
    <xf numFmtId="0" fontId="12" fillId="0" borderId="28" xfId="9" applyFont="1" applyBorder="1" applyAlignment="1">
      <alignment horizontal="center"/>
    </xf>
    <xf numFmtId="0" fontId="12" fillId="0" borderId="5" xfId="9" applyFont="1" applyBorder="1" applyAlignment="1">
      <alignment horizontal="center"/>
    </xf>
    <xf numFmtId="0" fontId="12" fillId="0" borderId="28" xfId="9" applyFont="1" applyFill="1" applyBorder="1" applyAlignment="1">
      <alignment horizontal="center" vertical="center"/>
    </xf>
    <xf numFmtId="0" fontId="12" fillId="0" borderId="30" xfId="9" applyFont="1" applyFill="1" applyBorder="1" applyAlignment="1">
      <alignment horizontal="center" vertical="center"/>
    </xf>
    <xf numFmtId="0" fontId="12" fillId="0" borderId="5" xfId="9" applyFont="1" applyFill="1" applyBorder="1" applyAlignment="1">
      <alignment horizontal="center" vertical="center"/>
    </xf>
    <xf numFmtId="0" fontId="12" fillId="0" borderId="1" xfId="9" applyFont="1" applyBorder="1" applyAlignment="1">
      <alignment horizontal="center"/>
    </xf>
    <xf numFmtId="0" fontId="12" fillId="0" borderId="28" xfId="10" applyFont="1" applyFill="1" applyBorder="1" applyAlignment="1">
      <alignment horizontal="center"/>
    </xf>
    <xf numFmtId="0" fontId="12" fillId="0" borderId="30" xfId="10" applyFont="1" applyFill="1" applyBorder="1" applyAlignment="1">
      <alignment horizontal="center"/>
    </xf>
    <xf numFmtId="0" fontId="12" fillId="0" borderId="5" xfId="10" applyFont="1" applyFill="1" applyBorder="1" applyAlignment="1">
      <alignment horizontal="center"/>
    </xf>
    <xf numFmtId="0" fontId="12" fillId="0" borderId="1" xfId="10" applyFont="1" applyBorder="1" applyAlignment="1">
      <alignment horizontal="center"/>
    </xf>
    <xf numFmtId="0" fontId="12" fillId="0" borderId="1" xfId="1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28" xfId="10" applyFont="1" applyBorder="1" applyAlignment="1">
      <alignment horizontal="center"/>
    </xf>
    <xf numFmtId="0" fontId="12" fillId="0" borderId="30" xfId="10" applyFont="1" applyBorder="1" applyAlignment="1">
      <alignment horizontal="center"/>
    </xf>
    <xf numFmtId="0" fontId="12" fillId="0" borderId="5" xfId="10" applyFont="1" applyBorder="1" applyAlignment="1">
      <alignment horizontal="center"/>
    </xf>
    <xf numFmtId="0" fontId="13" fillId="0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left" vertical="center"/>
    </xf>
    <xf numFmtId="0" fontId="13" fillId="0" borderId="18" xfId="10" applyFont="1" applyFill="1" applyBorder="1" applyAlignment="1">
      <alignment horizontal="left" vertical="center"/>
    </xf>
    <xf numFmtId="0" fontId="12" fillId="0" borderId="28" xfId="10" applyFont="1" applyFill="1" applyBorder="1" applyAlignment="1">
      <alignment horizontal="center" vertical="center"/>
    </xf>
    <xf numFmtId="0" fontId="12" fillId="0" borderId="30" xfId="10" applyFont="1" applyFill="1" applyBorder="1" applyAlignment="1">
      <alignment horizontal="center" vertical="center"/>
    </xf>
    <xf numFmtId="0" fontId="12" fillId="0" borderId="5" xfId="1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10" applyFont="1" applyAlignment="1">
      <alignment horizontal="left"/>
    </xf>
    <xf numFmtId="0" fontId="12" fillId="0" borderId="0" xfId="10" applyFont="1" applyAlignment="1">
      <alignment horizontal="center"/>
    </xf>
    <xf numFmtId="167" fontId="4" fillId="0" borderId="18" xfId="0" applyNumberFormat="1" applyFont="1" applyFill="1" applyBorder="1" applyAlignment="1">
      <alignment horizontal="center" vertical="center"/>
    </xf>
    <xf numFmtId="167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5" fontId="4" fillId="0" borderId="0" xfId="5" applyNumberFormat="1" applyFont="1" applyFill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</cellXfs>
  <cellStyles count="12">
    <cellStyle name="Comma" xfId="5" builtinId="3"/>
    <cellStyle name="Currency 2" xfId="11"/>
    <cellStyle name="Normal" xfId="0" builtinId="0"/>
    <cellStyle name="Normal 2" xfId="1"/>
    <cellStyle name="Normal 2 2" xfId="10"/>
    <cellStyle name="Normal 23" xfId="7"/>
    <cellStyle name="Normal 24" xfId="8"/>
    <cellStyle name="Normal 3" xfId="2"/>
    <cellStyle name="Normal 4" xfId="4"/>
    <cellStyle name="Normal 5" xfId="9"/>
    <cellStyle name="Percent" xfId="6" builtinId="5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style val="15"/>
  <c:chart>
    <c:title>
      <c:tx>
        <c:rich>
          <a:bodyPr/>
          <a:lstStyle/>
          <a:p>
            <a:pPr>
              <a:defRPr lang="es-ES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dk1"/>
                </a:solidFill>
                <a:latin typeface="+mn-lt"/>
                <a:ea typeface="+mn-ea"/>
                <a:cs typeface="+mn-cs"/>
              </a:rPr>
              <a:t>VAN VS ∆ PRECIO DE VENTA</a:t>
            </a:r>
          </a:p>
        </c:rich>
      </c:tx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plotArea>
      <c:layout/>
      <c:lineChart>
        <c:grouping val="standard"/>
        <c:ser>
          <c:idx val="0"/>
          <c:order val="0"/>
          <c:tx>
            <c:strRef>
              <c:f>SENSIBILIDAD!$A$9</c:f>
              <c:strCache>
                <c:ptCount val="1"/>
                <c:pt idx="0">
                  <c:v>VAN</c:v>
                </c:pt>
              </c:strCache>
            </c:strRef>
          </c:tx>
          <c:cat>
            <c:numRef>
              <c:f>SENSIBILIDAD!$B$8:$F$8</c:f>
              <c:numCache>
                <c:formatCode>0%</c:formatCode>
                <c:ptCount val="5"/>
                <c:pt idx="0">
                  <c:v>-0.1</c:v>
                </c:pt>
                <c:pt idx="1">
                  <c:v>-0.05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</c:numCache>
            </c:numRef>
          </c:cat>
          <c:val>
            <c:numRef>
              <c:f>SENSIBILIDAD!$B$9:$F$9</c:f>
              <c:numCache>
                <c:formatCode>"$"#,##0</c:formatCode>
                <c:ptCount val="5"/>
                <c:pt idx="0">
                  <c:v>-27682.089414257454</c:v>
                </c:pt>
                <c:pt idx="1">
                  <c:v>-8690.5341797434594</c:v>
                </c:pt>
                <c:pt idx="2">
                  <c:v>10301.021054770528</c:v>
                </c:pt>
                <c:pt idx="3">
                  <c:v>29292.576289284516</c:v>
                </c:pt>
                <c:pt idx="4">
                  <c:v>48284.13152379854</c:v>
                </c:pt>
              </c:numCache>
            </c:numRef>
          </c:val>
        </c:ser>
        <c:marker val="1"/>
        <c:axId val="167398784"/>
        <c:axId val="167437440"/>
      </c:lineChart>
      <c:catAx>
        <c:axId val="167398784"/>
        <c:scaling>
          <c:orientation val="minMax"/>
        </c:scaling>
        <c:axPos val="b"/>
        <c:numFmt formatCode="0%" sourceLinked="1"/>
        <c:tickLblPos val="nextTo"/>
        <c:spPr>
          <a:noFill/>
          <a:ln w="9525" cap="flat" cmpd="sng" algn="ctr">
            <a:solidFill>
              <a:schemeClr val="accent5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 lang="es-ES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67437440"/>
        <c:crosses val="autoZero"/>
        <c:auto val="1"/>
        <c:lblAlgn val="ctr"/>
        <c:lblOffset val="100"/>
      </c:catAx>
      <c:valAx>
        <c:axId val="167437440"/>
        <c:scaling>
          <c:orientation val="minMax"/>
        </c:scaling>
        <c:axPos val="l"/>
        <c:majorGridlines/>
        <c:numFmt formatCode="&quot;$&quot;#,##0" sourceLinked="1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167398784"/>
        <c:crosses val="autoZero"/>
        <c:crossBetween val="between"/>
      </c:valAx>
    </c:plotArea>
    <c:legend>
      <c:legendPos val="r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>
            <a:defRPr lang="es-E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</c:chart>
  <c:spPr>
    <a:solidFill>
      <a:schemeClr val="accent5"/>
    </a:solidFill>
    <a:ln w="25400" cap="flat" cmpd="sng" algn="ctr">
      <a:solidFill>
        <a:schemeClr val="accent5">
          <a:shade val="50000"/>
        </a:schemeClr>
      </a:solidFill>
      <a:prstDash val="solid"/>
    </a:ln>
    <a:effectLst>
      <a:glow rad="63500">
        <a:schemeClr val="accent5">
          <a:satMod val="175000"/>
          <a:alpha val="40000"/>
        </a:schemeClr>
      </a:glow>
    </a:effectLst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s-EC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style val="4"/>
  <c:chart>
    <c:title>
      <c:tx>
        <c:rich>
          <a:bodyPr/>
          <a:lstStyle/>
          <a:p>
            <a:pPr algn="ctr" rtl="0">
              <a:defRPr lang="es-ES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dk1"/>
                </a:solidFill>
                <a:latin typeface="+mn-lt"/>
                <a:ea typeface="+mn-ea"/>
                <a:cs typeface="+mn-cs"/>
              </a:rPr>
              <a:t>VAN VS ∆ COSTO VENTAS</a:t>
            </a:r>
          </a:p>
        </c:rich>
      </c:tx>
      <c:spPr>
        <a:gradFill rotWithShape="1">
          <a:gsLst>
            <a:gs pos="0">
              <a:schemeClr val="accent2">
                <a:tint val="50000"/>
                <a:satMod val="300000"/>
              </a:schemeClr>
            </a:gs>
            <a:gs pos="35000">
              <a:schemeClr val="accent2">
                <a:tint val="37000"/>
                <a:satMod val="300000"/>
              </a:schemeClr>
            </a:gs>
            <a:gs pos="100000">
              <a:schemeClr val="accent2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2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plotArea>
      <c:layout/>
      <c:lineChart>
        <c:grouping val="standard"/>
        <c:ser>
          <c:idx val="0"/>
          <c:order val="0"/>
          <c:tx>
            <c:strRef>
              <c:f>SENSIBILIDAD!$A$29</c:f>
              <c:strCache>
                <c:ptCount val="1"/>
                <c:pt idx="0">
                  <c:v>VAN</c:v>
                </c:pt>
              </c:strCache>
            </c:strRef>
          </c:tx>
          <c:cat>
            <c:numRef>
              <c:f>SENSIBILIDAD!$B$28:$F$28</c:f>
              <c:numCache>
                <c:formatCode>0%</c:formatCode>
                <c:ptCount val="5"/>
                <c:pt idx="0">
                  <c:v>-0.05</c:v>
                </c:pt>
                <c:pt idx="1">
                  <c:v>0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</c:numCache>
            </c:numRef>
          </c:cat>
          <c:val>
            <c:numRef>
              <c:f>SENSIBILIDAD!$B$29:$F$29</c:f>
              <c:numCache>
                <c:formatCode>"$"#,##0</c:formatCode>
                <c:ptCount val="5"/>
                <c:pt idx="0" formatCode="&quot;$&quot;#,##0.00">
                  <c:v>21115.657398047981</c:v>
                </c:pt>
                <c:pt idx="1">
                  <c:v>10301.021054770528</c:v>
                </c:pt>
                <c:pt idx="2" formatCode="&quot;$&quot;#,##0.00">
                  <c:v>-513.61528850691684</c:v>
                </c:pt>
                <c:pt idx="3" formatCode="&quot;$&quot;#,##0.00">
                  <c:v>-11328.251631784362</c:v>
                </c:pt>
                <c:pt idx="4" formatCode="&quot;$&quot;#,##0.00">
                  <c:v>-22142.887975061807</c:v>
                </c:pt>
              </c:numCache>
            </c:numRef>
          </c:val>
        </c:ser>
        <c:marker val="1"/>
        <c:axId val="168220160"/>
        <c:axId val="168221696"/>
      </c:lineChart>
      <c:catAx>
        <c:axId val="168220160"/>
        <c:scaling>
          <c:orientation val="minMax"/>
        </c:scaling>
        <c:axPos val="b"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168221696"/>
        <c:crosses val="autoZero"/>
        <c:auto val="1"/>
        <c:lblAlgn val="ctr"/>
        <c:lblOffset val="100"/>
      </c:catAx>
      <c:valAx>
        <c:axId val="168221696"/>
        <c:scaling>
          <c:orientation val="minMax"/>
        </c:scaling>
        <c:axPos val="l"/>
        <c:majorGridlines/>
        <c:title>
          <c:txPr>
            <a:bodyPr/>
            <a:lstStyle/>
            <a:p>
              <a:pPr>
                <a:defRPr lang="es-ES"/>
              </a:pPr>
              <a:endParaRPr lang="es-EC"/>
            </a:p>
          </c:txPr>
        </c:title>
        <c:numFmt formatCode="&quot;$&quot;#,##0.00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168220160"/>
        <c:crosses val="autoZero"/>
        <c:crossBetween val="between"/>
      </c:valAx>
    </c:plotArea>
    <c:legend>
      <c:legendPos val="r"/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 lang="es-E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</c:chart>
  <c:spPr>
    <a:gradFill rotWithShape="1">
      <a:gsLst>
        <a:gs pos="0">
          <a:schemeClr val="accent2">
            <a:tint val="50000"/>
            <a:satMod val="300000"/>
          </a:schemeClr>
        </a:gs>
        <a:gs pos="35000">
          <a:schemeClr val="accent2">
            <a:tint val="37000"/>
            <a:satMod val="300000"/>
          </a:schemeClr>
        </a:gs>
        <a:gs pos="100000">
          <a:schemeClr val="accent2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2">
          <a:shade val="95000"/>
          <a:satMod val="105000"/>
        </a:schemeClr>
      </a:solidFill>
      <a:prstDash val="solid"/>
    </a:ln>
    <a:effectLst>
      <a:glow rad="63500">
        <a:schemeClr val="accent2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C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style val="13"/>
  <c:chart>
    <c:title>
      <c:tx>
        <c:rich>
          <a:bodyPr/>
          <a:lstStyle/>
          <a:p>
            <a:pPr>
              <a:defRPr lang="es-ES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dk1"/>
                </a:solidFill>
                <a:latin typeface="+mn-lt"/>
                <a:ea typeface="+mn-ea"/>
                <a:cs typeface="+mn-cs"/>
              </a:rPr>
              <a:t>VAN </a:t>
            </a:r>
            <a:r>
              <a:rPr lang="en-US" sz="1800" b="1" i="0" u="none" strike="noStrike" baseline="0"/>
              <a:t>∆ TMAR</a:t>
            </a:r>
            <a:endParaRPr lang="en-US">
              <a:solidFill>
                <a:schemeClr val="dk1"/>
              </a:solidFill>
              <a:latin typeface="+mn-lt"/>
              <a:ea typeface="+mn-ea"/>
              <a:cs typeface="+mn-cs"/>
            </a:endParaRPr>
          </a:p>
        </c:rich>
      </c:t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plotArea>
      <c:layout/>
      <c:lineChart>
        <c:grouping val="standard"/>
        <c:ser>
          <c:idx val="0"/>
          <c:order val="0"/>
          <c:tx>
            <c:strRef>
              <c:f>SENSIBILIDAD!$A$46</c:f>
              <c:strCache>
                <c:ptCount val="1"/>
                <c:pt idx="0">
                  <c:v>VAN</c:v>
                </c:pt>
              </c:strCache>
            </c:strRef>
          </c:tx>
          <c:cat>
            <c:numRef>
              <c:f>SENSIBILIDAD!$B$45:$E$45</c:f>
              <c:numCache>
                <c:formatCode>0%</c:formatCode>
                <c:ptCount val="4"/>
                <c:pt idx="0">
                  <c:v>-0.1</c:v>
                </c:pt>
                <c:pt idx="1">
                  <c:v>0</c:v>
                </c:pt>
                <c:pt idx="2">
                  <c:v>0.25</c:v>
                </c:pt>
                <c:pt idx="3">
                  <c:v>0.3</c:v>
                </c:pt>
              </c:numCache>
            </c:numRef>
          </c:cat>
          <c:val>
            <c:numRef>
              <c:f>SENSIBILIDAD!$B$46:$E$46</c:f>
              <c:numCache>
                <c:formatCode>"$"#,##0</c:formatCode>
                <c:ptCount val="4"/>
                <c:pt idx="0" formatCode="&quot;$&quot;#,##0.00">
                  <c:v>12026.249504670734</c:v>
                </c:pt>
                <c:pt idx="1">
                  <c:v>10301.021054770528</c:v>
                </c:pt>
                <c:pt idx="2" formatCode="&quot;$&quot;#,##0.00">
                  <c:v>-16134.382659123043</c:v>
                </c:pt>
                <c:pt idx="3" formatCode="&quot;$&quot;#,##0.00">
                  <c:v>-17867.047773299018</c:v>
                </c:pt>
              </c:numCache>
            </c:numRef>
          </c:val>
        </c:ser>
        <c:marker val="1"/>
        <c:axId val="168250368"/>
        <c:axId val="168268544"/>
      </c:lineChart>
      <c:catAx>
        <c:axId val="168250368"/>
        <c:scaling>
          <c:orientation val="minMax"/>
        </c:scaling>
        <c:axPos val="b"/>
        <c:numFmt formatCode="0%" sourceLinked="1"/>
        <c:tickLblPos val="nextTo"/>
        <c:spPr>
          <a:noFill/>
          <a:ln w="9525" cap="flat" cmpd="sng" algn="ctr">
            <a:solidFill>
              <a:schemeClr val="accent3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 lang="es-ES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68268544"/>
        <c:crosses val="autoZero"/>
        <c:auto val="1"/>
        <c:lblAlgn val="ctr"/>
        <c:lblOffset val="100"/>
      </c:catAx>
      <c:valAx>
        <c:axId val="168268544"/>
        <c:scaling>
          <c:orientation val="minMax"/>
        </c:scaling>
        <c:axPos val="l"/>
        <c:majorGridlines/>
        <c:numFmt formatCode="&quot;$&quot;#,##0.00" sourceLinked="1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168250368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</c:plotArea>
    <c:legend>
      <c:legendPos val="r"/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  <c:txPr>
        <a:bodyPr/>
        <a:lstStyle/>
        <a:p>
          <a:pPr>
            <a:defRPr lang="es-E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</c:chart>
  <c:spPr>
    <a:solidFill>
      <a:schemeClr val="accent3"/>
    </a:solidFill>
    <a:ln w="38100" cap="flat" cmpd="sng" algn="ctr">
      <a:solidFill>
        <a:schemeClr val="lt1"/>
      </a:solidFill>
      <a:prstDash val="solid"/>
    </a:ln>
    <a:effectLst>
      <a:glow rad="63500">
        <a:schemeClr val="accent3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s-EC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352550"/>
          <a:ext cx="2266950" cy="3143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0</xdr:row>
      <xdr:rowOff>123825</xdr:rowOff>
    </xdr:from>
    <xdr:to>
      <xdr:col>14</xdr:col>
      <xdr:colOff>28575</xdr:colOff>
      <xdr:row>17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361950</xdr:colOff>
      <xdr:row>19</xdr:row>
      <xdr:rowOff>123825</xdr:rowOff>
    </xdr:from>
    <xdr:to>
      <xdr:col>14</xdr:col>
      <xdr:colOff>57150</xdr:colOff>
      <xdr:row>36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419100</xdr:colOff>
      <xdr:row>38</xdr:row>
      <xdr:rowOff>47625</xdr:rowOff>
    </xdr:from>
    <xdr:to>
      <xdr:col>14</xdr:col>
      <xdr:colOff>114300</xdr:colOff>
      <xdr:row>55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UDIOFINANCIER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V.P"/>
      <sheetName val="Costo"/>
      <sheetName val="VENTAS-PROYECTADAS"/>
      <sheetName val="COSTO-VTA"/>
      <sheetName val="Maquinaria y Equipo"/>
      <sheetName val="Menaje"/>
      <sheetName val="Equipo de Oficina"/>
      <sheetName val="Materiales de Oficina"/>
      <sheetName val="Equipos de Computo"/>
      <sheetName val="Muebles y Enseres"/>
      <sheetName val="Gastos de Instalación"/>
      <sheetName val="Gastos de Publicidad"/>
      <sheetName val="Gastos Legales"/>
      <sheetName val="GASTOS"/>
      <sheetName val="DEPRE"/>
      <sheetName val="PRESTAMO"/>
      <sheetName val="Inversión Inicial"/>
      <sheetName val="capital-trabajo"/>
      <sheetName val="BENEFICIOS SOCIALES"/>
      <sheetName val="P&amp;G"/>
      <sheetName val="P&amp;G (2)"/>
      <sheetName val="FC"/>
      <sheetName val="SENSIBILIDAD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8">
          <cell r="B18">
            <v>1616.82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47"/>
  <sheetViews>
    <sheetView zoomScale="90" zoomScaleNormal="90" workbookViewId="0">
      <pane ySplit="1" topLeftCell="A29" activePane="bottomLeft" state="frozen"/>
      <selection pane="bottomLeft" activeCell="B47" sqref="B47"/>
    </sheetView>
  </sheetViews>
  <sheetFormatPr defaultColWidth="9.140625" defaultRowHeight="12.75"/>
  <cols>
    <col min="1" max="1" width="29" style="6" bestFit="1" customWidth="1"/>
    <col min="2" max="2" width="8.140625" style="42" bestFit="1" customWidth="1"/>
    <col min="3" max="3" width="13.42578125" style="6" customWidth="1"/>
    <col min="4" max="4" width="44" style="51" bestFit="1" customWidth="1"/>
    <col min="5" max="5" width="31.28515625" style="42" bestFit="1" customWidth="1"/>
    <col min="6" max="6" width="18.5703125" style="6" bestFit="1" customWidth="1"/>
    <col min="7" max="7" width="44" style="6" bestFit="1" customWidth="1"/>
    <col min="8" max="8" width="31" style="42" bestFit="1" customWidth="1"/>
    <col min="9" max="9" width="20.42578125" style="6" customWidth="1"/>
    <col min="10" max="10" width="45" style="6" customWidth="1"/>
    <col min="11" max="11" width="32.42578125" style="6" customWidth="1"/>
    <col min="12" max="12" width="9.140625" style="6"/>
    <col min="13" max="13" width="9.140625" style="6" customWidth="1"/>
    <col min="14" max="14" width="21.85546875" style="6" customWidth="1"/>
    <col min="15" max="15" width="30.5703125" style="6" customWidth="1"/>
    <col min="16" max="16" width="19.42578125" style="6" customWidth="1"/>
    <col min="17" max="17" width="32.28515625" style="6" customWidth="1"/>
    <col min="18" max="16384" width="9.140625" style="6"/>
  </cols>
  <sheetData>
    <row r="1" spans="1:9">
      <c r="A1" s="302" t="s">
        <v>250</v>
      </c>
      <c r="B1" s="302"/>
      <c r="C1" s="302"/>
      <c r="D1" s="302"/>
    </row>
    <row r="3" spans="1:9">
      <c r="A3" s="43" t="s">
        <v>69</v>
      </c>
      <c r="B3" s="44" t="s">
        <v>70</v>
      </c>
      <c r="D3" s="45" t="s">
        <v>89</v>
      </c>
      <c r="E3" s="44" t="s">
        <v>90</v>
      </c>
    </row>
    <row r="4" spans="1:9">
      <c r="A4" s="46" t="s">
        <v>71</v>
      </c>
      <c r="B4" s="47">
        <v>1.35</v>
      </c>
      <c r="D4" s="48" t="s">
        <v>69</v>
      </c>
      <c r="E4" s="49">
        <f>+$B$16</f>
        <v>1.2125000000000001</v>
      </c>
    </row>
    <row r="5" spans="1:9">
      <c r="A5" s="46" t="s">
        <v>72</v>
      </c>
      <c r="B5" s="47">
        <v>1.05</v>
      </c>
      <c r="D5" s="48" t="s">
        <v>84</v>
      </c>
      <c r="E5" s="49">
        <f>+$B$23</f>
        <v>1.25</v>
      </c>
    </row>
    <row r="6" spans="1:9">
      <c r="A6" s="46" t="s">
        <v>73</v>
      </c>
      <c r="B6" s="47">
        <v>2</v>
      </c>
      <c r="D6" s="45" t="s">
        <v>91</v>
      </c>
      <c r="E6" s="44">
        <f>AVERAGE(E4:E5)</f>
        <v>1.2312500000000002</v>
      </c>
      <c r="I6" s="50"/>
    </row>
    <row r="7" spans="1:9">
      <c r="A7" s="46" t="s">
        <v>74</v>
      </c>
      <c r="B7" s="47">
        <v>1.1000000000000001</v>
      </c>
    </row>
    <row r="8" spans="1:9">
      <c r="A8" s="46" t="s">
        <v>75</v>
      </c>
      <c r="B8" s="47">
        <v>1.2</v>
      </c>
    </row>
    <row r="9" spans="1:9">
      <c r="A9" s="46" t="s">
        <v>76</v>
      </c>
      <c r="B9" s="47">
        <v>1</v>
      </c>
      <c r="D9" s="45" t="s">
        <v>89</v>
      </c>
      <c r="E9" s="44" t="s">
        <v>90</v>
      </c>
    </row>
    <row r="10" spans="1:9">
      <c r="A10" s="46" t="s">
        <v>77</v>
      </c>
      <c r="B10" s="47">
        <v>1</v>
      </c>
      <c r="D10" s="48" t="s">
        <v>244</v>
      </c>
      <c r="E10" s="49">
        <f>$B$44</f>
        <v>0.9285714285714286</v>
      </c>
    </row>
    <row r="11" spans="1:9">
      <c r="A11" s="46" t="s">
        <v>78</v>
      </c>
      <c r="B11" s="47">
        <v>1.3</v>
      </c>
      <c r="D11" s="48" t="s">
        <v>92</v>
      </c>
      <c r="E11" s="49">
        <f>$B$32</f>
        <v>1.23</v>
      </c>
    </row>
    <row r="12" spans="1:9">
      <c r="A12" s="46" t="s">
        <v>79</v>
      </c>
      <c r="B12" s="47">
        <v>1.5</v>
      </c>
      <c r="D12" s="48" t="s">
        <v>245</v>
      </c>
      <c r="E12" s="49">
        <f>$B$34</f>
        <v>1.1000000000000001</v>
      </c>
    </row>
    <row r="13" spans="1:9">
      <c r="A13" s="46" t="s">
        <v>80</v>
      </c>
      <c r="B13" s="47">
        <v>1</v>
      </c>
      <c r="D13" s="52" t="s">
        <v>231</v>
      </c>
      <c r="E13" s="44">
        <f>AVERAGE(E10:E12)</f>
        <v>1.0861904761904762</v>
      </c>
    </row>
    <row r="14" spans="1:9">
      <c r="A14" s="46" t="s">
        <v>81</v>
      </c>
      <c r="B14" s="47">
        <v>1</v>
      </c>
      <c r="E14" s="6"/>
    </row>
    <row r="15" spans="1:9">
      <c r="A15" s="46" t="s">
        <v>82</v>
      </c>
      <c r="B15" s="47">
        <v>1.05</v>
      </c>
      <c r="E15" s="6"/>
    </row>
    <row r="16" spans="1:9">
      <c r="A16" s="53" t="s">
        <v>83</v>
      </c>
      <c r="B16" s="44">
        <f>AVERAGE(B4:B15)</f>
        <v>1.2125000000000001</v>
      </c>
      <c r="E16" s="6"/>
    </row>
    <row r="17" spans="1:5">
      <c r="E17" s="6"/>
    </row>
    <row r="18" spans="1:5">
      <c r="A18" s="43" t="s">
        <v>84</v>
      </c>
      <c r="B18" s="44" t="s">
        <v>70</v>
      </c>
      <c r="E18" s="6"/>
    </row>
    <row r="19" spans="1:5">
      <c r="A19" s="46" t="s">
        <v>85</v>
      </c>
      <c r="B19" s="47">
        <v>1</v>
      </c>
      <c r="E19" s="6"/>
    </row>
    <row r="20" spans="1:5">
      <c r="A20" s="46" t="s">
        <v>86</v>
      </c>
      <c r="B20" s="47">
        <v>1.5</v>
      </c>
      <c r="E20" s="6"/>
    </row>
    <row r="21" spans="1:5">
      <c r="A21" s="46" t="s">
        <v>87</v>
      </c>
      <c r="B21" s="47">
        <v>1.5</v>
      </c>
      <c r="E21" s="6"/>
    </row>
    <row r="22" spans="1:5">
      <c r="A22" s="46" t="s">
        <v>88</v>
      </c>
      <c r="B22" s="47">
        <v>1</v>
      </c>
      <c r="E22" s="6"/>
    </row>
    <row r="23" spans="1:5">
      <c r="A23" s="53" t="s">
        <v>83</v>
      </c>
      <c r="B23" s="44">
        <f>AVERAGE(B19:B22)</f>
        <v>1.25</v>
      </c>
    </row>
    <row r="26" spans="1:5">
      <c r="A26" s="43" t="s">
        <v>92</v>
      </c>
      <c r="B26" s="44" t="s">
        <v>70</v>
      </c>
      <c r="E26" s="6"/>
    </row>
    <row r="27" spans="1:5">
      <c r="A27" s="46" t="s">
        <v>93</v>
      </c>
      <c r="B27" s="47">
        <v>0.9</v>
      </c>
    </row>
    <row r="28" spans="1:5">
      <c r="A28" s="46" t="s">
        <v>94</v>
      </c>
      <c r="B28" s="47">
        <v>0.6</v>
      </c>
      <c r="E28" s="6"/>
    </row>
    <row r="29" spans="1:5">
      <c r="A29" s="46" t="s">
        <v>95</v>
      </c>
      <c r="B29" s="47">
        <v>1.5</v>
      </c>
    </row>
    <row r="30" spans="1:5">
      <c r="A30" s="46" t="s">
        <v>96</v>
      </c>
      <c r="B30" s="47">
        <v>1.55</v>
      </c>
      <c r="E30" s="6"/>
    </row>
    <row r="31" spans="1:5">
      <c r="A31" s="46" t="s">
        <v>97</v>
      </c>
      <c r="B31" s="47">
        <v>1.6</v>
      </c>
    </row>
    <row r="32" spans="1:5">
      <c r="A32" s="53" t="s">
        <v>83</v>
      </c>
      <c r="B32" s="44">
        <f>AVERAGE(B27:B31)</f>
        <v>1.23</v>
      </c>
      <c r="E32" s="6"/>
    </row>
    <row r="34" spans="1:5">
      <c r="A34" s="4" t="s">
        <v>247</v>
      </c>
      <c r="B34" s="54">
        <v>1.1000000000000001</v>
      </c>
      <c r="E34" s="6"/>
    </row>
    <row r="36" spans="1:5">
      <c r="A36" s="43" t="s">
        <v>98</v>
      </c>
      <c r="B36" s="44" t="s">
        <v>70</v>
      </c>
      <c r="E36" s="6"/>
    </row>
    <row r="37" spans="1:5">
      <c r="A37" s="46" t="s">
        <v>99</v>
      </c>
      <c r="B37" s="47">
        <v>1</v>
      </c>
    </row>
    <row r="38" spans="1:5">
      <c r="A38" s="46" t="s">
        <v>100</v>
      </c>
      <c r="B38" s="47">
        <v>1.2</v>
      </c>
    </row>
    <row r="39" spans="1:5">
      <c r="A39" s="46" t="s">
        <v>101</v>
      </c>
      <c r="B39" s="47">
        <v>1.25</v>
      </c>
    </row>
    <row r="40" spans="1:5">
      <c r="A40" s="46" t="s">
        <v>102</v>
      </c>
      <c r="B40" s="47">
        <v>1.05</v>
      </c>
    </row>
    <row r="41" spans="1:5">
      <c r="A41" s="46" t="s">
        <v>103</v>
      </c>
      <c r="B41" s="47">
        <v>1</v>
      </c>
    </row>
    <row r="42" spans="1:5">
      <c r="A42" s="46" t="s">
        <v>104</v>
      </c>
      <c r="B42" s="47">
        <v>0.5</v>
      </c>
    </row>
    <row r="43" spans="1:5">
      <c r="A43" s="46" t="s">
        <v>105</v>
      </c>
      <c r="B43" s="47">
        <v>0.5</v>
      </c>
    </row>
    <row r="44" spans="1:5">
      <c r="A44" s="53" t="s">
        <v>83</v>
      </c>
      <c r="B44" s="44">
        <f>AVERAGE(B37:B43)</f>
        <v>0.9285714285714286</v>
      </c>
    </row>
    <row r="47" spans="1:5">
      <c r="A47" s="55" t="s">
        <v>267</v>
      </c>
      <c r="B47" s="56">
        <f>+B16+B23+B32+B34+B44</f>
        <v>5.7210714285714293</v>
      </c>
    </row>
  </sheetData>
  <mergeCells count="1">
    <mergeCell ref="A1:D1"/>
  </mergeCells>
  <pageMargins left="0.7" right="0.7" top="0.75" bottom="0.75" header="0.3" footer="0.3"/>
  <pageSetup paperSize="9" scale="69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workbookViewId="0">
      <pane ySplit="1" topLeftCell="A2" activePane="bottomLeft" state="frozen"/>
      <selection pane="bottomLeft" activeCell="E9" sqref="E9"/>
    </sheetView>
  </sheetViews>
  <sheetFormatPr defaultColWidth="9.140625" defaultRowHeight="12.75"/>
  <cols>
    <col min="1" max="1" width="22.28515625" style="32" bestFit="1" customWidth="1"/>
    <col min="2" max="2" width="15.85546875" style="32" bestFit="1" customWidth="1"/>
    <col min="3" max="3" width="9.28515625" style="32" bestFit="1" customWidth="1"/>
    <col min="4" max="4" width="9.7109375" style="143" bestFit="1" customWidth="1"/>
    <col min="5" max="5" width="9.5703125" style="143" bestFit="1" customWidth="1"/>
    <col min="6" max="16384" width="9.140625" style="32"/>
  </cols>
  <sheetData>
    <row r="1" spans="1:5">
      <c r="A1" s="152" t="s">
        <v>353</v>
      </c>
      <c r="B1" s="154" t="s">
        <v>9</v>
      </c>
      <c r="C1" s="154" t="s">
        <v>358</v>
      </c>
      <c r="D1" s="156" t="s">
        <v>316</v>
      </c>
      <c r="E1" s="157" t="s">
        <v>62</v>
      </c>
    </row>
    <row r="2" spans="1:5">
      <c r="A2" s="144" t="s">
        <v>163</v>
      </c>
      <c r="B2" s="145" t="s">
        <v>164</v>
      </c>
      <c r="C2" s="146">
        <v>5</v>
      </c>
      <c r="D2" s="147">
        <v>329</v>
      </c>
      <c r="E2" s="140">
        <f>C2*D2</f>
        <v>1645</v>
      </c>
    </row>
    <row r="3" spans="1:5">
      <c r="A3" s="144" t="s">
        <v>165</v>
      </c>
      <c r="B3" s="145" t="s">
        <v>166</v>
      </c>
      <c r="C3" s="146">
        <v>2</v>
      </c>
      <c r="D3" s="147">
        <v>110</v>
      </c>
      <c r="E3" s="140">
        <f t="shared" ref="E3:E8" si="0">C3*D3</f>
        <v>220</v>
      </c>
    </row>
    <row r="4" spans="1:5">
      <c r="A4" s="144" t="s">
        <v>222</v>
      </c>
      <c r="B4" s="145"/>
      <c r="C4" s="146">
        <v>1</v>
      </c>
      <c r="D4" s="147">
        <v>120</v>
      </c>
      <c r="E4" s="140">
        <f t="shared" si="0"/>
        <v>120</v>
      </c>
    </row>
    <row r="5" spans="1:5">
      <c r="A5" s="144" t="s">
        <v>167</v>
      </c>
      <c r="B5" s="145" t="s">
        <v>168</v>
      </c>
      <c r="C5" s="146">
        <v>1</v>
      </c>
      <c r="D5" s="147">
        <v>699</v>
      </c>
      <c r="E5" s="140">
        <f t="shared" si="0"/>
        <v>699</v>
      </c>
    </row>
    <row r="6" spans="1:5">
      <c r="A6" s="144" t="s">
        <v>169</v>
      </c>
      <c r="B6" s="145" t="s">
        <v>170</v>
      </c>
      <c r="C6" s="146">
        <v>10</v>
      </c>
      <c r="D6" s="147">
        <v>165</v>
      </c>
      <c r="E6" s="140">
        <f t="shared" si="0"/>
        <v>1650</v>
      </c>
    </row>
    <row r="7" spans="1:5">
      <c r="A7" s="144" t="s">
        <v>173</v>
      </c>
      <c r="B7" s="145" t="s">
        <v>174</v>
      </c>
      <c r="C7" s="146">
        <v>40</v>
      </c>
      <c r="D7" s="147">
        <v>57</v>
      </c>
      <c r="E7" s="140">
        <f t="shared" si="0"/>
        <v>2280</v>
      </c>
    </row>
    <row r="8" spans="1:5">
      <c r="A8" s="144" t="s">
        <v>175</v>
      </c>
      <c r="B8" s="145" t="s">
        <v>254</v>
      </c>
      <c r="C8" s="146">
        <v>1</v>
      </c>
      <c r="D8" s="147">
        <v>1240</v>
      </c>
      <c r="E8" s="140">
        <f t="shared" si="0"/>
        <v>1240</v>
      </c>
    </row>
    <row r="9" spans="1:5">
      <c r="A9" s="316" t="s">
        <v>397</v>
      </c>
      <c r="B9" s="316"/>
      <c r="C9" s="316"/>
      <c r="D9" s="316"/>
      <c r="E9" s="153">
        <f>SUM(E2:E8)</f>
        <v>7854</v>
      </c>
    </row>
    <row r="11" spans="1:5">
      <c r="A11" s="283" t="s">
        <v>522</v>
      </c>
      <c r="B11" s="283" t="s">
        <v>22</v>
      </c>
    </row>
    <row r="12" spans="1:5">
      <c r="A12" s="152" t="s">
        <v>353</v>
      </c>
      <c r="B12" s="258" t="s">
        <v>9</v>
      </c>
      <c r="C12" s="258" t="s">
        <v>358</v>
      </c>
      <c r="D12" s="156" t="s">
        <v>316</v>
      </c>
      <c r="E12" s="157" t="s">
        <v>62</v>
      </c>
    </row>
    <row r="13" spans="1:5">
      <c r="A13" s="259" t="s">
        <v>173</v>
      </c>
      <c r="B13" s="145" t="s">
        <v>174</v>
      </c>
      <c r="C13" s="146">
        <v>12</v>
      </c>
      <c r="D13" s="147">
        <v>57</v>
      </c>
      <c r="E13" s="140">
        <f t="shared" ref="E13:E15" si="1">C13*D13</f>
        <v>684</v>
      </c>
    </row>
    <row r="14" spans="1:5">
      <c r="A14" s="259" t="s">
        <v>167</v>
      </c>
      <c r="B14" s="145" t="s">
        <v>168</v>
      </c>
      <c r="C14" s="146">
        <v>3</v>
      </c>
      <c r="D14" s="147">
        <v>699</v>
      </c>
      <c r="E14" s="140">
        <f t="shared" si="1"/>
        <v>2097</v>
      </c>
    </row>
    <row r="15" spans="1:5">
      <c r="A15" s="259" t="s">
        <v>169</v>
      </c>
      <c r="B15" s="145" t="s">
        <v>170</v>
      </c>
      <c r="C15" s="146">
        <v>3</v>
      </c>
      <c r="D15" s="147">
        <v>165</v>
      </c>
      <c r="E15" s="140">
        <f t="shared" si="1"/>
        <v>495</v>
      </c>
    </row>
    <row r="16" spans="1:5">
      <c r="E16" s="284">
        <f>SUM(E13:E15)</f>
        <v>3276</v>
      </c>
    </row>
  </sheetData>
  <mergeCells count="1">
    <mergeCell ref="A9:D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workbookViewId="0">
      <pane ySplit="2" topLeftCell="A3" activePane="bottomLeft" state="frozen"/>
      <selection pane="bottomLeft" activeCell="B9" sqref="B9"/>
    </sheetView>
  </sheetViews>
  <sheetFormatPr defaultColWidth="9.140625" defaultRowHeight="12.75"/>
  <cols>
    <col min="1" max="1" width="27.28515625" style="91" bestFit="1" customWidth="1"/>
    <col min="2" max="2" width="10.7109375" style="198" bestFit="1" customWidth="1"/>
    <col min="3" max="3" width="15.7109375" style="112" bestFit="1" customWidth="1"/>
    <col min="4" max="16384" width="9.140625" style="91"/>
  </cols>
  <sheetData>
    <row r="1" spans="1:3" ht="13.5" thickBot="1"/>
    <row r="2" spans="1:3">
      <c r="A2" s="92" t="s">
        <v>346</v>
      </c>
      <c r="B2" s="170" t="s">
        <v>347</v>
      </c>
      <c r="C2" s="199" t="s">
        <v>429</v>
      </c>
    </row>
    <row r="3" spans="1:3">
      <c r="A3" s="93" t="s">
        <v>348</v>
      </c>
      <c r="B3" s="200">
        <f>+'Maquinaria y Equipo'!D20</f>
        <v>10491.2</v>
      </c>
      <c r="C3" s="201">
        <f t="shared" ref="C3:C11" si="0">+B3/$B$12</f>
        <v>0.3606413112229464</v>
      </c>
    </row>
    <row r="4" spans="1:3">
      <c r="A4" s="93" t="s">
        <v>349</v>
      </c>
      <c r="B4" s="200">
        <f>+Menaje!D30</f>
        <v>849.45</v>
      </c>
      <c r="C4" s="202">
        <f t="shared" si="0"/>
        <v>2.9200354756208233E-2</v>
      </c>
    </row>
    <row r="5" spans="1:3">
      <c r="A5" s="93" t="s">
        <v>350</v>
      </c>
      <c r="B5" s="200">
        <f>+'Equipo de Oficina'!D4</f>
        <v>1284</v>
      </c>
      <c r="C5" s="202">
        <f t="shared" si="0"/>
        <v>4.4138272419767345E-2</v>
      </c>
    </row>
    <row r="6" spans="1:3">
      <c r="A6" s="93" t="s">
        <v>351</v>
      </c>
      <c r="B6" s="200">
        <f>+'Materiales de Oficina'!D5</f>
        <v>17</v>
      </c>
      <c r="C6" s="202">
        <f t="shared" si="0"/>
        <v>5.8438522674146792E-4</v>
      </c>
    </row>
    <row r="7" spans="1:3">
      <c r="A7" s="93" t="s">
        <v>352</v>
      </c>
      <c r="B7" s="200">
        <f>+'Equipos de Computo'!D4</f>
        <v>688.75</v>
      </c>
      <c r="C7" s="202">
        <f t="shared" si="0"/>
        <v>2.367619558342271E-2</v>
      </c>
    </row>
    <row r="8" spans="1:3">
      <c r="A8" s="93" t="s">
        <v>353</v>
      </c>
      <c r="B8" s="200">
        <f>+'Muebles y Enseres'!E9</f>
        <v>7854</v>
      </c>
      <c r="C8" s="201">
        <f t="shared" si="0"/>
        <v>0.26998597475455821</v>
      </c>
    </row>
    <row r="9" spans="1:3">
      <c r="A9" s="93" t="s">
        <v>354</v>
      </c>
      <c r="B9" s="200">
        <f>+'Gastos de Instalación'!D8</f>
        <v>947</v>
      </c>
      <c r="C9" s="202">
        <f t="shared" si="0"/>
        <v>3.2553694689657069E-2</v>
      </c>
    </row>
    <row r="10" spans="1:3">
      <c r="A10" s="93" t="s">
        <v>317</v>
      </c>
      <c r="B10" s="200">
        <f>+'Gastos de Publicidad'!E6</f>
        <v>6272</v>
      </c>
      <c r="C10" s="201">
        <f t="shared" si="0"/>
        <v>0.21560377306602865</v>
      </c>
    </row>
    <row r="11" spans="1:3">
      <c r="A11" s="93" t="s">
        <v>355</v>
      </c>
      <c r="B11" s="200">
        <f>+'Gastos Legales'!D12</f>
        <v>687</v>
      </c>
      <c r="C11" s="202">
        <f t="shared" si="0"/>
        <v>2.361603828066991E-2</v>
      </c>
    </row>
    <row r="12" spans="1:3" ht="13.5" thickBot="1">
      <c r="A12" s="175" t="s">
        <v>356</v>
      </c>
      <c r="B12" s="203">
        <f>SUM(B3:B11)</f>
        <v>29090.400000000001</v>
      </c>
    </row>
    <row r="16" spans="1:3">
      <c r="A16" s="169" t="s">
        <v>439</v>
      </c>
    </row>
    <row r="18" spans="1:3">
      <c r="A18" s="193" t="s">
        <v>438</v>
      </c>
      <c r="B18" s="204" t="s">
        <v>57</v>
      </c>
      <c r="C18" s="194" t="s">
        <v>436</v>
      </c>
    </row>
    <row r="19" spans="1:3">
      <c r="A19" s="195" t="s">
        <v>258</v>
      </c>
      <c r="B19" s="196">
        <v>45</v>
      </c>
      <c r="C19" s="197">
        <v>375.5</v>
      </c>
    </row>
    <row r="20" spans="1:3">
      <c r="A20" s="195" t="s">
        <v>262</v>
      </c>
      <c r="B20" s="196">
        <v>35</v>
      </c>
      <c r="C20" s="197">
        <v>950</v>
      </c>
    </row>
    <row r="21" spans="1:3">
      <c r="A21" s="195" t="s">
        <v>259</v>
      </c>
      <c r="B21" s="196">
        <v>75</v>
      </c>
      <c r="C21" s="197">
        <v>750.75</v>
      </c>
    </row>
    <row r="22" spans="1:3">
      <c r="A22" s="195" t="s">
        <v>260</v>
      </c>
      <c r="B22" s="196">
        <v>51</v>
      </c>
      <c r="C22" s="197">
        <v>401.25</v>
      </c>
    </row>
    <row r="23" spans="1:3">
      <c r="A23" s="195" t="s">
        <v>261</v>
      </c>
      <c r="B23" s="196">
        <v>45</v>
      </c>
      <c r="C23" s="197">
        <v>45</v>
      </c>
    </row>
    <row r="24" spans="1:3">
      <c r="A24" s="195" t="s">
        <v>268</v>
      </c>
      <c r="B24" s="196">
        <v>4</v>
      </c>
      <c r="C24" s="197">
        <v>105.8</v>
      </c>
    </row>
    <row r="25" spans="1:3">
      <c r="A25" s="195" t="s">
        <v>269</v>
      </c>
      <c r="B25" s="196">
        <v>61</v>
      </c>
      <c r="C25" s="197">
        <v>1025</v>
      </c>
    </row>
    <row r="26" spans="1:3">
      <c r="A26" s="195" t="s">
        <v>270</v>
      </c>
      <c r="B26" s="196">
        <v>28</v>
      </c>
      <c r="C26" s="197">
        <v>471.25</v>
      </c>
    </row>
    <row r="27" spans="1:3">
      <c r="A27" s="181" t="s">
        <v>271</v>
      </c>
      <c r="B27" s="196">
        <v>7</v>
      </c>
      <c r="C27" s="197">
        <v>94.5</v>
      </c>
    </row>
    <row r="28" spans="1:3">
      <c r="B28" s="196"/>
      <c r="C28" s="194">
        <f>SUM(C19:C27)</f>
        <v>4219.05</v>
      </c>
    </row>
    <row r="30" spans="1:3">
      <c r="A30" s="125" t="s">
        <v>441</v>
      </c>
      <c r="B30" s="204" t="s">
        <v>57</v>
      </c>
      <c r="C30" s="194" t="s">
        <v>436</v>
      </c>
    </row>
    <row r="31" spans="1:3">
      <c r="A31" s="127" t="s">
        <v>440</v>
      </c>
      <c r="B31" s="196">
        <v>2</v>
      </c>
      <c r="C31" s="194">
        <v>800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workbookViewId="0">
      <selection activeCell="A4" sqref="A4"/>
    </sheetView>
  </sheetViews>
  <sheetFormatPr defaultColWidth="9.140625" defaultRowHeight="12.75"/>
  <cols>
    <col min="1" max="1" width="29.42578125" style="51" customWidth="1"/>
    <col min="2" max="2" width="10.5703125" style="42" bestFit="1" customWidth="1"/>
    <col min="3" max="3" width="10.85546875" style="51" bestFit="1" customWidth="1"/>
    <col min="4" max="4" width="9.85546875" style="6" customWidth="1"/>
    <col min="5" max="5" width="25.42578125" style="6" bestFit="1" customWidth="1"/>
    <col min="6" max="6" width="9.5703125" style="6" bestFit="1" customWidth="1"/>
    <col min="7" max="7" width="9.42578125" style="6" bestFit="1" customWidth="1"/>
    <col min="8" max="8" width="8.7109375" style="272" bestFit="1" customWidth="1"/>
    <col min="9" max="9" width="8" style="272" bestFit="1" customWidth="1"/>
    <col min="10" max="16384" width="9.140625" style="6"/>
  </cols>
  <sheetData>
    <row r="1" spans="1:9" ht="28.5" customHeight="1">
      <c r="A1" s="291" t="s">
        <v>9</v>
      </c>
      <c r="B1" s="290" t="s">
        <v>6</v>
      </c>
      <c r="C1" s="291" t="s">
        <v>484</v>
      </c>
      <c r="D1" s="272"/>
      <c r="E1" s="318" t="s">
        <v>9</v>
      </c>
      <c r="F1" s="317" t="s">
        <v>495</v>
      </c>
      <c r="G1" s="273" t="s">
        <v>496</v>
      </c>
      <c r="H1" s="275" t="s">
        <v>62</v>
      </c>
      <c r="I1" s="275" t="s">
        <v>62</v>
      </c>
    </row>
    <row r="2" spans="1:9" ht="12.75" customHeight="1">
      <c r="A2" s="145" t="s">
        <v>485</v>
      </c>
      <c r="B2" s="147">
        <f>+GASTOS!$C$27</f>
        <v>659.3</v>
      </c>
      <c r="C2" s="269">
        <f>+B2/B4</f>
        <v>0.48971254549506049</v>
      </c>
      <c r="E2" s="318"/>
      <c r="F2" s="317"/>
      <c r="G2" s="273" t="s">
        <v>497</v>
      </c>
      <c r="H2" s="275" t="s">
        <v>498</v>
      </c>
      <c r="I2" s="275" t="s">
        <v>499</v>
      </c>
    </row>
    <row r="3" spans="1:9">
      <c r="A3" s="52" t="s">
        <v>355</v>
      </c>
      <c r="B3" s="57">
        <f>+'Gastos Legales'!$D$12</f>
        <v>687</v>
      </c>
      <c r="C3" s="270">
        <f>+B3/B4</f>
        <v>0.51028745450493951</v>
      </c>
      <c r="E3" s="145" t="s">
        <v>485</v>
      </c>
      <c r="F3" s="147">
        <f>+GASTOS!$C$27</f>
        <v>659.3</v>
      </c>
      <c r="G3" s="274">
        <v>0.2</v>
      </c>
      <c r="H3" s="276">
        <f>I3/12</f>
        <v>10.988333333333332</v>
      </c>
      <c r="I3" s="277">
        <f>F3*G3</f>
        <v>131.85999999999999</v>
      </c>
    </row>
    <row r="4" spans="1:9">
      <c r="A4" s="52" t="s">
        <v>487</v>
      </c>
      <c r="B4" s="13">
        <f>SUM(B2:B3)</f>
        <v>1346.3</v>
      </c>
      <c r="C4" s="271">
        <f>SUM(C2:C3)</f>
        <v>1</v>
      </c>
      <c r="E4" s="52" t="s">
        <v>355</v>
      </c>
      <c r="F4" s="57">
        <f>+'Gastos Legales'!$D$12</f>
        <v>687</v>
      </c>
      <c r="G4" s="274">
        <v>0.2</v>
      </c>
      <c r="H4" s="276">
        <f>I4/12</f>
        <v>11.450000000000001</v>
      </c>
      <c r="I4" s="277">
        <f>F4*G4</f>
        <v>137.4</v>
      </c>
    </row>
    <row r="5" spans="1:9">
      <c r="E5" s="52" t="s">
        <v>487</v>
      </c>
      <c r="F5" s="13">
        <f>SUM(F3:F4)</f>
        <v>1346.3</v>
      </c>
      <c r="G5" s="4"/>
      <c r="H5" s="290">
        <f>SUM(H3:H4)</f>
        <v>22.438333333333333</v>
      </c>
      <c r="I5" s="290">
        <f>SUM(I3:I4)</f>
        <v>269.26</v>
      </c>
    </row>
    <row r="6" spans="1:9">
      <c r="A6" s="228"/>
      <c r="B6" s="220"/>
      <c r="C6" s="228"/>
    </row>
    <row r="7" spans="1:9" s="51" customFormat="1">
      <c r="A7" s="226" t="s">
        <v>488</v>
      </c>
      <c r="B7" s="267">
        <f>SUM(B8:B10)</f>
        <v>36987.699999999997</v>
      </c>
      <c r="C7" s="279">
        <v>1</v>
      </c>
      <c r="H7" s="272"/>
      <c r="I7" s="272"/>
    </row>
    <row r="8" spans="1:9">
      <c r="A8" s="4" t="s">
        <v>489</v>
      </c>
      <c r="B8" s="57">
        <f>+'Inversión Inicial'!B12</f>
        <v>29090.400000000001</v>
      </c>
      <c r="C8" s="278">
        <f>+B8/B7</f>
        <v>0.78648848130594773</v>
      </c>
    </row>
    <row r="9" spans="1:9">
      <c r="A9" s="4" t="s">
        <v>490</v>
      </c>
      <c r="B9" s="57">
        <f>+B4</f>
        <v>1346.3</v>
      </c>
      <c r="C9" s="278">
        <f>+B9/B7</f>
        <v>3.6398586557152786E-2</v>
      </c>
    </row>
    <row r="10" spans="1:9">
      <c r="A10" s="4" t="s">
        <v>491</v>
      </c>
      <c r="B10" s="292">
        <v>6551</v>
      </c>
      <c r="C10" s="278">
        <f>+B10/B7</f>
        <v>0.17711293213689958</v>
      </c>
    </row>
    <row r="11" spans="1:9">
      <c r="A11" s="67"/>
      <c r="B11" s="220"/>
      <c r="C11" s="228"/>
    </row>
    <row r="12" spans="1:9">
      <c r="A12" s="67"/>
      <c r="B12" s="220"/>
      <c r="C12" s="228"/>
    </row>
    <row r="13" spans="1:9">
      <c r="A13" s="226" t="s">
        <v>492</v>
      </c>
      <c r="B13" s="13">
        <f>SUM(B14:B15)</f>
        <v>36987.699999999997</v>
      </c>
      <c r="C13" s="279">
        <v>1</v>
      </c>
    </row>
    <row r="14" spans="1:9">
      <c r="A14" s="4" t="s">
        <v>493</v>
      </c>
      <c r="B14" s="57">
        <v>7000</v>
      </c>
      <c r="C14" s="278">
        <f>+B14/B13</f>
        <v>0.18925210272604137</v>
      </c>
    </row>
    <row r="15" spans="1:9">
      <c r="A15" s="4" t="s">
        <v>494</v>
      </c>
      <c r="B15" s="57">
        <f>+B7-B14</f>
        <v>29987.699999999997</v>
      </c>
      <c r="C15" s="279">
        <f>+B15/B13</f>
        <v>0.81074789727395857</v>
      </c>
    </row>
    <row r="16" spans="1:9">
      <c r="A16" s="228"/>
      <c r="B16" s="220"/>
      <c r="C16" s="228"/>
    </row>
    <row r="17" spans="1:3" s="6" customFormat="1">
      <c r="A17" s="228"/>
      <c r="B17" s="220"/>
      <c r="C17" s="228"/>
    </row>
    <row r="18" spans="1:3" s="6" customFormat="1">
      <c r="A18" s="228" t="s">
        <v>523</v>
      </c>
      <c r="B18" s="220"/>
      <c r="C18" s="228"/>
    </row>
  </sheetData>
  <mergeCells count="2">
    <mergeCell ref="F1:F2"/>
    <mergeCell ref="E1:E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pane ySplit="1" topLeftCell="A11" activePane="bottomLeft" state="frozen"/>
      <selection pane="bottomLeft" activeCell="E23" sqref="E23"/>
    </sheetView>
  </sheetViews>
  <sheetFormatPr defaultColWidth="9.140625" defaultRowHeight="12.75"/>
  <cols>
    <col min="1" max="1" width="28.7109375" style="32" customWidth="1"/>
    <col min="2" max="2" width="35.85546875" style="32" bestFit="1" customWidth="1"/>
    <col min="3" max="3" width="9.140625" style="32" bestFit="1" customWidth="1"/>
    <col min="4" max="4" width="7.5703125" style="143" bestFit="1" customWidth="1"/>
    <col min="5" max="5" width="23.5703125" style="32" customWidth="1"/>
    <col min="6" max="6" width="37.85546875" style="32" customWidth="1"/>
    <col min="7" max="7" width="14.140625" style="32" customWidth="1"/>
    <col min="8" max="16384" width="9.140625" style="32"/>
  </cols>
  <sheetData>
    <row r="1" spans="1:4" ht="13.5" thickBot="1">
      <c r="A1" s="151" t="s">
        <v>354</v>
      </c>
      <c r="B1" s="151" t="s">
        <v>9</v>
      </c>
      <c r="C1" s="151" t="s">
        <v>358</v>
      </c>
      <c r="D1" s="162" t="s">
        <v>316</v>
      </c>
    </row>
    <row r="2" spans="1:4">
      <c r="A2" s="144" t="s">
        <v>184</v>
      </c>
      <c r="B2" s="145"/>
      <c r="C2" s="146">
        <v>1</v>
      </c>
      <c r="D2" s="147">
        <v>80</v>
      </c>
    </row>
    <row r="3" spans="1:4">
      <c r="A3" s="144" t="s">
        <v>3</v>
      </c>
      <c r="B3" s="145" t="s">
        <v>185</v>
      </c>
      <c r="C3" s="146">
        <v>1</v>
      </c>
      <c r="D3" s="147">
        <v>45</v>
      </c>
    </row>
    <row r="4" spans="1:4" ht="38.25">
      <c r="A4" s="158" t="s">
        <v>186</v>
      </c>
      <c r="B4" s="159" t="s">
        <v>187</v>
      </c>
      <c r="C4" s="146">
        <v>1</v>
      </c>
      <c r="D4" s="160">
        <v>34</v>
      </c>
    </row>
    <row r="5" spans="1:4">
      <c r="A5" s="161" t="s">
        <v>1</v>
      </c>
      <c r="B5" s="145" t="s">
        <v>188</v>
      </c>
      <c r="C5" s="146">
        <v>1</v>
      </c>
      <c r="D5" s="160">
        <v>15</v>
      </c>
    </row>
    <row r="6" spans="1:4">
      <c r="A6" s="161" t="s">
        <v>4</v>
      </c>
      <c r="B6" s="145" t="s">
        <v>189</v>
      </c>
      <c r="C6" s="146">
        <v>1</v>
      </c>
      <c r="D6" s="160">
        <v>50</v>
      </c>
    </row>
    <row r="7" spans="1:4" ht="13.5" thickBot="1">
      <c r="A7" s="40" t="s">
        <v>398</v>
      </c>
      <c r="B7" s="148" t="s">
        <v>399</v>
      </c>
      <c r="C7" s="41">
        <v>32</v>
      </c>
      <c r="D7" s="141">
        <f>D31</f>
        <v>723</v>
      </c>
    </row>
    <row r="8" spans="1:4" ht="13.5" thickBot="1">
      <c r="A8" s="319" t="s">
        <v>400</v>
      </c>
      <c r="B8" s="320"/>
      <c r="C8" s="321"/>
      <c r="D8" s="142">
        <f>SUM(D2:D7)</f>
        <v>947</v>
      </c>
    </row>
    <row r="10" spans="1:4" ht="13.5" thickBot="1"/>
    <row r="11" spans="1:4" ht="13.5" thickBot="1">
      <c r="A11" s="151" t="s">
        <v>401</v>
      </c>
      <c r="B11" s="151" t="s">
        <v>9</v>
      </c>
      <c r="C11" s="151" t="s">
        <v>358</v>
      </c>
      <c r="D11" s="162" t="s">
        <v>316</v>
      </c>
    </row>
    <row r="12" spans="1:4">
      <c r="A12" s="322" t="s">
        <v>190</v>
      </c>
      <c r="B12" s="145" t="s">
        <v>191</v>
      </c>
      <c r="C12" s="146">
        <v>3</v>
      </c>
      <c r="D12" s="147">
        <v>18</v>
      </c>
    </row>
    <row r="13" spans="1:4">
      <c r="A13" s="322"/>
      <c r="B13" s="145" t="s">
        <v>192</v>
      </c>
      <c r="C13" s="146"/>
      <c r="D13" s="147" t="s">
        <v>109</v>
      </c>
    </row>
    <row r="14" spans="1:4">
      <c r="A14" s="144" t="s">
        <v>193</v>
      </c>
      <c r="B14" s="145" t="s">
        <v>194</v>
      </c>
      <c r="C14" s="146">
        <v>3</v>
      </c>
      <c r="D14" s="147">
        <v>18</v>
      </c>
    </row>
    <row r="15" spans="1:4">
      <c r="A15" s="144" t="s">
        <v>195</v>
      </c>
      <c r="B15" s="145" t="s">
        <v>196</v>
      </c>
      <c r="C15" s="146">
        <v>2</v>
      </c>
      <c r="D15" s="147">
        <v>30</v>
      </c>
    </row>
    <row r="16" spans="1:4">
      <c r="A16" s="144" t="s">
        <v>197</v>
      </c>
      <c r="B16" s="145" t="s">
        <v>198</v>
      </c>
      <c r="C16" s="146">
        <v>1</v>
      </c>
      <c r="D16" s="147">
        <v>60</v>
      </c>
    </row>
    <row r="17" spans="1:4">
      <c r="A17" s="144" t="s">
        <v>199</v>
      </c>
      <c r="B17" s="145" t="s">
        <v>200</v>
      </c>
      <c r="C17" s="146">
        <v>2</v>
      </c>
      <c r="D17" s="147">
        <v>5</v>
      </c>
    </row>
    <row r="18" spans="1:4">
      <c r="A18" s="144" t="s">
        <v>201</v>
      </c>
      <c r="B18" s="145" t="s">
        <v>202</v>
      </c>
      <c r="C18" s="146">
        <v>1</v>
      </c>
      <c r="D18" s="147">
        <v>10</v>
      </c>
    </row>
    <row r="19" spans="1:4">
      <c r="A19" s="144" t="s">
        <v>203</v>
      </c>
      <c r="B19" s="145" t="s">
        <v>153</v>
      </c>
      <c r="C19" s="146">
        <v>1</v>
      </c>
      <c r="D19" s="147">
        <v>9</v>
      </c>
    </row>
    <row r="20" spans="1:4">
      <c r="A20" s="144" t="s">
        <v>204</v>
      </c>
      <c r="B20" s="145" t="s">
        <v>205</v>
      </c>
      <c r="C20" s="146">
        <v>3</v>
      </c>
      <c r="D20" s="147">
        <v>24</v>
      </c>
    </row>
    <row r="21" spans="1:4">
      <c r="A21" s="144" t="s">
        <v>206</v>
      </c>
      <c r="B21" s="145" t="s">
        <v>207</v>
      </c>
      <c r="C21" s="146">
        <v>1</v>
      </c>
      <c r="D21" s="147">
        <v>450</v>
      </c>
    </row>
    <row r="22" spans="1:4">
      <c r="A22" s="144" t="s">
        <v>208</v>
      </c>
      <c r="B22" s="145" t="s">
        <v>209</v>
      </c>
      <c r="C22" s="146">
        <v>1</v>
      </c>
      <c r="D22" s="147">
        <v>10</v>
      </c>
    </row>
    <row r="23" spans="1:4">
      <c r="A23" s="322" t="s">
        <v>210</v>
      </c>
      <c r="B23" s="145" t="s">
        <v>211</v>
      </c>
      <c r="C23" s="146">
        <v>7</v>
      </c>
      <c r="D23" s="147">
        <v>25</v>
      </c>
    </row>
    <row r="24" spans="1:4">
      <c r="A24" s="322"/>
      <c r="B24" s="145" t="s">
        <v>212</v>
      </c>
      <c r="C24" s="146"/>
      <c r="D24" s="147" t="s">
        <v>109</v>
      </c>
    </row>
    <row r="25" spans="1:4">
      <c r="A25" s="144" t="s">
        <v>213</v>
      </c>
      <c r="B25" s="145" t="s">
        <v>214</v>
      </c>
      <c r="C25" s="146">
        <v>2</v>
      </c>
      <c r="D25" s="147">
        <v>20</v>
      </c>
    </row>
    <row r="26" spans="1:4">
      <c r="A26" s="144" t="s">
        <v>215</v>
      </c>
      <c r="B26" s="145" t="s">
        <v>216</v>
      </c>
      <c r="C26" s="146">
        <v>1</v>
      </c>
      <c r="D26" s="147">
        <v>8</v>
      </c>
    </row>
    <row r="27" spans="1:4">
      <c r="A27" s="144" t="s">
        <v>217</v>
      </c>
      <c r="B27" s="145" t="s">
        <v>218</v>
      </c>
      <c r="C27" s="146">
        <v>1</v>
      </c>
      <c r="D27" s="147">
        <v>15</v>
      </c>
    </row>
    <row r="28" spans="1:4">
      <c r="A28" s="144" t="s">
        <v>219</v>
      </c>
      <c r="B28" s="145" t="s">
        <v>218</v>
      </c>
      <c r="C28" s="146">
        <v>1</v>
      </c>
      <c r="D28" s="147">
        <v>15</v>
      </c>
    </row>
    <row r="29" spans="1:4">
      <c r="A29" s="323" t="s">
        <v>193</v>
      </c>
      <c r="B29" s="145" t="s">
        <v>220</v>
      </c>
      <c r="C29" s="146">
        <v>2</v>
      </c>
      <c r="D29" s="147">
        <v>6</v>
      </c>
    </row>
    <row r="30" spans="1:4" ht="13.5" thickBot="1">
      <c r="A30" s="324"/>
      <c r="B30" s="148" t="s">
        <v>221</v>
      </c>
      <c r="C30" s="149"/>
      <c r="D30" s="150" t="s">
        <v>109</v>
      </c>
    </row>
    <row r="31" spans="1:4" ht="13.5" thickBot="1">
      <c r="A31" s="325" t="s">
        <v>402</v>
      </c>
      <c r="B31" s="326"/>
      <c r="C31" s="327"/>
      <c r="D31" s="142">
        <f>SUM(D12:D29)</f>
        <v>723</v>
      </c>
    </row>
  </sheetData>
  <mergeCells count="5">
    <mergeCell ref="A8:C8"/>
    <mergeCell ref="A12:A13"/>
    <mergeCell ref="A23:A24"/>
    <mergeCell ref="A29:A30"/>
    <mergeCell ref="A31:C3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G27"/>
  <sheetViews>
    <sheetView workbookViewId="0">
      <pane ySplit="3" topLeftCell="A13" activePane="bottomLeft" state="frozen"/>
      <selection pane="bottomLeft" activeCell="A12" sqref="A12"/>
    </sheetView>
  </sheetViews>
  <sheetFormatPr defaultColWidth="9.140625" defaultRowHeight="12.75"/>
  <cols>
    <col min="1" max="1" width="25.28515625" style="228" bestFit="1" customWidth="1"/>
    <col min="2" max="2" width="32.85546875" style="67" bestFit="1" customWidth="1"/>
    <col min="3" max="3" width="10.42578125" style="67" bestFit="1" customWidth="1"/>
    <col min="4" max="4" width="7.5703125" style="67" bestFit="1" customWidth="1"/>
    <col min="5" max="5" width="9.85546875" style="67" bestFit="1" customWidth="1"/>
    <col min="6" max="7" width="14.85546875" style="67" bestFit="1" customWidth="1"/>
    <col min="8" max="16384" width="9.140625" style="67"/>
  </cols>
  <sheetData>
    <row r="1" spans="1:7">
      <c r="A1" s="328" t="s">
        <v>437</v>
      </c>
      <c r="B1" s="328"/>
      <c r="C1" s="328"/>
      <c r="D1" s="328"/>
    </row>
    <row r="3" spans="1:7">
      <c r="A3" s="226" t="s">
        <v>296</v>
      </c>
      <c r="B3" s="1" t="s">
        <v>454</v>
      </c>
    </row>
    <row r="4" spans="1:7">
      <c r="A4" s="52" t="s">
        <v>433</v>
      </c>
      <c r="B4" s="227">
        <v>90</v>
      </c>
    </row>
    <row r="5" spans="1:7">
      <c r="A5" s="52" t="s">
        <v>67</v>
      </c>
      <c r="B5" s="227">
        <v>40</v>
      </c>
    </row>
    <row r="6" spans="1:7">
      <c r="A6" s="52" t="s">
        <v>158</v>
      </c>
      <c r="B6" s="227">
        <v>15</v>
      </c>
    </row>
    <row r="7" spans="1:7">
      <c r="A7" s="52" t="s">
        <v>68</v>
      </c>
      <c r="B7" s="227">
        <v>45</v>
      </c>
    </row>
    <row r="8" spans="1:7">
      <c r="B8" s="229">
        <f>SUM(B4:B7)</f>
        <v>190</v>
      </c>
    </row>
    <row r="10" spans="1:7">
      <c r="A10" s="193" t="s">
        <v>453</v>
      </c>
      <c r="B10" s="230" t="s">
        <v>434</v>
      </c>
      <c r="C10" s="4"/>
      <c r="D10" s="4"/>
    </row>
    <row r="11" spans="1:7">
      <c r="A11" s="181" t="s">
        <v>61</v>
      </c>
      <c r="B11" s="231" t="s">
        <v>176</v>
      </c>
      <c r="C11" s="232" t="s">
        <v>57</v>
      </c>
      <c r="D11" s="233" t="s">
        <v>436</v>
      </c>
    </row>
    <row r="12" spans="1:7">
      <c r="A12" s="181" t="s">
        <v>177</v>
      </c>
      <c r="B12" s="231" t="s">
        <v>178</v>
      </c>
      <c r="C12" s="196">
        <v>2</v>
      </c>
      <c r="D12" s="197">
        <v>7.6</v>
      </c>
    </row>
    <row r="13" spans="1:7">
      <c r="A13" s="181" t="s">
        <v>179</v>
      </c>
      <c r="B13" s="231" t="s">
        <v>180</v>
      </c>
      <c r="C13" s="196">
        <v>2</v>
      </c>
      <c r="D13" s="197">
        <v>12.4</v>
      </c>
    </row>
    <row r="14" spans="1:7">
      <c r="A14" s="181" t="s">
        <v>181</v>
      </c>
      <c r="B14" s="231" t="s">
        <v>182</v>
      </c>
      <c r="C14" s="196">
        <v>4</v>
      </c>
      <c r="D14" s="197">
        <v>18.8</v>
      </c>
    </row>
    <row r="15" spans="1:7">
      <c r="A15" s="52"/>
      <c r="B15" s="4"/>
      <c r="C15" s="196">
        <v>2</v>
      </c>
      <c r="D15" s="197">
        <v>8</v>
      </c>
    </row>
    <row r="16" spans="1:7">
      <c r="C16" s="234"/>
      <c r="D16" s="194">
        <f>SUM(D12:D15)</f>
        <v>46.8</v>
      </c>
      <c r="E16" s="235">
        <f>+D16*4</f>
        <v>187.2</v>
      </c>
      <c r="F16" s="212">
        <f>+E16/12</f>
        <v>15.6</v>
      </c>
      <c r="G16" s="8" t="s">
        <v>443</v>
      </c>
    </row>
    <row r="17" spans="1:6">
      <c r="C17" s="234"/>
      <c r="D17" s="236"/>
    </row>
    <row r="18" spans="1:6">
      <c r="A18" s="193" t="s">
        <v>435</v>
      </c>
      <c r="B18" s="230" t="s">
        <v>434</v>
      </c>
      <c r="C18" s="232" t="s">
        <v>57</v>
      </c>
      <c r="D18" s="233" t="s">
        <v>436</v>
      </c>
    </row>
    <row r="19" spans="1:6">
      <c r="A19" s="181" t="s">
        <v>183</v>
      </c>
      <c r="B19" s="231" t="s">
        <v>257</v>
      </c>
      <c r="C19" s="196">
        <v>5</v>
      </c>
      <c r="D19" s="197">
        <v>32.5</v>
      </c>
    </row>
    <row r="20" spans="1:6">
      <c r="A20" s="181" t="s">
        <v>255</v>
      </c>
      <c r="B20" s="231" t="s">
        <v>257</v>
      </c>
      <c r="C20" s="196">
        <v>5</v>
      </c>
      <c r="D20" s="197">
        <v>32.5</v>
      </c>
    </row>
    <row r="21" spans="1:6">
      <c r="A21" s="181" t="s">
        <v>256</v>
      </c>
      <c r="B21" s="231" t="s">
        <v>257</v>
      </c>
      <c r="C21" s="196">
        <v>5</v>
      </c>
      <c r="D21" s="197">
        <v>32.5</v>
      </c>
    </row>
    <row r="22" spans="1:6">
      <c r="D22" s="237">
        <f>SUM(D19:D21)</f>
        <v>97.5</v>
      </c>
      <c r="E22" s="235">
        <f>+D22/12</f>
        <v>8.125</v>
      </c>
      <c r="F22" s="8" t="s">
        <v>443</v>
      </c>
    </row>
    <row r="25" spans="1:6">
      <c r="A25" s="226" t="s">
        <v>460</v>
      </c>
      <c r="B25" s="4" t="s">
        <v>459</v>
      </c>
      <c r="C25" s="197">
        <v>325</v>
      </c>
    </row>
    <row r="27" spans="1:6">
      <c r="A27" s="328" t="s">
        <v>486</v>
      </c>
      <c r="B27" s="328"/>
      <c r="C27" s="266">
        <f>+B8+D16+D22+C25</f>
        <v>659.3</v>
      </c>
    </row>
  </sheetData>
  <mergeCells count="2">
    <mergeCell ref="A1:D1"/>
    <mergeCell ref="A27:B2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pane ySplit="1" topLeftCell="A2" activePane="bottomLeft" state="frozen"/>
      <selection pane="bottomLeft" activeCell="D21" sqref="D21"/>
    </sheetView>
  </sheetViews>
  <sheetFormatPr defaultColWidth="9.140625" defaultRowHeight="12.75"/>
  <cols>
    <col min="1" max="1" width="48.28515625" style="32" bestFit="1" customWidth="1"/>
    <col min="2" max="2" width="9.140625" style="33" bestFit="1" customWidth="1"/>
    <col min="3" max="4" width="8.140625" style="33" bestFit="1" customWidth="1"/>
    <col min="5" max="16384" width="9.140625" style="32"/>
  </cols>
  <sheetData>
    <row r="1" spans="1:5">
      <c r="A1" s="152" t="s">
        <v>355</v>
      </c>
      <c r="B1" s="154" t="s">
        <v>358</v>
      </c>
      <c r="C1" s="154" t="s">
        <v>316</v>
      </c>
      <c r="D1" s="155" t="s">
        <v>62</v>
      </c>
    </row>
    <row r="2" spans="1:5">
      <c r="A2" s="38" t="s">
        <v>419</v>
      </c>
      <c r="B2" s="39">
        <v>1</v>
      </c>
      <c r="C2" s="31">
        <v>2</v>
      </c>
      <c r="D2" s="31">
        <v>2</v>
      </c>
    </row>
    <row r="3" spans="1:5">
      <c r="A3" s="38" t="s">
        <v>420</v>
      </c>
      <c r="B3" s="39">
        <v>1</v>
      </c>
      <c r="C3" s="31">
        <v>30</v>
      </c>
      <c r="D3" s="31">
        <v>30</v>
      </c>
    </row>
    <row r="4" spans="1:5">
      <c r="A4" s="38" t="s">
        <v>421</v>
      </c>
      <c r="B4" s="39">
        <v>1</v>
      </c>
      <c r="C4" s="31">
        <v>300</v>
      </c>
      <c r="D4" s="31">
        <v>300</v>
      </c>
    </row>
    <row r="5" spans="1:5">
      <c r="A5" s="38" t="s">
        <v>422</v>
      </c>
      <c r="B5" s="39">
        <v>2</v>
      </c>
      <c r="C5" s="31">
        <v>15</v>
      </c>
      <c r="D5" s="31">
        <f>B5*C5</f>
        <v>30</v>
      </c>
    </row>
    <row r="6" spans="1:5">
      <c r="A6" s="38" t="s">
        <v>423</v>
      </c>
      <c r="B6" s="39">
        <v>1</v>
      </c>
      <c r="C6" s="31">
        <v>20</v>
      </c>
      <c r="D6" s="31">
        <v>20</v>
      </c>
    </row>
    <row r="7" spans="1:5">
      <c r="A7" s="38" t="s">
        <v>424</v>
      </c>
      <c r="B7" s="39">
        <v>1</v>
      </c>
      <c r="C7" s="31">
        <v>200</v>
      </c>
      <c r="D7" s="31">
        <v>200</v>
      </c>
    </row>
    <row r="8" spans="1:5">
      <c r="A8" s="38" t="s">
        <v>315</v>
      </c>
      <c r="B8" s="39">
        <v>1</v>
      </c>
      <c r="C8" s="31">
        <v>15</v>
      </c>
      <c r="D8" s="31">
        <v>15</v>
      </c>
    </row>
    <row r="9" spans="1:5">
      <c r="A9" s="38" t="s">
        <v>425</v>
      </c>
      <c r="B9" s="39">
        <v>1</v>
      </c>
      <c r="C9" s="31">
        <v>54</v>
      </c>
      <c r="D9" s="31">
        <v>54</v>
      </c>
    </row>
    <row r="10" spans="1:5">
      <c r="A10" s="38" t="s">
        <v>426</v>
      </c>
      <c r="B10" s="39">
        <v>1</v>
      </c>
      <c r="C10" s="31">
        <v>28</v>
      </c>
      <c r="D10" s="31">
        <v>28</v>
      </c>
    </row>
    <row r="11" spans="1:5">
      <c r="A11" s="38" t="s">
        <v>427</v>
      </c>
      <c r="B11" s="39">
        <v>1</v>
      </c>
      <c r="C11" s="31">
        <v>8</v>
      </c>
      <c r="D11" s="31">
        <v>8</v>
      </c>
    </row>
    <row r="12" spans="1:5">
      <c r="A12" s="315" t="s">
        <v>428</v>
      </c>
      <c r="B12" s="315"/>
      <c r="C12" s="315"/>
      <c r="D12" s="268">
        <f>SUM(D2:D11)</f>
        <v>687</v>
      </c>
      <c r="E12" s="209"/>
    </row>
  </sheetData>
  <mergeCells count="1">
    <mergeCell ref="A12:C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pane ySplit="1" topLeftCell="A8" activePane="bottomLeft" state="frozen"/>
      <selection pane="bottomLeft" activeCell="E12" sqref="E12"/>
    </sheetView>
  </sheetViews>
  <sheetFormatPr defaultColWidth="9.140625" defaultRowHeight="12.75"/>
  <cols>
    <col min="1" max="1" width="24.28515625" style="32" bestFit="1" customWidth="1"/>
    <col min="2" max="2" width="47.85546875" style="32" bestFit="1" customWidth="1"/>
    <col min="3" max="3" width="9.140625" style="33" bestFit="1" customWidth="1"/>
    <col min="4" max="4" width="7.5703125" style="33" bestFit="1" customWidth="1"/>
    <col min="5" max="5" width="9.7109375" style="33" bestFit="1" customWidth="1"/>
    <col min="6" max="6" width="7.5703125" style="33" bestFit="1" customWidth="1"/>
    <col min="7" max="7" width="17.28515625" style="32" customWidth="1"/>
    <col min="8" max="8" width="9.140625" style="32"/>
    <col min="9" max="9" width="24.5703125" style="32" customWidth="1"/>
    <col min="10" max="10" width="9.140625" style="32"/>
    <col min="11" max="11" width="13.140625" style="32" customWidth="1"/>
    <col min="12" max="12" width="9.140625" style="32"/>
    <col min="13" max="13" width="25.5703125" style="32" customWidth="1"/>
    <col min="14" max="14" width="20" style="32" customWidth="1"/>
    <col min="15" max="16384" width="9.140625" style="32"/>
  </cols>
  <sheetData>
    <row r="1" spans="1:6">
      <c r="A1" s="34" t="s">
        <v>403</v>
      </c>
      <c r="B1" s="34" t="s">
        <v>404</v>
      </c>
      <c r="C1" s="35" t="s">
        <v>358</v>
      </c>
      <c r="D1" s="36" t="s">
        <v>316</v>
      </c>
      <c r="E1" s="37" t="s">
        <v>62</v>
      </c>
    </row>
    <row r="2" spans="1:6">
      <c r="A2" s="38" t="s">
        <v>405</v>
      </c>
      <c r="B2" s="38" t="s">
        <v>406</v>
      </c>
      <c r="C2" s="163">
        <v>6000</v>
      </c>
      <c r="D2" s="164">
        <v>0.9</v>
      </c>
      <c r="E2" s="164">
        <f>C2*D2</f>
        <v>5400</v>
      </c>
    </row>
    <row r="3" spans="1:6">
      <c r="A3" s="38" t="s">
        <v>318</v>
      </c>
      <c r="B3" s="38" t="s">
        <v>407</v>
      </c>
      <c r="C3" s="39">
        <v>10000</v>
      </c>
      <c r="D3" s="164">
        <v>0.02</v>
      </c>
      <c r="E3" s="164">
        <f>C3*D3</f>
        <v>200</v>
      </c>
    </row>
    <row r="4" spans="1:6">
      <c r="A4" s="38" t="s">
        <v>408</v>
      </c>
      <c r="B4" s="38" t="s">
        <v>409</v>
      </c>
      <c r="C4" s="39">
        <v>2</v>
      </c>
      <c r="D4" s="164">
        <v>120</v>
      </c>
      <c r="E4" s="164">
        <f>C4*D4</f>
        <v>240</v>
      </c>
    </row>
    <row r="5" spans="1:6" ht="13.5" thickBot="1">
      <c r="A5" s="40" t="s">
        <v>410</v>
      </c>
      <c r="B5" s="40" t="s">
        <v>411</v>
      </c>
      <c r="C5" s="41">
        <f>C11</f>
        <v>60</v>
      </c>
      <c r="D5" s="165">
        <f>D11</f>
        <v>7.2</v>
      </c>
      <c r="E5" s="164">
        <f>F11</f>
        <v>432</v>
      </c>
    </row>
    <row r="6" spans="1:6" ht="13.5" thickBot="1">
      <c r="A6" s="312" t="s">
        <v>319</v>
      </c>
      <c r="B6" s="313"/>
      <c r="C6" s="313"/>
      <c r="D6" s="313"/>
      <c r="E6" s="156">
        <f>SUM(E2:E5)</f>
        <v>6272</v>
      </c>
    </row>
    <row r="9" spans="1:6" ht="13.5" thickBot="1"/>
    <row r="10" spans="1:6" ht="13.5" thickBot="1">
      <c r="A10" s="32" t="s">
        <v>412</v>
      </c>
      <c r="B10" s="166" t="s">
        <v>411</v>
      </c>
      <c r="C10" s="35" t="s">
        <v>358</v>
      </c>
      <c r="D10" s="35" t="s">
        <v>316</v>
      </c>
      <c r="E10" s="35" t="s">
        <v>413</v>
      </c>
      <c r="F10" s="167" t="s">
        <v>62</v>
      </c>
    </row>
    <row r="11" spans="1:6" ht="13.5" thickBot="1">
      <c r="B11" s="168" t="s">
        <v>414</v>
      </c>
      <c r="C11" s="39">
        <f>5*12</f>
        <v>60</v>
      </c>
      <c r="D11" s="39">
        <v>7.2</v>
      </c>
      <c r="E11" s="39" t="s">
        <v>415</v>
      </c>
      <c r="F11" s="164">
        <f>5*D11*12</f>
        <v>432</v>
      </c>
    </row>
    <row r="13" spans="1:6">
      <c r="A13" s="329" t="s">
        <v>416</v>
      </c>
      <c r="B13" s="329"/>
    </row>
    <row r="14" spans="1:6" ht="13.5" thickBot="1"/>
    <row r="15" spans="1:6" ht="13.5" thickBot="1">
      <c r="A15" s="32" t="s">
        <v>417</v>
      </c>
      <c r="B15" s="166" t="s">
        <v>411</v>
      </c>
      <c r="C15" s="35" t="s">
        <v>358</v>
      </c>
      <c r="D15" s="35" t="s">
        <v>316</v>
      </c>
      <c r="E15" s="35" t="s">
        <v>413</v>
      </c>
      <c r="F15" s="167" t="s">
        <v>62</v>
      </c>
    </row>
    <row r="16" spans="1:6" ht="13.5" thickBot="1">
      <c r="A16" s="32" t="s">
        <v>418</v>
      </c>
      <c r="B16" s="168" t="s">
        <v>414</v>
      </c>
      <c r="C16" s="39">
        <v>5</v>
      </c>
      <c r="D16" s="39">
        <v>7.2</v>
      </c>
      <c r="E16" s="289" t="s">
        <v>415</v>
      </c>
      <c r="F16" s="164">
        <f>5*D16</f>
        <v>36</v>
      </c>
    </row>
    <row r="19" spans="1:6" ht="39.75" customHeight="1">
      <c r="A19" s="10" t="s">
        <v>223</v>
      </c>
      <c r="B19" s="11" t="s">
        <v>230</v>
      </c>
    </row>
    <row r="20" spans="1:6">
      <c r="A20" s="4" t="s">
        <v>224</v>
      </c>
      <c r="B20" s="12">
        <v>19.95</v>
      </c>
    </row>
    <row r="21" spans="1:6">
      <c r="A21" s="4" t="s">
        <v>225</v>
      </c>
      <c r="B21" s="12">
        <v>21.1</v>
      </c>
    </row>
    <row r="22" spans="1:6">
      <c r="A22" s="4" t="s">
        <v>286</v>
      </c>
      <c r="B22" s="12">
        <v>24.85</v>
      </c>
    </row>
    <row r="23" spans="1:6">
      <c r="A23" s="4" t="s">
        <v>226</v>
      </c>
      <c r="B23" s="12">
        <v>23.5</v>
      </c>
    </row>
    <row r="24" spans="1:6">
      <c r="A24" s="4" t="s">
        <v>227</v>
      </c>
      <c r="B24" s="12">
        <v>27.5</v>
      </c>
    </row>
    <row r="25" spans="1:6">
      <c r="A25" s="4" t="s">
        <v>228</v>
      </c>
      <c r="B25" s="12">
        <v>29.95</v>
      </c>
    </row>
    <row r="26" spans="1:6">
      <c r="A26" s="4" t="s">
        <v>229</v>
      </c>
      <c r="B26" s="12">
        <f>0.5*30*12</f>
        <v>180</v>
      </c>
    </row>
    <row r="27" spans="1:6">
      <c r="A27" s="4" t="s">
        <v>285</v>
      </c>
      <c r="B27" s="12">
        <f>2.13*12</f>
        <v>25.56</v>
      </c>
    </row>
    <row r="28" spans="1:6">
      <c r="A28" s="6"/>
      <c r="B28" s="13">
        <f>SUM(B20:B27)</f>
        <v>352.41</v>
      </c>
      <c r="C28" s="211">
        <f>+B28/12</f>
        <v>29.367500000000003</v>
      </c>
    </row>
    <row r="31" spans="1:6">
      <c r="B31" s="32" t="s">
        <v>455</v>
      </c>
      <c r="C31" s="210">
        <f>+F16</f>
        <v>36</v>
      </c>
      <c r="D31" s="330" t="s">
        <v>431</v>
      </c>
      <c r="E31" s="330"/>
      <c r="F31" s="330"/>
    </row>
    <row r="36" spans="1:2">
      <c r="A36" s="152" t="s">
        <v>509</v>
      </c>
      <c r="B36" s="152" t="s">
        <v>518</v>
      </c>
    </row>
    <row r="37" spans="1:2">
      <c r="A37" s="38" t="s">
        <v>502</v>
      </c>
      <c r="B37" s="281" t="s">
        <v>510</v>
      </c>
    </row>
    <row r="38" spans="1:2">
      <c r="A38" s="38" t="s">
        <v>503</v>
      </c>
      <c r="B38" s="282">
        <v>200</v>
      </c>
    </row>
    <row r="39" spans="1:2">
      <c r="A39" s="38" t="s">
        <v>504</v>
      </c>
      <c r="B39" s="281">
        <v>600</v>
      </c>
    </row>
    <row r="40" spans="1:2">
      <c r="A40" s="38" t="s">
        <v>505</v>
      </c>
      <c r="B40" s="282">
        <v>200</v>
      </c>
    </row>
    <row r="41" spans="1:2">
      <c r="A41" s="38" t="s">
        <v>506</v>
      </c>
      <c r="B41" s="281">
        <v>400</v>
      </c>
    </row>
    <row r="42" spans="1:2">
      <c r="A42" s="38" t="s">
        <v>507</v>
      </c>
      <c r="B42" s="281">
        <v>600</v>
      </c>
    </row>
    <row r="43" spans="1:2">
      <c r="A43" s="38" t="s">
        <v>508</v>
      </c>
      <c r="B43" s="282">
        <v>200</v>
      </c>
    </row>
    <row r="46" spans="1:2">
      <c r="A46" s="32" t="s">
        <v>511</v>
      </c>
    </row>
    <row r="47" spans="1:2">
      <c r="A47" s="32" t="s">
        <v>512</v>
      </c>
    </row>
    <row r="48" spans="1:2">
      <c r="A48" s="32" t="s">
        <v>513</v>
      </c>
    </row>
    <row r="49" spans="1:1">
      <c r="A49" s="32" t="s">
        <v>514</v>
      </c>
    </row>
    <row r="50" spans="1:1">
      <c r="A50" s="32" t="s">
        <v>515</v>
      </c>
    </row>
    <row r="51" spans="1:1">
      <c r="A51" s="32" t="s">
        <v>516</v>
      </c>
    </row>
    <row r="52" spans="1:1">
      <c r="A52" s="32" t="s">
        <v>517</v>
      </c>
    </row>
  </sheetData>
  <mergeCells count="3">
    <mergeCell ref="A6:D6"/>
    <mergeCell ref="A13:B13"/>
    <mergeCell ref="D31:F31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pane ySplit="2" topLeftCell="A12" activePane="bottomLeft" state="frozen"/>
      <selection pane="bottomLeft" activeCell="G31" sqref="G31"/>
    </sheetView>
  </sheetViews>
  <sheetFormatPr defaultColWidth="9.140625" defaultRowHeight="12.75"/>
  <cols>
    <col min="1" max="1" width="18.7109375" style="171" bestFit="1" customWidth="1"/>
    <col min="2" max="2" width="39.140625" style="171" hidden="1" customWidth="1"/>
    <col min="3" max="3" width="10.140625" style="182" bestFit="1" customWidth="1"/>
    <col min="4" max="4" width="14.140625" style="184" bestFit="1" customWidth="1"/>
    <col min="5" max="5" width="16.28515625" style="171" bestFit="1" customWidth="1"/>
    <col min="6" max="7" width="15.7109375" style="171" bestFit="1" customWidth="1"/>
    <col min="8" max="8" width="14.42578125" style="171" bestFit="1" customWidth="1"/>
    <col min="9" max="16384" width="9.140625" style="171"/>
  </cols>
  <sheetData>
    <row r="1" spans="1:8" ht="25.5">
      <c r="A1" s="333" t="s">
        <v>430</v>
      </c>
      <c r="B1" s="333" t="s">
        <v>9</v>
      </c>
      <c r="C1" s="331" t="s">
        <v>6</v>
      </c>
      <c r="D1" s="318" t="s">
        <v>15</v>
      </c>
      <c r="E1" s="318" t="s">
        <v>16</v>
      </c>
      <c r="F1" s="176" t="s">
        <v>17</v>
      </c>
      <c r="G1" s="176" t="s">
        <v>18</v>
      </c>
      <c r="H1" s="318" t="s">
        <v>19</v>
      </c>
    </row>
    <row r="2" spans="1:8">
      <c r="A2" s="333"/>
      <c r="B2" s="333"/>
      <c r="C2" s="332"/>
      <c r="D2" s="318"/>
      <c r="E2" s="318"/>
      <c r="F2" s="176" t="s">
        <v>2</v>
      </c>
      <c r="G2" s="176" t="s">
        <v>2</v>
      </c>
      <c r="H2" s="318"/>
    </row>
    <row r="3" spans="1:8">
      <c r="A3" s="172" t="s">
        <v>357</v>
      </c>
      <c r="B3" s="172" t="s">
        <v>359</v>
      </c>
      <c r="C3" s="177">
        <v>643.14</v>
      </c>
      <c r="D3" s="183">
        <v>10</v>
      </c>
      <c r="E3" s="185">
        <v>0.1</v>
      </c>
      <c r="F3" s="57">
        <f>C3*E3</f>
        <v>64.314000000000007</v>
      </c>
      <c r="G3" s="57">
        <f t="shared" ref="G3" si="0">F3</f>
        <v>64.314000000000007</v>
      </c>
      <c r="H3" s="57">
        <f>F3/12</f>
        <v>5.3595000000000006</v>
      </c>
    </row>
    <row r="4" spans="1:8">
      <c r="A4" s="172" t="s">
        <v>357</v>
      </c>
      <c r="B4" s="172" t="s">
        <v>106</v>
      </c>
      <c r="C4" s="177">
        <v>477.77</v>
      </c>
      <c r="D4" s="183">
        <v>10</v>
      </c>
      <c r="E4" s="185">
        <v>0.1</v>
      </c>
      <c r="F4" s="57">
        <f t="shared" ref="F4:F28" si="1">C4*E4</f>
        <v>47.777000000000001</v>
      </c>
      <c r="G4" s="57">
        <f t="shared" ref="G4:G28" si="2">F4</f>
        <v>47.777000000000001</v>
      </c>
      <c r="H4" s="57">
        <f t="shared" ref="H4:H28" si="3">F4/12</f>
        <v>3.9814166666666666</v>
      </c>
    </row>
    <row r="5" spans="1:8">
      <c r="A5" s="172" t="s">
        <v>357</v>
      </c>
      <c r="B5" s="172" t="s">
        <v>362</v>
      </c>
      <c r="C5" s="177">
        <v>198.45</v>
      </c>
      <c r="D5" s="183">
        <v>10</v>
      </c>
      <c r="E5" s="185">
        <v>0.1</v>
      </c>
      <c r="F5" s="57">
        <f t="shared" si="1"/>
        <v>19.844999999999999</v>
      </c>
      <c r="G5" s="57">
        <f t="shared" si="2"/>
        <v>19.844999999999999</v>
      </c>
      <c r="H5" s="57">
        <f t="shared" si="3"/>
        <v>1.6537499999999998</v>
      </c>
    </row>
    <row r="6" spans="1:8">
      <c r="A6" s="172" t="s">
        <v>357</v>
      </c>
      <c r="B6" s="172" t="s">
        <v>108</v>
      </c>
      <c r="C6" s="177">
        <v>801.9</v>
      </c>
      <c r="D6" s="183">
        <v>10</v>
      </c>
      <c r="E6" s="185">
        <v>0.1</v>
      </c>
      <c r="F6" s="57">
        <f t="shared" si="1"/>
        <v>80.19</v>
      </c>
      <c r="G6" s="57">
        <f t="shared" si="2"/>
        <v>80.19</v>
      </c>
      <c r="H6" s="57">
        <f t="shared" si="3"/>
        <v>6.6825000000000001</v>
      </c>
    </row>
    <row r="7" spans="1:8">
      <c r="A7" s="172" t="s">
        <v>357</v>
      </c>
      <c r="B7" s="172" t="s">
        <v>364</v>
      </c>
      <c r="C7" s="177">
        <v>64.510000000000005</v>
      </c>
      <c r="D7" s="183">
        <v>10</v>
      </c>
      <c r="E7" s="185">
        <v>0.1</v>
      </c>
      <c r="F7" s="57">
        <f t="shared" si="1"/>
        <v>6.4510000000000005</v>
      </c>
      <c r="G7" s="57">
        <f t="shared" si="2"/>
        <v>6.4510000000000005</v>
      </c>
      <c r="H7" s="57">
        <f t="shared" si="3"/>
        <v>0.53758333333333341</v>
      </c>
    </row>
    <row r="8" spans="1:8">
      <c r="A8" s="172" t="s">
        <v>357</v>
      </c>
      <c r="B8" s="172" t="s">
        <v>366</v>
      </c>
      <c r="C8" s="177">
        <v>67.36</v>
      </c>
      <c r="D8" s="183">
        <v>10</v>
      </c>
      <c r="E8" s="185">
        <v>0.1</v>
      </c>
      <c r="F8" s="57">
        <f t="shared" si="1"/>
        <v>6.7360000000000007</v>
      </c>
      <c r="G8" s="57">
        <f t="shared" si="2"/>
        <v>6.7360000000000007</v>
      </c>
      <c r="H8" s="57">
        <f t="shared" si="3"/>
        <v>0.56133333333333335</v>
      </c>
    </row>
    <row r="9" spans="1:8">
      <c r="A9" s="172" t="s">
        <v>357</v>
      </c>
      <c r="B9" s="172" t="s">
        <v>107</v>
      </c>
      <c r="C9" s="177">
        <v>314.68</v>
      </c>
      <c r="D9" s="183">
        <v>10</v>
      </c>
      <c r="E9" s="185">
        <v>0.1</v>
      </c>
      <c r="F9" s="57">
        <f t="shared" si="1"/>
        <v>31.468000000000004</v>
      </c>
      <c r="G9" s="57">
        <f t="shared" si="2"/>
        <v>31.468000000000004</v>
      </c>
      <c r="H9" s="57">
        <f t="shared" si="3"/>
        <v>2.6223333333333336</v>
      </c>
    </row>
    <row r="10" spans="1:8">
      <c r="A10" s="172" t="s">
        <v>357</v>
      </c>
      <c r="B10" s="172" t="s">
        <v>368</v>
      </c>
      <c r="C10" s="177">
        <v>470.16</v>
      </c>
      <c r="D10" s="183">
        <v>10</v>
      </c>
      <c r="E10" s="185">
        <v>0.1</v>
      </c>
      <c r="F10" s="57">
        <f t="shared" si="1"/>
        <v>47.016000000000005</v>
      </c>
      <c r="G10" s="57">
        <f t="shared" si="2"/>
        <v>47.016000000000005</v>
      </c>
      <c r="H10" s="57">
        <f t="shared" si="3"/>
        <v>3.9180000000000006</v>
      </c>
    </row>
    <row r="11" spans="1:8">
      <c r="A11" s="172" t="s">
        <v>357</v>
      </c>
      <c r="B11" s="172" t="s">
        <v>369</v>
      </c>
      <c r="C11" s="177">
        <v>16.149999999999999</v>
      </c>
      <c r="D11" s="183">
        <v>10</v>
      </c>
      <c r="E11" s="185">
        <v>0.1</v>
      </c>
      <c r="F11" s="57">
        <f t="shared" si="1"/>
        <v>1.615</v>
      </c>
      <c r="G11" s="57">
        <f t="shared" si="2"/>
        <v>1.615</v>
      </c>
      <c r="H11" s="57">
        <f t="shared" si="3"/>
        <v>0.13458333333333333</v>
      </c>
    </row>
    <row r="12" spans="1:8">
      <c r="A12" s="172" t="s">
        <v>357</v>
      </c>
      <c r="B12" s="172" t="s">
        <v>371</v>
      </c>
      <c r="C12" s="177">
        <v>315</v>
      </c>
      <c r="D12" s="183">
        <v>10</v>
      </c>
      <c r="E12" s="185">
        <v>0.1</v>
      </c>
      <c r="F12" s="57">
        <f t="shared" si="1"/>
        <v>31.5</v>
      </c>
      <c r="G12" s="57">
        <f t="shared" si="2"/>
        <v>31.5</v>
      </c>
      <c r="H12" s="57">
        <f t="shared" si="3"/>
        <v>2.625</v>
      </c>
    </row>
    <row r="13" spans="1:8">
      <c r="A13" s="172" t="s">
        <v>357</v>
      </c>
      <c r="B13" s="4" t="s">
        <v>373</v>
      </c>
      <c r="C13" s="178">
        <v>4750.2</v>
      </c>
      <c r="D13" s="183">
        <v>10</v>
      </c>
      <c r="E13" s="185">
        <v>0.1</v>
      </c>
      <c r="F13" s="57">
        <f t="shared" si="1"/>
        <v>475.02</v>
      </c>
      <c r="G13" s="57">
        <f t="shared" si="2"/>
        <v>475.02</v>
      </c>
      <c r="H13" s="57">
        <f t="shared" si="3"/>
        <v>39.585000000000001</v>
      </c>
    </row>
    <row r="14" spans="1:8">
      <c r="A14" s="172" t="s">
        <v>357</v>
      </c>
      <c r="B14" s="173" t="s">
        <v>375</v>
      </c>
      <c r="C14" s="177">
        <v>266.11</v>
      </c>
      <c r="D14" s="183">
        <v>10</v>
      </c>
      <c r="E14" s="185">
        <v>0.1</v>
      </c>
      <c r="F14" s="57">
        <f t="shared" si="1"/>
        <v>26.611000000000004</v>
      </c>
      <c r="G14" s="57">
        <f t="shared" si="2"/>
        <v>26.611000000000004</v>
      </c>
      <c r="H14" s="57">
        <f t="shared" si="3"/>
        <v>2.2175833333333337</v>
      </c>
    </row>
    <row r="15" spans="1:8">
      <c r="A15" s="172" t="s">
        <v>357</v>
      </c>
      <c r="B15" s="173" t="s">
        <v>58</v>
      </c>
      <c r="C15" s="179">
        <v>117.01</v>
      </c>
      <c r="D15" s="183">
        <v>10</v>
      </c>
      <c r="E15" s="185">
        <v>0.1</v>
      </c>
      <c r="F15" s="57">
        <f t="shared" si="1"/>
        <v>11.701000000000001</v>
      </c>
      <c r="G15" s="57">
        <f t="shared" si="2"/>
        <v>11.701000000000001</v>
      </c>
      <c r="H15" s="57">
        <f t="shared" si="3"/>
        <v>0.97508333333333341</v>
      </c>
    </row>
    <row r="16" spans="1:8">
      <c r="A16" s="172" t="s">
        <v>357</v>
      </c>
      <c r="B16" s="174" t="s">
        <v>378</v>
      </c>
      <c r="C16" s="179">
        <v>1148.72</v>
      </c>
      <c r="D16" s="183">
        <v>10</v>
      </c>
      <c r="E16" s="185">
        <v>0.1</v>
      </c>
      <c r="F16" s="57">
        <f t="shared" si="1"/>
        <v>114.87200000000001</v>
      </c>
      <c r="G16" s="57">
        <f t="shared" si="2"/>
        <v>114.87200000000001</v>
      </c>
      <c r="H16" s="57">
        <f t="shared" si="3"/>
        <v>9.5726666666666684</v>
      </c>
    </row>
    <row r="17" spans="1:8">
      <c r="A17" s="172" t="s">
        <v>357</v>
      </c>
      <c r="B17" s="173" t="s">
        <v>380</v>
      </c>
      <c r="C17" s="179">
        <v>840.04</v>
      </c>
      <c r="D17" s="183">
        <v>10</v>
      </c>
      <c r="E17" s="185">
        <v>0.1</v>
      </c>
      <c r="F17" s="57">
        <f t="shared" si="1"/>
        <v>84.004000000000005</v>
      </c>
      <c r="G17" s="57">
        <f t="shared" si="2"/>
        <v>84.004000000000005</v>
      </c>
      <c r="H17" s="57">
        <f t="shared" si="3"/>
        <v>7.0003333333333337</v>
      </c>
    </row>
    <row r="18" spans="1:8">
      <c r="A18" s="172" t="s">
        <v>350</v>
      </c>
      <c r="B18" s="172" t="s">
        <v>156</v>
      </c>
      <c r="C18" s="177">
        <v>1210</v>
      </c>
      <c r="D18" s="183">
        <v>10</v>
      </c>
      <c r="E18" s="185">
        <v>0.1</v>
      </c>
      <c r="F18" s="57">
        <f t="shared" si="1"/>
        <v>121</v>
      </c>
      <c r="G18" s="57">
        <f t="shared" si="2"/>
        <v>121</v>
      </c>
      <c r="H18" s="57">
        <f t="shared" si="3"/>
        <v>10.083333333333334</v>
      </c>
    </row>
    <row r="19" spans="1:8">
      <c r="A19" s="172" t="s">
        <v>350</v>
      </c>
      <c r="B19" s="172" t="s">
        <v>158</v>
      </c>
      <c r="C19" s="177">
        <v>74</v>
      </c>
      <c r="D19" s="183">
        <v>10</v>
      </c>
      <c r="E19" s="185">
        <v>0.1</v>
      </c>
      <c r="F19" s="57">
        <f t="shared" si="1"/>
        <v>7.4</v>
      </c>
      <c r="G19" s="57">
        <f t="shared" si="2"/>
        <v>7.4</v>
      </c>
      <c r="H19" s="57">
        <f t="shared" si="3"/>
        <v>0.6166666666666667</v>
      </c>
    </row>
    <row r="20" spans="1:8">
      <c r="A20" s="172" t="s">
        <v>352</v>
      </c>
      <c r="B20" s="172" t="s">
        <v>161</v>
      </c>
      <c r="C20" s="177">
        <v>688.75</v>
      </c>
      <c r="D20" s="183">
        <v>3</v>
      </c>
      <c r="E20" s="185">
        <v>0.33</v>
      </c>
      <c r="F20" s="57">
        <f t="shared" si="1"/>
        <v>227.28750000000002</v>
      </c>
      <c r="G20" s="57">
        <f t="shared" si="2"/>
        <v>227.28750000000002</v>
      </c>
      <c r="H20" s="57">
        <f t="shared" si="3"/>
        <v>18.940625000000001</v>
      </c>
    </row>
    <row r="21" spans="1:8">
      <c r="A21" s="172" t="s">
        <v>353</v>
      </c>
      <c r="B21" s="205" t="s">
        <v>442</v>
      </c>
      <c r="C21" s="177">
        <v>800</v>
      </c>
      <c r="D21" s="183">
        <v>10</v>
      </c>
      <c r="E21" s="185">
        <v>0.1</v>
      </c>
      <c r="F21" s="57">
        <f t="shared" ref="F21" si="4">C21*E21</f>
        <v>80</v>
      </c>
      <c r="G21" s="57">
        <f t="shared" ref="G21" si="5">F21</f>
        <v>80</v>
      </c>
      <c r="H21" s="57">
        <f t="shared" ref="H21" si="6">F21/12</f>
        <v>6.666666666666667</v>
      </c>
    </row>
    <row r="22" spans="1:8">
      <c r="A22" s="172" t="s">
        <v>353</v>
      </c>
      <c r="B22" s="180" t="s">
        <v>163</v>
      </c>
      <c r="C22" s="177">
        <v>1645</v>
      </c>
      <c r="D22" s="183">
        <v>10</v>
      </c>
      <c r="E22" s="185">
        <v>0.1</v>
      </c>
      <c r="F22" s="57">
        <f t="shared" si="1"/>
        <v>164.5</v>
      </c>
      <c r="G22" s="57">
        <f t="shared" si="2"/>
        <v>164.5</v>
      </c>
      <c r="H22" s="57">
        <f t="shared" si="3"/>
        <v>13.708333333333334</v>
      </c>
    </row>
    <row r="23" spans="1:8">
      <c r="A23" s="172" t="s">
        <v>353</v>
      </c>
      <c r="B23" s="181" t="s">
        <v>165</v>
      </c>
      <c r="C23" s="177">
        <v>220</v>
      </c>
      <c r="D23" s="183">
        <v>10</v>
      </c>
      <c r="E23" s="185">
        <v>0.1</v>
      </c>
      <c r="F23" s="57">
        <f t="shared" si="1"/>
        <v>22</v>
      </c>
      <c r="G23" s="57">
        <f t="shared" si="2"/>
        <v>22</v>
      </c>
      <c r="H23" s="57">
        <f t="shared" si="3"/>
        <v>1.8333333333333333</v>
      </c>
    </row>
    <row r="24" spans="1:8">
      <c r="A24" s="172" t="s">
        <v>353</v>
      </c>
      <c r="B24" s="181" t="s">
        <v>222</v>
      </c>
      <c r="C24" s="177">
        <v>120</v>
      </c>
      <c r="D24" s="183">
        <v>10</v>
      </c>
      <c r="E24" s="185">
        <v>0.1</v>
      </c>
      <c r="F24" s="57">
        <f t="shared" si="1"/>
        <v>12</v>
      </c>
      <c r="G24" s="57">
        <f t="shared" si="2"/>
        <v>12</v>
      </c>
      <c r="H24" s="57">
        <f t="shared" si="3"/>
        <v>1</v>
      </c>
    </row>
    <row r="25" spans="1:8">
      <c r="A25" s="172" t="s">
        <v>353</v>
      </c>
      <c r="B25" s="181" t="s">
        <v>167</v>
      </c>
      <c r="C25" s="177">
        <v>699</v>
      </c>
      <c r="D25" s="183">
        <v>10</v>
      </c>
      <c r="E25" s="185">
        <v>0.1</v>
      </c>
      <c r="F25" s="57">
        <f t="shared" si="1"/>
        <v>69.900000000000006</v>
      </c>
      <c r="G25" s="57">
        <f t="shared" si="2"/>
        <v>69.900000000000006</v>
      </c>
      <c r="H25" s="57">
        <f t="shared" si="3"/>
        <v>5.8250000000000002</v>
      </c>
    </row>
    <row r="26" spans="1:8">
      <c r="A26" s="172" t="s">
        <v>353</v>
      </c>
      <c r="B26" s="181" t="s">
        <v>169</v>
      </c>
      <c r="C26" s="177">
        <v>1650</v>
      </c>
      <c r="D26" s="183">
        <v>10</v>
      </c>
      <c r="E26" s="185">
        <v>0.1</v>
      </c>
      <c r="F26" s="57">
        <f t="shared" si="1"/>
        <v>165</v>
      </c>
      <c r="G26" s="57">
        <f t="shared" si="2"/>
        <v>165</v>
      </c>
      <c r="H26" s="57">
        <f t="shared" si="3"/>
        <v>13.75</v>
      </c>
    </row>
    <row r="27" spans="1:8">
      <c r="A27" s="172" t="s">
        <v>353</v>
      </c>
      <c r="B27" s="181" t="s">
        <v>173</v>
      </c>
      <c r="C27" s="177">
        <v>2280</v>
      </c>
      <c r="D27" s="183">
        <v>10</v>
      </c>
      <c r="E27" s="185">
        <v>0.1</v>
      </c>
      <c r="F27" s="57">
        <f t="shared" si="1"/>
        <v>228</v>
      </c>
      <c r="G27" s="57">
        <f t="shared" si="2"/>
        <v>228</v>
      </c>
      <c r="H27" s="57">
        <f t="shared" si="3"/>
        <v>19</v>
      </c>
    </row>
    <row r="28" spans="1:8">
      <c r="A28" s="172" t="s">
        <v>353</v>
      </c>
      <c r="B28" s="181" t="s">
        <v>175</v>
      </c>
      <c r="C28" s="177">
        <v>1240</v>
      </c>
      <c r="D28" s="183">
        <v>10</v>
      </c>
      <c r="E28" s="185">
        <v>0.1</v>
      </c>
      <c r="F28" s="57">
        <f t="shared" si="1"/>
        <v>124</v>
      </c>
      <c r="G28" s="57">
        <f t="shared" si="2"/>
        <v>124</v>
      </c>
      <c r="H28" s="57">
        <f t="shared" si="3"/>
        <v>10.333333333333334</v>
      </c>
    </row>
    <row r="29" spans="1:8">
      <c r="C29" s="206">
        <f>SUM(C3:C28)</f>
        <v>21117.95</v>
      </c>
      <c r="H29" s="186">
        <f>SUM(H3:H28)</f>
        <v>189.18395833333332</v>
      </c>
    </row>
  </sheetData>
  <mergeCells count="6">
    <mergeCell ref="H1:H2"/>
    <mergeCell ref="C1:C2"/>
    <mergeCell ref="B1:B2"/>
    <mergeCell ref="A1:A2"/>
    <mergeCell ref="D1:D2"/>
    <mergeCell ref="E1: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"/>
  <sheetViews>
    <sheetView zoomScale="110" zoomScaleNormal="110" workbookViewId="0">
      <selection activeCell="D11" sqref="D11"/>
    </sheetView>
  </sheetViews>
  <sheetFormatPr defaultColWidth="9.140625" defaultRowHeight="12.75"/>
  <cols>
    <col min="1" max="1" width="17.85546875" style="256" bestFit="1" customWidth="1"/>
    <col min="2" max="2" width="7.42578125" style="256" bestFit="1" customWidth="1"/>
    <col min="3" max="3" width="9.140625" style="256" bestFit="1" customWidth="1"/>
    <col min="4" max="10" width="7.42578125" style="256" bestFit="1" customWidth="1"/>
    <col min="11" max="13" width="8.140625" style="256" bestFit="1" customWidth="1"/>
    <col min="14" max="16384" width="9.140625" style="256"/>
  </cols>
  <sheetData>
    <row r="1" spans="1:13">
      <c r="A1" s="334" t="s">
        <v>330</v>
      </c>
      <c r="B1" s="334"/>
      <c r="C1" s="334"/>
      <c r="D1" s="334"/>
      <c r="E1" s="334"/>
      <c r="F1" s="334"/>
      <c r="G1" s="334"/>
      <c r="H1" s="255"/>
      <c r="I1" s="255"/>
      <c r="J1" s="255"/>
      <c r="K1" s="255"/>
      <c r="L1" s="255"/>
      <c r="M1" s="255"/>
    </row>
    <row r="2" spans="1:13">
      <c r="A2" s="14" t="s">
        <v>9</v>
      </c>
      <c r="B2" s="14" t="s">
        <v>331</v>
      </c>
      <c r="C2" s="14" t="s">
        <v>332</v>
      </c>
      <c r="D2" s="14" t="s">
        <v>333</v>
      </c>
      <c r="E2" s="14" t="s">
        <v>334</v>
      </c>
      <c r="F2" s="14" t="s">
        <v>335</v>
      </c>
      <c r="G2" s="14" t="s">
        <v>336</v>
      </c>
      <c r="H2" s="14" t="s">
        <v>337</v>
      </c>
      <c r="I2" s="14" t="s">
        <v>338</v>
      </c>
      <c r="J2" s="14" t="s">
        <v>339</v>
      </c>
      <c r="K2" s="14" t="s">
        <v>340</v>
      </c>
      <c r="L2" s="14" t="s">
        <v>341</v>
      </c>
      <c r="M2" s="14" t="s">
        <v>342</v>
      </c>
    </row>
    <row r="3" spans="1:13">
      <c r="A3" s="254" t="s">
        <v>343</v>
      </c>
      <c r="B3" s="280">
        <f>+'P&amp;G'!C30+'P&amp;G'!C23+'P&amp;G'!C24</f>
        <v>-3275.5099956597223</v>
      </c>
      <c r="C3" s="280">
        <f>+'P&amp;G'!D30+'P&amp;G'!D23+'P&amp;G'!D24</f>
        <v>-3275.5099956597223</v>
      </c>
      <c r="D3" s="280">
        <f>+'P&amp;G'!E30+'P&amp;G'!E23+'P&amp;G'!E24</f>
        <v>442.57225434027799</v>
      </c>
      <c r="E3" s="280">
        <f>+'P&amp;G'!F30+'P&amp;G'!F23+'P&amp;G'!F24</f>
        <v>442.57225434027799</v>
      </c>
      <c r="F3" s="280">
        <f>+'P&amp;G'!G30+'P&amp;G'!G23+'P&amp;G'!G24</f>
        <v>442.57225434027799</v>
      </c>
      <c r="G3" s="280">
        <f>+'P&amp;G'!H30+'P&amp;G'!H23+'P&amp;G'!H24</f>
        <v>442.57225434027799</v>
      </c>
      <c r="H3" s="280">
        <f>+'P&amp;G'!I30+'P&amp;G'!I23+'P&amp;G'!I24</f>
        <v>442.57225434027799</v>
      </c>
      <c r="I3" s="280">
        <f>+'P&amp;G'!J30+'P&amp;G'!J23+'P&amp;G'!J24</f>
        <v>442.57225434027799</v>
      </c>
      <c r="J3" s="280">
        <f>+'P&amp;G'!K30+'P&amp;G'!K23+'P&amp;G'!K24</f>
        <v>442.57225434027799</v>
      </c>
      <c r="K3" s="280">
        <f>+'P&amp;G'!L30+'P&amp;G'!L23+'P&amp;G'!L24</f>
        <v>442.57225434027799</v>
      </c>
      <c r="L3" s="280">
        <f>+'P&amp;G'!M30+'P&amp;G'!M23+'P&amp;G'!M24</f>
        <v>442.57225434027799</v>
      </c>
      <c r="M3" s="280">
        <f>+'P&amp;G'!N30+'P&amp;G'!N23+'P&amp;G'!N24</f>
        <v>442.57225434027799</v>
      </c>
    </row>
    <row r="4" spans="1:13">
      <c r="A4" s="254" t="s">
        <v>344</v>
      </c>
      <c r="B4" s="280">
        <f>B3</f>
        <v>-3275.5099956597223</v>
      </c>
      <c r="C4" s="285">
        <f>C3+B4</f>
        <v>-6551.0199913194447</v>
      </c>
      <c r="D4" s="280">
        <f t="shared" ref="D4:M4" si="0">D3+C4</f>
        <v>-6108.4477369791666</v>
      </c>
      <c r="E4" s="280">
        <f t="shared" si="0"/>
        <v>-5665.8754826388886</v>
      </c>
      <c r="F4" s="280">
        <f t="shared" si="0"/>
        <v>-5223.3032282986105</v>
      </c>
      <c r="G4" s="280">
        <f t="shared" si="0"/>
        <v>-4780.7309739583325</v>
      </c>
      <c r="H4" s="280">
        <f t="shared" si="0"/>
        <v>-4338.1587196180544</v>
      </c>
      <c r="I4" s="280">
        <f t="shared" si="0"/>
        <v>-3895.5864652777764</v>
      </c>
      <c r="J4" s="280">
        <f t="shared" si="0"/>
        <v>-3453.0142109374983</v>
      </c>
      <c r="K4" s="280">
        <f t="shared" si="0"/>
        <v>-3010.4419565972203</v>
      </c>
      <c r="L4" s="280">
        <f t="shared" si="0"/>
        <v>-2567.8697022569422</v>
      </c>
      <c r="M4" s="280">
        <f t="shared" si="0"/>
        <v>-2125.2974479166642</v>
      </c>
    </row>
    <row r="11" spans="1:13">
      <c r="D11" s="256">
        <v>6551</v>
      </c>
    </row>
  </sheetData>
  <mergeCells count="1"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/>
  <dimension ref="A1:P129"/>
  <sheetViews>
    <sheetView topLeftCell="E1" zoomScale="90" zoomScaleNormal="90" workbookViewId="0">
      <pane ySplit="4" topLeftCell="A5" activePane="bottomLeft" state="frozen"/>
      <selection pane="bottomLeft" activeCell="H12" sqref="H12"/>
    </sheetView>
  </sheetViews>
  <sheetFormatPr defaultColWidth="9.140625" defaultRowHeight="12.75"/>
  <cols>
    <col min="1" max="1" width="31.28515625" style="15" bestFit="1" customWidth="1"/>
    <col min="2" max="2" width="9.85546875" style="15" bestFit="1" customWidth="1"/>
    <col min="3" max="3" width="17" style="15" bestFit="1" customWidth="1"/>
    <col min="4" max="4" width="18.140625" style="15" bestFit="1" customWidth="1"/>
    <col min="5" max="5" width="11.140625" style="15" bestFit="1" customWidth="1"/>
    <col min="6" max="6" width="17" style="15" bestFit="1" customWidth="1"/>
    <col min="7" max="7" width="18.140625" style="15" bestFit="1" customWidth="1"/>
    <col min="8" max="8" width="9.85546875" style="15" bestFit="1" customWidth="1"/>
    <col min="9" max="9" width="17" style="15" bestFit="1" customWidth="1"/>
    <col min="10" max="10" width="24.140625" style="15" bestFit="1" customWidth="1"/>
    <col min="11" max="11" width="11.140625" style="15" bestFit="1" customWidth="1"/>
    <col min="12" max="13" width="24.140625" style="15" bestFit="1" customWidth="1"/>
    <col min="14" max="14" width="10.42578125" style="15" bestFit="1" customWidth="1"/>
    <col min="15" max="15" width="20.42578125" style="15" customWidth="1"/>
    <col min="16" max="16" width="24.140625" style="15" bestFit="1" customWidth="1"/>
    <col min="17" max="16384" width="9.140625" style="15"/>
  </cols>
  <sheetData>
    <row r="1" spans="1:16">
      <c r="A1" s="88" t="s">
        <v>56</v>
      </c>
    </row>
    <row r="3" spans="1:16" s="16" customFormat="1">
      <c r="B3" s="337" t="s">
        <v>10</v>
      </c>
      <c r="C3" s="337"/>
      <c r="D3" s="337"/>
      <c r="E3" s="337" t="s">
        <v>21</v>
      </c>
      <c r="F3" s="337"/>
      <c r="G3" s="337"/>
      <c r="H3" s="337" t="s">
        <v>20</v>
      </c>
      <c r="I3" s="337"/>
      <c r="J3" s="337"/>
      <c r="K3" s="337" t="s">
        <v>22</v>
      </c>
      <c r="L3" s="337"/>
      <c r="M3" s="337"/>
      <c r="N3" s="337" t="s">
        <v>23</v>
      </c>
      <c r="O3" s="337"/>
      <c r="P3" s="337"/>
    </row>
    <row r="4" spans="1:16" ht="33" customHeight="1">
      <c r="A4" s="10" t="s">
        <v>37</v>
      </c>
      <c r="B4" s="17" t="s">
        <v>36</v>
      </c>
      <c r="C4" s="89" t="s">
        <v>38</v>
      </c>
      <c r="D4" s="89" t="s">
        <v>39</v>
      </c>
      <c r="E4" s="17" t="s">
        <v>36</v>
      </c>
      <c r="F4" s="89" t="s">
        <v>38</v>
      </c>
      <c r="G4" s="89" t="s">
        <v>39</v>
      </c>
      <c r="H4" s="17" t="s">
        <v>36</v>
      </c>
      <c r="I4" s="89" t="s">
        <v>38</v>
      </c>
      <c r="J4" s="89" t="s">
        <v>39</v>
      </c>
      <c r="K4" s="17" t="s">
        <v>36</v>
      </c>
      <c r="L4" s="89" t="s">
        <v>38</v>
      </c>
      <c r="M4" s="89" t="s">
        <v>39</v>
      </c>
      <c r="N4" s="17" t="s">
        <v>36</v>
      </c>
      <c r="O4" s="89" t="s">
        <v>38</v>
      </c>
      <c r="P4" s="89" t="s">
        <v>39</v>
      </c>
    </row>
    <row r="5" spans="1:16">
      <c r="A5" s="18" t="s">
        <v>253</v>
      </c>
      <c r="B5" s="19">
        <v>580</v>
      </c>
      <c r="C5" s="20">
        <f>+B5*9.35%</f>
        <v>54.23</v>
      </c>
      <c r="D5" s="20">
        <f>+B5*12.15%</f>
        <v>70.47</v>
      </c>
      <c r="E5" s="19">
        <v>580</v>
      </c>
      <c r="F5" s="20">
        <f>+E5*9.35%</f>
        <v>54.23</v>
      </c>
      <c r="G5" s="20">
        <f>+E5*12.15%</f>
        <v>70.47</v>
      </c>
      <c r="H5" s="19">
        <f>+B5*1.1</f>
        <v>638</v>
      </c>
      <c r="I5" s="20">
        <f>+H5*9.35%</f>
        <v>59.652999999999999</v>
      </c>
      <c r="J5" s="20">
        <f>+H5*12.15%</f>
        <v>77.516999999999996</v>
      </c>
      <c r="K5" s="19">
        <v>638</v>
      </c>
      <c r="L5" s="20">
        <f>+K5*9.35%</f>
        <v>59.652999999999999</v>
      </c>
      <c r="M5" s="20">
        <f>+K5*12.15%</f>
        <v>77.516999999999996</v>
      </c>
      <c r="N5" s="19">
        <v>638</v>
      </c>
      <c r="O5" s="20">
        <f>+N5*9.35%</f>
        <v>59.652999999999999</v>
      </c>
      <c r="P5" s="20">
        <f>+N5*12.15%</f>
        <v>77.516999999999996</v>
      </c>
    </row>
    <row r="6" spans="1:16">
      <c r="A6" s="18" t="s">
        <v>33</v>
      </c>
      <c r="B6" s="19">
        <v>280</v>
      </c>
      <c r="C6" s="20">
        <f>+B6*9.35%</f>
        <v>26.18</v>
      </c>
      <c r="D6" s="20">
        <f>+B6*12.15%</f>
        <v>34.019999999999996</v>
      </c>
      <c r="E6" s="19">
        <v>280</v>
      </c>
      <c r="F6" s="20">
        <f>+E6*9.35%</f>
        <v>26.18</v>
      </c>
      <c r="G6" s="20">
        <f>+E6*12.15%</f>
        <v>34.019999999999996</v>
      </c>
      <c r="H6" s="19">
        <f t="shared" ref="H6:H9" si="0">+B6*1.1</f>
        <v>308</v>
      </c>
      <c r="I6" s="20">
        <f>+H6*9.35%</f>
        <v>28.797999999999998</v>
      </c>
      <c r="J6" s="20">
        <f>+H6*12.15%</f>
        <v>37.421999999999997</v>
      </c>
      <c r="K6" s="19">
        <v>308</v>
      </c>
      <c r="L6" s="20">
        <f>+K6*9.35%</f>
        <v>28.797999999999998</v>
      </c>
      <c r="M6" s="20">
        <f>+K6*12.15%</f>
        <v>37.421999999999997</v>
      </c>
      <c r="N6" s="19">
        <v>308</v>
      </c>
      <c r="O6" s="20">
        <f>+N6*9.35%</f>
        <v>28.797999999999998</v>
      </c>
      <c r="P6" s="20">
        <f>+N6*12.15%</f>
        <v>37.421999999999997</v>
      </c>
    </row>
    <row r="7" spans="1:16">
      <c r="A7" s="18" t="s">
        <v>345</v>
      </c>
      <c r="B7" s="19">
        <v>240</v>
      </c>
      <c r="C7" s="20">
        <f>+B7*9.35%</f>
        <v>22.44</v>
      </c>
      <c r="D7" s="20">
        <f>+B7*12.15%</f>
        <v>29.16</v>
      </c>
      <c r="E7" s="19">
        <v>240</v>
      </c>
      <c r="F7" s="20">
        <f>+E7*9.35%</f>
        <v>22.44</v>
      </c>
      <c r="G7" s="20">
        <f>+E7*12.15%</f>
        <v>29.16</v>
      </c>
      <c r="H7" s="19">
        <f t="shared" si="0"/>
        <v>264</v>
      </c>
      <c r="I7" s="20">
        <f>+H7*9.35%</f>
        <v>24.684000000000001</v>
      </c>
      <c r="J7" s="20">
        <f>+H7*12.15%</f>
        <v>32.076000000000001</v>
      </c>
      <c r="K7" s="19">
        <v>264</v>
      </c>
      <c r="L7" s="20">
        <f>+K7*9.35%</f>
        <v>24.684000000000001</v>
      </c>
      <c r="M7" s="20">
        <f>+K7*12.15%</f>
        <v>32.076000000000001</v>
      </c>
      <c r="N7" s="19">
        <v>264</v>
      </c>
      <c r="O7" s="20">
        <f>+N7*9.35%</f>
        <v>24.684000000000001</v>
      </c>
      <c r="P7" s="20">
        <f>+N7*12.15%</f>
        <v>32.076000000000001</v>
      </c>
    </row>
    <row r="8" spans="1:16">
      <c r="A8" s="18" t="s">
        <v>34</v>
      </c>
      <c r="B8" s="19">
        <v>240</v>
      </c>
      <c r="C8" s="20">
        <f>+B8*9.35%</f>
        <v>22.44</v>
      </c>
      <c r="D8" s="20">
        <f>+B8*12.15%</f>
        <v>29.16</v>
      </c>
      <c r="E8" s="19">
        <v>240</v>
      </c>
      <c r="F8" s="20">
        <f>+E8*9.35%</f>
        <v>22.44</v>
      </c>
      <c r="G8" s="20">
        <f>+E8*12.15%</f>
        <v>29.16</v>
      </c>
      <c r="H8" s="19">
        <f t="shared" si="0"/>
        <v>264</v>
      </c>
      <c r="I8" s="20">
        <f>+H8*9.35%</f>
        <v>24.684000000000001</v>
      </c>
      <c r="J8" s="20">
        <f>+H8*12.15%</f>
        <v>32.076000000000001</v>
      </c>
      <c r="K8" s="19">
        <v>264</v>
      </c>
      <c r="L8" s="20">
        <f>+K8*9.35%</f>
        <v>24.684000000000001</v>
      </c>
      <c r="M8" s="20">
        <f>+K8*12.15%</f>
        <v>32.076000000000001</v>
      </c>
      <c r="N8" s="19">
        <v>264</v>
      </c>
      <c r="O8" s="20">
        <f>+N8*9.35%</f>
        <v>24.684000000000001</v>
      </c>
      <c r="P8" s="20">
        <f>+N8*12.15%</f>
        <v>32.076000000000001</v>
      </c>
    </row>
    <row r="9" spans="1:16">
      <c r="A9" s="18" t="s">
        <v>35</v>
      </c>
      <c r="B9" s="19">
        <v>240</v>
      </c>
      <c r="C9" s="20">
        <f>+B9*9.35%</f>
        <v>22.44</v>
      </c>
      <c r="D9" s="20">
        <f>+B9*12.15%</f>
        <v>29.16</v>
      </c>
      <c r="E9" s="19">
        <v>240</v>
      </c>
      <c r="F9" s="20">
        <f>+E9*9.35%</f>
        <v>22.44</v>
      </c>
      <c r="G9" s="20">
        <f>+E9*12.15%</f>
        <v>29.16</v>
      </c>
      <c r="H9" s="19">
        <f t="shared" si="0"/>
        <v>264</v>
      </c>
      <c r="I9" s="20">
        <f>+H9*9.35%</f>
        <v>24.684000000000001</v>
      </c>
      <c r="J9" s="20">
        <f>+H9*12.15%</f>
        <v>32.076000000000001</v>
      </c>
      <c r="K9" s="19">
        <v>264</v>
      </c>
      <c r="L9" s="20">
        <f>+K9*9.35%</f>
        <v>24.684000000000001</v>
      </c>
      <c r="M9" s="20">
        <f>+K9*12.15%</f>
        <v>32.076000000000001</v>
      </c>
      <c r="N9" s="19">
        <v>264</v>
      </c>
      <c r="O9" s="20">
        <f>+N9*9.35%</f>
        <v>24.684000000000001</v>
      </c>
      <c r="P9" s="20">
        <f>+N9*12.15%</f>
        <v>32.076000000000001</v>
      </c>
    </row>
    <row r="10" spans="1:16">
      <c r="B10" s="21">
        <f>SUM(B5:B9)</f>
        <v>1580</v>
      </c>
      <c r="C10" s="21">
        <f t="shared" ref="C10:D10" si="1">SUM(C5:C9)</f>
        <v>147.72999999999999</v>
      </c>
      <c r="D10" s="21">
        <f t="shared" si="1"/>
        <v>191.97</v>
      </c>
      <c r="E10" s="21">
        <f>SUM(E5:E9)</f>
        <v>1580</v>
      </c>
      <c r="F10" s="21">
        <f t="shared" ref="F10" si="2">SUM(F5:F9)</f>
        <v>147.72999999999999</v>
      </c>
      <c r="G10" s="21">
        <f t="shared" ref="G10" si="3">SUM(G5:G9)</f>
        <v>191.97</v>
      </c>
      <c r="H10" s="21">
        <f>SUM(H5:H9)</f>
        <v>1738</v>
      </c>
      <c r="I10" s="21">
        <f t="shared" ref="I10" si="4">SUM(I5:I9)</f>
        <v>162.50299999999999</v>
      </c>
      <c r="J10" s="21">
        <f t="shared" ref="J10" si="5">SUM(J5:J9)</f>
        <v>211.16699999999997</v>
      </c>
      <c r="K10" s="21">
        <f>SUM(K5:K9)</f>
        <v>1738</v>
      </c>
      <c r="L10" s="21">
        <f t="shared" ref="L10" si="6">SUM(L5:L9)</f>
        <v>162.50299999999999</v>
      </c>
      <c r="M10" s="21">
        <f t="shared" ref="M10" si="7">SUM(M5:M9)</f>
        <v>211.16699999999997</v>
      </c>
      <c r="N10" s="21">
        <f t="shared" ref="N10" si="8">SUM(N5:N9)</f>
        <v>1738</v>
      </c>
      <c r="O10" s="21">
        <f t="shared" ref="O10" si="9">SUM(O5:O9)</f>
        <v>162.50299999999999</v>
      </c>
      <c r="P10" s="21">
        <f t="shared" ref="P10" si="10">SUM(P5:P9)</f>
        <v>211.16699999999997</v>
      </c>
    </row>
    <row r="11" spans="1:16">
      <c r="A11" s="16" t="s">
        <v>432</v>
      </c>
      <c r="B11" s="191">
        <f>+B10-C10</f>
        <v>1432.27</v>
      </c>
      <c r="E11" s="192">
        <f>+E10-F10</f>
        <v>1432.27</v>
      </c>
      <c r="H11" s="192">
        <f>+H10-I10</f>
        <v>1575.4970000000001</v>
      </c>
      <c r="K11" s="192">
        <f>+K10-L10</f>
        <v>1575.4970000000001</v>
      </c>
      <c r="N11" s="192">
        <f>+N10-O10</f>
        <v>1575.4970000000001</v>
      </c>
    </row>
    <row r="13" spans="1:16">
      <c r="A13" s="16" t="s">
        <v>40</v>
      </c>
      <c r="B13" s="335" t="s">
        <v>10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</row>
    <row r="14" spans="1:16">
      <c r="A14" s="10" t="s">
        <v>37</v>
      </c>
      <c r="B14" s="10" t="s">
        <v>41</v>
      </c>
      <c r="C14" s="10" t="s">
        <v>42</v>
      </c>
      <c r="D14" s="10" t="s">
        <v>43</v>
      </c>
      <c r="E14" s="10" t="s">
        <v>44</v>
      </c>
      <c r="F14" s="10" t="s">
        <v>45</v>
      </c>
      <c r="G14" s="10" t="s">
        <v>46</v>
      </c>
      <c r="H14" s="10" t="s">
        <v>47</v>
      </c>
      <c r="I14" s="10" t="s">
        <v>48</v>
      </c>
      <c r="J14" s="10" t="s">
        <v>49</v>
      </c>
      <c r="K14" s="10" t="s">
        <v>50</v>
      </c>
      <c r="L14" s="10" t="s">
        <v>51</v>
      </c>
      <c r="M14" s="10" t="s">
        <v>52</v>
      </c>
    </row>
    <row r="15" spans="1:16">
      <c r="A15" s="18" t="s">
        <v>253</v>
      </c>
      <c r="B15" s="20">
        <f>+B5/12</f>
        <v>48.333333333333336</v>
      </c>
      <c r="C15" s="20">
        <f>+B15</f>
        <v>48.333333333333336</v>
      </c>
      <c r="D15" s="20">
        <f t="shared" ref="D15:M15" si="11">+C15</f>
        <v>48.333333333333336</v>
      </c>
      <c r="E15" s="20">
        <f t="shared" si="11"/>
        <v>48.333333333333336</v>
      </c>
      <c r="F15" s="20">
        <f t="shared" si="11"/>
        <v>48.333333333333336</v>
      </c>
      <c r="G15" s="20">
        <f t="shared" si="11"/>
        <v>48.333333333333336</v>
      </c>
      <c r="H15" s="20">
        <f t="shared" si="11"/>
        <v>48.333333333333336</v>
      </c>
      <c r="I15" s="20">
        <f t="shared" si="11"/>
        <v>48.333333333333336</v>
      </c>
      <c r="J15" s="20">
        <f t="shared" si="11"/>
        <v>48.333333333333336</v>
      </c>
      <c r="K15" s="20">
        <f t="shared" si="11"/>
        <v>48.333333333333336</v>
      </c>
      <c r="L15" s="20">
        <f t="shared" si="11"/>
        <v>48.333333333333336</v>
      </c>
      <c r="M15" s="20">
        <f t="shared" si="11"/>
        <v>48.333333333333336</v>
      </c>
    </row>
    <row r="16" spans="1:16">
      <c r="A16" s="18" t="s">
        <v>33</v>
      </c>
      <c r="B16" s="20">
        <f>+B6/12</f>
        <v>23.333333333333332</v>
      </c>
      <c r="C16" s="20">
        <f t="shared" ref="C16:M19" si="12">+B16</f>
        <v>23.333333333333332</v>
      </c>
      <c r="D16" s="20">
        <f t="shared" si="12"/>
        <v>23.333333333333332</v>
      </c>
      <c r="E16" s="20">
        <f t="shared" si="12"/>
        <v>23.333333333333332</v>
      </c>
      <c r="F16" s="20">
        <f t="shared" si="12"/>
        <v>23.333333333333332</v>
      </c>
      <c r="G16" s="20">
        <f t="shared" si="12"/>
        <v>23.333333333333332</v>
      </c>
      <c r="H16" s="20">
        <f t="shared" si="12"/>
        <v>23.333333333333332</v>
      </c>
      <c r="I16" s="20">
        <f t="shared" si="12"/>
        <v>23.333333333333332</v>
      </c>
      <c r="J16" s="20">
        <f t="shared" si="12"/>
        <v>23.333333333333332</v>
      </c>
      <c r="K16" s="20">
        <f t="shared" si="12"/>
        <v>23.333333333333332</v>
      </c>
      <c r="L16" s="20">
        <f t="shared" si="12"/>
        <v>23.333333333333332</v>
      </c>
      <c r="M16" s="20">
        <f t="shared" si="12"/>
        <v>23.333333333333332</v>
      </c>
    </row>
    <row r="17" spans="1:13">
      <c r="A17" s="18" t="s">
        <v>345</v>
      </c>
      <c r="B17" s="20">
        <f>+B7/12</f>
        <v>20</v>
      </c>
      <c r="C17" s="20">
        <f t="shared" ref="C17" si="13">+B17</f>
        <v>20</v>
      </c>
      <c r="D17" s="20">
        <f t="shared" ref="D17" si="14">+C17</f>
        <v>20</v>
      </c>
      <c r="E17" s="20">
        <f t="shared" ref="E17" si="15">+D17</f>
        <v>20</v>
      </c>
      <c r="F17" s="20">
        <f t="shared" ref="F17" si="16">+E17</f>
        <v>20</v>
      </c>
      <c r="G17" s="20">
        <f t="shared" ref="G17" si="17">+F17</f>
        <v>20</v>
      </c>
      <c r="H17" s="20">
        <f t="shared" ref="H17" si="18">+G17</f>
        <v>20</v>
      </c>
      <c r="I17" s="20">
        <f t="shared" ref="I17" si="19">+H17</f>
        <v>20</v>
      </c>
      <c r="J17" s="20">
        <f t="shared" ref="J17" si="20">+I17</f>
        <v>20</v>
      </c>
      <c r="K17" s="20">
        <f t="shared" ref="K17" si="21">+J17</f>
        <v>20</v>
      </c>
      <c r="L17" s="20">
        <f t="shared" ref="L17" si="22">+K17</f>
        <v>20</v>
      </c>
      <c r="M17" s="20">
        <f t="shared" ref="M17" si="23">+L17</f>
        <v>20</v>
      </c>
    </row>
    <row r="18" spans="1:13">
      <c r="A18" s="18" t="s">
        <v>34</v>
      </c>
      <c r="B18" s="20">
        <f t="shared" ref="B18:B19" si="24">+B8/12</f>
        <v>20</v>
      </c>
      <c r="C18" s="20">
        <f t="shared" si="12"/>
        <v>20</v>
      </c>
      <c r="D18" s="20">
        <f t="shared" si="12"/>
        <v>20</v>
      </c>
      <c r="E18" s="20">
        <f t="shared" si="12"/>
        <v>20</v>
      </c>
      <c r="F18" s="20">
        <f t="shared" si="12"/>
        <v>20</v>
      </c>
      <c r="G18" s="20">
        <f t="shared" si="12"/>
        <v>20</v>
      </c>
      <c r="H18" s="20">
        <f t="shared" si="12"/>
        <v>20</v>
      </c>
      <c r="I18" s="20">
        <f t="shared" si="12"/>
        <v>20</v>
      </c>
      <c r="J18" s="20">
        <f t="shared" si="12"/>
        <v>20</v>
      </c>
      <c r="K18" s="20">
        <f t="shared" si="12"/>
        <v>20</v>
      </c>
      <c r="L18" s="20">
        <f t="shared" si="12"/>
        <v>20</v>
      </c>
      <c r="M18" s="20">
        <f t="shared" si="12"/>
        <v>20</v>
      </c>
    </row>
    <row r="19" spans="1:13">
      <c r="A19" s="18" t="s">
        <v>35</v>
      </c>
      <c r="B19" s="20">
        <f t="shared" si="24"/>
        <v>20</v>
      </c>
      <c r="C19" s="20">
        <f t="shared" si="12"/>
        <v>20</v>
      </c>
      <c r="D19" s="20">
        <f t="shared" si="12"/>
        <v>20</v>
      </c>
      <c r="E19" s="20">
        <f t="shared" si="12"/>
        <v>20</v>
      </c>
      <c r="F19" s="20">
        <f t="shared" si="12"/>
        <v>20</v>
      </c>
      <c r="G19" s="20">
        <f t="shared" si="12"/>
        <v>20</v>
      </c>
      <c r="H19" s="20">
        <f t="shared" si="12"/>
        <v>20</v>
      </c>
      <c r="I19" s="20">
        <f t="shared" si="12"/>
        <v>20</v>
      </c>
      <c r="J19" s="20">
        <f t="shared" si="12"/>
        <v>20</v>
      </c>
      <c r="K19" s="20">
        <f t="shared" si="12"/>
        <v>20</v>
      </c>
      <c r="L19" s="20">
        <f t="shared" si="12"/>
        <v>20</v>
      </c>
      <c r="M19" s="20">
        <f t="shared" si="12"/>
        <v>20</v>
      </c>
    </row>
    <row r="20" spans="1:13">
      <c r="B20" s="21">
        <f>SUM(B15:B19)</f>
        <v>131.66666666666669</v>
      </c>
      <c r="C20" s="21">
        <f t="shared" ref="C20:M20" si="25">SUM(C15:C19)</f>
        <v>131.66666666666669</v>
      </c>
      <c r="D20" s="21">
        <f t="shared" si="25"/>
        <v>131.66666666666669</v>
      </c>
      <c r="E20" s="21">
        <f t="shared" si="25"/>
        <v>131.66666666666669</v>
      </c>
      <c r="F20" s="21">
        <f t="shared" si="25"/>
        <v>131.66666666666669</v>
      </c>
      <c r="G20" s="21">
        <f t="shared" si="25"/>
        <v>131.66666666666669</v>
      </c>
      <c r="H20" s="21">
        <f t="shared" si="25"/>
        <v>131.66666666666669</v>
      </c>
      <c r="I20" s="21">
        <f t="shared" si="25"/>
        <v>131.66666666666669</v>
      </c>
      <c r="J20" s="21">
        <f t="shared" si="25"/>
        <v>131.66666666666669</v>
      </c>
      <c r="K20" s="21">
        <f t="shared" si="25"/>
        <v>131.66666666666669</v>
      </c>
      <c r="L20" s="21">
        <f t="shared" si="25"/>
        <v>131.66666666666669</v>
      </c>
      <c r="M20" s="21">
        <f t="shared" si="25"/>
        <v>131.66666666666669</v>
      </c>
    </row>
    <row r="22" spans="1:13">
      <c r="A22" s="16" t="s">
        <v>40</v>
      </c>
      <c r="B22" s="335" t="s">
        <v>21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</row>
    <row r="23" spans="1:13">
      <c r="A23" s="10" t="s">
        <v>37</v>
      </c>
      <c r="B23" s="10" t="s">
        <v>41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  <c r="J23" s="10" t="s">
        <v>49</v>
      </c>
      <c r="K23" s="10" t="s">
        <v>50</v>
      </c>
      <c r="L23" s="10" t="s">
        <v>51</v>
      </c>
      <c r="M23" s="10" t="s">
        <v>52</v>
      </c>
    </row>
    <row r="24" spans="1:13">
      <c r="A24" s="18" t="s">
        <v>253</v>
      </c>
      <c r="B24" s="20">
        <f>+E5/12</f>
        <v>48.333333333333336</v>
      </c>
      <c r="C24" s="20">
        <f>+B24</f>
        <v>48.333333333333336</v>
      </c>
      <c r="D24" s="20">
        <f t="shared" ref="D24:M24" si="26">+C24</f>
        <v>48.333333333333336</v>
      </c>
      <c r="E24" s="20">
        <f t="shared" si="26"/>
        <v>48.333333333333336</v>
      </c>
      <c r="F24" s="20">
        <f t="shared" si="26"/>
        <v>48.333333333333336</v>
      </c>
      <c r="G24" s="20">
        <f t="shared" si="26"/>
        <v>48.333333333333336</v>
      </c>
      <c r="H24" s="20">
        <f t="shared" si="26"/>
        <v>48.333333333333336</v>
      </c>
      <c r="I24" s="20">
        <f t="shared" si="26"/>
        <v>48.333333333333336</v>
      </c>
      <c r="J24" s="20">
        <f t="shared" si="26"/>
        <v>48.333333333333336</v>
      </c>
      <c r="K24" s="20">
        <f t="shared" si="26"/>
        <v>48.333333333333336</v>
      </c>
      <c r="L24" s="20">
        <f t="shared" si="26"/>
        <v>48.333333333333336</v>
      </c>
      <c r="M24" s="20">
        <f t="shared" si="26"/>
        <v>48.333333333333336</v>
      </c>
    </row>
    <row r="25" spans="1:13">
      <c r="A25" s="18" t="s">
        <v>33</v>
      </c>
      <c r="B25" s="20">
        <f>+E6/12</f>
        <v>23.333333333333332</v>
      </c>
      <c r="C25" s="20">
        <f t="shared" ref="C25:M28" si="27">+B25</f>
        <v>23.333333333333332</v>
      </c>
      <c r="D25" s="20">
        <f t="shared" si="27"/>
        <v>23.333333333333332</v>
      </c>
      <c r="E25" s="20">
        <f t="shared" si="27"/>
        <v>23.333333333333332</v>
      </c>
      <c r="F25" s="20">
        <f t="shared" si="27"/>
        <v>23.333333333333332</v>
      </c>
      <c r="G25" s="20">
        <f t="shared" si="27"/>
        <v>23.333333333333332</v>
      </c>
      <c r="H25" s="20">
        <f t="shared" si="27"/>
        <v>23.333333333333332</v>
      </c>
      <c r="I25" s="20">
        <f t="shared" si="27"/>
        <v>23.333333333333332</v>
      </c>
      <c r="J25" s="20">
        <f t="shared" si="27"/>
        <v>23.333333333333332</v>
      </c>
      <c r="K25" s="20">
        <f t="shared" si="27"/>
        <v>23.333333333333332</v>
      </c>
      <c r="L25" s="20">
        <f t="shared" si="27"/>
        <v>23.333333333333332</v>
      </c>
      <c r="M25" s="20">
        <f t="shared" si="27"/>
        <v>23.333333333333332</v>
      </c>
    </row>
    <row r="26" spans="1:13">
      <c r="A26" s="18" t="s">
        <v>345</v>
      </c>
      <c r="B26" s="20">
        <f>+E7/12</f>
        <v>20</v>
      </c>
      <c r="C26" s="20">
        <f t="shared" ref="C26" si="28">+B26</f>
        <v>20</v>
      </c>
      <c r="D26" s="20">
        <f t="shared" ref="D26" si="29">+C26</f>
        <v>20</v>
      </c>
      <c r="E26" s="20">
        <f t="shared" ref="E26" si="30">+D26</f>
        <v>20</v>
      </c>
      <c r="F26" s="20">
        <f t="shared" ref="F26" si="31">+E26</f>
        <v>20</v>
      </c>
      <c r="G26" s="20">
        <f t="shared" ref="G26" si="32">+F26</f>
        <v>20</v>
      </c>
      <c r="H26" s="20">
        <f t="shared" ref="H26" si="33">+G26</f>
        <v>20</v>
      </c>
      <c r="I26" s="20">
        <f t="shared" ref="I26" si="34">+H26</f>
        <v>20</v>
      </c>
      <c r="J26" s="20">
        <f t="shared" ref="J26" si="35">+I26</f>
        <v>20</v>
      </c>
      <c r="K26" s="20">
        <f t="shared" ref="K26" si="36">+J26</f>
        <v>20</v>
      </c>
      <c r="L26" s="20">
        <f t="shared" ref="L26" si="37">+K26</f>
        <v>20</v>
      </c>
      <c r="M26" s="20">
        <f t="shared" ref="M26" si="38">+L26</f>
        <v>20</v>
      </c>
    </row>
    <row r="27" spans="1:13">
      <c r="A27" s="18" t="s">
        <v>34</v>
      </c>
      <c r="B27" s="20">
        <f t="shared" ref="B27:B28" si="39">+E8/12</f>
        <v>20</v>
      </c>
      <c r="C27" s="20">
        <f t="shared" si="27"/>
        <v>20</v>
      </c>
      <c r="D27" s="20">
        <f t="shared" si="27"/>
        <v>20</v>
      </c>
      <c r="E27" s="20">
        <f t="shared" si="27"/>
        <v>20</v>
      </c>
      <c r="F27" s="20">
        <f t="shared" si="27"/>
        <v>20</v>
      </c>
      <c r="G27" s="20">
        <f t="shared" si="27"/>
        <v>20</v>
      </c>
      <c r="H27" s="20">
        <f t="shared" si="27"/>
        <v>20</v>
      </c>
      <c r="I27" s="20">
        <f t="shared" si="27"/>
        <v>20</v>
      </c>
      <c r="J27" s="20">
        <f t="shared" si="27"/>
        <v>20</v>
      </c>
      <c r="K27" s="20">
        <f t="shared" si="27"/>
        <v>20</v>
      </c>
      <c r="L27" s="20">
        <f t="shared" si="27"/>
        <v>20</v>
      </c>
      <c r="M27" s="20">
        <f t="shared" si="27"/>
        <v>20</v>
      </c>
    </row>
    <row r="28" spans="1:13">
      <c r="A28" s="18" t="s">
        <v>35</v>
      </c>
      <c r="B28" s="20">
        <f t="shared" si="39"/>
        <v>20</v>
      </c>
      <c r="C28" s="20">
        <f t="shared" si="27"/>
        <v>20</v>
      </c>
      <c r="D28" s="20">
        <f t="shared" si="27"/>
        <v>20</v>
      </c>
      <c r="E28" s="20">
        <f t="shared" si="27"/>
        <v>20</v>
      </c>
      <c r="F28" s="20">
        <f t="shared" si="27"/>
        <v>20</v>
      </c>
      <c r="G28" s="20">
        <f t="shared" si="27"/>
        <v>20</v>
      </c>
      <c r="H28" s="20">
        <f t="shared" si="27"/>
        <v>20</v>
      </c>
      <c r="I28" s="20">
        <f t="shared" si="27"/>
        <v>20</v>
      </c>
      <c r="J28" s="20">
        <f t="shared" si="27"/>
        <v>20</v>
      </c>
      <c r="K28" s="20">
        <f t="shared" si="27"/>
        <v>20</v>
      </c>
      <c r="L28" s="20">
        <f t="shared" si="27"/>
        <v>20</v>
      </c>
      <c r="M28" s="20">
        <f t="shared" si="27"/>
        <v>20</v>
      </c>
    </row>
    <row r="29" spans="1:13">
      <c r="B29" s="21">
        <f>SUM(B24:B28)</f>
        <v>131.66666666666669</v>
      </c>
      <c r="C29" s="21">
        <f t="shared" ref="C29" si="40">SUM(C24:C28)</f>
        <v>131.66666666666669</v>
      </c>
      <c r="D29" s="21">
        <f t="shared" ref="D29" si="41">SUM(D24:D28)</f>
        <v>131.66666666666669</v>
      </c>
      <c r="E29" s="21">
        <f t="shared" ref="E29" si="42">SUM(E24:E28)</f>
        <v>131.66666666666669</v>
      </c>
      <c r="F29" s="21">
        <f t="shared" ref="F29" si="43">SUM(F24:F28)</f>
        <v>131.66666666666669</v>
      </c>
      <c r="G29" s="21">
        <f t="shared" ref="G29" si="44">SUM(G24:G28)</f>
        <v>131.66666666666669</v>
      </c>
      <c r="H29" s="21">
        <f t="shared" ref="H29" si="45">SUM(H24:H28)</f>
        <v>131.66666666666669</v>
      </c>
      <c r="I29" s="21">
        <f t="shared" ref="I29" si="46">SUM(I24:I28)</f>
        <v>131.66666666666669</v>
      </c>
      <c r="J29" s="21">
        <f t="shared" ref="J29" si="47">SUM(J24:J28)</f>
        <v>131.66666666666669</v>
      </c>
      <c r="K29" s="21">
        <f t="shared" ref="K29" si="48">SUM(K24:K28)</f>
        <v>131.66666666666669</v>
      </c>
      <c r="L29" s="21">
        <f t="shared" ref="L29" si="49">SUM(L24:L28)</f>
        <v>131.66666666666669</v>
      </c>
      <c r="M29" s="21">
        <f t="shared" ref="M29" si="50">SUM(M24:M28)</f>
        <v>131.66666666666669</v>
      </c>
    </row>
    <row r="31" spans="1:13">
      <c r="A31" s="16" t="s">
        <v>40</v>
      </c>
      <c r="B31" s="335" t="s">
        <v>20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</row>
    <row r="32" spans="1:13">
      <c r="A32" s="10" t="s">
        <v>37</v>
      </c>
      <c r="B32" s="10" t="s">
        <v>41</v>
      </c>
      <c r="C32" s="10" t="s">
        <v>42</v>
      </c>
      <c r="D32" s="10" t="s">
        <v>43</v>
      </c>
      <c r="E32" s="10" t="s">
        <v>44</v>
      </c>
      <c r="F32" s="10" t="s">
        <v>45</v>
      </c>
      <c r="G32" s="10" t="s">
        <v>46</v>
      </c>
      <c r="H32" s="10" t="s">
        <v>47</v>
      </c>
      <c r="I32" s="10" t="s">
        <v>48</v>
      </c>
      <c r="J32" s="10" t="s">
        <v>49</v>
      </c>
      <c r="K32" s="10" t="s">
        <v>50</v>
      </c>
      <c r="L32" s="10" t="s">
        <v>51</v>
      </c>
      <c r="M32" s="10" t="s">
        <v>52</v>
      </c>
    </row>
    <row r="33" spans="1:13">
      <c r="A33" s="18" t="s">
        <v>253</v>
      </c>
      <c r="B33" s="20">
        <f>+H5/12</f>
        <v>53.166666666666664</v>
      </c>
      <c r="C33" s="20">
        <f>+B33</f>
        <v>53.166666666666664</v>
      </c>
      <c r="D33" s="20">
        <f t="shared" ref="D33:M33" si="51">+C33</f>
        <v>53.166666666666664</v>
      </c>
      <c r="E33" s="20">
        <f t="shared" si="51"/>
        <v>53.166666666666664</v>
      </c>
      <c r="F33" s="20">
        <f t="shared" si="51"/>
        <v>53.166666666666664</v>
      </c>
      <c r="G33" s="20">
        <f t="shared" si="51"/>
        <v>53.166666666666664</v>
      </c>
      <c r="H33" s="20">
        <f t="shared" si="51"/>
        <v>53.166666666666664</v>
      </c>
      <c r="I33" s="20">
        <f t="shared" si="51"/>
        <v>53.166666666666664</v>
      </c>
      <c r="J33" s="20">
        <f t="shared" si="51"/>
        <v>53.166666666666664</v>
      </c>
      <c r="K33" s="20">
        <f t="shared" si="51"/>
        <v>53.166666666666664</v>
      </c>
      <c r="L33" s="20">
        <f t="shared" si="51"/>
        <v>53.166666666666664</v>
      </c>
      <c r="M33" s="20">
        <f t="shared" si="51"/>
        <v>53.166666666666664</v>
      </c>
    </row>
    <row r="34" spans="1:13">
      <c r="A34" s="18" t="s">
        <v>33</v>
      </c>
      <c r="B34" s="20">
        <f>+H6/12</f>
        <v>25.666666666666668</v>
      </c>
      <c r="C34" s="20">
        <f t="shared" ref="C34:M37" si="52">+B34</f>
        <v>25.666666666666668</v>
      </c>
      <c r="D34" s="20">
        <f t="shared" si="52"/>
        <v>25.666666666666668</v>
      </c>
      <c r="E34" s="20">
        <f t="shared" si="52"/>
        <v>25.666666666666668</v>
      </c>
      <c r="F34" s="20">
        <f t="shared" si="52"/>
        <v>25.666666666666668</v>
      </c>
      <c r="G34" s="20">
        <f t="shared" si="52"/>
        <v>25.666666666666668</v>
      </c>
      <c r="H34" s="20">
        <f t="shared" si="52"/>
        <v>25.666666666666668</v>
      </c>
      <c r="I34" s="20">
        <f t="shared" si="52"/>
        <v>25.666666666666668</v>
      </c>
      <c r="J34" s="20">
        <f t="shared" si="52"/>
        <v>25.666666666666668</v>
      </c>
      <c r="K34" s="20">
        <f t="shared" si="52"/>
        <v>25.666666666666668</v>
      </c>
      <c r="L34" s="20">
        <f t="shared" si="52"/>
        <v>25.666666666666668</v>
      </c>
      <c r="M34" s="20">
        <f t="shared" si="52"/>
        <v>25.666666666666668</v>
      </c>
    </row>
    <row r="35" spans="1:13">
      <c r="A35" s="18" t="s">
        <v>345</v>
      </c>
      <c r="B35" s="20">
        <f>+H7/12</f>
        <v>22</v>
      </c>
      <c r="C35" s="20">
        <f t="shared" ref="C35" si="53">+B35</f>
        <v>22</v>
      </c>
      <c r="D35" s="20">
        <f t="shared" ref="D35" si="54">+C35</f>
        <v>22</v>
      </c>
      <c r="E35" s="20">
        <f t="shared" ref="E35" si="55">+D35</f>
        <v>22</v>
      </c>
      <c r="F35" s="20">
        <f t="shared" ref="F35" si="56">+E35</f>
        <v>22</v>
      </c>
      <c r="G35" s="20">
        <f t="shared" ref="G35" si="57">+F35</f>
        <v>22</v>
      </c>
      <c r="H35" s="20">
        <f t="shared" ref="H35" si="58">+G35</f>
        <v>22</v>
      </c>
      <c r="I35" s="20">
        <f t="shared" ref="I35" si="59">+H35</f>
        <v>22</v>
      </c>
      <c r="J35" s="20">
        <f t="shared" ref="J35" si="60">+I35</f>
        <v>22</v>
      </c>
      <c r="K35" s="20">
        <f t="shared" ref="K35" si="61">+J35</f>
        <v>22</v>
      </c>
      <c r="L35" s="20">
        <f t="shared" ref="L35" si="62">+K35</f>
        <v>22</v>
      </c>
      <c r="M35" s="20">
        <f t="shared" ref="M35" si="63">+L35</f>
        <v>22</v>
      </c>
    </row>
    <row r="36" spans="1:13">
      <c r="A36" s="18" t="s">
        <v>34</v>
      </c>
      <c r="B36" s="20">
        <f>+H8/12</f>
        <v>22</v>
      </c>
      <c r="C36" s="20">
        <f t="shared" si="52"/>
        <v>22</v>
      </c>
      <c r="D36" s="20">
        <f t="shared" si="52"/>
        <v>22</v>
      </c>
      <c r="E36" s="20">
        <f t="shared" si="52"/>
        <v>22</v>
      </c>
      <c r="F36" s="20">
        <f t="shared" si="52"/>
        <v>22</v>
      </c>
      <c r="G36" s="20">
        <f t="shared" si="52"/>
        <v>22</v>
      </c>
      <c r="H36" s="20">
        <f t="shared" si="52"/>
        <v>22</v>
      </c>
      <c r="I36" s="20">
        <f t="shared" si="52"/>
        <v>22</v>
      </c>
      <c r="J36" s="20">
        <f t="shared" si="52"/>
        <v>22</v>
      </c>
      <c r="K36" s="20">
        <f t="shared" si="52"/>
        <v>22</v>
      </c>
      <c r="L36" s="20">
        <f t="shared" si="52"/>
        <v>22</v>
      </c>
      <c r="M36" s="20">
        <f t="shared" si="52"/>
        <v>22</v>
      </c>
    </row>
    <row r="37" spans="1:13">
      <c r="A37" s="18" t="s">
        <v>35</v>
      </c>
      <c r="B37" s="20">
        <f>+H9/12</f>
        <v>22</v>
      </c>
      <c r="C37" s="20">
        <f t="shared" si="52"/>
        <v>22</v>
      </c>
      <c r="D37" s="20">
        <f t="shared" si="52"/>
        <v>22</v>
      </c>
      <c r="E37" s="20">
        <f t="shared" si="52"/>
        <v>22</v>
      </c>
      <c r="F37" s="20">
        <f t="shared" si="52"/>
        <v>22</v>
      </c>
      <c r="G37" s="20">
        <f t="shared" si="52"/>
        <v>22</v>
      </c>
      <c r="H37" s="20">
        <f t="shared" si="52"/>
        <v>22</v>
      </c>
      <c r="I37" s="20">
        <f t="shared" si="52"/>
        <v>22</v>
      </c>
      <c r="J37" s="20">
        <f t="shared" si="52"/>
        <v>22</v>
      </c>
      <c r="K37" s="20">
        <f t="shared" si="52"/>
        <v>22</v>
      </c>
      <c r="L37" s="20">
        <f t="shared" si="52"/>
        <v>22</v>
      </c>
      <c r="M37" s="20">
        <f t="shared" si="52"/>
        <v>22</v>
      </c>
    </row>
    <row r="38" spans="1:13">
      <c r="B38" s="21">
        <f>SUM(B33:B37)</f>
        <v>144.83333333333331</v>
      </c>
      <c r="C38" s="21">
        <f t="shared" ref="C38" si="64">SUM(C33:C37)</f>
        <v>144.83333333333331</v>
      </c>
      <c r="D38" s="21">
        <f t="shared" ref="D38" si="65">SUM(D33:D37)</f>
        <v>144.83333333333331</v>
      </c>
      <c r="E38" s="21">
        <f t="shared" ref="E38" si="66">SUM(E33:E37)</f>
        <v>144.83333333333331</v>
      </c>
      <c r="F38" s="21">
        <f t="shared" ref="F38" si="67">SUM(F33:F37)</f>
        <v>144.83333333333331</v>
      </c>
      <c r="G38" s="21">
        <f t="shared" ref="G38" si="68">SUM(G33:G37)</f>
        <v>144.83333333333331</v>
      </c>
      <c r="H38" s="21">
        <f t="shared" ref="H38" si="69">SUM(H33:H37)</f>
        <v>144.83333333333331</v>
      </c>
      <c r="I38" s="21">
        <f t="shared" ref="I38" si="70">SUM(I33:I37)</f>
        <v>144.83333333333331</v>
      </c>
      <c r="J38" s="21">
        <f t="shared" ref="J38" si="71">SUM(J33:J37)</f>
        <v>144.83333333333331</v>
      </c>
      <c r="K38" s="21">
        <f t="shared" ref="K38" si="72">SUM(K33:K37)</f>
        <v>144.83333333333331</v>
      </c>
      <c r="L38" s="21">
        <f t="shared" ref="L38" si="73">SUM(L33:L37)</f>
        <v>144.83333333333331</v>
      </c>
      <c r="M38" s="21">
        <f t="shared" ref="M38" si="74">SUM(M33:M37)</f>
        <v>144.83333333333331</v>
      </c>
    </row>
    <row r="40" spans="1:13">
      <c r="A40" s="16" t="s">
        <v>40</v>
      </c>
      <c r="B40" s="335" t="s">
        <v>22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</row>
    <row r="41" spans="1:13">
      <c r="A41" s="10" t="s">
        <v>37</v>
      </c>
      <c r="B41" s="10" t="s">
        <v>41</v>
      </c>
      <c r="C41" s="10" t="s">
        <v>42</v>
      </c>
      <c r="D41" s="10" t="s">
        <v>43</v>
      </c>
      <c r="E41" s="10" t="s">
        <v>44</v>
      </c>
      <c r="F41" s="10" t="s">
        <v>45</v>
      </c>
      <c r="G41" s="10" t="s">
        <v>46</v>
      </c>
      <c r="H41" s="10" t="s">
        <v>47</v>
      </c>
      <c r="I41" s="10" t="s">
        <v>48</v>
      </c>
      <c r="J41" s="10" t="s">
        <v>49</v>
      </c>
      <c r="K41" s="10" t="s">
        <v>50</v>
      </c>
      <c r="L41" s="10" t="s">
        <v>51</v>
      </c>
      <c r="M41" s="10" t="s">
        <v>52</v>
      </c>
    </row>
    <row r="42" spans="1:13">
      <c r="A42" s="18" t="s">
        <v>253</v>
      </c>
      <c r="B42" s="20">
        <f>+K5/12</f>
        <v>53.166666666666664</v>
      </c>
      <c r="C42" s="20">
        <f>+B42</f>
        <v>53.166666666666664</v>
      </c>
      <c r="D42" s="20">
        <f t="shared" ref="D42:M42" si="75">+C42</f>
        <v>53.166666666666664</v>
      </c>
      <c r="E42" s="20">
        <f t="shared" si="75"/>
        <v>53.166666666666664</v>
      </c>
      <c r="F42" s="20">
        <f t="shared" si="75"/>
        <v>53.166666666666664</v>
      </c>
      <c r="G42" s="20">
        <f t="shared" si="75"/>
        <v>53.166666666666664</v>
      </c>
      <c r="H42" s="20">
        <f t="shared" si="75"/>
        <v>53.166666666666664</v>
      </c>
      <c r="I42" s="20">
        <f t="shared" si="75"/>
        <v>53.166666666666664</v>
      </c>
      <c r="J42" s="20">
        <f t="shared" si="75"/>
        <v>53.166666666666664</v>
      </c>
      <c r="K42" s="20">
        <f t="shared" si="75"/>
        <v>53.166666666666664</v>
      </c>
      <c r="L42" s="20">
        <f t="shared" si="75"/>
        <v>53.166666666666664</v>
      </c>
      <c r="M42" s="20">
        <f t="shared" si="75"/>
        <v>53.166666666666664</v>
      </c>
    </row>
    <row r="43" spans="1:13">
      <c r="A43" s="18" t="s">
        <v>33</v>
      </c>
      <c r="B43" s="20">
        <f>+K6/12</f>
        <v>25.666666666666668</v>
      </c>
      <c r="C43" s="20">
        <f t="shared" ref="C43:M46" si="76">+B43</f>
        <v>25.666666666666668</v>
      </c>
      <c r="D43" s="20">
        <f t="shared" si="76"/>
        <v>25.666666666666668</v>
      </c>
      <c r="E43" s="20">
        <f t="shared" si="76"/>
        <v>25.666666666666668</v>
      </c>
      <c r="F43" s="20">
        <f t="shared" si="76"/>
        <v>25.666666666666668</v>
      </c>
      <c r="G43" s="20">
        <f t="shared" si="76"/>
        <v>25.666666666666668</v>
      </c>
      <c r="H43" s="20">
        <f t="shared" si="76"/>
        <v>25.666666666666668</v>
      </c>
      <c r="I43" s="20">
        <f t="shared" si="76"/>
        <v>25.666666666666668</v>
      </c>
      <c r="J43" s="20">
        <f t="shared" si="76"/>
        <v>25.666666666666668</v>
      </c>
      <c r="K43" s="20">
        <f t="shared" si="76"/>
        <v>25.666666666666668</v>
      </c>
      <c r="L43" s="20">
        <f t="shared" si="76"/>
        <v>25.666666666666668</v>
      </c>
      <c r="M43" s="20">
        <f t="shared" si="76"/>
        <v>25.666666666666668</v>
      </c>
    </row>
    <row r="44" spans="1:13">
      <c r="A44" s="18" t="s">
        <v>345</v>
      </c>
      <c r="B44" s="20">
        <f>+K7/12</f>
        <v>22</v>
      </c>
      <c r="C44" s="20">
        <f t="shared" si="76"/>
        <v>22</v>
      </c>
      <c r="D44" s="20">
        <f t="shared" ref="D44" si="77">+C44</f>
        <v>22</v>
      </c>
      <c r="E44" s="20">
        <f t="shared" ref="E44" si="78">+D44</f>
        <v>22</v>
      </c>
      <c r="F44" s="20">
        <f t="shared" ref="F44" si="79">+E44</f>
        <v>22</v>
      </c>
      <c r="G44" s="20">
        <f t="shared" ref="G44" si="80">+F44</f>
        <v>22</v>
      </c>
      <c r="H44" s="20">
        <f t="shared" ref="H44" si="81">+G44</f>
        <v>22</v>
      </c>
      <c r="I44" s="20">
        <f t="shared" ref="I44" si="82">+H44</f>
        <v>22</v>
      </c>
      <c r="J44" s="20">
        <f t="shared" ref="J44" si="83">+I44</f>
        <v>22</v>
      </c>
      <c r="K44" s="20">
        <f t="shared" ref="K44" si="84">+J44</f>
        <v>22</v>
      </c>
      <c r="L44" s="20">
        <f t="shared" ref="L44" si="85">+K44</f>
        <v>22</v>
      </c>
      <c r="M44" s="20">
        <f t="shared" ref="M44" si="86">+L44</f>
        <v>22</v>
      </c>
    </row>
    <row r="45" spans="1:13">
      <c r="A45" s="18" t="s">
        <v>34</v>
      </c>
      <c r="B45" s="20">
        <f>+K8/12</f>
        <v>22</v>
      </c>
      <c r="C45" s="20">
        <f t="shared" si="76"/>
        <v>22</v>
      </c>
      <c r="D45" s="20">
        <f t="shared" si="76"/>
        <v>22</v>
      </c>
      <c r="E45" s="20">
        <f t="shared" si="76"/>
        <v>22</v>
      </c>
      <c r="F45" s="20">
        <f t="shared" si="76"/>
        <v>22</v>
      </c>
      <c r="G45" s="20">
        <f t="shared" si="76"/>
        <v>22</v>
      </c>
      <c r="H45" s="20">
        <f t="shared" si="76"/>
        <v>22</v>
      </c>
      <c r="I45" s="20">
        <f t="shared" si="76"/>
        <v>22</v>
      </c>
      <c r="J45" s="20">
        <f t="shared" si="76"/>
        <v>22</v>
      </c>
      <c r="K45" s="20">
        <f t="shared" si="76"/>
        <v>22</v>
      </c>
      <c r="L45" s="20">
        <f t="shared" si="76"/>
        <v>22</v>
      </c>
      <c r="M45" s="20">
        <f t="shared" si="76"/>
        <v>22</v>
      </c>
    </row>
    <row r="46" spans="1:13">
      <c r="A46" s="18" t="s">
        <v>35</v>
      </c>
      <c r="B46" s="20">
        <f>+K9/12</f>
        <v>22</v>
      </c>
      <c r="C46" s="20">
        <f t="shared" si="76"/>
        <v>22</v>
      </c>
      <c r="D46" s="20">
        <f t="shared" si="76"/>
        <v>22</v>
      </c>
      <c r="E46" s="20">
        <f t="shared" si="76"/>
        <v>22</v>
      </c>
      <c r="F46" s="20">
        <f t="shared" si="76"/>
        <v>22</v>
      </c>
      <c r="G46" s="20">
        <f t="shared" si="76"/>
        <v>22</v>
      </c>
      <c r="H46" s="20">
        <f t="shared" si="76"/>
        <v>22</v>
      </c>
      <c r="I46" s="20">
        <f t="shared" si="76"/>
        <v>22</v>
      </c>
      <c r="J46" s="20">
        <f t="shared" si="76"/>
        <v>22</v>
      </c>
      <c r="K46" s="20">
        <f t="shared" si="76"/>
        <v>22</v>
      </c>
      <c r="L46" s="20">
        <f t="shared" si="76"/>
        <v>22</v>
      </c>
      <c r="M46" s="20">
        <f t="shared" si="76"/>
        <v>22</v>
      </c>
    </row>
    <row r="47" spans="1:13">
      <c r="B47" s="21">
        <f>SUM(B42:B46)</f>
        <v>144.83333333333331</v>
      </c>
      <c r="C47" s="21">
        <f t="shared" ref="C47" si="87">SUM(C42:C46)</f>
        <v>144.83333333333331</v>
      </c>
      <c r="D47" s="21">
        <f t="shared" ref="D47" si="88">SUM(D42:D46)</f>
        <v>144.83333333333331</v>
      </c>
      <c r="E47" s="21">
        <f t="shared" ref="E47" si="89">SUM(E42:E46)</f>
        <v>144.83333333333331</v>
      </c>
      <c r="F47" s="21">
        <f t="shared" ref="F47" si="90">SUM(F42:F46)</f>
        <v>144.83333333333331</v>
      </c>
      <c r="G47" s="21">
        <f t="shared" ref="G47" si="91">SUM(G42:G46)</f>
        <v>144.83333333333331</v>
      </c>
      <c r="H47" s="21">
        <f t="shared" ref="H47" si="92">SUM(H42:H46)</f>
        <v>144.83333333333331</v>
      </c>
      <c r="I47" s="21">
        <f t="shared" ref="I47" si="93">SUM(I42:I46)</f>
        <v>144.83333333333331</v>
      </c>
      <c r="J47" s="21">
        <f t="shared" ref="J47" si="94">SUM(J42:J46)</f>
        <v>144.83333333333331</v>
      </c>
      <c r="K47" s="21">
        <f t="shared" ref="K47" si="95">SUM(K42:K46)</f>
        <v>144.83333333333331</v>
      </c>
      <c r="L47" s="21">
        <f t="shared" ref="L47" si="96">SUM(L42:L46)</f>
        <v>144.83333333333331</v>
      </c>
      <c r="M47" s="21">
        <f t="shared" ref="M47" si="97">SUM(M42:M46)</f>
        <v>144.83333333333331</v>
      </c>
    </row>
    <row r="49" spans="1:13">
      <c r="A49" s="16" t="s">
        <v>40</v>
      </c>
      <c r="B49" s="335" t="s">
        <v>23</v>
      </c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</row>
    <row r="50" spans="1:13">
      <c r="A50" s="10" t="s">
        <v>37</v>
      </c>
      <c r="B50" s="10" t="s">
        <v>41</v>
      </c>
      <c r="C50" s="10" t="s">
        <v>42</v>
      </c>
      <c r="D50" s="10" t="s">
        <v>43</v>
      </c>
      <c r="E50" s="10" t="s">
        <v>44</v>
      </c>
      <c r="F50" s="10" t="s">
        <v>45</v>
      </c>
      <c r="G50" s="10" t="s">
        <v>46</v>
      </c>
      <c r="H50" s="10" t="s">
        <v>47</v>
      </c>
      <c r="I50" s="10" t="s">
        <v>48</v>
      </c>
      <c r="J50" s="10" t="s">
        <v>49</v>
      </c>
      <c r="K50" s="10" t="s">
        <v>50</v>
      </c>
      <c r="L50" s="10" t="s">
        <v>51</v>
      </c>
      <c r="M50" s="10" t="s">
        <v>52</v>
      </c>
    </row>
    <row r="51" spans="1:13">
      <c r="A51" s="18" t="s">
        <v>253</v>
      </c>
      <c r="B51" s="20">
        <f>+N5/12</f>
        <v>53.166666666666664</v>
      </c>
      <c r="C51" s="20">
        <f>+B51</f>
        <v>53.166666666666664</v>
      </c>
      <c r="D51" s="20">
        <f t="shared" ref="D51:M51" si="98">+C51</f>
        <v>53.166666666666664</v>
      </c>
      <c r="E51" s="20">
        <f t="shared" si="98"/>
        <v>53.166666666666664</v>
      </c>
      <c r="F51" s="20">
        <f t="shared" si="98"/>
        <v>53.166666666666664</v>
      </c>
      <c r="G51" s="20">
        <f t="shared" si="98"/>
        <v>53.166666666666664</v>
      </c>
      <c r="H51" s="20">
        <f t="shared" si="98"/>
        <v>53.166666666666664</v>
      </c>
      <c r="I51" s="20">
        <f t="shared" si="98"/>
        <v>53.166666666666664</v>
      </c>
      <c r="J51" s="20">
        <f t="shared" si="98"/>
        <v>53.166666666666664</v>
      </c>
      <c r="K51" s="20">
        <f t="shared" si="98"/>
        <v>53.166666666666664</v>
      </c>
      <c r="L51" s="20">
        <f t="shared" si="98"/>
        <v>53.166666666666664</v>
      </c>
      <c r="M51" s="20">
        <f t="shared" si="98"/>
        <v>53.166666666666664</v>
      </c>
    </row>
    <row r="52" spans="1:13">
      <c r="A52" s="18" t="s">
        <v>33</v>
      </c>
      <c r="B52" s="20">
        <f>+N6/12</f>
        <v>25.666666666666668</v>
      </c>
      <c r="C52" s="20">
        <f t="shared" ref="C52:M55" si="99">+B52</f>
        <v>25.666666666666668</v>
      </c>
      <c r="D52" s="20">
        <f t="shared" si="99"/>
        <v>25.666666666666668</v>
      </c>
      <c r="E52" s="20">
        <f t="shared" si="99"/>
        <v>25.666666666666668</v>
      </c>
      <c r="F52" s="20">
        <f t="shared" si="99"/>
        <v>25.666666666666668</v>
      </c>
      <c r="G52" s="20">
        <f t="shared" si="99"/>
        <v>25.666666666666668</v>
      </c>
      <c r="H52" s="20">
        <f t="shared" si="99"/>
        <v>25.666666666666668</v>
      </c>
      <c r="I52" s="20">
        <f t="shared" si="99"/>
        <v>25.666666666666668</v>
      </c>
      <c r="J52" s="20">
        <f t="shared" si="99"/>
        <v>25.666666666666668</v>
      </c>
      <c r="K52" s="20">
        <f t="shared" si="99"/>
        <v>25.666666666666668</v>
      </c>
      <c r="L52" s="20">
        <f t="shared" si="99"/>
        <v>25.666666666666668</v>
      </c>
      <c r="M52" s="20">
        <f t="shared" si="99"/>
        <v>25.666666666666668</v>
      </c>
    </row>
    <row r="53" spans="1:13">
      <c r="A53" s="18" t="s">
        <v>345</v>
      </c>
      <c r="B53" s="20">
        <f>+N7/12</f>
        <v>22</v>
      </c>
      <c r="C53" s="20">
        <f t="shared" ref="C53" si="100">+B53</f>
        <v>22</v>
      </c>
      <c r="D53" s="20">
        <f t="shared" ref="D53" si="101">+C53</f>
        <v>22</v>
      </c>
      <c r="E53" s="20">
        <f t="shared" ref="E53" si="102">+D53</f>
        <v>22</v>
      </c>
      <c r="F53" s="20">
        <f t="shared" ref="F53" si="103">+E53</f>
        <v>22</v>
      </c>
      <c r="G53" s="20">
        <f t="shared" ref="G53" si="104">+F53</f>
        <v>22</v>
      </c>
      <c r="H53" s="20">
        <f t="shared" ref="H53" si="105">+G53</f>
        <v>22</v>
      </c>
      <c r="I53" s="20">
        <f t="shared" ref="I53" si="106">+H53</f>
        <v>22</v>
      </c>
      <c r="J53" s="20">
        <f t="shared" ref="J53" si="107">+I53</f>
        <v>22</v>
      </c>
      <c r="K53" s="20">
        <f t="shared" ref="K53" si="108">+J53</f>
        <v>22</v>
      </c>
      <c r="L53" s="20">
        <f t="shared" ref="L53" si="109">+K53</f>
        <v>22</v>
      </c>
      <c r="M53" s="20">
        <f t="shared" ref="M53" si="110">+L53</f>
        <v>22</v>
      </c>
    </row>
    <row r="54" spans="1:13">
      <c r="A54" s="18" t="s">
        <v>34</v>
      </c>
      <c r="B54" s="20">
        <f>+N8/12</f>
        <v>22</v>
      </c>
      <c r="C54" s="20">
        <f t="shared" si="99"/>
        <v>22</v>
      </c>
      <c r="D54" s="20">
        <f t="shared" si="99"/>
        <v>22</v>
      </c>
      <c r="E54" s="20">
        <f t="shared" si="99"/>
        <v>22</v>
      </c>
      <c r="F54" s="20">
        <f t="shared" si="99"/>
        <v>22</v>
      </c>
      <c r="G54" s="20">
        <f t="shared" si="99"/>
        <v>22</v>
      </c>
      <c r="H54" s="20">
        <f t="shared" si="99"/>
        <v>22</v>
      </c>
      <c r="I54" s="20">
        <f t="shared" si="99"/>
        <v>22</v>
      </c>
      <c r="J54" s="20">
        <f t="shared" si="99"/>
        <v>22</v>
      </c>
      <c r="K54" s="20">
        <f t="shared" si="99"/>
        <v>22</v>
      </c>
      <c r="L54" s="20">
        <f t="shared" si="99"/>
        <v>22</v>
      </c>
      <c r="M54" s="20">
        <f t="shared" si="99"/>
        <v>22</v>
      </c>
    </row>
    <row r="55" spans="1:13">
      <c r="A55" s="18" t="s">
        <v>35</v>
      </c>
      <c r="B55" s="20">
        <f>+N9/12</f>
        <v>22</v>
      </c>
      <c r="C55" s="20">
        <f t="shared" si="99"/>
        <v>22</v>
      </c>
      <c r="D55" s="20">
        <f t="shared" si="99"/>
        <v>22</v>
      </c>
      <c r="E55" s="20">
        <f t="shared" si="99"/>
        <v>22</v>
      </c>
      <c r="F55" s="20">
        <f t="shared" si="99"/>
        <v>22</v>
      </c>
      <c r="G55" s="20">
        <f t="shared" si="99"/>
        <v>22</v>
      </c>
      <c r="H55" s="20">
        <f t="shared" si="99"/>
        <v>22</v>
      </c>
      <c r="I55" s="20">
        <f t="shared" si="99"/>
        <v>22</v>
      </c>
      <c r="J55" s="20">
        <f t="shared" si="99"/>
        <v>22</v>
      </c>
      <c r="K55" s="20">
        <f t="shared" si="99"/>
        <v>22</v>
      </c>
      <c r="L55" s="20">
        <f t="shared" si="99"/>
        <v>22</v>
      </c>
      <c r="M55" s="20">
        <f t="shared" si="99"/>
        <v>22</v>
      </c>
    </row>
    <row r="56" spans="1:13">
      <c r="B56" s="21">
        <f>SUM(B51:B55)</f>
        <v>144.83333333333331</v>
      </c>
      <c r="C56" s="21">
        <f t="shared" ref="C56:M56" si="111">SUM(C51:C55)</f>
        <v>144.83333333333331</v>
      </c>
      <c r="D56" s="21">
        <f t="shared" si="111"/>
        <v>144.83333333333331</v>
      </c>
      <c r="E56" s="21">
        <f t="shared" si="111"/>
        <v>144.83333333333331</v>
      </c>
      <c r="F56" s="21">
        <f t="shared" si="111"/>
        <v>144.83333333333331</v>
      </c>
      <c r="G56" s="21">
        <f t="shared" si="111"/>
        <v>144.83333333333331</v>
      </c>
      <c r="H56" s="21">
        <f t="shared" si="111"/>
        <v>144.83333333333331</v>
      </c>
      <c r="I56" s="21">
        <f t="shared" si="111"/>
        <v>144.83333333333331</v>
      </c>
      <c r="J56" s="21">
        <f t="shared" si="111"/>
        <v>144.83333333333331</v>
      </c>
      <c r="K56" s="21">
        <f t="shared" si="111"/>
        <v>144.83333333333331</v>
      </c>
      <c r="L56" s="21">
        <f t="shared" si="111"/>
        <v>144.83333333333331</v>
      </c>
      <c r="M56" s="21">
        <f t="shared" si="111"/>
        <v>144.83333333333331</v>
      </c>
    </row>
    <row r="59" spans="1:13">
      <c r="A59" s="16" t="s">
        <v>53</v>
      </c>
      <c r="B59" s="335" t="s">
        <v>10</v>
      </c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</row>
    <row r="60" spans="1:13">
      <c r="A60" s="10" t="s">
        <v>37</v>
      </c>
      <c r="B60" s="10" t="s">
        <v>41</v>
      </c>
      <c r="C60" s="10" t="s">
        <v>42</v>
      </c>
      <c r="D60" s="10" t="s">
        <v>43</v>
      </c>
      <c r="E60" s="10" t="s">
        <v>44</v>
      </c>
      <c r="F60" s="10" t="s">
        <v>45</v>
      </c>
      <c r="G60" s="10" t="s">
        <v>46</v>
      </c>
      <c r="H60" s="10" t="s">
        <v>47</v>
      </c>
      <c r="I60" s="10" t="s">
        <v>48</v>
      </c>
      <c r="J60" s="10" t="s">
        <v>49</v>
      </c>
      <c r="K60" s="10" t="s">
        <v>50</v>
      </c>
      <c r="L60" s="10" t="s">
        <v>51</v>
      </c>
      <c r="M60" s="10" t="s">
        <v>52</v>
      </c>
    </row>
    <row r="61" spans="1:13">
      <c r="A61" s="18" t="s">
        <v>253</v>
      </c>
      <c r="B61" s="20">
        <v>20</v>
      </c>
      <c r="C61" s="20">
        <v>20</v>
      </c>
      <c r="D61" s="20">
        <v>20</v>
      </c>
      <c r="E61" s="20">
        <v>20</v>
      </c>
      <c r="F61" s="20">
        <v>20</v>
      </c>
      <c r="G61" s="20">
        <v>20</v>
      </c>
      <c r="H61" s="20">
        <v>20</v>
      </c>
      <c r="I61" s="20">
        <v>20</v>
      </c>
      <c r="J61" s="20">
        <v>20</v>
      </c>
      <c r="K61" s="20">
        <v>20</v>
      </c>
      <c r="L61" s="20">
        <v>20</v>
      </c>
      <c r="M61" s="20">
        <v>20</v>
      </c>
    </row>
    <row r="62" spans="1:13">
      <c r="A62" s="18" t="s">
        <v>33</v>
      </c>
      <c r="B62" s="20">
        <v>20</v>
      </c>
      <c r="C62" s="20">
        <v>20</v>
      </c>
      <c r="D62" s="20">
        <v>20</v>
      </c>
      <c r="E62" s="20">
        <v>20</v>
      </c>
      <c r="F62" s="20">
        <v>20</v>
      </c>
      <c r="G62" s="20">
        <v>20</v>
      </c>
      <c r="H62" s="20">
        <v>20</v>
      </c>
      <c r="I62" s="20">
        <v>20</v>
      </c>
      <c r="J62" s="20">
        <v>20</v>
      </c>
      <c r="K62" s="20">
        <v>20</v>
      </c>
      <c r="L62" s="20">
        <v>20</v>
      </c>
      <c r="M62" s="20">
        <v>20</v>
      </c>
    </row>
    <row r="63" spans="1:13">
      <c r="A63" s="18" t="s">
        <v>345</v>
      </c>
      <c r="B63" s="20">
        <v>20</v>
      </c>
      <c r="C63" s="20">
        <v>20</v>
      </c>
      <c r="D63" s="20">
        <v>20</v>
      </c>
      <c r="E63" s="20">
        <v>20</v>
      </c>
      <c r="F63" s="20">
        <v>20</v>
      </c>
      <c r="G63" s="20">
        <v>20</v>
      </c>
      <c r="H63" s="20">
        <v>20</v>
      </c>
      <c r="I63" s="20">
        <v>20</v>
      </c>
      <c r="J63" s="20">
        <v>20</v>
      </c>
      <c r="K63" s="20">
        <v>20</v>
      </c>
      <c r="L63" s="20">
        <v>20</v>
      </c>
      <c r="M63" s="20">
        <v>20</v>
      </c>
    </row>
    <row r="64" spans="1:13">
      <c r="A64" s="18" t="s">
        <v>34</v>
      </c>
      <c r="B64" s="20">
        <v>20</v>
      </c>
      <c r="C64" s="20">
        <v>20</v>
      </c>
      <c r="D64" s="20">
        <v>20</v>
      </c>
      <c r="E64" s="20">
        <v>20</v>
      </c>
      <c r="F64" s="20">
        <v>20</v>
      </c>
      <c r="G64" s="20">
        <v>20</v>
      </c>
      <c r="H64" s="20">
        <v>20</v>
      </c>
      <c r="I64" s="20">
        <v>20</v>
      </c>
      <c r="J64" s="20">
        <v>20</v>
      </c>
      <c r="K64" s="20">
        <v>20</v>
      </c>
      <c r="L64" s="20">
        <v>20</v>
      </c>
      <c r="M64" s="20">
        <v>20</v>
      </c>
    </row>
    <row r="65" spans="1:13">
      <c r="A65" s="18" t="s">
        <v>35</v>
      </c>
      <c r="B65" s="20">
        <v>20</v>
      </c>
      <c r="C65" s="20">
        <v>20</v>
      </c>
      <c r="D65" s="20">
        <v>20</v>
      </c>
      <c r="E65" s="20">
        <v>20</v>
      </c>
      <c r="F65" s="20">
        <v>20</v>
      </c>
      <c r="G65" s="20">
        <v>20</v>
      </c>
      <c r="H65" s="20">
        <v>20</v>
      </c>
      <c r="I65" s="20">
        <v>20</v>
      </c>
      <c r="J65" s="20">
        <v>20</v>
      </c>
      <c r="K65" s="20">
        <v>20</v>
      </c>
      <c r="L65" s="20">
        <v>20</v>
      </c>
      <c r="M65" s="20">
        <v>20</v>
      </c>
    </row>
    <row r="66" spans="1:13">
      <c r="B66" s="21">
        <f>SUM(B61:B65)</f>
        <v>100</v>
      </c>
      <c r="C66" s="21">
        <f t="shared" ref="C66" si="112">SUM(C61:C65)</f>
        <v>100</v>
      </c>
      <c r="D66" s="21">
        <f t="shared" ref="D66" si="113">SUM(D61:D65)</f>
        <v>100</v>
      </c>
      <c r="E66" s="21">
        <f t="shared" ref="E66" si="114">SUM(E61:E65)</f>
        <v>100</v>
      </c>
      <c r="F66" s="21">
        <f t="shared" ref="F66" si="115">SUM(F61:F65)</f>
        <v>100</v>
      </c>
      <c r="G66" s="21">
        <f t="shared" ref="G66" si="116">SUM(G61:G65)</f>
        <v>100</v>
      </c>
      <c r="H66" s="21">
        <f t="shared" ref="H66" si="117">SUM(H61:H65)</f>
        <v>100</v>
      </c>
      <c r="I66" s="21">
        <f t="shared" ref="I66" si="118">SUM(I61:I65)</f>
        <v>100</v>
      </c>
      <c r="J66" s="21">
        <f t="shared" ref="J66" si="119">SUM(J61:J65)</f>
        <v>100</v>
      </c>
      <c r="K66" s="21">
        <f t="shared" ref="K66" si="120">SUM(K61:K65)</f>
        <v>100</v>
      </c>
      <c r="L66" s="21">
        <f t="shared" ref="L66" si="121">SUM(L61:L65)</f>
        <v>100</v>
      </c>
      <c r="M66" s="21">
        <f t="shared" ref="M66" si="122">SUM(M61:M65)</f>
        <v>100</v>
      </c>
    </row>
    <row r="69" spans="1:13">
      <c r="A69" s="16" t="s">
        <v>53</v>
      </c>
      <c r="B69" s="335" t="s">
        <v>21</v>
      </c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</row>
    <row r="70" spans="1:13">
      <c r="A70" s="10" t="s">
        <v>37</v>
      </c>
      <c r="B70" s="10" t="s">
        <v>41</v>
      </c>
      <c r="C70" s="10" t="s">
        <v>42</v>
      </c>
      <c r="D70" s="10" t="s">
        <v>43</v>
      </c>
      <c r="E70" s="10" t="s">
        <v>44</v>
      </c>
      <c r="F70" s="10" t="s">
        <v>45</v>
      </c>
      <c r="G70" s="10" t="s">
        <v>46</v>
      </c>
      <c r="H70" s="10" t="s">
        <v>47</v>
      </c>
      <c r="I70" s="10" t="s">
        <v>48</v>
      </c>
      <c r="J70" s="10" t="s">
        <v>49</v>
      </c>
      <c r="K70" s="10" t="s">
        <v>50</v>
      </c>
      <c r="L70" s="10" t="s">
        <v>51</v>
      </c>
      <c r="M70" s="10" t="s">
        <v>52</v>
      </c>
    </row>
    <row r="71" spans="1:13">
      <c r="A71" s="18" t="s">
        <v>253</v>
      </c>
      <c r="B71" s="20">
        <v>20</v>
      </c>
      <c r="C71" s="20">
        <v>20</v>
      </c>
      <c r="D71" s="20">
        <v>20</v>
      </c>
      <c r="E71" s="20">
        <v>20</v>
      </c>
      <c r="F71" s="20">
        <v>20</v>
      </c>
      <c r="G71" s="20">
        <v>20</v>
      </c>
      <c r="H71" s="20">
        <v>20</v>
      </c>
      <c r="I71" s="20">
        <v>20</v>
      </c>
      <c r="J71" s="20">
        <v>20</v>
      </c>
      <c r="K71" s="20">
        <v>20</v>
      </c>
      <c r="L71" s="20">
        <v>20</v>
      </c>
      <c r="M71" s="20">
        <v>20</v>
      </c>
    </row>
    <row r="72" spans="1:13">
      <c r="A72" s="18" t="s">
        <v>33</v>
      </c>
      <c r="B72" s="20">
        <v>20</v>
      </c>
      <c r="C72" s="20">
        <v>20</v>
      </c>
      <c r="D72" s="20">
        <v>20</v>
      </c>
      <c r="E72" s="20">
        <v>20</v>
      </c>
      <c r="F72" s="20">
        <v>20</v>
      </c>
      <c r="G72" s="20">
        <v>20</v>
      </c>
      <c r="H72" s="20">
        <v>20</v>
      </c>
      <c r="I72" s="20">
        <v>20</v>
      </c>
      <c r="J72" s="20">
        <v>20</v>
      </c>
      <c r="K72" s="20">
        <v>20</v>
      </c>
      <c r="L72" s="20">
        <v>20</v>
      </c>
      <c r="M72" s="20">
        <v>20</v>
      </c>
    </row>
    <row r="73" spans="1:13">
      <c r="A73" s="18" t="s">
        <v>345</v>
      </c>
      <c r="B73" s="20">
        <v>20</v>
      </c>
      <c r="C73" s="20">
        <v>20</v>
      </c>
      <c r="D73" s="20">
        <v>20</v>
      </c>
      <c r="E73" s="20">
        <v>20</v>
      </c>
      <c r="F73" s="20">
        <v>20</v>
      </c>
      <c r="G73" s="20">
        <v>20</v>
      </c>
      <c r="H73" s="20">
        <v>20</v>
      </c>
      <c r="I73" s="20">
        <v>20</v>
      </c>
      <c r="J73" s="20">
        <v>20</v>
      </c>
      <c r="K73" s="20">
        <v>20</v>
      </c>
      <c r="L73" s="20">
        <v>20</v>
      </c>
      <c r="M73" s="20">
        <v>20</v>
      </c>
    </row>
    <row r="74" spans="1:13">
      <c r="A74" s="18" t="s">
        <v>34</v>
      </c>
      <c r="B74" s="20">
        <v>20</v>
      </c>
      <c r="C74" s="20">
        <v>20</v>
      </c>
      <c r="D74" s="20">
        <v>20</v>
      </c>
      <c r="E74" s="20">
        <v>20</v>
      </c>
      <c r="F74" s="20">
        <v>20</v>
      </c>
      <c r="G74" s="20">
        <v>20</v>
      </c>
      <c r="H74" s="20">
        <v>20</v>
      </c>
      <c r="I74" s="20">
        <v>20</v>
      </c>
      <c r="J74" s="20">
        <v>20</v>
      </c>
      <c r="K74" s="20">
        <v>20</v>
      </c>
      <c r="L74" s="20">
        <v>20</v>
      </c>
      <c r="M74" s="20">
        <v>20</v>
      </c>
    </row>
    <row r="75" spans="1:13">
      <c r="A75" s="18" t="s">
        <v>35</v>
      </c>
      <c r="B75" s="20">
        <v>20</v>
      </c>
      <c r="C75" s="20">
        <v>20</v>
      </c>
      <c r="D75" s="20">
        <v>20</v>
      </c>
      <c r="E75" s="20">
        <v>20</v>
      </c>
      <c r="F75" s="20">
        <v>20</v>
      </c>
      <c r="G75" s="20">
        <v>20</v>
      </c>
      <c r="H75" s="20">
        <v>20</v>
      </c>
      <c r="I75" s="20">
        <v>20</v>
      </c>
      <c r="J75" s="20">
        <v>20</v>
      </c>
      <c r="K75" s="20">
        <v>20</v>
      </c>
      <c r="L75" s="20">
        <v>20</v>
      </c>
      <c r="M75" s="20">
        <v>20</v>
      </c>
    </row>
    <row r="76" spans="1:13">
      <c r="B76" s="21">
        <f>SUM(B71:B75)</f>
        <v>100</v>
      </c>
      <c r="C76" s="21">
        <f t="shared" ref="C76:M76" si="123">SUM(C71:C75)</f>
        <v>100</v>
      </c>
      <c r="D76" s="21">
        <f t="shared" si="123"/>
        <v>100</v>
      </c>
      <c r="E76" s="21">
        <f t="shared" si="123"/>
        <v>100</v>
      </c>
      <c r="F76" s="21">
        <f t="shared" si="123"/>
        <v>100</v>
      </c>
      <c r="G76" s="21">
        <f t="shared" si="123"/>
        <v>100</v>
      </c>
      <c r="H76" s="21">
        <f t="shared" si="123"/>
        <v>100</v>
      </c>
      <c r="I76" s="21">
        <f t="shared" si="123"/>
        <v>100</v>
      </c>
      <c r="J76" s="21">
        <f t="shared" si="123"/>
        <v>100</v>
      </c>
      <c r="K76" s="21">
        <f t="shared" si="123"/>
        <v>100</v>
      </c>
      <c r="L76" s="21">
        <f t="shared" si="123"/>
        <v>100</v>
      </c>
      <c r="M76" s="21">
        <f t="shared" si="123"/>
        <v>100</v>
      </c>
    </row>
    <row r="79" spans="1:13">
      <c r="A79" s="16" t="s">
        <v>53</v>
      </c>
      <c r="B79" s="335" t="s">
        <v>20</v>
      </c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</row>
    <row r="80" spans="1:13">
      <c r="A80" s="10" t="s">
        <v>37</v>
      </c>
      <c r="B80" s="10" t="s">
        <v>41</v>
      </c>
      <c r="C80" s="10" t="s">
        <v>42</v>
      </c>
      <c r="D80" s="10" t="s">
        <v>43</v>
      </c>
      <c r="E80" s="10" t="s">
        <v>44</v>
      </c>
      <c r="F80" s="10" t="s">
        <v>45</v>
      </c>
      <c r="G80" s="10" t="s">
        <v>46</v>
      </c>
      <c r="H80" s="10" t="s">
        <v>47</v>
      </c>
      <c r="I80" s="10" t="s">
        <v>48</v>
      </c>
      <c r="J80" s="10" t="s">
        <v>49</v>
      </c>
      <c r="K80" s="10" t="s">
        <v>50</v>
      </c>
      <c r="L80" s="10" t="s">
        <v>51</v>
      </c>
      <c r="M80" s="10" t="s">
        <v>52</v>
      </c>
    </row>
    <row r="81" spans="1:13">
      <c r="A81" s="18" t="s">
        <v>253</v>
      </c>
      <c r="B81" s="20">
        <v>20</v>
      </c>
      <c r="C81" s="20">
        <v>20</v>
      </c>
      <c r="D81" s="20">
        <v>20</v>
      </c>
      <c r="E81" s="20">
        <v>20</v>
      </c>
      <c r="F81" s="20">
        <v>20</v>
      </c>
      <c r="G81" s="20">
        <v>20</v>
      </c>
      <c r="H81" s="20">
        <v>20</v>
      </c>
      <c r="I81" s="20">
        <v>20</v>
      </c>
      <c r="J81" s="20">
        <v>20</v>
      </c>
      <c r="K81" s="20">
        <v>20</v>
      </c>
      <c r="L81" s="20">
        <v>20</v>
      </c>
      <c r="M81" s="20">
        <v>20</v>
      </c>
    </row>
    <row r="82" spans="1:13">
      <c r="A82" s="18" t="s">
        <v>33</v>
      </c>
      <c r="B82" s="20">
        <v>20</v>
      </c>
      <c r="C82" s="20">
        <v>20</v>
      </c>
      <c r="D82" s="20">
        <v>20</v>
      </c>
      <c r="E82" s="20">
        <v>20</v>
      </c>
      <c r="F82" s="20">
        <v>20</v>
      </c>
      <c r="G82" s="20">
        <v>20</v>
      </c>
      <c r="H82" s="20">
        <v>20</v>
      </c>
      <c r="I82" s="20">
        <v>20</v>
      </c>
      <c r="J82" s="20">
        <v>20</v>
      </c>
      <c r="K82" s="20">
        <v>20</v>
      </c>
      <c r="L82" s="20">
        <v>20</v>
      </c>
      <c r="M82" s="20">
        <v>20</v>
      </c>
    </row>
    <row r="83" spans="1:13">
      <c r="A83" s="18" t="s">
        <v>345</v>
      </c>
      <c r="B83" s="20">
        <v>20</v>
      </c>
      <c r="C83" s="20">
        <v>20</v>
      </c>
      <c r="D83" s="20">
        <v>20</v>
      </c>
      <c r="E83" s="20">
        <v>20</v>
      </c>
      <c r="F83" s="20">
        <v>20</v>
      </c>
      <c r="G83" s="20">
        <v>20</v>
      </c>
      <c r="H83" s="20">
        <v>20</v>
      </c>
      <c r="I83" s="20">
        <v>20</v>
      </c>
      <c r="J83" s="20">
        <v>20</v>
      </c>
      <c r="K83" s="20">
        <v>20</v>
      </c>
      <c r="L83" s="20">
        <v>20</v>
      </c>
      <c r="M83" s="20">
        <v>20</v>
      </c>
    </row>
    <row r="84" spans="1:13">
      <c r="A84" s="18" t="s">
        <v>34</v>
      </c>
      <c r="B84" s="20">
        <v>20</v>
      </c>
      <c r="C84" s="20">
        <v>20</v>
      </c>
      <c r="D84" s="20">
        <v>20</v>
      </c>
      <c r="E84" s="20">
        <v>20</v>
      </c>
      <c r="F84" s="20">
        <v>20</v>
      </c>
      <c r="G84" s="20">
        <v>20</v>
      </c>
      <c r="H84" s="20">
        <v>20</v>
      </c>
      <c r="I84" s="20">
        <v>20</v>
      </c>
      <c r="J84" s="20">
        <v>20</v>
      </c>
      <c r="K84" s="20">
        <v>20</v>
      </c>
      <c r="L84" s="20">
        <v>20</v>
      </c>
      <c r="M84" s="20">
        <v>20</v>
      </c>
    </row>
    <row r="85" spans="1:13">
      <c r="A85" s="18" t="s">
        <v>35</v>
      </c>
      <c r="B85" s="20">
        <v>20</v>
      </c>
      <c r="C85" s="20">
        <v>20</v>
      </c>
      <c r="D85" s="20">
        <v>20</v>
      </c>
      <c r="E85" s="20">
        <v>20</v>
      </c>
      <c r="F85" s="20">
        <v>20</v>
      </c>
      <c r="G85" s="20">
        <v>20</v>
      </c>
      <c r="H85" s="20">
        <v>20</v>
      </c>
      <c r="I85" s="20">
        <v>20</v>
      </c>
      <c r="J85" s="20">
        <v>20</v>
      </c>
      <c r="K85" s="20">
        <v>20</v>
      </c>
      <c r="L85" s="20">
        <v>20</v>
      </c>
      <c r="M85" s="20">
        <v>20</v>
      </c>
    </row>
    <row r="86" spans="1:13">
      <c r="B86" s="21">
        <f>SUM(B81:B85)</f>
        <v>100</v>
      </c>
      <c r="C86" s="21">
        <f t="shared" ref="C86:M86" si="124">SUM(C81:C85)</f>
        <v>100</v>
      </c>
      <c r="D86" s="21">
        <f t="shared" si="124"/>
        <v>100</v>
      </c>
      <c r="E86" s="21">
        <f t="shared" si="124"/>
        <v>100</v>
      </c>
      <c r="F86" s="21">
        <f t="shared" si="124"/>
        <v>100</v>
      </c>
      <c r="G86" s="21">
        <f t="shared" si="124"/>
        <v>100</v>
      </c>
      <c r="H86" s="21">
        <f t="shared" si="124"/>
        <v>100</v>
      </c>
      <c r="I86" s="21">
        <f t="shared" si="124"/>
        <v>100</v>
      </c>
      <c r="J86" s="21">
        <f t="shared" si="124"/>
        <v>100</v>
      </c>
      <c r="K86" s="21">
        <f t="shared" si="124"/>
        <v>100</v>
      </c>
      <c r="L86" s="21">
        <f t="shared" si="124"/>
        <v>100</v>
      </c>
      <c r="M86" s="21">
        <f t="shared" si="124"/>
        <v>100</v>
      </c>
    </row>
    <row r="89" spans="1:13">
      <c r="A89" s="16" t="s">
        <v>53</v>
      </c>
      <c r="B89" s="335" t="s">
        <v>22</v>
      </c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</row>
    <row r="90" spans="1:13">
      <c r="A90" s="10" t="s">
        <v>37</v>
      </c>
      <c r="B90" s="10" t="s">
        <v>41</v>
      </c>
      <c r="C90" s="10" t="s">
        <v>42</v>
      </c>
      <c r="D90" s="10" t="s">
        <v>43</v>
      </c>
      <c r="E90" s="10" t="s">
        <v>44</v>
      </c>
      <c r="F90" s="10" t="s">
        <v>45</v>
      </c>
      <c r="G90" s="10" t="s">
        <v>46</v>
      </c>
      <c r="H90" s="10" t="s">
        <v>47</v>
      </c>
      <c r="I90" s="10" t="s">
        <v>48</v>
      </c>
      <c r="J90" s="10" t="s">
        <v>49</v>
      </c>
      <c r="K90" s="10" t="s">
        <v>50</v>
      </c>
      <c r="L90" s="10" t="s">
        <v>51</v>
      </c>
      <c r="M90" s="10" t="s">
        <v>52</v>
      </c>
    </row>
    <row r="91" spans="1:13">
      <c r="A91" s="18" t="s">
        <v>253</v>
      </c>
      <c r="B91" s="20">
        <v>20</v>
      </c>
      <c r="C91" s="20">
        <v>20</v>
      </c>
      <c r="D91" s="20">
        <v>20</v>
      </c>
      <c r="E91" s="20">
        <v>20</v>
      </c>
      <c r="F91" s="20">
        <v>20</v>
      </c>
      <c r="G91" s="20">
        <v>20</v>
      </c>
      <c r="H91" s="20">
        <v>20</v>
      </c>
      <c r="I91" s="20">
        <v>20</v>
      </c>
      <c r="J91" s="20">
        <v>20</v>
      </c>
      <c r="K91" s="20">
        <v>20</v>
      </c>
      <c r="L91" s="20">
        <v>20</v>
      </c>
      <c r="M91" s="20">
        <v>20</v>
      </c>
    </row>
    <row r="92" spans="1:13">
      <c r="A92" s="18" t="s">
        <v>33</v>
      </c>
      <c r="B92" s="20">
        <v>20</v>
      </c>
      <c r="C92" s="20">
        <v>20</v>
      </c>
      <c r="D92" s="20">
        <v>20</v>
      </c>
      <c r="E92" s="20">
        <v>20</v>
      </c>
      <c r="F92" s="20">
        <v>20</v>
      </c>
      <c r="G92" s="20">
        <v>20</v>
      </c>
      <c r="H92" s="20">
        <v>20</v>
      </c>
      <c r="I92" s="20">
        <v>20</v>
      </c>
      <c r="J92" s="20">
        <v>20</v>
      </c>
      <c r="K92" s="20">
        <v>20</v>
      </c>
      <c r="L92" s="20">
        <v>20</v>
      </c>
      <c r="M92" s="20">
        <v>20</v>
      </c>
    </row>
    <row r="93" spans="1:13">
      <c r="A93" s="18" t="s">
        <v>345</v>
      </c>
      <c r="B93" s="20">
        <v>20</v>
      </c>
      <c r="C93" s="20">
        <v>20</v>
      </c>
      <c r="D93" s="20">
        <v>20</v>
      </c>
      <c r="E93" s="20">
        <v>20</v>
      </c>
      <c r="F93" s="20">
        <v>20</v>
      </c>
      <c r="G93" s="20">
        <v>20</v>
      </c>
      <c r="H93" s="20">
        <v>20</v>
      </c>
      <c r="I93" s="20">
        <v>20</v>
      </c>
      <c r="J93" s="20">
        <v>20</v>
      </c>
      <c r="K93" s="20">
        <v>20</v>
      </c>
      <c r="L93" s="20">
        <v>20</v>
      </c>
      <c r="M93" s="20">
        <v>20</v>
      </c>
    </row>
    <row r="94" spans="1:13">
      <c r="A94" s="18" t="s">
        <v>34</v>
      </c>
      <c r="B94" s="20">
        <v>20</v>
      </c>
      <c r="C94" s="20">
        <v>20</v>
      </c>
      <c r="D94" s="20">
        <v>20</v>
      </c>
      <c r="E94" s="20">
        <v>20</v>
      </c>
      <c r="F94" s="20">
        <v>20</v>
      </c>
      <c r="G94" s="20">
        <v>20</v>
      </c>
      <c r="H94" s="20">
        <v>20</v>
      </c>
      <c r="I94" s="20">
        <v>20</v>
      </c>
      <c r="J94" s="20">
        <v>20</v>
      </c>
      <c r="K94" s="20">
        <v>20</v>
      </c>
      <c r="L94" s="20">
        <v>20</v>
      </c>
      <c r="M94" s="20">
        <v>20</v>
      </c>
    </row>
    <row r="95" spans="1:13">
      <c r="A95" s="18" t="s">
        <v>35</v>
      </c>
      <c r="B95" s="20">
        <v>20</v>
      </c>
      <c r="C95" s="20">
        <v>20</v>
      </c>
      <c r="D95" s="20">
        <v>20</v>
      </c>
      <c r="E95" s="20">
        <v>20</v>
      </c>
      <c r="F95" s="20">
        <v>20</v>
      </c>
      <c r="G95" s="20">
        <v>20</v>
      </c>
      <c r="H95" s="20">
        <v>20</v>
      </c>
      <c r="I95" s="20">
        <v>20</v>
      </c>
      <c r="J95" s="20">
        <v>20</v>
      </c>
      <c r="K95" s="20">
        <v>20</v>
      </c>
      <c r="L95" s="20">
        <v>20</v>
      </c>
      <c r="M95" s="20">
        <v>20</v>
      </c>
    </row>
    <row r="96" spans="1:13">
      <c r="A96" s="22" t="s">
        <v>55</v>
      </c>
      <c r="B96" s="21">
        <f>SUM(B91:B95)</f>
        <v>100</v>
      </c>
      <c r="C96" s="21">
        <f t="shared" ref="C96:M96" si="125">SUM(C91:C95)</f>
        <v>100</v>
      </c>
      <c r="D96" s="21">
        <f t="shared" si="125"/>
        <v>100</v>
      </c>
      <c r="E96" s="21">
        <f t="shared" si="125"/>
        <v>100</v>
      </c>
      <c r="F96" s="21">
        <f t="shared" si="125"/>
        <v>100</v>
      </c>
      <c r="G96" s="21">
        <f t="shared" si="125"/>
        <v>100</v>
      </c>
      <c r="H96" s="21">
        <f t="shared" si="125"/>
        <v>100</v>
      </c>
      <c r="I96" s="21">
        <f t="shared" si="125"/>
        <v>100</v>
      </c>
      <c r="J96" s="21">
        <f t="shared" si="125"/>
        <v>100</v>
      </c>
      <c r="K96" s="21">
        <f t="shared" si="125"/>
        <v>100</v>
      </c>
      <c r="L96" s="21">
        <f t="shared" si="125"/>
        <v>100</v>
      </c>
      <c r="M96" s="21">
        <f t="shared" si="125"/>
        <v>100</v>
      </c>
    </row>
    <row r="99" spans="1:13">
      <c r="A99" s="16" t="s">
        <v>53</v>
      </c>
      <c r="B99" s="335" t="s">
        <v>23</v>
      </c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</row>
    <row r="100" spans="1:13">
      <c r="A100" s="10" t="s">
        <v>37</v>
      </c>
      <c r="B100" s="10" t="s">
        <v>41</v>
      </c>
      <c r="C100" s="10" t="s">
        <v>42</v>
      </c>
      <c r="D100" s="10" t="s">
        <v>43</v>
      </c>
      <c r="E100" s="10" t="s">
        <v>44</v>
      </c>
      <c r="F100" s="10" t="s">
        <v>45</v>
      </c>
      <c r="G100" s="10" t="s">
        <v>46</v>
      </c>
      <c r="H100" s="10" t="s">
        <v>47</v>
      </c>
      <c r="I100" s="10" t="s">
        <v>48</v>
      </c>
      <c r="J100" s="10" t="s">
        <v>49</v>
      </c>
      <c r="K100" s="10" t="s">
        <v>50</v>
      </c>
      <c r="L100" s="10" t="s">
        <v>51</v>
      </c>
      <c r="M100" s="10" t="s">
        <v>52</v>
      </c>
    </row>
    <row r="101" spans="1:13">
      <c r="A101" s="18" t="s">
        <v>253</v>
      </c>
      <c r="B101" s="20">
        <v>20</v>
      </c>
      <c r="C101" s="20">
        <v>20</v>
      </c>
      <c r="D101" s="20">
        <v>20</v>
      </c>
      <c r="E101" s="20">
        <v>20</v>
      </c>
      <c r="F101" s="20">
        <v>20</v>
      </c>
      <c r="G101" s="20">
        <v>20</v>
      </c>
      <c r="H101" s="20">
        <v>20</v>
      </c>
      <c r="I101" s="20">
        <v>20</v>
      </c>
      <c r="J101" s="20">
        <v>20</v>
      </c>
      <c r="K101" s="20">
        <v>20</v>
      </c>
      <c r="L101" s="20">
        <v>20</v>
      </c>
      <c r="M101" s="20">
        <v>20</v>
      </c>
    </row>
    <row r="102" spans="1:13">
      <c r="A102" s="18" t="s">
        <v>33</v>
      </c>
      <c r="B102" s="20">
        <v>20</v>
      </c>
      <c r="C102" s="20">
        <v>20</v>
      </c>
      <c r="D102" s="20">
        <v>20</v>
      </c>
      <c r="E102" s="20">
        <v>20</v>
      </c>
      <c r="F102" s="20">
        <v>20</v>
      </c>
      <c r="G102" s="20">
        <v>20</v>
      </c>
      <c r="H102" s="20">
        <v>20</v>
      </c>
      <c r="I102" s="20">
        <v>20</v>
      </c>
      <c r="J102" s="20">
        <v>20</v>
      </c>
      <c r="K102" s="20">
        <v>20</v>
      </c>
      <c r="L102" s="20">
        <v>20</v>
      </c>
      <c r="M102" s="20">
        <v>20</v>
      </c>
    </row>
    <row r="103" spans="1:13">
      <c r="A103" s="18" t="s">
        <v>345</v>
      </c>
      <c r="B103" s="20">
        <v>20</v>
      </c>
      <c r="C103" s="20">
        <v>20</v>
      </c>
      <c r="D103" s="20">
        <v>20</v>
      </c>
      <c r="E103" s="20">
        <v>20</v>
      </c>
      <c r="F103" s="20">
        <v>20</v>
      </c>
      <c r="G103" s="20">
        <v>20</v>
      </c>
      <c r="H103" s="20">
        <v>20</v>
      </c>
      <c r="I103" s="20">
        <v>20</v>
      </c>
      <c r="J103" s="20">
        <v>20</v>
      </c>
      <c r="K103" s="20">
        <v>20</v>
      </c>
      <c r="L103" s="20">
        <v>20</v>
      </c>
      <c r="M103" s="20">
        <v>20</v>
      </c>
    </row>
    <row r="104" spans="1:13">
      <c r="A104" s="18" t="s">
        <v>34</v>
      </c>
      <c r="B104" s="20">
        <v>20</v>
      </c>
      <c r="C104" s="20">
        <v>20</v>
      </c>
      <c r="D104" s="20">
        <v>20</v>
      </c>
      <c r="E104" s="20">
        <v>20</v>
      </c>
      <c r="F104" s="20">
        <v>20</v>
      </c>
      <c r="G104" s="20">
        <v>20</v>
      </c>
      <c r="H104" s="20">
        <v>20</v>
      </c>
      <c r="I104" s="20">
        <v>20</v>
      </c>
      <c r="J104" s="20">
        <v>20</v>
      </c>
      <c r="K104" s="20">
        <v>20</v>
      </c>
      <c r="L104" s="20">
        <v>20</v>
      </c>
      <c r="M104" s="20">
        <v>20</v>
      </c>
    </row>
    <row r="105" spans="1:13">
      <c r="A105" s="18" t="s">
        <v>35</v>
      </c>
      <c r="B105" s="20">
        <v>20</v>
      </c>
      <c r="C105" s="20">
        <v>20</v>
      </c>
      <c r="D105" s="20">
        <v>20</v>
      </c>
      <c r="E105" s="20">
        <v>20</v>
      </c>
      <c r="F105" s="20">
        <v>20</v>
      </c>
      <c r="G105" s="20">
        <v>20</v>
      </c>
      <c r="H105" s="20">
        <v>20</v>
      </c>
      <c r="I105" s="20">
        <v>20</v>
      </c>
      <c r="J105" s="20">
        <v>20</v>
      </c>
      <c r="K105" s="20">
        <v>20</v>
      </c>
      <c r="L105" s="20">
        <v>20</v>
      </c>
      <c r="M105" s="20">
        <v>20</v>
      </c>
    </row>
    <row r="106" spans="1:13">
      <c r="B106" s="21">
        <f>SUM(B101:B105)</f>
        <v>100</v>
      </c>
      <c r="C106" s="21">
        <f t="shared" ref="C106:M106" si="126">SUM(C101:C105)</f>
        <v>100</v>
      </c>
      <c r="D106" s="21">
        <f t="shared" si="126"/>
        <v>100</v>
      </c>
      <c r="E106" s="21">
        <f t="shared" si="126"/>
        <v>100</v>
      </c>
      <c r="F106" s="21">
        <f t="shared" si="126"/>
        <v>100</v>
      </c>
      <c r="G106" s="21">
        <f t="shared" si="126"/>
        <v>100</v>
      </c>
      <c r="H106" s="21">
        <f t="shared" si="126"/>
        <v>100</v>
      </c>
      <c r="I106" s="21">
        <f t="shared" si="126"/>
        <v>100</v>
      </c>
      <c r="J106" s="21">
        <f t="shared" si="126"/>
        <v>100</v>
      </c>
      <c r="K106" s="21">
        <f t="shared" si="126"/>
        <v>100</v>
      </c>
      <c r="L106" s="21">
        <f t="shared" si="126"/>
        <v>100</v>
      </c>
      <c r="M106" s="21">
        <f t="shared" si="126"/>
        <v>100</v>
      </c>
    </row>
    <row r="109" spans="1:13">
      <c r="A109" s="10" t="s">
        <v>37</v>
      </c>
      <c r="B109" s="336" t="s">
        <v>10</v>
      </c>
      <c r="C109" s="336"/>
      <c r="D109" s="336" t="s">
        <v>21</v>
      </c>
      <c r="E109" s="336"/>
      <c r="F109" s="336" t="s">
        <v>20</v>
      </c>
      <c r="G109" s="336"/>
      <c r="H109" s="336" t="s">
        <v>22</v>
      </c>
      <c r="I109" s="336"/>
      <c r="J109" s="336" t="s">
        <v>23</v>
      </c>
      <c r="K109" s="336"/>
    </row>
    <row r="110" spans="1:13">
      <c r="B110" s="90" t="s">
        <v>264</v>
      </c>
      <c r="C110" s="90" t="s">
        <v>265</v>
      </c>
      <c r="D110" s="90" t="s">
        <v>264</v>
      </c>
      <c r="E110" s="90" t="s">
        <v>265</v>
      </c>
      <c r="F110" s="90" t="s">
        <v>264</v>
      </c>
      <c r="G110" s="90" t="s">
        <v>265</v>
      </c>
      <c r="H110" s="90" t="s">
        <v>264</v>
      </c>
      <c r="I110" s="90" t="s">
        <v>265</v>
      </c>
      <c r="J110" s="90" t="s">
        <v>264</v>
      </c>
      <c r="K110" s="90" t="s">
        <v>265</v>
      </c>
    </row>
    <row r="111" spans="1:13">
      <c r="A111" s="18" t="s">
        <v>253</v>
      </c>
      <c r="B111" s="20">
        <f>SUM(B15:L15)</f>
        <v>531.66666666666663</v>
      </c>
      <c r="C111" s="20">
        <f>SUM(B61:C61)</f>
        <v>40</v>
      </c>
      <c r="D111" s="20">
        <f>SUM(B24:L24)</f>
        <v>531.66666666666663</v>
      </c>
      <c r="E111" s="20">
        <f>SUM(B71:C71)</f>
        <v>40</v>
      </c>
      <c r="F111" s="20">
        <f>SUM(B33:L33)</f>
        <v>584.83333333333337</v>
      </c>
      <c r="G111" s="20">
        <f>SUM(B81:C81)</f>
        <v>40</v>
      </c>
      <c r="H111" s="20">
        <f>SUM(B42:L42)</f>
        <v>584.83333333333337</v>
      </c>
      <c r="I111" s="20">
        <f>SUM(B91:C91)</f>
        <v>40</v>
      </c>
      <c r="J111" s="20">
        <f>SUM(B51:L51)</f>
        <v>584.83333333333337</v>
      </c>
      <c r="K111" s="20">
        <f>SUM(B101:C101)</f>
        <v>40</v>
      </c>
    </row>
    <row r="112" spans="1:13">
      <c r="A112" s="18" t="s">
        <v>33</v>
      </c>
      <c r="B112" s="20">
        <f t="shared" ref="B112:B115" si="127">SUM(B16:L16)</f>
        <v>256.66666666666669</v>
      </c>
      <c r="C112" s="20">
        <f t="shared" ref="C112:C115" si="128">SUM(B62:C62)</f>
        <v>40</v>
      </c>
      <c r="D112" s="20">
        <f t="shared" ref="D112:D115" si="129">SUM(B25:L25)</f>
        <v>256.66666666666669</v>
      </c>
      <c r="E112" s="20">
        <f t="shared" ref="E112:E115" si="130">SUM(B72:C72)</f>
        <v>40</v>
      </c>
      <c r="F112" s="20">
        <f t="shared" ref="F112:F115" si="131">SUM(B34:L34)</f>
        <v>282.33333333333331</v>
      </c>
      <c r="G112" s="20">
        <f t="shared" ref="G112:G115" si="132">SUM(B82:C82)</f>
        <v>40</v>
      </c>
      <c r="H112" s="20">
        <f t="shared" ref="H112:H115" si="133">SUM(B43:L43)</f>
        <v>282.33333333333331</v>
      </c>
      <c r="I112" s="20">
        <f t="shared" ref="I112:I115" si="134">SUM(B92:C92)</f>
        <v>40</v>
      </c>
      <c r="J112" s="20">
        <f t="shared" ref="J112:J115" si="135">SUM(B52:L52)</f>
        <v>282.33333333333331</v>
      </c>
      <c r="K112" s="20">
        <f t="shared" ref="K112:K115" si="136">SUM(B102:C102)</f>
        <v>40</v>
      </c>
    </row>
    <row r="113" spans="1:15">
      <c r="A113" s="18" t="s">
        <v>345</v>
      </c>
      <c r="B113" s="20">
        <f t="shared" si="127"/>
        <v>220</v>
      </c>
      <c r="C113" s="20">
        <f t="shared" si="128"/>
        <v>40</v>
      </c>
      <c r="D113" s="20">
        <f t="shared" si="129"/>
        <v>220</v>
      </c>
      <c r="E113" s="20">
        <f t="shared" si="130"/>
        <v>40</v>
      </c>
      <c r="F113" s="20">
        <f t="shared" si="131"/>
        <v>242</v>
      </c>
      <c r="G113" s="20">
        <f t="shared" si="132"/>
        <v>40</v>
      </c>
      <c r="H113" s="20">
        <f t="shared" si="133"/>
        <v>242</v>
      </c>
      <c r="I113" s="20">
        <f t="shared" si="134"/>
        <v>40</v>
      </c>
      <c r="J113" s="20">
        <f t="shared" si="135"/>
        <v>242</v>
      </c>
      <c r="K113" s="20">
        <f t="shared" si="136"/>
        <v>40</v>
      </c>
    </row>
    <row r="114" spans="1:15">
      <c r="A114" s="18" t="s">
        <v>34</v>
      </c>
      <c r="B114" s="20">
        <f t="shared" si="127"/>
        <v>220</v>
      </c>
      <c r="C114" s="20">
        <f t="shared" si="128"/>
        <v>40</v>
      </c>
      <c r="D114" s="20">
        <f t="shared" si="129"/>
        <v>220</v>
      </c>
      <c r="E114" s="20">
        <f t="shared" si="130"/>
        <v>40</v>
      </c>
      <c r="F114" s="20">
        <f t="shared" si="131"/>
        <v>242</v>
      </c>
      <c r="G114" s="20">
        <f t="shared" si="132"/>
        <v>40</v>
      </c>
      <c r="H114" s="20">
        <f t="shared" si="133"/>
        <v>242</v>
      </c>
      <c r="I114" s="20">
        <f t="shared" si="134"/>
        <v>40</v>
      </c>
      <c r="J114" s="20">
        <f t="shared" si="135"/>
        <v>242</v>
      </c>
      <c r="K114" s="20">
        <f t="shared" si="136"/>
        <v>40</v>
      </c>
    </row>
    <row r="115" spans="1:15">
      <c r="A115" s="18" t="s">
        <v>35</v>
      </c>
      <c r="B115" s="20">
        <f t="shared" si="127"/>
        <v>220</v>
      </c>
      <c r="C115" s="20">
        <f t="shared" si="128"/>
        <v>40</v>
      </c>
      <c r="D115" s="20">
        <f t="shared" si="129"/>
        <v>220</v>
      </c>
      <c r="E115" s="20">
        <f t="shared" si="130"/>
        <v>40</v>
      </c>
      <c r="F115" s="20">
        <f t="shared" si="131"/>
        <v>242</v>
      </c>
      <c r="G115" s="20">
        <f t="shared" si="132"/>
        <v>40</v>
      </c>
      <c r="H115" s="20">
        <f t="shared" si="133"/>
        <v>242</v>
      </c>
      <c r="I115" s="20">
        <f t="shared" si="134"/>
        <v>40</v>
      </c>
      <c r="J115" s="20">
        <f t="shared" si="135"/>
        <v>242</v>
      </c>
      <c r="K115" s="20">
        <f t="shared" si="136"/>
        <v>40</v>
      </c>
    </row>
    <row r="116" spans="1:15">
      <c r="A116" s="22" t="s">
        <v>54</v>
      </c>
      <c r="B116" s="21">
        <f>SUM(B111:B115)</f>
        <v>1448.3333333333333</v>
      </c>
      <c r="C116" s="21">
        <f t="shared" ref="C116:K116" si="137">SUM(C111:C115)</f>
        <v>200</v>
      </c>
      <c r="D116" s="21">
        <f t="shared" si="137"/>
        <v>1448.3333333333333</v>
      </c>
      <c r="E116" s="21">
        <f t="shared" si="137"/>
        <v>200</v>
      </c>
      <c r="F116" s="21">
        <f t="shared" si="137"/>
        <v>1593.1666666666667</v>
      </c>
      <c r="G116" s="21">
        <f t="shared" si="137"/>
        <v>200</v>
      </c>
      <c r="H116" s="21">
        <f t="shared" si="137"/>
        <v>1593.1666666666667</v>
      </c>
      <c r="I116" s="21">
        <f t="shared" si="137"/>
        <v>200</v>
      </c>
      <c r="J116" s="21">
        <f t="shared" si="137"/>
        <v>1593.1666666666667</v>
      </c>
      <c r="K116" s="21">
        <f t="shared" si="137"/>
        <v>200</v>
      </c>
    </row>
    <row r="117" spans="1:15" ht="13.5" thickBot="1"/>
    <row r="118" spans="1:15" s="189" customFormat="1">
      <c r="A118" s="190" t="s">
        <v>292</v>
      </c>
      <c r="B118" s="187" t="s">
        <v>41</v>
      </c>
      <c r="C118" s="187" t="s">
        <v>42</v>
      </c>
      <c r="D118" s="187" t="s">
        <v>43</v>
      </c>
      <c r="E118" s="187" t="s">
        <v>44</v>
      </c>
      <c r="F118" s="187" t="s">
        <v>45</v>
      </c>
      <c r="G118" s="187" t="s">
        <v>46</v>
      </c>
      <c r="H118" s="187" t="s">
        <v>47</v>
      </c>
      <c r="I118" s="187" t="s">
        <v>48</v>
      </c>
      <c r="J118" s="187" t="s">
        <v>49</v>
      </c>
      <c r="K118" s="187" t="s">
        <v>50</v>
      </c>
      <c r="L118" s="187" t="s">
        <v>51</v>
      </c>
      <c r="M118" s="188" t="s">
        <v>52</v>
      </c>
      <c r="N118" s="15"/>
    </row>
    <row r="119" spans="1:15">
      <c r="A119" s="24" t="s">
        <v>291</v>
      </c>
      <c r="B119" s="25">
        <f t="shared" ref="B119:M119" si="138">+$B$11</f>
        <v>1432.27</v>
      </c>
      <c r="C119" s="25">
        <f t="shared" si="138"/>
        <v>1432.27</v>
      </c>
      <c r="D119" s="25">
        <f t="shared" si="138"/>
        <v>1432.27</v>
      </c>
      <c r="E119" s="25">
        <f t="shared" si="138"/>
        <v>1432.27</v>
      </c>
      <c r="F119" s="25">
        <f t="shared" si="138"/>
        <v>1432.27</v>
      </c>
      <c r="G119" s="25">
        <f t="shared" si="138"/>
        <v>1432.27</v>
      </c>
      <c r="H119" s="25">
        <f t="shared" si="138"/>
        <v>1432.27</v>
      </c>
      <c r="I119" s="25">
        <f t="shared" si="138"/>
        <v>1432.27</v>
      </c>
      <c r="J119" s="25">
        <f t="shared" si="138"/>
        <v>1432.27</v>
      </c>
      <c r="K119" s="25">
        <f t="shared" si="138"/>
        <v>1432.27</v>
      </c>
      <c r="L119" s="25">
        <f t="shared" si="138"/>
        <v>1432.27</v>
      </c>
      <c r="M119" s="26">
        <f t="shared" si="138"/>
        <v>1432.27</v>
      </c>
    </row>
    <row r="120" spans="1:15">
      <c r="A120" s="24" t="s">
        <v>39</v>
      </c>
      <c r="B120" s="25">
        <f>+$D$10</f>
        <v>191.97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6">
        <v>0</v>
      </c>
    </row>
    <row r="121" spans="1:15">
      <c r="A121" s="24" t="s">
        <v>289</v>
      </c>
      <c r="B121" s="25">
        <v>0</v>
      </c>
      <c r="C121" s="25">
        <v>0</v>
      </c>
      <c r="D121" s="25">
        <f>+$C$116</f>
        <v>200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6">
        <v>0</v>
      </c>
    </row>
    <row r="122" spans="1:15">
      <c r="A122" s="24" t="s">
        <v>288</v>
      </c>
      <c r="B122" s="25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6">
        <f>+B116</f>
        <v>1448.3333333333333</v>
      </c>
    </row>
    <row r="123" spans="1:15" ht="13.5" thickBot="1">
      <c r="A123" s="27"/>
      <c r="B123" s="28">
        <f>SUM(B120:B122)</f>
        <v>191.97</v>
      </c>
      <c r="C123" s="28">
        <f t="shared" ref="C123:M123" si="139">SUM(C120:C122)</f>
        <v>0</v>
      </c>
      <c r="D123" s="28">
        <f t="shared" si="139"/>
        <v>200</v>
      </c>
      <c r="E123" s="28">
        <f t="shared" si="139"/>
        <v>0</v>
      </c>
      <c r="F123" s="28">
        <f t="shared" si="139"/>
        <v>0</v>
      </c>
      <c r="G123" s="28">
        <f t="shared" si="139"/>
        <v>0</v>
      </c>
      <c r="H123" s="28">
        <f t="shared" si="139"/>
        <v>0</v>
      </c>
      <c r="I123" s="28">
        <f t="shared" si="139"/>
        <v>0</v>
      </c>
      <c r="J123" s="28">
        <f t="shared" si="139"/>
        <v>0</v>
      </c>
      <c r="K123" s="28">
        <f t="shared" si="139"/>
        <v>0</v>
      </c>
      <c r="L123" s="28">
        <f t="shared" si="139"/>
        <v>0</v>
      </c>
      <c r="M123" s="263">
        <f t="shared" si="139"/>
        <v>1448.3333333333333</v>
      </c>
      <c r="N123" s="265">
        <f>SUM(B123:M123)</f>
        <v>1840.3033333333333</v>
      </c>
      <c r="O123" s="265">
        <f>+N123/12</f>
        <v>153.35861111111112</v>
      </c>
    </row>
    <row r="124" spans="1:15">
      <c r="A124" s="23" t="s">
        <v>293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30"/>
    </row>
    <row r="125" spans="1:15">
      <c r="A125" s="24" t="s">
        <v>291</v>
      </c>
      <c r="B125" s="25">
        <f>+$H$11</f>
        <v>1575.4970000000001</v>
      </c>
      <c r="C125" s="25">
        <f t="shared" ref="C125:M125" si="140">+$H$11</f>
        <v>1575.4970000000001</v>
      </c>
      <c r="D125" s="25">
        <f t="shared" si="140"/>
        <v>1575.4970000000001</v>
      </c>
      <c r="E125" s="25">
        <f t="shared" si="140"/>
        <v>1575.4970000000001</v>
      </c>
      <c r="F125" s="25">
        <f t="shared" si="140"/>
        <v>1575.4970000000001</v>
      </c>
      <c r="G125" s="25">
        <f t="shared" si="140"/>
        <v>1575.4970000000001</v>
      </c>
      <c r="H125" s="25">
        <f t="shared" si="140"/>
        <v>1575.4970000000001</v>
      </c>
      <c r="I125" s="25">
        <f t="shared" si="140"/>
        <v>1575.4970000000001</v>
      </c>
      <c r="J125" s="25">
        <f t="shared" si="140"/>
        <v>1575.4970000000001</v>
      </c>
      <c r="K125" s="25">
        <f t="shared" si="140"/>
        <v>1575.4970000000001</v>
      </c>
      <c r="L125" s="25">
        <f t="shared" si="140"/>
        <v>1575.4970000000001</v>
      </c>
      <c r="M125" s="26">
        <f t="shared" si="140"/>
        <v>1575.4970000000001</v>
      </c>
    </row>
    <row r="126" spans="1:15">
      <c r="A126" s="24" t="s">
        <v>39</v>
      </c>
      <c r="B126" s="25">
        <f>+$J$10</f>
        <v>211.16699999999997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</row>
    <row r="127" spans="1:15">
      <c r="A127" s="24" t="s">
        <v>289</v>
      </c>
      <c r="B127" s="25">
        <v>0</v>
      </c>
      <c r="C127" s="25">
        <v>0</v>
      </c>
      <c r="D127" s="25">
        <f>+$G$116</f>
        <v>200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6">
        <v>0</v>
      </c>
    </row>
    <row r="128" spans="1:15">
      <c r="A128" s="24" t="s">
        <v>288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6">
        <f>+$F$116</f>
        <v>1593.1666666666667</v>
      </c>
    </row>
    <row r="129" spans="1:15" ht="13.5" thickBot="1">
      <c r="A129" s="27"/>
      <c r="B129" s="28">
        <f>SUM(B126:B128)</f>
        <v>211.16699999999997</v>
      </c>
      <c r="C129" s="28">
        <f t="shared" ref="C129:M129" si="141">SUM(C126:C128)</f>
        <v>0</v>
      </c>
      <c r="D129" s="28">
        <f t="shared" si="141"/>
        <v>200</v>
      </c>
      <c r="E129" s="28">
        <f t="shared" si="141"/>
        <v>0</v>
      </c>
      <c r="F129" s="28">
        <f t="shared" si="141"/>
        <v>0</v>
      </c>
      <c r="G129" s="28">
        <f t="shared" si="141"/>
        <v>0</v>
      </c>
      <c r="H129" s="28">
        <f t="shared" si="141"/>
        <v>0</v>
      </c>
      <c r="I129" s="28">
        <f t="shared" si="141"/>
        <v>0</v>
      </c>
      <c r="J129" s="28">
        <f t="shared" si="141"/>
        <v>0</v>
      </c>
      <c r="K129" s="28">
        <f t="shared" si="141"/>
        <v>0</v>
      </c>
      <c r="L129" s="28">
        <f t="shared" si="141"/>
        <v>0</v>
      </c>
      <c r="M129" s="28">
        <f t="shared" si="141"/>
        <v>1593.1666666666667</v>
      </c>
      <c r="N129" s="265">
        <f>SUM(B129:M129)</f>
        <v>2004.3336666666667</v>
      </c>
      <c r="O129" s="265">
        <f>+N129/12</f>
        <v>167.02780555555555</v>
      </c>
    </row>
  </sheetData>
  <mergeCells count="20">
    <mergeCell ref="N3:P3"/>
    <mergeCell ref="B3:D3"/>
    <mergeCell ref="E3:G3"/>
    <mergeCell ref="H3:J3"/>
    <mergeCell ref="K3:M3"/>
    <mergeCell ref="B59:M59"/>
    <mergeCell ref="B69:M69"/>
    <mergeCell ref="B79:M79"/>
    <mergeCell ref="B89:M89"/>
    <mergeCell ref="B99:M99"/>
    <mergeCell ref="B109:C109"/>
    <mergeCell ref="D109:E109"/>
    <mergeCell ref="F109:G109"/>
    <mergeCell ref="H109:I109"/>
    <mergeCell ref="J109:K109"/>
    <mergeCell ref="B13:M13"/>
    <mergeCell ref="B22:M22"/>
    <mergeCell ref="B31:M31"/>
    <mergeCell ref="B40:M40"/>
    <mergeCell ref="B49:M49"/>
  </mergeCells>
  <pageMargins left="0.7" right="0.7" top="0.75" bottom="0.75" header="0.3" footer="0.3"/>
  <pageSetup paperSize="9" scale="65" orientation="landscape" verticalDpi="0" r:id="rId1"/>
  <ignoredErrors>
    <ignoredError sqref="E116:K116 A118:M118 E111:K111 C111:C116 E112:E115 G112:G115 I112:K115 A127:M128 A119 A121:M122 A124:M125 A123 A1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51"/>
  <sheetViews>
    <sheetView zoomScale="90" zoomScaleNormal="90" workbookViewId="0">
      <pane ySplit="1" topLeftCell="A35" activePane="bottomLeft" state="frozen"/>
      <selection activeCell="C1" sqref="C1"/>
      <selection pane="bottomLeft" activeCell="D51" sqref="D51"/>
    </sheetView>
  </sheetViews>
  <sheetFormatPr defaultColWidth="9.140625" defaultRowHeight="12.75"/>
  <cols>
    <col min="1" max="1" width="29" style="6" bestFit="1" customWidth="1"/>
    <col min="2" max="2" width="16.85546875" style="42" bestFit="1" customWidth="1"/>
    <col min="3" max="3" width="8.85546875" style="42" bestFit="1" customWidth="1"/>
    <col min="4" max="4" width="16.7109375" style="42" bestFit="1" customWidth="1"/>
    <col min="5" max="5" width="21" style="61" bestFit="1" customWidth="1"/>
    <col min="6" max="6" width="19.28515625" style="61" bestFit="1" customWidth="1"/>
    <col min="7" max="7" width="31" style="6" bestFit="1" customWidth="1"/>
    <col min="8" max="16384" width="9.140625" style="6"/>
  </cols>
  <sheetData>
    <row r="1" spans="1:6">
      <c r="A1" s="302" t="s">
        <v>252</v>
      </c>
      <c r="B1" s="302"/>
      <c r="C1" s="302"/>
      <c r="D1" s="302"/>
      <c r="E1" s="260"/>
    </row>
    <row r="3" spans="1:6">
      <c r="A3" s="1" t="s">
        <v>84</v>
      </c>
      <c r="B3" s="13" t="s">
        <v>251</v>
      </c>
      <c r="C3" s="13" t="s">
        <v>66</v>
      </c>
      <c r="D3" s="13" t="s">
        <v>249</v>
      </c>
      <c r="E3" s="261" t="s">
        <v>482</v>
      </c>
      <c r="F3" s="261" t="s">
        <v>481</v>
      </c>
    </row>
    <row r="4" spans="1:6">
      <c r="A4" s="4" t="s">
        <v>85</v>
      </c>
      <c r="B4" s="57">
        <v>1</v>
      </c>
      <c r="C4" s="57">
        <v>0.65</v>
      </c>
      <c r="D4" s="57">
        <f>B4-C4</f>
        <v>0.35</v>
      </c>
      <c r="E4" s="61">
        <f>+B4*0.06</f>
        <v>0.06</v>
      </c>
      <c r="F4" s="61">
        <f>+C4*0.06</f>
        <v>3.9E-2</v>
      </c>
    </row>
    <row r="5" spans="1:6">
      <c r="A5" s="4" t="s">
        <v>86</v>
      </c>
      <c r="B5" s="57">
        <v>1.5</v>
      </c>
      <c r="C5" s="57">
        <v>0.65</v>
      </c>
      <c r="D5" s="57">
        <f t="shared" ref="D5:D7" si="0">B5-C5</f>
        <v>0.85</v>
      </c>
      <c r="E5" s="61">
        <f t="shared" ref="E5:E7" si="1">+B5*0.06</f>
        <v>0.09</v>
      </c>
      <c r="F5" s="61">
        <f t="shared" ref="F5:F7" si="2">+C5*0.06</f>
        <v>3.9E-2</v>
      </c>
    </row>
    <row r="6" spans="1:6">
      <c r="A6" s="4" t="s">
        <v>87</v>
      </c>
      <c r="B6" s="57">
        <v>1.5</v>
      </c>
      <c r="C6" s="57">
        <v>0.85</v>
      </c>
      <c r="D6" s="57">
        <f t="shared" si="0"/>
        <v>0.65</v>
      </c>
      <c r="E6" s="61">
        <f t="shared" si="1"/>
        <v>0.09</v>
      </c>
      <c r="F6" s="61">
        <f t="shared" si="2"/>
        <v>5.0999999999999997E-2</v>
      </c>
    </row>
    <row r="7" spans="1:6">
      <c r="A7" s="4" t="s">
        <v>88</v>
      </c>
      <c r="B7" s="57">
        <v>1</v>
      </c>
      <c r="C7" s="57">
        <v>0.5</v>
      </c>
      <c r="D7" s="57">
        <f t="shared" si="0"/>
        <v>0.5</v>
      </c>
      <c r="E7" s="61">
        <f t="shared" si="1"/>
        <v>0.06</v>
      </c>
      <c r="F7" s="61">
        <f t="shared" si="2"/>
        <v>0.03</v>
      </c>
    </row>
    <row r="8" spans="1:6">
      <c r="A8" s="2" t="s">
        <v>83</v>
      </c>
      <c r="B8" s="13">
        <f>AVERAGE(B4:B7)</f>
        <v>1.25</v>
      </c>
      <c r="C8" s="13">
        <f t="shared" ref="C8:F8" si="3">AVERAGE(C4:C7)</f>
        <v>0.66249999999999998</v>
      </c>
      <c r="D8" s="13">
        <f t="shared" si="3"/>
        <v>0.58750000000000002</v>
      </c>
      <c r="E8" s="5">
        <f t="shared" si="3"/>
        <v>7.4999999999999997E-2</v>
      </c>
      <c r="F8" s="5">
        <f t="shared" si="3"/>
        <v>3.9750000000000001E-2</v>
      </c>
    </row>
    <row r="11" spans="1:6">
      <c r="A11" s="1" t="s">
        <v>69</v>
      </c>
      <c r="B11" s="13" t="s">
        <v>251</v>
      </c>
      <c r="C11" s="13" t="s">
        <v>66</v>
      </c>
      <c r="D11" s="13" t="s">
        <v>249</v>
      </c>
      <c r="E11" s="261" t="s">
        <v>482</v>
      </c>
      <c r="F11" s="261" t="s">
        <v>481</v>
      </c>
    </row>
    <row r="12" spans="1:6">
      <c r="A12" s="4" t="s">
        <v>71</v>
      </c>
      <c r="B12" s="57">
        <v>1.35</v>
      </c>
      <c r="C12" s="57">
        <v>0.8</v>
      </c>
      <c r="D12" s="57">
        <f t="shared" ref="D12:D23" si="4">B12-C12</f>
        <v>0.55000000000000004</v>
      </c>
      <c r="E12" s="61">
        <f>+B12*0.06</f>
        <v>8.1000000000000003E-2</v>
      </c>
      <c r="F12" s="61">
        <f>+C12*0.06</f>
        <v>4.8000000000000001E-2</v>
      </c>
    </row>
    <row r="13" spans="1:6">
      <c r="A13" s="4" t="s">
        <v>72</v>
      </c>
      <c r="B13" s="57">
        <v>1.05</v>
      </c>
      <c r="C13" s="57">
        <v>0.65</v>
      </c>
      <c r="D13" s="57">
        <f t="shared" si="4"/>
        <v>0.4</v>
      </c>
      <c r="E13" s="61">
        <f t="shared" ref="E13:E23" si="5">+B13*0.06</f>
        <v>6.3E-2</v>
      </c>
      <c r="F13" s="61">
        <f t="shared" ref="F13:F23" si="6">+C13*0.06</f>
        <v>3.9E-2</v>
      </c>
    </row>
    <row r="14" spans="1:6">
      <c r="A14" s="4" t="s">
        <v>73</v>
      </c>
      <c r="B14" s="57">
        <v>2</v>
      </c>
      <c r="C14" s="57">
        <v>1.1000000000000001</v>
      </c>
      <c r="D14" s="57">
        <f t="shared" si="4"/>
        <v>0.89999999999999991</v>
      </c>
      <c r="E14" s="61">
        <f t="shared" si="5"/>
        <v>0.12</v>
      </c>
      <c r="F14" s="61">
        <f t="shared" si="6"/>
        <v>6.6000000000000003E-2</v>
      </c>
    </row>
    <row r="15" spans="1:6">
      <c r="A15" s="4" t="s">
        <v>74</v>
      </c>
      <c r="B15" s="57">
        <v>1.1000000000000001</v>
      </c>
      <c r="C15" s="57">
        <v>0.75</v>
      </c>
      <c r="D15" s="57">
        <f t="shared" si="4"/>
        <v>0.35000000000000009</v>
      </c>
      <c r="E15" s="61">
        <f t="shared" si="5"/>
        <v>6.6000000000000003E-2</v>
      </c>
      <c r="F15" s="61">
        <f t="shared" si="6"/>
        <v>4.4999999999999998E-2</v>
      </c>
    </row>
    <row r="16" spans="1:6">
      <c r="A16" s="4" t="s">
        <v>75</v>
      </c>
      <c r="B16" s="57">
        <v>1.2</v>
      </c>
      <c r="C16" s="57">
        <v>0.85</v>
      </c>
      <c r="D16" s="57">
        <f t="shared" si="4"/>
        <v>0.35</v>
      </c>
      <c r="E16" s="61">
        <f t="shared" si="5"/>
        <v>7.1999999999999995E-2</v>
      </c>
      <c r="F16" s="61">
        <f t="shared" si="6"/>
        <v>5.0999999999999997E-2</v>
      </c>
    </row>
    <row r="17" spans="1:6">
      <c r="A17" s="4" t="s">
        <v>76</v>
      </c>
      <c r="B17" s="57">
        <v>1</v>
      </c>
      <c r="C17" s="57">
        <v>0.5</v>
      </c>
      <c r="D17" s="57">
        <f t="shared" si="4"/>
        <v>0.5</v>
      </c>
      <c r="E17" s="61">
        <f t="shared" si="5"/>
        <v>0.06</v>
      </c>
      <c r="F17" s="61">
        <f t="shared" si="6"/>
        <v>0.03</v>
      </c>
    </row>
    <row r="18" spans="1:6">
      <c r="A18" s="4" t="s">
        <v>77</v>
      </c>
      <c r="B18" s="57">
        <v>1</v>
      </c>
      <c r="C18" s="57">
        <v>0.55000000000000004</v>
      </c>
      <c r="D18" s="57">
        <f t="shared" si="4"/>
        <v>0.44999999999999996</v>
      </c>
      <c r="E18" s="61">
        <f t="shared" si="5"/>
        <v>0.06</v>
      </c>
      <c r="F18" s="61">
        <f t="shared" si="6"/>
        <v>3.3000000000000002E-2</v>
      </c>
    </row>
    <row r="19" spans="1:6">
      <c r="A19" s="4" t="s">
        <v>78</v>
      </c>
      <c r="B19" s="57">
        <v>1.3</v>
      </c>
      <c r="C19" s="57">
        <v>0.75</v>
      </c>
      <c r="D19" s="57">
        <f t="shared" si="4"/>
        <v>0.55000000000000004</v>
      </c>
      <c r="E19" s="61">
        <f t="shared" si="5"/>
        <v>7.8E-2</v>
      </c>
      <c r="F19" s="61">
        <f t="shared" si="6"/>
        <v>4.4999999999999998E-2</v>
      </c>
    </row>
    <row r="20" spans="1:6">
      <c r="A20" s="4" t="s">
        <v>79</v>
      </c>
      <c r="B20" s="57">
        <v>1.5</v>
      </c>
      <c r="C20" s="57">
        <v>0.7</v>
      </c>
      <c r="D20" s="57">
        <f t="shared" si="4"/>
        <v>0.8</v>
      </c>
      <c r="E20" s="61">
        <f t="shared" si="5"/>
        <v>0.09</v>
      </c>
      <c r="F20" s="61">
        <f t="shared" si="6"/>
        <v>4.1999999999999996E-2</v>
      </c>
    </row>
    <row r="21" spans="1:6">
      <c r="A21" s="4" t="s">
        <v>80</v>
      </c>
      <c r="B21" s="57">
        <v>1</v>
      </c>
      <c r="C21" s="57">
        <v>0.5</v>
      </c>
      <c r="D21" s="57">
        <f t="shared" si="4"/>
        <v>0.5</v>
      </c>
      <c r="E21" s="61">
        <f t="shared" si="5"/>
        <v>0.06</v>
      </c>
      <c r="F21" s="61">
        <f t="shared" si="6"/>
        <v>0.03</v>
      </c>
    </row>
    <row r="22" spans="1:6">
      <c r="A22" s="4" t="s">
        <v>81</v>
      </c>
      <c r="B22" s="57">
        <v>1</v>
      </c>
      <c r="C22" s="57">
        <v>0.45</v>
      </c>
      <c r="D22" s="57">
        <f t="shared" si="4"/>
        <v>0.55000000000000004</v>
      </c>
      <c r="E22" s="61">
        <f t="shared" si="5"/>
        <v>0.06</v>
      </c>
      <c r="F22" s="61">
        <f t="shared" si="6"/>
        <v>2.7E-2</v>
      </c>
    </row>
    <row r="23" spans="1:6">
      <c r="A23" s="4" t="s">
        <v>82</v>
      </c>
      <c r="B23" s="57">
        <v>1.05</v>
      </c>
      <c r="C23" s="57">
        <v>0.55000000000000004</v>
      </c>
      <c r="D23" s="57">
        <f t="shared" si="4"/>
        <v>0.5</v>
      </c>
      <c r="E23" s="61">
        <f t="shared" si="5"/>
        <v>6.3E-2</v>
      </c>
      <c r="F23" s="61">
        <f t="shared" si="6"/>
        <v>3.3000000000000002E-2</v>
      </c>
    </row>
    <row r="24" spans="1:6">
      <c r="A24" s="2" t="s">
        <v>83</v>
      </c>
      <c r="B24" s="13">
        <f>AVERAGE(B12:B23)</f>
        <v>1.2125000000000001</v>
      </c>
      <c r="C24" s="13">
        <f t="shared" ref="C24:F24" si="7">AVERAGE(C12:C23)</f>
        <v>0.6791666666666667</v>
      </c>
      <c r="D24" s="13">
        <f t="shared" si="7"/>
        <v>0.53333333333333333</v>
      </c>
      <c r="E24" s="5">
        <f t="shared" si="7"/>
        <v>7.2749999999999995E-2</v>
      </c>
      <c r="F24" s="5">
        <f t="shared" si="7"/>
        <v>4.0750000000000008E-2</v>
      </c>
    </row>
    <row r="27" spans="1:6">
      <c r="A27" s="1" t="s">
        <v>98</v>
      </c>
      <c r="B27" s="13" t="s">
        <v>251</v>
      </c>
      <c r="C27" s="13" t="s">
        <v>66</v>
      </c>
      <c r="D27" s="13" t="s">
        <v>249</v>
      </c>
      <c r="E27" s="261" t="s">
        <v>482</v>
      </c>
      <c r="F27" s="261" t="s">
        <v>481</v>
      </c>
    </row>
    <row r="28" spans="1:6">
      <c r="A28" s="4" t="s">
        <v>99</v>
      </c>
      <c r="B28" s="57">
        <v>1</v>
      </c>
      <c r="C28" s="57">
        <v>0.45</v>
      </c>
      <c r="D28" s="57">
        <f t="shared" ref="D28:D34" si="8">B28-C28</f>
        <v>0.55000000000000004</v>
      </c>
      <c r="E28" s="61">
        <f>+B28*0.06</f>
        <v>0.06</v>
      </c>
      <c r="F28" s="61">
        <f>+C28*0.06</f>
        <v>2.7E-2</v>
      </c>
    </row>
    <row r="29" spans="1:6">
      <c r="A29" s="4" t="s">
        <v>100</v>
      </c>
      <c r="B29" s="57">
        <v>1.2</v>
      </c>
      <c r="C29" s="57">
        <v>0.5</v>
      </c>
      <c r="D29" s="57">
        <f t="shared" si="8"/>
        <v>0.7</v>
      </c>
      <c r="E29" s="61">
        <f t="shared" ref="E29:E34" si="9">+B29*0.06</f>
        <v>7.1999999999999995E-2</v>
      </c>
      <c r="F29" s="61">
        <f t="shared" ref="F29:F34" si="10">+C29*0.06</f>
        <v>0.03</v>
      </c>
    </row>
    <row r="30" spans="1:6">
      <c r="A30" s="4" t="s">
        <v>101</v>
      </c>
      <c r="B30" s="57">
        <v>1.25</v>
      </c>
      <c r="C30" s="57">
        <v>0.5</v>
      </c>
      <c r="D30" s="57">
        <f t="shared" si="8"/>
        <v>0.75</v>
      </c>
      <c r="E30" s="61">
        <f t="shared" si="9"/>
        <v>7.4999999999999997E-2</v>
      </c>
      <c r="F30" s="61">
        <f t="shared" si="10"/>
        <v>0.03</v>
      </c>
    </row>
    <row r="31" spans="1:6">
      <c r="A31" s="4" t="s">
        <v>102</v>
      </c>
      <c r="B31" s="57">
        <v>1.05</v>
      </c>
      <c r="C31" s="57">
        <f>0.9</f>
        <v>0.9</v>
      </c>
      <c r="D31" s="57">
        <f t="shared" si="8"/>
        <v>0.15000000000000002</v>
      </c>
      <c r="E31" s="61">
        <f t="shared" si="9"/>
        <v>6.3E-2</v>
      </c>
      <c r="F31" s="61">
        <f t="shared" si="10"/>
        <v>5.3999999999999999E-2</v>
      </c>
    </row>
    <row r="32" spans="1:6">
      <c r="A32" s="4" t="s">
        <v>103</v>
      </c>
      <c r="B32" s="57">
        <v>1</v>
      </c>
      <c r="C32" s="57">
        <v>0.45</v>
      </c>
      <c r="D32" s="57">
        <f t="shared" si="8"/>
        <v>0.55000000000000004</v>
      </c>
      <c r="E32" s="61">
        <f t="shared" si="9"/>
        <v>0.06</v>
      </c>
      <c r="F32" s="61">
        <f t="shared" si="10"/>
        <v>2.7E-2</v>
      </c>
    </row>
    <row r="33" spans="1:6">
      <c r="A33" s="4" t="s">
        <v>104</v>
      </c>
      <c r="B33" s="57">
        <v>0.5</v>
      </c>
      <c r="C33" s="57">
        <v>0.35</v>
      </c>
      <c r="D33" s="57">
        <f t="shared" si="8"/>
        <v>0.15000000000000002</v>
      </c>
      <c r="E33" s="61">
        <f t="shared" si="9"/>
        <v>0.03</v>
      </c>
      <c r="F33" s="61">
        <f t="shared" si="10"/>
        <v>2.0999999999999998E-2</v>
      </c>
    </row>
    <row r="34" spans="1:6">
      <c r="A34" s="4" t="s">
        <v>105</v>
      </c>
      <c r="B34" s="57">
        <v>0.5</v>
      </c>
      <c r="C34" s="57">
        <v>0.25</v>
      </c>
      <c r="D34" s="57">
        <f t="shared" si="8"/>
        <v>0.25</v>
      </c>
      <c r="E34" s="61">
        <f t="shared" si="9"/>
        <v>0.03</v>
      </c>
      <c r="F34" s="61">
        <f t="shared" si="10"/>
        <v>1.4999999999999999E-2</v>
      </c>
    </row>
    <row r="35" spans="1:6">
      <c r="A35" s="2" t="s">
        <v>83</v>
      </c>
      <c r="B35" s="13">
        <f>AVERAGE(B28:B34)</f>
        <v>0.9285714285714286</v>
      </c>
      <c r="C35" s="13">
        <f t="shared" ref="C35:F35" si="11">AVERAGE(C28:C34)</f>
        <v>0.48571428571428577</v>
      </c>
      <c r="D35" s="13">
        <f t="shared" si="11"/>
        <v>0.44285714285714289</v>
      </c>
      <c r="E35" s="13">
        <f t="shared" si="11"/>
        <v>5.5714285714285716E-2</v>
      </c>
      <c r="F35" s="13">
        <f t="shared" si="11"/>
        <v>2.9142857142857137E-2</v>
      </c>
    </row>
    <row r="38" spans="1:6">
      <c r="A38" s="1" t="s">
        <v>92</v>
      </c>
      <c r="B38" s="13" t="s">
        <v>251</v>
      </c>
      <c r="C38" s="13" t="s">
        <v>66</v>
      </c>
      <c r="D38" s="13" t="s">
        <v>249</v>
      </c>
      <c r="E38" s="261" t="s">
        <v>482</v>
      </c>
      <c r="F38" s="261" t="s">
        <v>481</v>
      </c>
    </row>
    <row r="39" spans="1:6">
      <c r="A39" s="4" t="s">
        <v>93</v>
      </c>
      <c r="B39" s="57">
        <v>0.9</v>
      </c>
      <c r="C39" s="57">
        <v>0.6</v>
      </c>
      <c r="D39" s="57">
        <f t="shared" ref="D39:D43" si="12">B39-C39</f>
        <v>0.30000000000000004</v>
      </c>
      <c r="E39" s="61">
        <f>+B39*0.06</f>
        <v>5.3999999999999999E-2</v>
      </c>
      <c r="F39" s="61">
        <f>+C39*0.06</f>
        <v>3.5999999999999997E-2</v>
      </c>
    </row>
    <row r="40" spans="1:6">
      <c r="A40" s="4" t="s">
        <v>94</v>
      </c>
      <c r="B40" s="57">
        <v>0.6</v>
      </c>
      <c r="C40" s="57">
        <v>0.35</v>
      </c>
      <c r="D40" s="57">
        <f t="shared" si="12"/>
        <v>0.25</v>
      </c>
      <c r="E40" s="61">
        <f t="shared" ref="E40:E43" si="13">+B40*0.06</f>
        <v>3.5999999999999997E-2</v>
      </c>
      <c r="F40" s="61">
        <f t="shared" ref="F40:F43" si="14">+C40*0.06</f>
        <v>2.0999999999999998E-2</v>
      </c>
    </row>
    <row r="41" spans="1:6">
      <c r="A41" s="4" t="s">
        <v>95</v>
      </c>
      <c r="B41" s="57">
        <v>1.5</v>
      </c>
      <c r="C41" s="57">
        <v>0.98</v>
      </c>
      <c r="D41" s="57">
        <f t="shared" si="12"/>
        <v>0.52</v>
      </c>
      <c r="E41" s="61">
        <f t="shared" si="13"/>
        <v>0.09</v>
      </c>
      <c r="F41" s="61">
        <f t="shared" si="14"/>
        <v>5.8799999999999998E-2</v>
      </c>
    </row>
    <row r="42" spans="1:6">
      <c r="A42" s="4" t="s">
        <v>96</v>
      </c>
      <c r="B42" s="57">
        <v>1.55</v>
      </c>
      <c r="C42" s="57">
        <v>1.05</v>
      </c>
      <c r="D42" s="57">
        <f t="shared" si="12"/>
        <v>0.5</v>
      </c>
      <c r="E42" s="61">
        <f t="shared" si="13"/>
        <v>9.2999999999999999E-2</v>
      </c>
      <c r="F42" s="61">
        <f t="shared" si="14"/>
        <v>6.3E-2</v>
      </c>
    </row>
    <row r="43" spans="1:6">
      <c r="A43" s="4" t="s">
        <v>97</v>
      </c>
      <c r="B43" s="57">
        <v>1.6</v>
      </c>
      <c r="C43" s="57">
        <v>1.23</v>
      </c>
      <c r="D43" s="57">
        <f t="shared" si="12"/>
        <v>0.37000000000000011</v>
      </c>
      <c r="E43" s="61">
        <f t="shared" si="13"/>
        <v>9.6000000000000002E-2</v>
      </c>
      <c r="F43" s="61">
        <f t="shared" si="14"/>
        <v>7.3799999999999991E-2</v>
      </c>
    </row>
    <row r="44" spans="1:6">
      <c r="A44" s="2" t="s">
        <v>83</v>
      </c>
      <c r="B44" s="13">
        <f>AVERAGE(B39:B43)</f>
        <v>1.23</v>
      </c>
      <c r="C44" s="13">
        <f t="shared" ref="C44:F44" si="15">AVERAGE(C39:C43)</f>
        <v>0.84199999999999997</v>
      </c>
      <c r="D44" s="13">
        <f t="shared" si="15"/>
        <v>0.38800000000000001</v>
      </c>
      <c r="E44" s="13">
        <f t="shared" si="15"/>
        <v>7.3800000000000004E-2</v>
      </c>
      <c r="F44" s="13">
        <f t="shared" si="15"/>
        <v>5.0519999999999995E-2</v>
      </c>
    </row>
    <row r="46" spans="1:6" ht="13.5" thickBot="1"/>
    <row r="47" spans="1:6">
      <c r="A47" s="300" t="s">
        <v>246</v>
      </c>
      <c r="B47" s="301" t="s">
        <v>483</v>
      </c>
      <c r="C47" s="13" t="s">
        <v>248</v>
      </c>
      <c r="D47" s="13" t="s">
        <v>249</v>
      </c>
    </row>
    <row r="48" spans="1:6">
      <c r="A48" s="4" t="s">
        <v>247</v>
      </c>
      <c r="B48" s="57">
        <v>2</v>
      </c>
      <c r="C48" s="57">
        <v>1.1000000000000001</v>
      </c>
      <c r="D48" s="57">
        <f>B48-C48</f>
        <v>0.89999999999999991</v>
      </c>
    </row>
    <row r="51" spans="1:4">
      <c r="A51" s="2" t="s">
        <v>267</v>
      </c>
      <c r="B51" s="299">
        <f>+B8+B24+B35+B44+B48</f>
        <v>6.6210714285714296</v>
      </c>
      <c r="C51" s="56">
        <f t="shared" ref="C51:D51" si="16">+C8+C24+C35+C44+C48</f>
        <v>3.7693809523809527</v>
      </c>
      <c r="D51" s="56">
        <f t="shared" si="16"/>
        <v>2.851690476190476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47"/>
  <sheetViews>
    <sheetView workbookViewId="0">
      <pane ySplit="6" topLeftCell="A22" activePane="bottomLeft" state="frozen"/>
      <selection pane="bottomLeft" activeCell="E38" sqref="E38"/>
    </sheetView>
  </sheetViews>
  <sheetFormatPr defaultColWidth="9.140625" defaultRowHeight="12.75"/>
  <cols>
    <col min="1" max="1" width="49.140625" style="6" bestFit="1" customWidth="1"/>
    <col min="2" max="2" width="18" style="6" bestFit="1" customWidth="1"/>
    <col min="3" max="4" width="9.140625" style="6" bestFit="1" customWidth="1"/>
    <col min="5" max="5" width="17.85546875" style="6" bestFit="1" customWidth="1"/>
    <col min="6" max="6" width="9.140625" style="6" bestFit="1" customWidth="1"/>
    <col min="7" max="7" width="10.140625" style="6" bestFit="1" customWidth="1"/>
    <col min="8" max="8" width="12.7109375" style="6" bestFit="1" customWidth="1"/>
    <col min="9" max="9" width="18" style="6" bestFit="1" customWidth="1"/>
    <col min="10" max="16384" width="9.140625" style="6"/>
  </cols>
  <sheetData>
    <row r="1" spans="1:9">
      <c r="A1" s="9" t="s">
        <v>59</v>
      </c>
      <c r="B1" s="68"/>
      <c r="C1" s="68"/>
      <c r="D1" s="68"/>
      <c r="E1" s="68"/>
      <c r="F1" s="68"/>
    </row>
    <row r="2" spans="1:9" ht="13.5" thickBot="1">
      <c r="A2" s="9"/>
      <c r="B2" s="68"/>
      <c r="C2" s="68"/>
      <c r="D2" s="68"/>
      <c r="E2" s="68"/>
      <c r="F2" s="68"/>
    </row>
    <row r="3" spans="1:9" ht="13.5" thickBot="1">
      <c r="A3" s="69" t="s">
        <v>12</v>
      </c>
      <c r="B3" s="70">
        <v>0.05</v>
      </c>
      <c r="C3" s="68"/>
      <c r="D3" s="68"/>
      <c r="E3" s="68"/>
      <c r="F3" s="68"/>
    </row>
    <row r="4" spans="1:9" ht="13.5" thickBot="1">
      <c r="A4" s="71"/>
      <c r="B4" s="72"/>
      <c r="C4" s="68"/>
      <c r="D4" s="68"/>
      <c r="E4" s="68"/>
      <c r="F4" s="68"/>
    </row>
    <row r="5" spans="1:9">
      <c r="A5" s="287" t="s">
        <v>13</v>
      </c>
      <c r="B5" s="341">
        <v>1</v>
      </c>
      <c r="C5" s="343">
        <v>2</v>
      </c>
      <c r="D5" s="343">
        <v>3</v>
      </c>
      <c r="E5" s="343">
        <v>4</v>
      </c>
      <c r="F5" s="338">
        <v>5</v>
      </c>
    </row>
    <row r="6" spans="1:9" ht="13.5" thickBot="1">
      <c r="A6" s="288" t="s">
        <v>11</v>
      </c>
      <c r="B6" s="342"/>
      <c r="C6" s="344"/>
      <c r="D6" s="344"/>
      <c r="E6" s="344"/>
      <c r="F6" s="339"/>
    </row>
    <row r="7" spans="1:9">
      <c r="A7" s="286" t="s">
        <v>5</v>
      </c>
      <c r="B7" s="73">
        <v>7000</v>
      </c>
      <c r="C7" s="73">
        <v>5600</v>
      </c>
      <c r="D7" s="73">
        <v>4200</v>
      </c>
      <c r="E7" s="73">
        <v>2800</v>
      </c>
      <c r="F7" s="73">
        <v>1400</v>
      </c>
    </row>
    <row r="8" spans="1:9">
      <c r="A8" s="74" t="s">
        <v>14</v>
      </c>
      <c r="B8" s="73">
        <v>1400</v>
      </c>
      <c r="C8" s="73">
        <v>1400</v>
      </c>
      <c r="D8" s="73">
        <v>1400</v>
      </c>
      <c r="E8" s="73">
        <v>1400</v>
      </c>
      <c r="F8" s="73">
        <v>1400</v>
      </c>
    </row>
    <row r="9" spans="1:9">
      <c r="A9" s="75" t="s">
        <v>7</v>
      </c>
      <c r="B9" s="76">
        <f>SUM(B7-B8)</f>
        <v>5600</v>
      </c>
      <c r="C9" s="76">
        <f>SUM(C7-C8)</f>
        <v>4200</v>
      </c>
      <c r="D9" s="76">
        <f>SUM(D7-D8)</f>
        <v>2800</v>
      </c>
      <c r="E9" s="76">
        <f>SUM(E7-E8)</f>
        <v>1400</v>
      </c>
      <c r="F9" s="77">
        <f>SUM(F7-F8)</f>
        <v>0</v>
      </c>
    </row>
    <row r="10" spans="1:9" ht="13.5" thickBot="1">
      <c r="A10" s="78" t="s">
        <v>8</v>
      </c>
      <c r="B10" s="79">
        <f>B7*$B$3</f>
        <v>350</v>
      </c>
      <c r="C10" s="79">
        <f t="shared" ref="C10:F10" si="0">C7*$B$3</f>
        <v>280</v>
      </c>
      <c r="D10" s="79">
        <f t="shared" si="0"/>
        <v>210</v>
      </c>
      <c r="E10" s="79">
        <f t="shared" si="0"/>
        <v>140</v>
      </c>
      <c r="F10" s="79">
        <f t="shared" si="0"/>
        <v>70</v>
      </c>
    </row>
    <row r="11" spans="1:9">
      <c r="B11" s="68"/>
      <c r="C11" s="68"/>
      <c r="D11" s="68"/>
      <c r="E11" s="68"/>
      <c r="F11" s="68"/>
    </row>
    <row r="12" spans="1:9" ht="25.5" customHeight="1">
      <c r="A12" s="340" t="s">
        <v>60</v>
      </c>
      <c r="B12" s="56">
        <f>B10/12</f>
        <v>29.166666666666668</v>
      </c>
      <c r="C12" s="56">
        <f>C10/12</f>
        <v>23.333333333333332</v>
      </c>
      <c r="D12" s="56">
        <f>D10/12</f>
        <v>17.5</v>
      </c>
      <c r="E12" s="56">
        <f>E10/12</f>
        <v>11.666666666666666</v>
      </c>
      <c r="F12" s="56">
        <f>F10/12</f>
        <v>5.833333333333333</v>
      </c>
      <c r="G12" s="65"/>
      <c r="I12" s="65"/>
    </row>
    <row r="13" spans="1:9">
      <c r="A13" s="340"/>
      <c r="B13" s="68"/>
    </row>
    <row r="14" spans="1:9">
      <c r="A14" s="9" t="s">
        <v>30</v>
      </c>
      <c r="B14" s="6">
        <f>+B12*12</f>
        <v>350</v>
      </c>
      <c r="C14" s="6">
        <f>+C12*12</f>
        <v>280</v>
      </c>
      <c r="D14" s="6">
        <f>+D12*12</f>
        <v>210</v>
      </c>
      <c r="E14" s="6">
        <f>+E12*12</f>
        <v>140</v>
      </c>
      <c r="F14" s="6">
        <f>+F12*12</f>
        <v>70</v>
      </c>
    </row>
    <row r="15" spans="1:9">
      <c r="A15" s="80" t="s">
        <v>31</v>
      </c>
    </row>
    <row r="16" spans="1:9">
      <c r="A16" s="1" t="s">
        <v>28</v>
      </c>
      <c r="B16" s="1" t="s">
        <v>25</v>
      </c>
      <c r="C16" s="1" t="s">
        <v>27</v>
      </c>
      <c r="D16" s="1" t="s">
        <v>26</v>
      </c>
      <c r="E16" s="1" t="s">
        <v>29</v>
      </c>
    </row>
    <row r="17" spans="1:5">
      <c r="A17" s="3">
        <v>0</v>
      </c>
      <c r="B17" s="57">
        <v>0</v>
      </c>
      <c r="C17" s="57">
        <v>0</v>
      </c>
      <c r="D17" s="57">
        <v>0</v>
      </c>
      <c r="E17" s="81">
        <v>7000</v>
      </c>
    </row>
    <row r="18" spans="1:5">
      <c r="A18" s="3">
        <v>1</v>
      </c>
      <c r="B18" s="57">
        <v>1616.82</v>
      </c>
      <c r="C18" s="57">
        <f>+B18-D18</f>
        <v>1266.82</v>
      </c>
      <c r="D18" s="57">
        <f>+E17*0.05</f>
        <v>350</v>
      </c>
      <c r="E18" s="57">
        <f>+E17-C18</f>
        <v>5733.18</v>
      </c>
    </row>
    <row r="19" spans="1:5">
      <c r="A19" s="3">
        <v>2</v>
      </c>
      <c r="B19" s="57">
        <v>1616.82</v>
      </c>
      <c r="C19" s="57">
        <f>+B19-D19</f>
        <v>1330.1609999999998</v>
      </c>
      <c r="D19" s="57">
        <f t="shared" ref="D19:D22" si="1">+E18*0.05</f>
        <v>286.65900000000005</v>
      </c>
      <c r="E19" s="57">
        <f>+E18-C19</f>
        <v>4403.0190000000002</v>
      </c>
    </row>
    <row r="20" spans="1:5">
      <c r="A20" s="3">
        <v>3</v>
      </c>
      <c r="B20" s="57">
        <v>1616.82</v>
      </c>
      <c r="C20" s="57">
        <f>+B20-D20</f>
        <v>1396.66905</v>
      </c>
      <c r="D20" s="57">
        <f t="shared" si="1"/>
        <v>220.15095000000002</v>
      </c>
      <c r="E20" s="57">
        <f>+E19-C20</f>
        <v>3006.3499500000003</v>
      </c>
    </row>
    <row r="21" spans="1:5">
      <c r="A21" s="3">
        <v>4</v>
      </c>
      <c r="B21" s="57">
        <v>1616.82</v>
      </c>
      <c r="C21" s="57">
        <f>+B21-D21</f>
        <v>1466.5025025</v>
      </c>
      <c r="D21" s="57">
        <f t="shared" si="1"/>
        <v>150.31749750000003</v>
      </c>
      <c r="E21" s="57">
        <f>+E20-C21</f>
        <v>1539.8474475000003</v>
      </c>
    </row>
    <row r="22" spans="1:5">
      <c r="A22" s="3">
        <v>5</v>
      </c>
      <c r="B22" s="57">
        <v>1616.82</v>
      </c>
      <c r="C22" s="57">
        <f>+B22-D22</f>
        <v>1539.8276276249999</v>
      </c>
      <c r="D22" s="57">
        <f t="shared" si="1"/>
        <v>76.992372375000016</v>
      </c>
      <c r="E22" s="58">
        <f>+E21-C22</f>
        <v>1.9819875000393949E-2</v>
      </c>
    </row>
    <row r="23" spans="1:5">
      <c r="B23" s="61"/>
      <c r="D23" s="65"/>
      <c r="E23" s="61"/>
    </row>
    <row r="25" spans="1:5">
      <c r="A25" s="9" t="s">
        <v>30</v>
      </c>
    </row>
    <row r="26" spans="1:5">
      <c r="A26" s="80" t="s">
        <v>32</v>
      </c>
    </row>
    <row r="27" spans="1:5">
      <c r="A27" s="1" t="s">
        <v>28</v>
      </c>
      <c r="B27" s="1" t="s">
        <v>25</v>
      </c>
      <c r="C27" s="1" t="s">
        <v>27</v>
      </c>
      <c r="D27" s="1" t="s">
        <v>26</v>
      </c>
      <c r="E27" s="1" t="s">
        <v>29</v>
      </c>
    </row>
    <row r="28" spans="1:5">
      <c r="A28" s="3">
        <v>0</v>
      </c>
      <c r="B28" s="57">
        <v>0</v>
      </c>
      <c r="C28" s="57">
        <v>0</v>
      </c>
      <c r="D28" s="57">
        <v>0</v>
      </c>
      <c r="E28" s="81">
        <v>7000</v>
      </c>
    </row>
    <row r="29" spans="1:5">
      <c r="A29" s="3">
        <v>1</v>
      </c>
      <c r="B29" s="57">
        <f>+C29+D29</f>
        <v>1750</v>
      </c>
      <c r="C29" s="57">
        <v>1400</v>
      </c>
      <c r="D29" s="57">
        <f>+E28*$B$3</f>
        <v>350</v>
      </c>
      <c r="E29" s="57">
        <f>+E28-C29</f>
        <v>5600</v>
      </c>
    </row>
    <row r="30" spans="1:5">
      <c r="A30" s="3">
        <v>2</v>
      </c>
      <c r="B30" s="57">
        <f t="shared" ref="B30:B33" si="2">+C30+D30</f>
        <v>1680</v>
      </c>
      <c r="C30" s="57">
        <v>1400</v>
      </c>
      <c r="D30" s="57">
        <f t="shared" ref="D30:D33" si="3">+E29*$B$3</f>
        <v>280</v>
      </c>
      <c r="E30" s="57">
        <f t="shared" ref="E30:E33" si="4">+E29-C30</f>
        <v>4200</v>
      </c>
    </row>
    <row r="31" spans="1:5">
      <c r="A31" s="3">
        <v>3</v>
      </c>
      <c r="B31" s="57">
        <f t="shared" si="2"/>
        <v>1610</v>
      </c>
      <c r="C31" s="57">
        <v>1400</v>
      </c>
      <c r="D31" s="57">
        <f t="shared" si="3"/>
        <v>210</v>
      </c>
      <c r="E31" s="57">
        <f t="shared" si="4"/>
        <v>2800</v>
      </c>
    </row>
    <row r="32" spans="1:5">
      <c r="A32" s="3">
        <v>4</v>
      </c>
      <c r="B32" s="57">
        <f t="shared" si="2"/>
        <v>1540</v>
      </c>
      <c r="C32" s="57">
        <v>1400</v>
      </c>
      <c r="D32" s="57">
        <f t="shared" si="3"/>
        <v>140</v>
      </c>
      <c r="E32" s="57">
        <f t="shared" si="4"/>
        <v>1400</v>
      </c>
    </row>
    <row r="33" spans="1:5">
      <c r="A33" s="3">
        <v>5</v>
      </c>
      <c r="B33" s="57">
        <f t="shared" si="2"/>
        <v>1470</v>
      </c>
      <c r="C33" s="57">
        <v>1400</v>
      </c>
      <c r="D33" s="57">
        <f t="shared" si="3"/>
        <v>70</v>
      </c>
      <c r="E33" s="57">
        <f t="shared" si="4"/>
        <v>0</v>
      </c>
    </row>
    <row r="36" spans="1:5">
      <c r="B36" s="68"/>
      <c r="C36" s="68"/>
    </row>
    <row r="37" spans="1:5">
      <c r="B37" s="82">
        <v>0</v>
      </c>
      <c r="C37" s="83">
        <v>-7000</v>
      </c>
      <c r="D37" s="84">
        <f>PMT(D42,5,C37)</f>
        <v>1616.8235868978763</v>
      </c>
    </row>
    <row r="38" spans="1:5">
      <c r="B38" s="82">
        <v>1</v>
      </c>
      <c r="C38" s="83">
        <v>1616.82</v>
      </c>
    </row>
    <row r="39" spans="1:5">
      <c r="B39" s="82">
        <v>2</v>
      </c>
      <c r="C39" s="83">
        <v>1616.82</v>
      </c>
    </row>
    <row r="40" spans="1:5">
      <c r="B40" s="82">
        <v>3</v>
      </c>
      <c r="C40" s="83">
        <v>1616.82</v>
      </c>
    </row>
    <row r="41" spans="1:5">
      <c r="B41" s="82">
        <v>4</v>
      </c>
      <c r="C41" s="83">
        <v>1616.82</v>
      </c>
    </row>
    <row r="42" spans="1:5">
      <c r="B42" s="82">
        <v>5</v>
      </c>
      <c r="C42" s="83">
        <v>1616.82</v>
      </c>
      <c r="D42" s="85">
        <v>0.05</v>
      </c>
    </row>
    <row r="43" spans="1:5">
      <c r="B43" s="68"/>
      <c r="C43" s="86"/>
    </row>
    <row r="44" spans="1:5">
      <c r="B44" s="87" t="s">
        <v>24</v>
      </c>
      <c r="C44" s="86">
        <f>NPV(D42,C38:C42)</f>
        <v>6999.9844706093209</v>
      </c>
    </row>
    <row r="45" spans="1:5">
      <c r="B45" s="68"/>
      <c r="C45" s="68"/>
    </row>
    <row r="46" spans="1:5">
      <c r="B46" s="9" t="s">
        <v>25</v>
      </c>
      <c r="C46" s="9" t="s">
        <v>26</v>
      </c>
      <c r="D46" s="9" t="s">
        <v>27</v>
      </c>
    </row>
    <row r="47" spans="1:5">
      <c r="C47" s="61">
        <f>3000-C38</f>
        <v>1383.18</v>
      </c>
      <c r="D47" s="61">
        <v>-3000</v>
      </c>
    </row>
  </sheetData>
  <mergeCells count="6">
    <mergeCell ref="F5:F6"/>
    <mergeCell ref="A12:A13"/>
    <mergeCell ref="B5:B6"/>
    <mergeCell ref="C5:C6"/>
    <mergeCell ref="D5:D6"/>
    <mergeCell ref="E5:E6"/>
  </mergeCells>
  <pageMargins left="0.7" right="0.7" top="0.75" bottom="0.75" header="0.3" footer="0.3"/>
  <pageSetup paperSize="9" scale="81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7:F46"/>
  <sheetViews>
    <sheetView topLeftCell="A19" workbookViewId="0">
      <selection activeCell="F33" sqref="F33"/>
    </sheetView>
  </sheetViews>
  <sheetFormatPr defaultColWidth="9.140625" defaultRowHeight="12.75"/>
  <cols>
    <col min="1" max="1" width="4.85546875" style="55" bestFit="1" customWidth="1"/>
    <col min="2" max="2" width="11.140625" style="215" bestFit="1" customWidth="1"/>
    <col min="3" max="3" width="10.140625" style="215" bestFit="1" customWidth="1"/>
    <col min="4" max="4" width="10.7109375" style="215" bestFit="1" customWidth="1"/>
    <col min="5" max="6" width="11.7109375" style="215" bestFit="1" customWidth="1"/>
    <col min="7" max="16384" width="9.140625" style="215"/>
  </cols>
  <sheetData>
    <row r="7" spans="1:6">
      <c r="A7" s="345" t="s">
        <v>461</v>
      </c>
      <c r="B7" s="345"/>
      <c r="C7" s="345"/>
      <c r="D7" s="345"/>
      <c r="E7" s="345"/>
      <c r="F7" s="345"/>
    </row>
    <row r="8" spans="1:6">
      <c r="A8" s="239"/>
      <c r="B8" s="252">
        <v>-0.1</v>
      </c>
      <c r="C8" s="252">
        <v>-0.05</v>
      </c>
      <c r="D8" s="252">
        <v>0</v>
      </c>
      <c r="E8" s="252">
        <v>0.05</v>
      </c>
      <c r="F8" s="252">
        <v>0.1</v>
      </c>
    </row>
    <row r="9" spans="1:6">
      <c r="A9" s="239" t="s">
        <v>326</v>
      </c>
      <c r="B9" s="253">
        <v>-27682.089414257454</v>
      </c>
      <c r="C9" s="253">
        <v>-8690.5341797434594</v>
      </c>
      <c r="D9" s="253">
        <v>10301.021054770528</v>
      </c>
      <c r="E9" s="253">
        <v>29292.576289284516</v>
      </c>
      <c r="F9" s="253">
        <v>48284.13152379854</v>
      </c>
    </row>
    <row r="27" spans="1:6">
      <c r="A27" s="346" t="s">
        <v>462</v>
      </c>
      <c r="B27" s="346"/>
      <c r="C27" s="346"/>
      <c r="D27" s="346"/>
      <c r="E27" s="346"/>
      <c r="F27" s="346"/>
    </row>
    <row r="28" spans="1:6">
      <c r="A28" s="239"/>
      <c r="B28" s="252">
        <v>-0.05</v>
      </c>
      <c r="C28" s="252">
        <v>0</v>
      </c>
      <c r="D28" s="252">
        <v>0.05</v>
      </c>
      <c r="E28" s="252">
        <v>0.1</v>
      </c>
      <c r="F28" s="252">
        <v>0.15</v>
      </c>
    </row>
    <row r="29" spans="1:6">
      <c r="A29" s="239" t="s">
        <v>326</v>
      </c>
      <c r="B29" s="257">
        <v>21115.657398047981</v>
      </c>
      <c r="C29" s="253">
        <v>10301.021054770528</v>
      </c>
      <c r="D29" s="257">
        <v>-513.61528850691684</v>
      </c>
      <c r="E29" s="257">
        <v>-11328.251631784362</v>
      </c>
      <c r="F29" s="257">
        <v>-22142.887975061807</v>
      </c>
    </row>
    <row r="44" spans="1:5">
      <c r="A44" s="346" t="s">
        <v>463</v>
      </c>
      <c r="B44" s="346"/>
      <c r="C44" s="346"/>
      <c r="D44" s="346"/>
      <c r="E44" s="346"/>
    </row>
    <row r="45" spans="1:5">
      <c r="A45" s="239"/>
      <c r="B45" s="252">
        <v>-0.1</v>
      </c>
      <c r="C45" s="252">
        <v>0</v>
      </c>
      <c r="D45" s="252">
        <v>0.25</v>
      </c>
      <c r="E45" s="252">
        <v>0.3</v>
      </c>
    </row>
    <row r="46" spans="1:5">
      <c r="A46" s="239" t="s">
        <v>326</v>
      </c>
      <c r="B46" s="257">
        <v>12026.249504670734</v>
      </c>
      <c r="C46" s="253">
        <v>10301.021054770528</v>
      </c>
      <c r="D46" s="257">
        <v>-16134.382659123043</v>
      </c>
      <c r="E46" s="257">
        <v>-17867.047773299018</v>
      </c>
    </row>
  </sheetData>
  <mergeCells count="3">
    <mergeCell ref="A7:F7"/>
    <mergeCell ref="A27:F27"/>
    <mergeCell ref="A44:E4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Q149"/>
  <sheetViews>
    <sheetView workbookViewId="0">
      <pane xSplit="1" ySplit="3" topLeftCell="B140" activePane="bottomRight" state="frozen"/>
      <selection pane="topRight" activeCell="B1" sqref="B1"/>
      <selection pane="bottomLeft" activeCell="A4" sqref="A4"/>
      <selection pane="bottomRight" activeCell="A149" sqref="A149"/>
    </sheetView>
  </sheetViews>
  <sheetFormatPr defaultColWidth="9.140625" defaultRowHeight="12.75" outlineLevelCol="1"/>
  <cols>
    <col min="1" max="1" width="41" style="6" bestFit="1" customWidth="1"/>
    <col min="2" max="2" width="4.42578125" style="6" bestFit="1" customWidth="1"/>
    <col min="3" max="3" width="7.7109375" style="298" customWidth="1" outlineLevel="1"/>
    <col min="4" max="4" width="9.28515625" style="298" bestFit="1" customWidth="1" outlineLevel="1"/>
    <col min="5" max="9" width="7.7109375" style="298" customWidth="1" outlineLevel="1"/>
    <col min="10" max="10" width="8.28515625" style="298" bestFit="1" customWidth="1" outlineLevel="1"/>
    <col min="11" max="13" width="7.7109375" style="298" customWidth="1" outlineLevel="1"/>
    <col min="14" max="14" width="6.7109375" style="298" bestFit="1" customWidth="1" outlineLevel="1"/>
    <col min="15" max="15" width="8.5703125" style="9" bestFit="1" customWidth="1"/>
    <col min="16" max="16" width="10.5703125" style="6" bestFit="1" customWidth="1"/>
    <col min="17" max="16384" width="9.140625" style="6"/>
  </cols>
  <sheetData>
    <row r="1" spans="1:16">
      <c r="C1" s="347" t="s">
        <v>280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6">
      <c r="C2" s="347" t="s">
        <v>281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6">
      <c r="C3" s="347" t="s">
        <v>282</v>
      </c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</row>
    <row r="4" spans="1:16"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16">
      <c r="C5" s="347" t="s">
        <v>10</v>
      </c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1:16" s="7" customFormat="1">
      <c r="C6" s="294" t="s">
        <v>272</v>
      </c>
      <c r="D6" s="294" t="s">
        <v>273</v>
      </c>
      <c r="E6" s="294" t="s">
        <v>274</v>
      </c>
      <c r="F6" s="294" t="s">
        <v>275</v>
      </c>
      <c r="G6" s="294" t="s">
        <v>276</v>
      </c>
      <c r="H6" s="294" t="s">
        <v>277</v>
      </c>
      <c r="I6" s="294" t="s">
        <v>278</v>
      </c>
      <c r="J6" s="294" t="s">
        <v>279</v>
      </c>
      <c r="K6" s="294" t="s">
        <v>524</v>
      </c>
      <c r="L6" s="294" t="s">
        <v>525</v>
      </c>
      <c r="M6" s="294" t="s">
        <v>526</v>
      </c>
      <c r="N6" s="294" t="s">
        <v>527</v>
      </c>
      <c r="O6" s="245" t="s">
        <v>0</v>
      </c>
    </row>
    <row r="7" spans="1:16" s="67" customFormat="1">
      <c r="A7" s="4" t="s">
        <v>301</v>
      </c>
      <c r="B7" s="4"/>
      <c r="C7" s="295">
        <f>+'VENTAS-PROYECTADAS'!B12</f>
        <v>0</v>
      </c>
      <c r="D7" s="295">
        <f>+'VENTAS-PROYECTADAS'!C12</f>
        <v>0</v>
      </c>
      <c r="E7" s="295">
        <f>+'VENTAS-PROYECTADAS'!D12</f>
        <v>6006.6360000000004</v>
      </c>
      <c r="F7" s="295">
        <f>+'VENTAS-PROYECTADAS'!E12</f>
        <v>6006.6360000000004</v>
      </c>
      <c r="G7" s="295">
        <f>+'VENTAS-PROYECTADAS'!F12</f>
        <v>6006.6360000000004</v>
      </c>
      <c r="H7" s="295">
        <f>+'VENTAS-PROYECTADAS'!G12</f>
        <v>6006.6360000000004</v>
      </c>
      <c r="I7" s="295">
        <f>+'VENTAS-PROYECTADAS'!H12</f>
        <v>6006.6360000000004</v>
      </c>
      <c r="J7" s="295">
        <f>+'VENTAS-PROYECTADAS'!I12</f>
        <v>6006.6360000000004</v>
      </c>
      <c r="K7" s="295">
        <f>+'VENTAS-PROYECTADAS'!J12</f>
        <v>6006.6360000000004</v>
      </c>
      <c r="L7" s="295">
        <f>+'VENTAS-PROYECTADAS'!K12</f>
        <v>6006.6360000000004</v>
      </c>
      <c r="M7" s="295">
        <f>+'VENTAS-PROYECTADAS'!L12</f>
        <v>6006.6360000000004</v>
      </c>
      <c r="N7" s="295">
        <f>+'VENTAS-PROYECTADAS'!M12</f>
        <v>6006.6360000000004</v>
      </c>
      <c r="O7" s="246">
        <f>SUM(C7:N7)</f>
        <v>60066.359999999993</v>
      </c>
      <c r="P7" s="219"/>
    </row>
    <row r="8" spans="1:16" s="67" customFormat="1">
      <c r="A8" s="4" t="s">
        <v>283</v>
      </c>
      <c r="B8" s="4"/>
      <c r="C8" s="295">
        <f>+'COSTO-VTA'!B13</f>
        <v>0</v>
      </c>
      <c r="D8" s="295">
        <f>+'COSTO-VTA'!C13</f>
        <v>0</v>
      </c>
      <c r="E8" s="295">
        <f>+'COSTO-VTA'!D13</f>
        <v>3420.1440000000002</v>
      </c>
      <c r="F8" s="295">
        <f>+'COSTO-VTA'!E13</f>
        <v>3420.1440000000002</v>
      </c>
      <c r="G8" s="295">
        <f>+'COSTO-VTA'!F13</f>
        <v>3420.1440000000002</v>
      </c>
      <c r="H8" s="295">
        <f>+'COSTO-VTA'!G13</f>
        <v>3420.1440000000002</v>
      </c>
      <c r="I8" s="295">
        <f>+'COSTO-VTA'!H13</f>
        <v>3420.1440000000002</v>
      </c>
      <c r="J8" s="295">
        <f>+'COSTO-VTA'!I13</f>
        <v>3420.1440000000002</v>
      </c>
      <c r="K8" s="295">
        <f>+'COSTO-VTA'!J13</f>
        <v>3420.1440000000002</v>
      </c>
      <c r="L8" s="295">
        <f>+'COSTO-VTA'!K13</f>
        <v>3420.1440000000002</v>
      </c>
      <c r="M8" s="295">
        <f>+'COSTO-VTA'!L13</f>
        <v>3420.1440000000002</v>
      </c>
      <c r="N8" s="295">
        <f>+'COSTO-VTA'!M13</f>
        <v>3420.1440000000002</v>
      </c>
      <c r="O8" s="246">
        <f>SUM(C8:N8)</f>
        <v>34201.440000000002</v>
      </c>
    </row>
    <row r="9" spans="1:16">
      <c r="A9" s="2" t="s">
        <v>284</v>
      </c>
      <c r="B9" s="2"/>
      <c r="C9" s="296">
        <f>+C7-C8</f>
        <v>0</v>
      </c>
      <c r="D9" s="296">
        <f t="shared" ref="D9:O9" si="0">+D7-D8</f>
        <v>0</v>
      </c>
      <c r="E9" s="296">
        <f t="shared" si="0"/>
        <v>2586.4920000000002</v>
      </c>
      <c r="F9" s="296">
        <f t="shared" si="0"/>
        <v>2586.4920000000002</v>
      </c>
      <c r="G9" s="296">
        <f t="shared" si="0"/>
        <v>2586.4920000000002</v>
      </c>
      <c r="H9" s="296">
        <f t="shared" si="0"/>
        <v>2586.4920000000002</v>
      </c>
      <c r="I9" s="296">
        <f t="shared" si="0"/>
        <v>2586.4920000000002</v>
      </c>
      <c r="J9" s="296">
        <f t="shared" si="0"/>
        <v>2586.4920000000002</v>
      </c>
      <c r="K9" s="296">
        <f t="shared" si="0"/>
        <v>2586.4920000000002</v>
      </c>
      <c r="L9" s="296">
        <f t="shared" si="0"/>
        <v>2586.4920000000002</v>
      </c>
      <c r="M9" s="296">
        <f t="shared" si="0"/>
        <v>2586.4920000000002</v>
      </c>
      <c r="N9" s="296">
        <f t="shared" si="0"/>
        <v>2586.4920000000002</v>
      </c>
      <c r="O9" s="248">
        <f t="shared" si="0"/>
        <v>25864.919999999991</v>
      </c>
    </row>
    <row r="10" spans="1:16">
      <c r="A10" s="2" t="s">
        <v>287</v>
      </c>
      <c r="B10" s="2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48"/>
    </row>
    <row r="11" spans="1:16">
      <c r="A11" s="4" t="s">
        <v>295</v>
      </c>
      <c r="B11" s="4"/>
      <c r="C11" s="295">
        <f>+'BENEFICIOS SOCIALES'!$C$119</f>
        <v>1432.27</v>
      </c>
      <c r="D11" s="295">
        <f>+'BENEFICIOS SOCIALES'!$C$119</f>
        <v>1432.27</v>
      </c>
      <c r="E11" s="295">
        <f>+'BENEFICIOS SOCIALES'!D119</f>
        <v>1432.27</v>
      </c>
      <c r="F11" s="295">
        <f>+'BENEFICIOS SOCIALES'!E119</f>
        <v>1432.27</v>
      </c>
      <c r="G11" s="295">
        <f>+'BENEFICIOS SOCIALES'!F119</f>
        <v>1432.27</v>
      </c>
      <c r="H11" s="295">
        <f>+'BENEFICIOS SOCIALES'!G119</f>
        <v>1432.27</v>
      </c>
      <c r="I11" s="295">
        <f>+'BENEFICIOS SOCIALES'!H119</f>
        <v>1432.27</v>
      </c>
      <c r="J11" s="295">
        <f>+'BENEFICIOS SOCIALES'!I119</f>
        <v>1432.27</v>
      </c>
      <c r="K11" s="295">
        <f>+'BENEFICIOS SOCIALES'!J119</f>
        <v>1432.27</v>
      </c>
      <c r="L11" s="295">
        <f>+'BENEFICIOS SOCIALES'!K119</f>
        <v>1432.27</v>
      </c>
      <c r="M11" s="295">
        <f>+'BENEFICIOS SOCIALES'!L119</f>
        <v>1432.27</v>
      </c>
      <c r="N11" s="295">
        <f>+'BENEFICIOS SOCIALES'!M119</f>
        <v>1432.27</v>
      </c>
      <c r="O11" s="246">
        <f t="shared" ref="O11:O16" si="1">SUM(C11:N11)</f>
        <v>17187.240000000002</v>
      </c>
    </row>
    <row r="12" spans="1:16">
      <c r="A12" s="4" t="s">
        <v>290</v>
      </c>
      <c r="B12" s="4"/>
      <c r="C12" s="295">
        <f>+'BENEFICIOS SOCIALES'!$O$123</f>
        <v>153.35861111111112</v>
      </c>
      <c r="D12" s="295">
        <f>+'BENEFICIOS SOCIALES'!$O$123</f>
        <v>153.35861111111112</v>
      </c>
      <c r="E12" s="295">
        <f>+'BENEFICIOS SOCIALES'!$O$123</f>
        <v>153.35861111111112</v>
      </c>
      <c r="F12" s="295">
        <f>+'BENEFICIOS SOCIALES'!$O$123</f>
        <v>153.35861111111112</v>
      </c>
      <c r="G12" s="295">
        <f>+'BENEFICIOS SOCIALES'!$O$123</f>
        <v>153.35861111111112</v>
      </c>
      <c r="H12" s="295">
        <f>+'BENEFICIOS SOCIALES'!$O$123</f>
        <v>153.35861111111112</v>
      </c>
      <c r="I12" s="295">
        <f>+'BENEFICIOS SOCIALES'!$O$123</f>
        <v>153.35861111111112</v>
      </c>
      <c r="J12" s="295">
        <f>+'BENEFICIOS SOCIALES'!$O$123</f>
        <v>153.35861111111112</v>
      </c>
      <c r="K12" s="295">
        <f>+'BENEFICIOS SOCIALES'!$O$123</f>
        <v>153.35861111111112</v>
      </c>
      <c r="L12" s="295">
        <f>+'BENEFICIOS SOCIALES'!$O$123</f>
        <v>153.35861111111112</v>
      </c>
      <c r="M12" s="295">
        <f>+'BENEFICIOS SOCIALES'!$O$123</f>
        <v>153.35861111111112</v>
      </c>
      <c r="N12" s="295">
        <f>+'BENEFICIOS SOCIALES'!$O$123</f>
        <v>153.35861111111112</v>
      </c>
      <c r="O12" s="246">
        <f t="shared" si="1"/>
        <v>1840.3033333333331</v>
      </c>
    </row>
    <row r="13" spans="1:16">
      <c r="A13" s="4" t="s">
        <v>294</v>
      </c>
      <c r="B13" s="4"/>
      <c r="C13" s="295">
        <v>325</v>
      </c>
      <c r="D13" s="295">
        <v>325</v>
      </c>
      <c r="E13" s="295">
        <v>325</v>
      </c>
      <c r="F13" s="295">
        <v>325</v>
      </c>
      <c r="G13" s="295">
        <v>325</v>
      </c>
      <c r="H13" s="295">
        <v>325</v>
      </c>
      <c r="I13" s="295">
        <v>325</v>
      </c>
      <c r="J13" s="295">
        <v>325</v>
      </c>
      <c r="K13" s="295">
        <v>325</v>
      </c>
      <c r="L13" s="295">
        <v>325</v>
      </c>
      <c r="M13" s="295">
        <v>325</v>
      </c>
      <c r="N13" s="295">
        <v>325</v>
      </c>
      <c r="O13" s="246">
        <f t="shared" si="1"/>
        <v>3900</v>
      </c>
    </row>
    <row r="14" spans="1:16">
      <c r="A14" s="4" t="s">
        <v>300</v>
      </c>
      <c r="B14" s="4"/>
      <c r="C14" s="295">
        <f>+GASTOS!$E$22</f>
        <v>8.125</v>
      </c>
      <c r="D14" s="295">
        <f>+GASTOS!$E$22</f>
        <v>8.125</v>
      </c>
      <c r="E14" s="295">
        <f>+GASTOS!$E$22</f>
        <v>8.125</v>
      </c>
      <c r="F14" s="295">
        <f>+GASTOS!$E$22</f>
        <v>8.125</v>
      </c>
      <c r="G14" s="295">
        <f>+GASTOS!$E$22</f>
        <v>8.125</v>
      </c>
      <c r="H14" s="295">
        <f>+GASTOS!$E$22</f>
        <v>8.125</v>
      </c>
      <c r="I14" s="295">
        <f>+GASTOS!$E$22</f>
        <v>8.125</v>
      </c>
      <c r="J14" s="295">
        <f>+GASTOS!$E$22</f>
        <v>8.125</v>
      </c>
      <c r="K14" s="295">
        <f>+GASTOS!$E$22</f>
        <v>8.125</v>
      </c>
      <c r="L14" s="295">
        <f>+GASTOS!$E$22</f>
        <v>8.125</v>
      </c>
      <c r="M14" s="295">
        <f>+GASTOS!$E$22</f>
        <v>8.125</v>
      </c>
      <c r="N14" s="295">
        <f>+GASTOS!$E$22</f>
        <v>8.125</v>
      </c>
      <c r="O14" s="246">
        <f t="shared" si="1"/>
        <v>97.5</v>
      </c>
    </row>
    <row r="15" spans="1:16">
      <c r="A15" s="4" t="s">
        <v>296</v>
      </c>
      <c r="B15" s="4"/>
      <c r="C15" s="295">
        <f>+GASTOS!$B$8</f>
        <v>190</v>
      </c>
      <c r="D15" s="295">
        <f>+GASTOS!$B$8</f>
        <v>190</v>
      </c>
      <c r="E15" s="295">
        <f>+GASTOS!$B$8</f>
        <v>190</v>
      </c>
      <c r="F15" s="295">
        <f>+GASTOS!$B$8</f>
        <v>190</v>
      </c>
      <c r="G15" s="295">
        <f>+GASTOS!$B$8</f>
        <v>190</v>
      </c>
      <c r="H15" s="295">
        <f>+GASTOS!$B$8</f>
        <v>190</v>
      </c>
      <c r="I15" s="295">
        <f>+GASTOS!$B$8</f>
        <v>190</v>
      </c>
      <c r="J15" s="295">
        <f>+GASTOS!$B$8</f>
        <v>190</v>
      </c>
      <c r="K15" s="295">
        <f>+GASTOS!$B$8</f>
        <v>190</v>
      </c>
      <c r="L15" s="295">
        <f>+GASTOS!$B$8</f>
        <v>190</v>
      </c>
      <c r="M15" s="295">
        <f>+GASTOS!$B$8</f>
        <v>190</v>
      </c>
      <c r="N15" s="295">
        <f>+GASTOS!$B$8</f>
        <v>190</v>
      </c>
      <c r="O15" s="246">
        <f t="shared" si="1"/>
        <v>2280</v>
      </c>
    </row>
    <row r="16" spans="1:16">
      <c r="A16" s="4" t="s">
        <v>458</v>
      </c>
      <c r="B16" s="4"/>
      <c r="C16" s="295">
        <f>+GASTOS!$F$16</f>
        <v>15.6</v>
      </c>
      <c r="D16" s="295">
        <f>+GASTOS!$F$16</f>
        <v>15.6</v>
      </c>
      <c r="E16" s="295">
        <f>+GASTOS!$F$16</f>
        <v>15.6</v>
      </c>
      <c r="F16" s="295">
        <f>+GASTOS!$F$16</f>
        <v>15.6</v>
      </c>
      <c r="G16" s="295">
        <f>+GASTOS!$F$16</f>
        <v>15.6</v>
      </c>
      <c r="H16" s="295">
        <f>+GASTOS!$F$16</f>
        <v>15.6</v>
      </c>
      <c r="I16" s="295">
        <f>+GASTOS!$F$16</f>
        <v>15.6</v>
      </c>
      <c r="J16" s="295">
        <f>+GASTOS!$F$16</f>
        <v>15.6</v>
      </c>
      <c r="K16" s="295">
        <f>+GASTOS!$F$16</f>
        <v>15.6</v>
      </c>
      <c r="L16" s="295">
        <f>+GASTOS!$F$16</f>
        <v>15.6</v>
      </c>
      <c r="M16" s="295">
        <f>+GASTOS!$F$16</f>
        <v>15.6</v>
      </c>
      <c r="N16" s="295">
        <f>+GASTOS!$F$16</f>
        <v>15.6</v>
      </c>
      <c r="O16" s="246">
        <f t="shared" si="1"/>
        <v>187.19999999999996</v>
      </c>
    </row>
    <row r="17" spans="1:17">
      <c r="A17" s="2" t="s">
        <v>297</v>
      </c>
      <c r="B17" s="4"/>
      <c r="C17" s="296">
        <f>SUM(C11:C16)</f>
        <v>2124.3536111111111</v>
      </c>
      <c r="D17" s="296">
        <f t="shared" ref="D17:O17" si="2">SUM(D11:D16)</f>
        <v>2124.3536111111111</v>
      </c>
      <c r="E17" s="296">
        <f t="shared" si="2"/>
        <v>2124.3536111111111</v>
      </c>
      <c r="F17" s="296">
        <f t="shared" si="2"/>
        <v>2124.3536111111111</v>
      </c>
      <c r="G17" s="296">
        <f t="shared" si="2"/>
        <v>2124.3536111111111</v>
      </c>
      <c r="H17" s="296">
        <f t="shared" si="2"/>
        <v>2124.3536111111111</v>
      </c>
      <c r="I17" s="296">
        <f t="shared" si="2"/>
        <v>2124.3536111111111</v>
      </c>
      <c r="J17" s="296">
        <f t="shared" si="2"/>
        <v>2124.3536111111111</v>
      </c>
      <c r="K17" s="296">
        <f t="shared" si="2"/>
        <v>2124.3536111111111</v>
      </c>
      <c r="L17" s="296">
        <f t="shared" si="2"/>
        <v>2124.3536111111111</v>
      </c>
      <c r="M17" s="296">
        <f t="shared" si="2"/>
        <v>2124.3536111111111</v>
      </c>
      <c r="N17" s="296">
        <f t="shared" si="2"/>
        <v>2124.3536111111111</v>
      </c>
      <c r="O17" s="248">
        <f t="shared" si="2"/>
        <v>25492.243333333336</v>
      </c>
    </row>
    <row r="18" spans="1:17">
      <c r="A18" s="2" t="s">
        <v>519</v>
      </c>
      <c r="B18" s="4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46"/>
    </row>
    <row r="19" spans="1:17">
      <c r="A19" s="4" t="s">
        <v>501</v>
      </c>
      <c r="B19" s="4"/>
      <c r="C19" s="295">
        <f>+'Gastos de Publicidad'!$C$28</f>
        <v>29.367500000000003</v>
      </c>
      <c r="D19" s="295">
        <f>+'Gastos de Publicidad'!$C$28</f>
        <v>29.367500000000003</v>
      </c>
      <c r="E19" s="295">
        <f>+'Gastos de Publicidad'!$C$28</f>
        <v>29.367500000000003</v>
      </c>
      <c r="F19" s="295">
        <f>+'Gastos de Publicidad'!$C$28</f>
        <v>29.367500000000003</v>
      </c>
      <c r="G19" s="295">
        <f>+'Gastos de Publicidad'!$C$28</f>
        <v>29.367500000000003</v>
      </c>
      <c r="H19" s="295">
        <f>+'Gastos de Publicidad'!$C$28</f>
        <v>29.367500000000003</v>
      </c>
      <c r="I19" s="295">
        <f>+'Gastos de Publicidad'!$C$28</f>
        <v>29.367500000000003</v>
      </c>
      <c r="J19" s="295">
        <f>+'Gastos de Publicidad'!$C$28</f>
        <v>29.367500000000003</v>
      </c>
      <c r="K19" s="295">
        <f>+'Gastos de Publicidad'!$C$28</f>
        <v>29.367500000000003</v>
      </c>
      <c r="L19" s="295">
        <f>+'Gastos de Publicidad'!$C$28</f>
        <v>29.367500000000003</v>
      </c>
      <c r="M19" s="295">
        <f>+'Gastos de Publicidad'!$C$28</f>
        <v>29.367500000000003</v>
      </c>
      <c r="N19" s="295">
        <f>+'Gastos de Publicidad'!$C$28</f>
        <v>29.367500000000003</v>
      </c>
      <c r="O19" s="246">
        <f t="shared" ref="O19:O20" si="3">SUM(C19:N19)</f>
        <v>352.41</v>
      </c>
    </row>
    <row r="20" spans="1:17">
      <c r="A20" s="4" t="s">
        <v>456</v>
      </c>
      <c r="B20" s="4"/>
      <c r="C20" s="295">
        <f>+'Gastos de Publicidad'!$C$31</f>
        <v>36</v>
      </c>
      <c r="D20" s="295">
        <f>+'Gastos de Publicidad'!$C$31</f>
        <v>36</v>
      </c>
      <c r="E20" s="295">
        <f>+'Gastos de Publicidad'!$C$31</f>
        <v>36</v>
      </c>
      <c r="F20" s="295">
        <f>+'Gastos de Publicidad'!$C$31</f>
        <v>36</v>
      </c>
      <c r="G20" s="295">
        <f>+'Gastos de Publicidad'!$C$31</f>
        <v>36</v>
      </c>
      <c r="H20" s="295">
        <f>+'Gastos de Publicidad'!$C$31</f>
        <v>36</v>
      </c>
      <c r="I20" s="295">
        <f>+'Gastos de Publicidad'!$C$31</f>
        <v>36</v>
      </c>
      <c r="J20" s="295">
        <f>+'Gastos de Publicidad'!$C$31</f>
        <v>36</v>
      </c>
      <c r="K20" s="295">
        <f>+'Gastos de Publicidad'!$C$31</f>
        <v>36</v>
      </c>
      <c r="L20" s="295">
        <f>+'Gastos de Publicidad'!$C$31</f>
        <v>36</v>
      </c>
      <c r="M20" s="295">
        <f>+'Gastos de Publicidad'!$C$31</f>
        <v>36</v>
      </c>
      <c r="N20" s="295">
        <f>+'Gastos de Publicidad'!$C$31</f>
        <v>36</v>
      </c>
      <c r="O20" s="246">
        <f t="shared" si="3"/>
        <v>432</v>
      </c>
    </row>
    <row r="21" spans="1:17">
      <c r="A21" s="2" t="s">
        <v>520</v>
      </c>
      <c r="B21" s="4"/>
      <c r="C21" s="296">
        <f>SUM(C19:C20)</f>
        <v>65.367500000000007</v>
      </c>
      <c r="D21" s="296">
        <f t="shared" ref="D21:O21" si="4">SUM(D19:D20)</f>
        <v>65.367500000000007</v>
      </c>
      <c r="E21" s="296">
        <f t="shared" si="4"/>
        <v>65.367500000000007</v>
      </c>
      <c r="F21" s="296">
        <f t="shared" si="4"/>
        <v>65.367500000000007</v>
      </c>
      <c r="G21" s="296">
        <f t="shared" si="4"/>
        <v>65.367500000000007</v>
      </c>
      <c r="H21" s="296">
        <f t="shared" si="4"/>
        <v>65.367500000000007</v>
      </c>
      <c r="I21" s="296">
        <f t="shared" si="4"/>
        <v>65.367500000000007</v>
      </c>
      <c r="J21" s="296">
        <f t="shared" si="4"/>
        <v>65.367500000000007</v>
      </c>
      <c r="K21" s="296">
        <f t="shared" si="4"/>
        <v>65.367500000000007</v>
      </c>
      <c r="L21" s="296">
        <f t="shared" si="4"/>
        <v>65.367500000000007</v>
      </c>
      <c r="M21" s="296">
        <f t="shared" si="4"/>
        <v>65.367500000000007</v>
      </c>
      <c r="N21" s="296">
        <f t="shared" si="4"/>
        <v>65.367500000000007</v>
      </c>
      <c r="O21" s="248">
        <f t="shared" si="4"/>
        <v>784.41000000000008</v>
      </c>
    </row>
    <row r="22" spans="1:17">
      <c r="A22" s="2" t="s">
        <v>298</v>
      </c>
      <c r="B22" s="2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48"/>
      <c r="P22" s="65"/>
      <c r="Q22" s="221"/>
    </row>
    <row r="23" spans="1:17">
      <c r="A23" s="4" t="s">
        <v>266</v>
      </c>
      <c r="B23" s="4"/>
      <c r="C23" s="295">
        <f>+DEPRE!$H$29</f>
        <v>189.18395833333332</v>
      </c>
      <c r="D23" s="295">
        <f>+DEPRE!$H$29</f>
        <v>189.18395833333332</v>
      </c>
      <c r="E23" s="295">
        <f>+DEPRE!$H$29</f>
        <v>189.18395833333332</v>
      </c>
      <c r="F23" s="295">
        <f>+DEPRE!$H$29</f>
        <v>189.18395833333332</v>
      </c>
      <c r="G23" s="295">
        <f>+DEPRE!$H$29</f>
        <v>189.18395833333332</v>
      </c>
      <c r="H23" s="295">
        <f>+DEPRE!$H$29</f>
        <v>189.18395833333332</v>
      </c>
      <c r="I23" s="295">
        <f>+DEPRE!$H$29</f>
        <v>189.18395833333332</v>
      </c>
      <c r="J23" s="295">
        <f>+DEPRE!$H$29</f>
        <v>189.18395833333332</v>
      </c>
      <c r="K23" s="295">
        <f>+DEPRE!$H$29</f>
        <v>189.18395833333332</v>
      </c>
      <c r="L23" s="295">
        <f>+DEPRE!$H$29</f>
        <v>189.18395833333332</v>
      </c>
      <c r="M23" s="295">
        <f>+DEPRE!$H$29</f>
        <v>189.18395833333332</v>
      </c>
      <c r="N23" s="295">
        <f>+DEPRE!$H$29</f>
        <v>189.18395833333332</v>
      </c>
      <c r="O23" s="246">
        <f t="shared" ref="O23:O29" si="5">SUM(C23:N23)</f>
        <v>2270.2075</v>
      </c>
      <c r="P23" s="65"/>
      <c r="Q23" s="221"/>
    </row>
    <row r="24" spans="1:17">
      <c r="A24" s="4" t="s">
        <v>457</v>
      </c>
      <c r="B24" s="4"/>
      <c r="C24" s="295">
        <f>+PRESTAMO!$B$12</f>
        <v>29.166666666666668</v>
      </c>
      <c r="D24" s="295">
        <f>+PRESTAMO!$B$12</f>
        <v>29.166666666666668</v>
      </c>
      <c r="E24" s="295">
        <f>+PRESTAMO!$B$12</f>
        <v>29.166666666666668</v>
      </c>
      <c r="F24" s="295">
        <f>+PRESTAMO!$B$12</f>
        <v>29.166666666666668</v>
      </c>
      <c r="G24" s="295">
        <f>+PRESTAMO!$B$12</f>
        <v>29.166666666666668</v>
      </c>
      <c r="H24" s="295">
        <f>+PRESTAMO!$B$12</f>
        <v>29.166666666666668</v>
      </c>
      <c r="I24" s="295">
        <f>+PRESTAMO!$B$12</f>
        <v>29.166666666666668</v>
      </c>
      <c r="J24" s="295">
        <f>+PRESTAMO!$B$12</f>
        <v>29.166666666666668</v>
      </c>
      <c r="K24" s="295">
        <f>+PRESTAMO!$B$12</f>
        <v>29.166666666666668</v>
      </c>
      <c r="L24" s="295">
        <f>+PRESTAMO!$B$12</f>
        <v>29.166666666666668</v>
      </c>
      <c r="M24" s="295">
        <f>+PRESTAMO!$B$12</f>
        <v>29.166666666666668</v>
      </c>
      <c r="N24" s="295">
        <f>+PRESTAMO!$B$12</f>
        <v>29.166666666666668</v>
      </c>
      <c r="O24" s="246">
        <f t="shared" si="5"/>
        <v>350.00000000000006</v>
      </c>
    </row>
    <row r="25" spans="1:17">
      <c r="A25" s="4" t="s">
        <v>500</v>
      </c>
      <c r="B25" s="4"/>
      <c r="C25" s="295">
        <v>22.44</v>
      </c>
      <c r="D25" s="295">
        <v>22.44</v>
      </c>
      <c r="E25" s="295">
        <v>22.44</v>
      </c>
      <c r="F25" s="295">
        <v>22.44</v>
      </c>
      <c r="G25" s="295">
        <v>22.44</v>
      </c>
      <c r="H25" s="295">
        <v>22.44</v>
      </c>
      <c r="I25" s="295">
        <v>22.44</v>
      </c>
      <c r="J25" s="295">
        <v>22.44</v>
      </c>
      <c r="K25" s="295">
        <v>22.44</v>
      </c>
      <c r="L25" s="295">
        <v>22.44</v>
      </c>
      <c r="M25" s="295">
        <v>22.44</v>
      </c>
      <c r="N25" s="295">
        <v>22.44</v>
      </c>
      <c r="O25" s="246">
        <f t="shared" si="5"/>
        <v>269.28000000000003</v>
      </c>
    </row>
    <row r="26" spans="1:17">
      <c r="A26" s="2" t="s">
        <v>299</v>
      </c>
      <c r="B26" s="2"/>
      <c r="C26" s="295">
        <f>+C9-C17-C21-C23-C24-C25</f>
        <v>-2430.5117361111111</v>
      </c>
      <c r="D26" s="295">
        <f t="shared" ref="D26:N26" si="6">+D9-D17-D21-D23-D24-D25</f>
        <v>-2430.5117361111111</v>
      </c>
      <c r="E26" s="295">
        <f t="shared" si="6"/>
        <v>155.98026388888906</v>
      </c>
      <c r="F26" s="295">
        <f t="shared" si="6"/>
        <v>155.98026388888906</v>
      </c>
      <c r="G26" s="295">
        <f t="shared" si="6"/>
        <v>155.98026388888906</v>
      </c>
      <c r="H26" s="295">
        <f t="shared" si="6"/>
        <v>155.98026388888906</v>
      </c>
      <c r="I26" s="295">
        <f t="shared" si="6"/>
        <v>155.98026388888906</v>
      </c>
      <c r="J26" s="295">
        <f t="shared" si="6"/>
        <v>155.98026388888906</v>
      </c>
      <c r="K26" s="295">
        <f t="shared" si="6"/>
        <v>155.98026388888906</v>
      </c>
      <c r="L26" s="295">
        <f t="shared" si="6"/>
        <v>155.98026388888906</v>
      </c>
      <c r="M26" s="295">
        <f t="shared" si="6"/>
        <v>155.98026388888906</v>
      </c>
      <c r="N26" s="295">
        <f t="shared" si="6"/>
        <v>155.98026388888906</v>
      </c>
      <c r="O26" s="246">
        <f t="shared" si="5"/>
        <v>-3301.2208333333328</v>
      </c>
    </row>
    <row r="27" spans="1:17">
      <c r="A27" s="4" t="s">
        <v>64</v>
      </c>
      <c r="B27" s="249">
        <v>0.15</v>
      </c>
      <c r="C27" s="295">
        <f>+C26*$B$27</f>
        <v>-364.57676041666667</v>
      </c>
      <c r="D27" s="295">
        <f t="shared" ref="D27:N27" si="7">+D26*$B$27</f>
        <v>-364.57676041666667</v>
      </c>
      <c r="E27" s="295">
        <f t="shared" si="7"/>
        <v>23.397039583333356</v>
      </c>
      <c r="F27" s="295">
        <f t="shared" si="7"/>
        <v>23.397039583333356</v>
      </c>
      <c r="G27" s="295">
        <f t="shared" si="7"/>
        <v>23.397039583333356</v>
      </c>
      <c r="H27" s="295">
        <f t="shared" si="7"/>
        <v>23.397039583333356</v>
      </c>
      <c r="I27" s="295">
        <f t="shared" si="7"/>
        <v>23.397039583333356</v>
      </c>
      <c r="J27" s="295">
        <f t="shared" si="7"/>
        <v>23.397039583333356</v>
      </c>
      <c r="K27" s="295">
        <f t="shared" si="7"/>
        <v>23.397039583333356</v>
      </c>
      <c r="L27" s="295">
        <f t="shared" si="7"/>
        <v>23.397039583333356</v>
      </c>
      <c r="M27" s="295">
        <f t="shared" si="7"/>
        <v>23.397039583333356</v>
      </c>
      <c r="N27" s="295">
        <f t="shared" si="7"/>
        <v>23.397039583333356</v>
      </c>
      <c r="O27" s="246">
        <f t="shared" si="5"/>
        <v>-495.18312499999968</v>
      </c>
    </row>
    <row r="28" spans="1:17" ht="25.5">
      <c r="A28" s="217" t="s">
        <v>263</v>
      </c>
      <c r="B28" s="2"/>
      <c r="C28" s="296">
        <f>SUM(C26:C27)</f>
        <v>-2795.0884965277778</v>
      </c>
      <c r="D28" s="296">
        <f t="shared" ref="D28:O28" si="8">SUM(D26:D27)</f>
        <v>-2795.0884965277778</v>
      </c>
      <c r="E28" s="296">
        <f t="shared" si="8"/>
        <v>179.37730347222242</v>
      </c>
      <c r="F28" s="296">
        <f t="shared" si="8"/>
        <v>179.37730347222242</v>
      </c>
      <c r="G28" s="296">
        <f t="shared" si="8"/>
        <v>179.37730347222242</v>
      </c>
      <c r="H28" s="296">
        <f t="shared" si="8"/>
        <v>179.37730347222242</v>
      </c>
      <c r="I28" s="296">
        <f t="shared" si="8"/>
        <v>179.37730347222242</v>
      </c>
      <c r="J28" s="296">
        <f t="shared" si="8"/>
        <v>179.37730347222242</v>
      </c>
      <c r="K28" s="296">
        <f t="shared" si="8"/>
        <v>179.37730347222242</v>
      </c>
      <c r="L28" s="296">
        <f t="shared" si="8"/>
        <v>179.37730347222242</v>
      </c>
      <c r="M28" s="296">
        <f t="shared" si="8"/>
        <v>179.37730347222242</v>
      </c>
      <c r="N28" s="296">
        <f t="shared" si="8"/>
        <v>179.37730347222242</v>
      </c>
      <c r="O28" s="248">
        <f t="shared" si="8"/>
        <v>-3796.4039583333324</v>
      </c>
      <c r="P28" s="65"/>
      <c r="Q28" s="221"/>
    </row>
    <row r="29" spans="1:17">
      <c r="A29" s="4" t="s">
        <v>65</v>
      </c>
      <c r="B29" s="249">
        <v>0.25</v>
      </c>
      <c r="C29" s="295">
        <f>+C28*$B$29</f>
        <v>-698.77212413194445</v>
      </c>
      <c r="D29" s="295">
        <f t="shared" ref="D29:N29" si="9">+D28*$B$29</f>
        <v>-698.77212413194445</v>
      </c>
      <c r="E29" s="295">
        <f t="shared" si="9"/>
        <v>44.844325868055606</v>
      </c>
      <c r="F29" s="295">
        <f t="shared" si="9"/>
        <v>44.844325868055606</v>
      </c>
      <c r="G29" s="295">
        <f t="shared" si="9"/>
        <v>44.844325868055606</v>
      </c>
      <c r="H29" s="295">
        <f t="shared" si="9"/>
        <v>44.844325868055606</v>
      </c>
      <c r="I29" s="295">
        <f t="shared" si="9"/>
        <v>44.844325868055606</v>
      </c>
      <c r="J29" s="295">
        <f t="shared" si="9"/>
        <v>44.844325868055606</v>
      </c>
      <c r="K29" s="295">
        <f t="shared" si="9"/>
        <v>44.844325868055606</v>
      </c>
      <c r="L29" s="295">
        <f t="shared" si="9"/>
        <v>44.844325868055606</v>
      </c>
      <c r="M29" s="295">
        <f t="shared" si="9"/>
        <v>44.844325868055606</v>
      </c>
      <c r="N29" s="295">
        <f t="shared" si="9"/>
        <v>44.844325868055606</v>
      </c>
      <c r="O29" s="246">
        <f t="shared" si="5"/>
        <v>-949.10098958333242</v>
      </c>
    </row>
    <row r="30" spans="1:17">
      <c r="A30" s="2" t="s">
        <v>63</v>
      </c>
      <c r="B30" s="2"/>
      <c r="C30" s="296">
        <f>SUM(C28:C29)</f>
        <v>-3493.8606206597224</v>
      </c>
      <c r="D30" s="296">
        <f t="shared" ref="D30:O30" si="10">SUM(D28:D29)</f>
        <v>-3493.8606206597224</v>
      </c>
      <c r="E30" s="296">
        <f t="shared" si="10"/>
        <v>224.22162934027801</v>
      </c>
      <c r="F30" s="296">
        <f t="shared" si="10"/>
        <v>224.22162934027801</v>
      </c>
      <c r="G30" s="296">
        <f t="shared" si="10"/>
        <v>224.22162934027801</v>
      </c>
      <c r="H30" s="296">
        <f t="shared" si="10"/>
        <v>224.22162934027801</v>
      </c>
      <c r="I30" s="296">
        <f t="shared" si="10"/>
        <v>224.22162934027801</v>
      </c>
      <c r="J30" s="296">
        <f t="shared" si="10"/>
        <v>224.22162934027801</v>
      </c>
      <c r="K30" s="296">
        <f t="shared" si="10"/>
        <v>224.22162934027801</v>
      </c>
      <c r="L30" s="296">
        <f t="shared" si="10"/>
        <v>224.22162934027801</v>
      </c>
      <c r="M30" s="296">
        <f t="shared" si="10"/>
        <v>224.22162934027801</v>
      </c>
      <c r="N30" s="296">
        <f t="shared" si="10"/>
        <v>224.22162934027801</v>
      </c>
      <c r="O30" s="248">
        <f t="shared" si="10"/>
        <v>-4745.5049479166646</v>
      </c>
    </row>
    <row r="31" spans="1:17"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56"/>
    </row>
    <row r="32" spans="1:17"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18"/>
    </row>
    <row r="33" spans="1:15"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18"/>
    </row>
    <row r="34" spans="1:15"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18"/>
    </row>
    <row r="35" spans="1:15" s="9" customFormat="1"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56"/>
    </row>
    <row r="36" spans="1:15" s="9" customFormat="1"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56"/>
    </row>
    <row r="37" spans="1:15"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56"/>
    </row>
    <row r="38" spans="1:15">
      <c r="C38" s="347" t="s">
        <v>21</v>
      </c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</row>
    <row r="39" spans="1:15">
      <c r="C39" s="294" t="s">
        <v>272</v>
      </c>
      <c r="D39" s="294" t="s">
        <v>273</v>
      </c>
      <c r="E39" s="294" t="s">
        <v>274</v>
      </c>
      <c r="F39" s="294" t="s">
        <v>275</v>
      </c>
      <c r="G39" s="294" t="s">
        <v>276</v>
      </c>
      <c r="H39" s="294" t="s">
        <v>277</v>
      </c>
      <c r="I39" s="294" t="s">
        <v>278</v>
      </c>
      <c r="J39" s="294" t="s">
        <v>279</v>
      </c>
      <c r="K39" s="294" t="s">
        <v>524</v>
      </c>
      <c r="L39" s="294" t="s">
        <v>525</v>
      </c>
      <c r="M39" s="294" t="s">
        <v>526</v>
      </c>
      <c r="N39" s="294" t="s">
        <v>527</v>
      </c>
      <c r="O39" s="245" t="s">
        <v>0</v>
      </c>
    </row>
    <row r="40" spans="1:15">
      <c r="A40" s="4" t="s">
        <v>301</v>
      </c>
      <c r="B40" s="4"/>
      <c r="C40" s="295">
        <f>+'VENTAS-PROYECTADAS'!B13</f>
        <v>7007.7420000000011</v>
      </c>
      <c r="D40" s="295">
        <f>+'VENTAS-PROYECTADAS'!C13</f>
        <v>7007.7420000000011</v>
      </c>
      <c r="E40" s="295">
        <f>+'VENTAS-PROYECTADAS'!D13</f>
        <v>7007.7420000000011</v>
      </c>
      <c r="F40" s="295">
        <f>+'VENTAS-PROYECTADAS'!E13</f>
        <v>7007.7420000000011</v>
      </c>
      <c r="G40" s="295">
        <f>+'VENTAS-PROYECTADAS'!F13</f>
        <v>7007.7420000000011</v>
      </c>
      <c r="H40" s="295">
        <f>+'VENTAS-PROYECTADAS'!G13</f>
        <v>7007.7420000000011</v>
      </c>
      <c r="I40" s="295">
        <f>+'VENTAS-PROYECTADAS'!H13</f>
        <v>7007.7420000000011</v>
      </c>
      <c r="J40" s="295">
        <f>+'VENTAS-PROYECTADAS'!I13</f>
        <v>7007.7420000000011</v>
      </c>
      <c r="K40" s="295">
        <f>+'VENTAS-PROYECTADAS'!J13</f>
        <v>7007.7420000000011</v>
      </c>
      <c r="L40" s="295">
        <f>+'VENTAS-PROYECTADAS'!K13</f>
        <v>7007.7420000000011</v>
      </c>
      <c r="M40" s="295">
        <f>+'VENTAS-PROYECTADAS'!L13</f>
        <v>7007.7420000000011</v>
      </c>
      <c r="N40" s="295">
        <f>+'VENTAS-PROYECTADAS'!M13</f>
        <v>7007.7420000000011</v>
      </c>
      <c r="O40" s="246">
        <f>SUM(C40:N40)</f>
        <v>84092.903999999995</v>
      </c>
    </row>
    <row r="41" spans="1:15">
      <c r="A41" s="4" t="s">
        <v>283</v>
      </c>
      <c r="B41" s="4"/>
      <c r="C41" s="295">
        <f>+'COSTO-VTA'!B14</f>
        <v>3990.1679999999997</v>
      </c>
      <c r="D41" s="295">
        <f>+'COSTO-VTA'!C14</f>
        <v>3990.1679999999997</v>
      </c>
      <c r="E41" s="295">
        <f>+'COSTO-VTA'!D14</f>
        <v>3990.1679999999997</v>
      </c>
      <c r="F41" s="295">
        <f>+'COSTO-VTA'!E14</f>
        <v>3990.1679999999997</v>
      </c>
      <c r="G41" s="295">
        <f>+'COSTO-VTA'!F14</f>
        <v>3990.1679999999997</v>
      </c>
      <c r="H41" s="295">
        <f>+'COSTO-VTA'!G14</f>
        <v>3990.1679999999997</v>
      </c>
      <c r="I41" s="295">
        <f>+'COSTO-VTA'!H14</f>
        <v>3990.1679999999997</v>
      </c>
      <c r="J41" s="295">
        <f>+'COSTO-VTA'!I14</f>
        <v>3990.1679999999997</v>
      </c>
      <c r="K41" s="295">
        <f>+'COSTO-VTA'!J14</f>
        <v>3990.1679999999997</v>
      </c>
      <c r="L41" s="295">
        <f>+'COSTO-VTA'!K14</f>
        <v>3990.1679999999997</v>
      </c>
      <c r="M41" s="295">
        <f>+'COSTO-VTA'!L14</f>
        <v>3990.1679999999997</v>
      </c>
      <c r="N41" s="295">
        <f>+'COSTO-VTA'!M14</f>
        <v>3990.1679999999997</v>
      </c>
      <c r="O41" s="246">
        <f>SUM(C41:N41)</f>
        <v>47882.015999999981</v>
      </c>
    </row>
    <row r="42" spans="1:15">
      <c r="A42" s="2" t="s">
        <v>284</v>
      </c>
      <c r="B42" s="2"/>
      <c r="C42" s="296">
        <f>+C40-C41</f>
        <v>3017.5740000000014</v>
      </c>
      <c r="D42" s="296">
        <f t="shared" ref="D42:O42" si="11">+D40-D41</f>
        <v>3017.5740000000014</v>
      </c>
      <c r="E42" s="296">
        <f t="shared" si="11"/>
        <v>3017.5740000000014</v>
      </c>
      <c r="F42" s="296">
        <f t="shared" si="11"/>
        <v>3017.5740000000014</v>
      </c>
      <c r="G42" s="296">
        <f t="shared" si="11"/>
        <v>3017.5740000000014</v>
      </c>
      <c r="H42" s="296">
        <f t="shared" si="11"/>
        <v>3017.5740000000014</v>
      </c>
      <c r="I42" s="296">
        <f t="shared" si="11"/>
        <v>3017.5740000000014</v>
      </c>
      <c r="J42" s="296">
        <f t="shared" si="11"/>
        <v>3017.5740000000014</v>
      </c>
      <c r="K42" s="296">
        <f t="shared" si="11"/>
        <v>3017.5740000000014</v>
      </c>
      <c r="L42" s="296">
        <f t="shared" si="11"/>
        <v>3017.5740000000014</v>
      </c>
      <c r="M42" s="296">
        <f t="shared" si="11"/>
        <v>3017.5740000000014</v>
      </c>
      <c r="N42" s="296">
        <f t="shared" si="11"/>
        <v>3017.5740000000014</v>
      </c>
      <c r="O42" s="248">
        <f t="shared" si="11"/>
        <v>36210.888000000014</v>
      </c>
    </row>
    <row r="43" spans="1:15">
      <c r="A43" s="2" t="s">
        <v>287</v>
      </c>
      <c r="B43" s="2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48"/>
    </row>
    <row r="44" spans="1:15">
      <c r="A44" s="4" t="s">
        <v>295</v>
      </c>
      <c r="B44" s="4"/>
      <c r="C44" s="295">
        <f>+'BENEFICIOS SOCIALES'!B119</f>
        <v>1432.27</v>
      </c>
      <c r="D44" s="295">
        <f>+'BENEFICIOS SOCIALES'!C119</f>
        <v>1432.27</v>
      </c>
      <c r="E44" s="295">
        <f>+'BENEFICIOS SOCIALES'!D119</f>
        <v>1432.27</v>
      </c>
      <c r="F44" s="295">
        <f>+'BENEFICIOS SOCIALES'!E119</f>
        <v>1432.27</v>
      </c>
      <c r="G44" s="295">
        <f>+'BENEFICIOS SOCIALES'!F119</f>
        <v>1432.27</v>
      </c>
      <c r="H44" s="295">
        <f>+'BENEFICIOS SOCIALES'!G119</f>
        <v>1432.27</v>
      </c>
      <c r="I44" s="295">
        <f>+'BENEFICIOS SOCIALES'!H119</f>
        <v>1432.27</v>
      </c>
      <c r="J44" s="295">
        <f>+'BENEFICIOS SOCIALES'!I119</f>
        <v>1432.27</v>
      </c>
      <c r="K44" s="295">
        <f>+'BENEFICIOS SOCIALES'!J119</f>
        <v>1432.27</v>
      </c>
      <c r="L44" s="295">
        <f>+'BENEFICIOS SOCIALES'!K119</f>
        <v>1432.27</v>
      </c>
      <c r="M44" s="295">
        <f>+'BENEFICIOS SOCIALES'!L119</f>
        <v>1432.27</v>
      </c>
      <c r="N44" s="295">
        <f>+'BENEFICIOS SOCIALES'!M119</f>
        <v>1432.27</v>
      </c>
      <c r="O44" s="246">
        <f t="shared" ref="O44:O49" si="12">SUM(C44:N44)</f>
        <v>17187.240000000002</v>
      </c>
    </row>
    <row r="45" spans="1:15">
      <c r="A45" s="4" t="s">
        <v>290</v>
      </c>
      <c r="B45" s="4"/>
      <c r="C45" s="295">
        <f>+'BENEFICIOS SOCIALES'!$O$123</f>
        <v>153.35861111111112</v>
      </c>
      <c r="D45" s="295">
        <f>+'BENEFICIOS SOCIALES'!$O$123</f>
        <v>153.35861111111112</v>
      </c>
      <c r="E45" s="295">
        <f>+'BENEFICIOS SOCIALES'!$O$123</f>
        <v>153.35861111111112</v>
      </c>
      <c r="F45" s="295">
        <f>+'BENEFICIOS SOCIALES'!$O$123</f>
        <v>153.35861111111112</v>
      </c>
      <c r="G45" s="295">
        <f>+'BENEFICIOS SOCIALES'!$O$123</f>
        <v>153.35861111111112</v>
      </c>
      <c r="H45" s="295">
        <f>+'BENEFICIOS SOCIALES'!$O$123</f>
        <v>153.35861111111112</v>
      </c>
      <c r="I45" s="295">
        <f>+'BENEFICIOS SOCIALES'!$O$123</f>
        <v>153.35861111111112</v>
      </c>
      <c r="J45" s="295">
        <f>+'BENEFICIOS SOCIALES'!$O$123</f>
        <v>153.35861111111112</v>
      </c>
      <c r="K45" s="295">
        <f>+'BENEFICIOS SOCIALES'!$O$123</f>
        <v>153.35861111111112</v>
      </c>
      <c r="L45" s="295">
        <f>+'BENEFICIOS SOCIALES'!$O$123</f>
        <v>153.35861111111112</v>
      </c>
      <c r="M45" s="295">
        <f>+'BENEFICIOS SOCIALES'!$O$123</f>
        <v>153.35861111111112</v>
      </c>
      <c r="N45" s="295">
        <f>+'BENEFICIOS SOCIALES'!$O$123</f>
        <v>153.35861111111112</v>
      </c>
      <c r="O45" s="246">
        <f t="shared" si="12"/>
        <v>1840.3033333333331</v>
      </c>
    </row>
    <row r="46" spans="1:15">
      <c r="A46" s="4" t="s">
        <v>294</v>
      </c>
      <c r="B46" s="4"/>
      <c r="C46" s="295">
        <v>325</v>
      </c>
      <c r="D46" s="295">
        <v>325</v>
      </c>
      <c r="E46" s="295">
        <v>325</v>
      </c>
      <c r="F46" s="295">
        <v>325</v>
      </c>
      <c r="G46" s="295">
        <v>325</v>
      </c>
      <c r="H46" s="295">
        <v>325</v>
      </c>
      <c r="I46" s="295">
        <v>325</v>
      </c>
      <c r="J46" s="295">
        <v>325</v>
      </c>
      <c r="K46" s="295">
        <v>325</v>
      </c>
      <c r="L46" s="295">
        <v>325</v>
      </c>
      <c r="M46" s="295">
        <v>325</v>
      </c>
      <c r="N46" s="295">
        <v>325</v>
      </c>
      <c r="O46" s="246">
        <f t="shared" si="12"/>
        <v>3900</v>
      </c>
    </row>
    <row r="47" spans="1:15">
      <c r="A47" s="4" t="s">
        <v>300</v>
      </c>
      <c r="B47" s="4"/>
      <c r="C47" s="295">
        <f>+GASTOS!$E$22</f>
        <v>8.125</v>
      </c>
      <c r="D47" s="295">
        <f>+GASTOS!$E$22</f>
        <v>8.125</v>
      </c>
      <c r="E47" s="295">
        <f>+GASTOS!$E$22</f>
        <v>8.125</v>
      </c>
      <c r="F47" s="295">
        <f>+GASTOS!$E$22</f>
        <v>8.125</v>
      </c>
      <c r="G47" s="295">
        <f>+GASTOS!$E$22</f>
        <v>8.125</v>
      </c>
      <c r="H47" s="295">
        <f>+GASTOS!$E$22</f>
        <v>8.125</v>
      </c>
      <c r="I47" s="295">
        <f>+GASTOS!$E$22</f>
        <v>8.125</v>
      </c>
      <c r="J47" s="295">
        <f>+GASTOS!$E$22</f>
        <v>8.125</v>
      </c>
      <c r="K47" s="295">
        <f>+GASTOS!$E$22</f>
        <v>8.125</v>
      </c>
      <c r="L47" s="295">
        <f>+GASTOS!$E$22</f>
        <v>8.125</v>
      </c>
      <c r="M47" s="295">
        <f>+GASTOS!$E$22</f>
        <v>8.125</v>
      </c>
      <c r="N47" s="295">
        <f>+GASTOS!$E$22</f>
        <v>8.125</v>
      </c>
      <c r="O47" s="246">
        <f t="shared" si="12"/>
        <v>97.5</v>
      </c>
    </row>
    <row r="48" spans="1:15">
      <c r="A48" s="4" t="s">
        <v>296</v>
      </c>
      <c r="B48" s="4"/>
      <c r="C48" s="295">
        <f>+GASTOS!$B$8</f>
        <v>190</v>
      </c>
      <c r="D48" s="295">
        <f>+GASTOS!$B$8</f>
        <v>190</v>
      </c>
      <c r="E48" s="295">
        <f>+GASTOS!$B$8</f>
        <v>190</v>
      </c>
      <c r="F48" s="295">
        <f>+GASTOS!$B$8</f>
        <v>190</v>
      </c>
      <c r="G48" s="295">
        <f>+GASTOS!$B$8</f>
        <v>190</v>
      </c>
      <c r="H48" s="295">
        <f>+GASTOS!$B$8</f>
        <v>190</v>
      </c>
      <c r="I48" s="295">
        <f>+GASTOS!$B$8</f>
        <v>190</v>
      </c>
      <c r="J48" s="295">
        <f>+GASTOS!$B$8</f>
        <v>190</v>
      </c>
      <c r="K48" s="295">
        <f>+GASTOS!$B$8</f>
        <v>190</v>
      </c>
      <c r="L48" s="295">
        <f>+GASTOS!$B$8</f>
        <v>190</v>
      </c>
      <c r="M48" s="295">
        <f>+GASTOS!$B$8</f>
        <v>190</v>
      </c>
      <c r="N48" s="295">
        <f>+GASTOS!$B$8</f>
        <v>190</v>
      </c>
      <c r="O48" s="246">
        <f t="shared" si="12"/>
        <v>2280</v>
      </c>
    </row>
    <row r="49" spans="1:15">
      <c r="A49" s="4" t="s">
        <v>458</v>
      </c>
      <c r="B49" s="4"/>
      <c r="C49" s="295">
        <f>+GASTOS!$F$16</f>
        <v>15.6</v>
      </c>
      <c r="D49" s="295">
        <f>+GASTOS!$F$16</f>
        <v>15.6</v>
      </c>
      <c r="E49" s="295">
        <f>+GASTOS!$F$16</f>
        <v>15.6</v>
      </c>
      <c r="F49" s="295">
        <f>+GASTOS!$F$16</f>
        <v>15.6</v>
      </c>
      <c r="G49" s="295">
        <f>+GASTOS!$F$16</f>
        <v>15.6</v>
      </c>
      <c r="H49" s="295">
        <f>+GASTOS!$F$16</f>
        <v>15.6</v>
      </c>
      <c r="I49" s="295">
        <f>+GASTOS!$F$16</f>
        <v>15.6</v>
      </c>
      <c r="J49" s="295">
        <f>+GASTOS!$F$16</f>
        <v>15.6</v>
      </c>
      <c r="K49" s="295">
        <f>+GASTOS!$F$16</f>
        <v>15.6</v>
      </c>
      <c r="L49" s="295">
        <f>+GASTOS!$F$16</f>
        <v>15.6</v>
      </c>
      <c r="M49" s="295">
        <f>+GASTOS!$F$16</f>
        <v>15.6</v>
      </c>
      <c r="N49" s="295">
        <f>+GASTOS!$F$16</f>
        <v>15.6</v>
      </c>
      <c r="O49" s="246">
        <f t="shared" si="12"/>
        <v>187.19999999999996</v>
      </c>
    </row>
    <row r="50" spans="1:15">
      <c r="A50" s="2" t="s">
        <v>297</v>
      </c>
      <c r="B50" s="4"/>
      <c r="C50" s="296">
        <f>SUM(C44:C49)</f>
        <v>2124.3536111111111</v>
      </c>
      <c r="D50" s="296">
        <f t="shared" ref="D50" si="13">SUM(D44:D49)</f>
        <v>2124.3536111111111</v>
      </c>
      <c r="E50" s="296">
        <f t="shared" ref="E50" si="14">SUM(E44:E49)</f>
        <v>2124.3536111111111</v>
      </c>
      <c r="F50" s="296">
        <f t="shared" ref="F50" si="15">SUM(F44:F49)</f>
        <v>2124.3536111111111</v>
      </c>
      <c r="G50" s="296">
        <f t="shared" ref="G50" si="16">SUM(G44:G49)</f>
        <v>2124.3536111111111</v>
      </c>
      <c r="H50" s="296">
        <f t="shared" ref="H50" si="17">SUM(H44:H49)</f>
        <v>2124.3536111111111</v>
      </c>
      <c r="I50" s="296">
        <f t="shared" ref="I50" si="18">SUM(I44:I49)</f>
        <v>2124.3536111111111</v>
      </c>
      <c r="J50" s="296">
        <f t="shared" ref="J50" si="19">SUM(J44:J49)</f>
        <v>2124.3536111111111</v>
      </c>
      <c r="K50" s="296">
        <f t="shared" ref="K50" si="20">SUM(K44:K49)</f>
        <v>2124.3536111111111</v>
      </c>
      <c r="L50" s="296">
        <f t="shared" ref="L50" si="21">SUM(L44:L49)</f>
        <v>2124.3536111111111</v>
      </c>
      <c r="M50" s="296">
        <f t="shared" ref="M50" si="22">SUM(M44:M49)</f>
        <v>2124.3536111111111</v>
      </c>
      <c r="N50" s="296">
        <f t="shared" ref="N50:O50" si="23">SUM(N44:N49)</f>
        <v>2124.3536111111111</v>
      </c>
      <c r="O50" s="248">
        <f t="shared" si="23"/>
        <v>25492.243333333336</v>
      </c>
    </row>
    <row r="51" spans="1:15">
      <c r="A51" s="2" t="s">
        <v>519</v>
      </c>
      <c r="B51" s="4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46"/>
    </row>
    <row r="52" spans="1:15">
      <c r="A52" s="4" t="s">
        <v>501</v>
      </c>
      <c r="B52" s="4"/>
      <c r="C52" s="295">
        <f>+'Gastos de Publicidad'!$C$28</f>
        <v>29.367500000000003</v>
      </c>
      <c r="D52" s="295">
        <f>+'Gastos de Publicidad'!$C$28</f>
        <v>29.367500000000003</v>
      </c>
      <c r="E52" s="295">
        <f>+'Gastos de Publicidad'!$C$28</f>
        <v>29.367500000000003</v>
      </c>
      <c r="F52" s="295">
        <f>+'Gastos de Publicidad'!$C$28</f>
        <v>29.367500000000003</v>
      </c>
      <c r="G52" s="295">
        <f>+'Gastos de Publicidad'!$C$28</f>
        <v>29.367500000000003</v>
      </c>
      <c r="H52" s="295">
        <f>+'Gastos de Publicidad'!$C$28</f>
        <v>29.367500000000003</v>
      </c>
      <c r="I52" s="295">
        <f>+'Gastos de Publicidad'!$C$28</f>
        <v>29.367500000000003</v>
      </c>
      <c r="J52" s="295">
        <f>+'Gastos de Publicidad'!$C$28</f>
        <v>29.367500000000003</v>
      </c>
      <c r="K52" s="295">
        <f>+'Gastos de Publicidad'!$C$28</f>
        <v>29.367500000000003</v>
      </c>
      <c r="L52" s="295">
        <f>+'Gastos de Publicidad'!$C$28</f>
        <v>29.367500000000003</v>
      </c>
      <c r="M52" s="295">
        <f>+'Gastos de Publicidad'!$C$28</f>
        <v>29.367500000000003</v>
      </c>
      <c r="N52" s="295">
        <f>+'Gastos de Publicidad'!$C$28</f>
        <v>29.367500000000003</v>
      </c>
      <c r="O52" s="246">
        <f t="shared" ref="O52:O53" si="24">SUM(C52:N52)</f>
        <v>352.41</v>
      </c>
    </row>
    <row r="53" spans="1:15">
      <c r="A53" s="4" t="s">
        <v>456</v>
      </c>
      <c r="B53" s="4"/>
      <c r="C53" s="295">
        <f>+'Gastos de Publicidad'!$C$31</f>
        <v>36</v>
      </c>
      <c r="D53" s="295">
        <f>+'Gastos de Publicidad'!$C$31</f>
        <v>36</v>
      </c>
      <c r="E53" s="295">
        <f>+'Gastos de Publicidad'!$C$31</f>
        <v>36</v>
      </c>
      <c r="F53" s="295">
        <f>+'Gastos de Publicidad'!$C$31</f>
        <v>36</v>
      </c>
      <c r="G53" s="295">
        <f>+'Gastos de Publicidad'!$C$31</f>
        <v>36</v>
      </c>
      <c r="H53" s="295">
        <f>+'Gastos de Publicidad'!$C$31</f>
        <v>36</v>
      </c>
      <c r="I53" s="295">
        <f>+'Gastos de Publicidad'!$C$31</f>
        <v>36</v>
      </c>
      <c r="J53" s="295">
        <f>+'Gastos de Publicidad'!$C$31</f>
        <v>36</v>
      </c>
      <c r="K53" s="295">
        <f>+'Gastos de Publicidad'!$C$31</f>
        <v>36</v>
      </c>
      <c r="L53" s="295">
        <f>+'Gastos de Publicidad'!$C$31</f>
        <v>36</v>
      </c>
      <c r="M53" s="295">
        <f>+'Gastos de Publicidad'!$C$31</f>
        <v>36</v>
      </c>
      <c r="N53" s="295">
        <f>+'Gastos de Publicidad'!$C$31</f>
        <v>36</v>
      </c>
      <c r="O53" s="246">
        <f t="shared" si="24"/>
        <v>432</v>
      </c>
    </row>
    <row r="54" spans="1:15">
      <c r="A54" s="2" t="s">
        <v>520</v>
      </c>
      <c r="B54" s="4"/>
      <c r="C54" s="296">
        <f>SUM(C52:C53)</f>
        <v>65.367500000000007</v>
      </c>
      <c r="D54" s="296">
        <f t="shared" ref="D54" si="25">SUM(D52:D53)</f>
        <v>65.367500000000007</v>
      </c>
      <c r="E54" s="296">
        <f t="shared" ref="E54" si="26">SUM(E52:E53)</f>
        <v>65.367500000000007</v>
      </c>
      <c r="F54" s="296">
        <f t="shared" ref="F54" si="27">SUM(F52:F53)</f>
        <v>65.367500000000007</v>
      </c>
      <c r="G54" s="296">
        <f t="shared" ref="G54" si="28">SUM(G52:G53)</f>
        <v>65.367500000000007</v>
      </c>
      <c r="H54" s="296">
        <f t="shared" ref="H54" si="29">SUM(H52:H53)</f>
        <v>65.367500000000007</v>
      </c>
      <c r="I54" s="296">
        <f t="shared" ref="I54" si="30">SUM(I52:I53)</f>
        <v>65.367500000000007</v>
      </c>
      <c r="J54" s="296">
        <f t="shared" ref="J54" si="31">SUM(J52:J53)</f>
        <v>65.367500000000007</v>
      </c>
      <c r="K54" s="296">
        <f t="shared" ref="K54" si="32">SUM(K52:K53)</f>
        <v>65.367500000000007</v>
      </c>
      <c r="L54" s="296">
        <f t="shared" ref="L54" si="33">SUM(L52:L53)</f>
        <v>65.367500000000007</v>
      </c>
      <c r="M54" s="296">
        <f t="shared" ref="M54" si="34">SUM(M52:M53)</f>
        <v>65.367500000000007</v>
      </c>
      <c r="N54" s="296">
        <f t="shared" ref="N54" si="35">SUM(N52:N53)</f>
        <v>65.367500000000007</v>
      </c>
      <c r="O54" s="248">
        <f t="shared" ref="O54" si="36">SUM(O52:O53)</f>
        <v>784.41000000000008</v>
      </c>
    </row>
    <row r="55" spans="1:15">
      <c r="A55" s="2" t="s">
        <v>298</v>
      </c>
      <c r="B55" s="2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48"/>
    </row>
    <row r="56" spans="1:15">
      <c r="A56" s="4" t="s">
        <v>266</v>
      </c>
      <c r="B56" s="4"/>
      <c r="C56" s="295">
        <f>+DEPRE!$H$29</f>
        <v>189.18395833333332</v>
      </c>
      <c r="D56" s="295">
        <f>+DEPRE!$H$29</f>
        <v>189.18395833333332</v>
      </c>
      <c r="E56" s="295">
        <f>+DEPRE!$H$29</f>
        <v>189.18395833333332</v>
      </c>
      <c r="F56" s="295">
        <f>+DEPRE!$H$29</f>
        <v>189.18395833333332</v>
      </c>
      <c r="G56" s="295">
        <f>+DEPRE!$H$29</f>
        <v>189.18395833333332</v>
      </c>
      <c r="H56" s="295">
        <f>+DEPRE!$H$29</f>
        <v>189.18395833333332</v>
      </c>
      <c r="I56" s="295">
        <f>+DEPRE!$H$29</f>
        <v>189.18395833333332</v>
      </c>
      <c r="J56" s="295">
        <f>+DEPRE!$H$29</f>
        <v>189.18395833333332</v>
      </c>
      <c r="K56" s="295">
        <f>+DEPRE!$H$29</f>
        <v>189.18395833333332</v>
      </c>
      <c r="L56" s="295">
        <f>+DEPRE!$H$29</f>
        <v>189.18395833333332</v>
      </c>
      <c r="M56" s="295">
        <f>+DEPRE!$H$29</f>
        <v>189.18395833333332</v>
      </c>
      <c r="N56" s="295">
        <f>+DEPRE!$H$29</f>
        <v>189.18395833333332</v>
      </c>
      <c r="O56" s="246">
        <f t="shared" ref="O56:O62" si="37">SUM(C56:N56)</f>
        <v>2270.2075</v>
      </c>
    </row>
    <row r="57" spans="1:15">
      <c r="A57" s="4" t="s">
        <v>457</v>
      </c>
      <c r="B57" s="4"/>
      <c r="C57" s="295">
        <f>+PRESTAMO!$C$12</f>
        <v>23.333333333333332</v>
      </c>
      <c r="D57" s="295">
        <f>+PRESTAMO!$C$12</f>
        <v>23.333333333333332</v>
      </c>
      <c r="E57" s="295">
        <f>+PRESTAMO!$C$12</f>
        <v>23.333333333333332</v>
      </c>
      <c r="F57" s="295">
        <f>+PRESTAMO!$C$12</f>
        <v>23.333333333333332</v>
      </c>
      <c r="G57" s="295">
        <f>+PRESTAMO!$C$12</f>
        <v>23.333333333333332</v>
      </c>
      <c r="H57" s="295">
        <f>+PRESTAMO!$C$12</f>
        <v>23.333333333333332</v>
      </c>
      <c r="I57" s="295">
        <f>+PRESTAMO!$C$12</f>
        <v>23.333333333333332</v>
      </c>
      <c r="J57" s="295">
        <f>+PRESTAMO!$C$12</f>
        <v>23.333333333333332</v>
      </c>
      <c r="K57" s="295">
        <f>+PRESTAMO!$C$12</f>
        <v>23.333333333333332</v>
      </c>
      <c r="L57" s="295">
        <f>+PRESTAMO!$C$12</f>
        <v>23.333333333333332</v>
      </c>
      <c r="M57" s="295">
        <f>+PRESTAMO!$C$12</f>
        <v>23.333333333333332</v>
      </c>
      <c r="N57" s="295">
        <f>+PRESTAMO!$C$12</f>
        <v>23.333333333333332</v>
      </c>
      <c r="O57" s="246">
        <f t="shared" si="37"/>
        <v>280</v>
      </c>
    </row>
    <row r="58" spans="1:15">
      <c r="A58" s="4" t="s">
        <v>500</v>
      </c>
      <c r="B58" s="4"/>
      <c r="C58" s="295">
        <v>22.44</v>
      </c>
      <c r="D58" s="295">
        <v>22.44</v>
      </c>
      <c r="E58" s="295">
        <v>22.44</v>
      </c>
      <c r="F58" s="295">
        <v>22.44</v>
      </c>
      <c r="G58" s="295">
        <v>22.44</v>
      </c>
      <c r="H58" s="295">
        <v>22.44</v>
      </c>
      <c r="I58" s="295">
        <v>22.44</v>
      </c>
      <c r="J58" s="295">
        <v>22.44</v>
      </c>
      <c r="K58" s="295">
        <v>22.44</v>
      </c>
      <c r="L58" s="295">
        <v>22.44</v>
      </c>
      <c r="M58" s="295">
        <v>22.44</v>
      </c>
      <c r="N58" s="295">
        <v>22.44</v>
      </c>
      <c r="O58" s="246">
        <f t="shared" ref="O58:O59" si="38">SUM(C58:N58)</f>
        <v>269.28000000000003</v>
      </c>
    </row>
    <row r="59" spans="1:15">
      <c r="A59" s="2" t="s">
        <v>299</v>
      </c>
      <c r="B59" s="2"/>
      <c r="C59" s="295">
        <f>+C42-C50-C54-C56-C57-C58</f>
        <v>592.8955972222235</v>
      </c>
      <c r="D59" s="295">
        <f t="shared" ref="D59:N59" si="39">+D42-D50-D54-D56-D57-D58</f>
        <v>592.8955972222235</v>
      </c>
      <c r="E59" s="295">
        <f t="shared" si="39"/>
        <v>592.8955972222235</v>
      </c>
      <c r="F59" s="295">
        <f t="shared" si="39"/>
        <v>592.8955972222235</v>
      </c>
      <c r="G59" s="295">
        <f t="shared" si="39"/>
        <v>592.8955972222235</v>
      </c>
      <c r="H59" s="295">
        <f t="shared" si="39"/>
        <v>592.8955972222235</v>
      </c>
      <c r="I59" s="295">
        <f t="shared" si="39"/>
        <v>592.8955972222235</v>
      </c>
      <c r="J59" s="295">
        <f t="shared" si="39"/>
        <v>592.8955972222235</v>
      </c>
      <c r="K59" s="295">
        <f t="shared" si="39"/>
        <v>592.8955972222235</v>
      </c>
      <c r="L59" s="295">
        <f t="shared" si="39"/>
        <v>592.8955972222235</v>
      </c>
      <c r="M59" s="295">
        <f t="shared" si="39"/>
        <v>592.8955972222235</v>
      </c>
      <c r="N59" s="295">
        <f t="shared" si="39"/>
        <v>592.8955972222235</v>
      </c>
      <c r="O59" s="246">
        <f t="shared" si="38"/>
        <v>7114.7471666666834</v>
      </c>
    </row>
    <row r="60" spans="1:15">
      <c r="A60" s="4" t="s">
        <v>64</v>
      </c>
      <c r="B60" s="249">
        <v>0.15</v>
      </c>
      <c r="C60" s="295">
        <f>+C59*$B$27</f>
        <v>88.934339583333525</v>
      </c>
      <c r="D60" s="295">
        <f t="shared" ref="D60" si="40">+D59*$B$27</f>
        <v>88.934339583333525</v>
      </c>
      <c r="E60" s="295">
        <f t="shared" ref="E60" si="41">+E59*$B$27</f>
        <v>88.934339583333525</v>
      </c>
      <c r="F60" s="295">
        <f t="shared" ref="F60" si="42">+F59*$B$27</f>
        <v>88.934339583333525</v>
      </c>
      <c r="G60" s="295">
        <f t="shared" ref="G60" si="43">+G59*$B$27</f>
        <v>88.934339583333525</v>
      </c>
      <c r="H60" s="295">
        <f t="shared" ref="H60" si="44">+H59*$B$27</f>
        <v>88.934339583333525</v>
      </c>
      <c r="I60" s="295">
        <f t="shared" ref="I60" si="45">+I59*$B$27</f>
        <v>88.934339583333525</v>
      </c>
      <c r="J60" s="295">
        <f t="shared" ref="J60" si="46">+J59*$B$27</f>
        <v>88.934339583333525</v>
      </c>
      <c r="K60" s="295">
        <f t="shared" ref="K60" si="47">+K59*$B$27</f>
        <v>88.934339583333525</v>
      </c>
      <c r="L60" s="295">
        <f t="shared" ref="L60" si="48">+L59*$B$27</f>
        <v>88.934339583333525</v>
      </c>
      <c r="M60" s="295">
        <f t="shared" ref="M60" si="49">+M59*$B$27</f>
        <v>88.934339583333525</v>
      </c>
      <c r="N60" s="295">
        <f t="shared" ref="N60" si="50">+N59*$B$27</f>
        <v>88.934339583333525</v>
      </c>
      <c r="O60" s="246">
        <f t="shared" si="37"/>
        <v>1067.2120750000024</v>
      </c>
    </row>
    <row r="61" spans="1:15" ht="25.5">
      <c r="A61" s="217" t="s">
        <v>263</v>
      </c>
      <c r="B61" s="2"/>
      <c r="C61" s="296">
        <f>SUM(C59:C60)</f>
        <v>681.82993680555705</v>
      </c>
      <c r="D61" s="296">
        <f t="shared" ref="D61" si="51">SUM(D59:D60)</f>
        <v>681.82993680555705</v>
      </c>
      <c r="E61" s="296">
        <f t="shared" ref="E61" si="52">SUM(E59:E60)</f>
        <v>681.82993680555705</v>
      </c>
      <c r="F61" s="296">
        <f t="shared" ref="F61" si="53">SUM(F59:F60)</f>
        <v>681.82993680555705</v>
      </c>
      <c r="G61" s="296">
        <f t="shared" ref="G61" si="54">SUM(G59:G60)</f>
        <v>681.82993680555705</v>
      </c>
      <c r="H61" s="296">
        <f t="shared" ref="H61" si="55">SUM(H59:H60)</f>
        <v>681.82993680555705</v>
      </c>
      <c r="I61" s="296">
        <f t="shared" ref="I61" si="56">SUM(I59:I60)</f>
        <v>681.82993680555705</v>
      </c>
      <c r="J61" s="296">
        <f t="shared" ref="J61" si="57">SUM(J59:J60)</f>
        <v>681.82993680555705</v>
      </c>
      <c r="K61" s="296">
        <f t="shared" ref="K61" si="58">SUM(K59:K60)</f>
        <v>681.82993680555705</v>
      </c>
      <c r="L61" s="296">
        <f t="shared" ref="L61" si="59">SUM(L59:L60)</f>
        <v>681.82993680555705</v>
      </c>
      <c r="M61" s="296">
        <f t="shared" ref="M61" si="60">SUM(M59:M60)</f>
        <v>681.82993680555705</v>
      </c>
      <c r="N61" s="296">
        <f t="shared" ref="N61:O61" si="61">SUM(N59:N60)</f>
        <v>681.82993680555705</v>
      </c>
      <c r="O61" s="248">
        <f t="shared" si="61"/>
        <v>8181.9592416666856</v>
      </c>
    </row>
    <row r="62" spans="1:15">
      <c r="A62" s="4" t="s">
        <v>65</v>
      </c>
      <c r="B62" s="249">
        <v>0.25</v>
      </c>
      <c r="C62" s="295">
        <f>+C61*$B$29</f>
        <v>170.45748420138926</v>
      </c>
      <c r="D62" s="295">
        <f t="shared" ref="D62" si="62">+D61*$B$29</f>
        <v>170.45748420138926</v>
      </c>
      <c r="E62" s="295">
        <f t="shared" ref="E62" si="63">+E61*$B$29</f>
        <v>170.45748420138926</v>
      </c>
      <c r="F62" s="295">
        <f t="shared" ref="F62" si="64">+F61*$B$29</f>
        <v>170.45748420138926</v>
      </c>
      <c r="G62" s="295">
        <f t="shared" ref="G62" si="65">+G61*$B$29</f>
        <v>170.45748420138926</v>
      </c>
      <c r="H62" s="295">
        <f t="shared" ref="H62" si="66">+H61*$B$29</f>
        <v>170.45748420138926</v>
      </c>
      <c r="I62" s="295">
        <f t="shared" ref="I62" si="67">+I61*$B$29</f>
        <v>170.45748420138926</v>
      </c>
      <c r="J62" s="295">
        <f t="shared" ref="J62" si="68">+J61*$B$29</f>
        <v>170.45748420138926</v>
      </c>
      <c r="K62" s="295">
        <f t="shared" ref="K62" si="69">+K61*$B$29</f>
        <v>170.45748420138926</v>
      </c>
      <c r="L62" s="295">
        <f t="shared" ref="L62" si="70">+L61*$B$29</f>
        <v>170.45748420138926</v>
      </c>
      <c r="M62" s="295">
        <f t="shared" ref="M62" si="71">+M61*$B$29</f>
        <v>170.45748420138926</v>
      </c>
      <c r="N62" s="295">
        <f t="shared" ref="N62" si="72">+N61*$B$29</f>
        <v>170.45748420138926</v>
      </c>
      <c r="O62" s="246">
        <f t="shared" si="37"/>
        <v>2045.4898104166707</v>
      </c>
    </row>
    <row r="63" spans="1:15">
      <c r="A63" s="2" t="s">
        <v>63</v>
      </c>
      <c r="B63" s="2"/>
      <c r="C63" s="296">
        <f>SUM(C61:C62)</f>
        <v>852.28742100694626</v>
      </c>
      <c r="D63" s="296">
        <f t="shared" ref="D63" si="73">SUM(D61:D62)</f>
        <v>852.28742100694626</v>
      </c>
      <c r="E63" s="296">
        <f t="shared" ref="E63" si="74">SUM(E61:E62)</f>
        <v>852.28742100694626</v>
      </c>
      <c r="F63" s="296">
        <f t="shared" ref="F63" si="75">SUM(F61:F62)</f>
        <v>852.28742100694626</v>
      </c>
      <c r="G63" s="296">
        <f t="shared" ref="G63" si="76">SUM(G61:G62)</f>
        <v>852.28742100694626</v>
      </c>
      <c r="H63" s="296">
        <f t="shared" ref="H63" si="77">SUM(H61:H62)</f>
        <v>852.28742100694626</v>
      </c>
      <c r="I63" s="296">
        <f t="shared" ref="I63" si="78">SUM(I61:I62)</f>
        <v>852.28742100694626</v>
      </c>
      <c r="J63" s="296">
        <f t="shared" ref="J63" si="79">SUM(J61:J62)</f>
        <v>852.28742100694626</v>
      </c>
      <c r="K63" s="296">
        <f t="shared" ref="K63" si="80">SUM(K61:K62)</f>
        <v>852.28742100694626</v>
      </c>
      <c r="L63" s="296">
        <f t="shared" ref="L63" si="81">SUM(L61:L62)</f>
        <v>852.28742100694626</v>
      </c>
      <c r="M63" s="296">
        <f t="shared" ref="M63" si="82">SUM(M61:M62)</f>
        <v>852.28742100694626</v>
      </c>
      <c r="N63" s="296">
        <f t="shared" ref="N63:O63" si="83">SUM(N61:N62)</f>
        <v>852.28742100694626</v>
      </c>
      <c r="O63" s="248">
        <f t="shared" si="83"/>
        <v>10227.449052083357</v>
      </c>
    </row>
    <row r="64" spans="1:15" s="9" customFormat="1"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56"/>
    </row>
    <row r="65" spans="1:15">
      <c r="A65" s="9"/>
      <c r="B65" s="9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</row>
    <row r="66" spans="1:15">
      <c r="A66" s="9"/>
      <c r="B66" s="9"/>
      <c r="C66" s="347" t="s">
        <v>20</v>
      </c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</row>
    <row r="67" spans="1:15">
      <c r="A67" s="4"/>
      <c r="B67" s="4"/>
      <c r="C67" s="296" t="s">
        <v>272</v>
      </c>
      <c r="D67" s="296" t="s">
        <v>273</v>
      </c>
      <c r="E67" s="296" t="s">
        <v>274</v>
      </c>
      <c r="F67" s="296" t="s">
        <v>275</v>
      </c>
      <c r="G67" s="296" t="s">
        <v>276</v>
      </c>
      <c r="H67" s="296" t="s">
        <v>277</v>
      </c>
      <c r="I67" s="296" t="s">
        <v>278</v>
      </c>
      <c r="J67" s="296" t="s">
        <v>279</v>
      </c>
      <c r="K67" s="294" t="s">
        <v>524</v>
      </c>
      <c r="L67" s="294" t="s">
        <v>525</v>
      </c>
      <c r="M67" s="294" t="s">
        <v>526</v>
      </c>
      <c r="N67" s="294" t="s">
        <v>527</v>
      </c>
      <c r="O67" s="1" t="s">
        <v>0</v>
      </c>
    </row>
    <row r="68" spans="1:15">
      <c r="A68" s="4" t="s">
        <v>301</v>
      </c>
      <c r="B68" s="4"/>
      <c r="C68" s="295">
        <f>+'VENTAS-PROYECTADAS'!B14</f>
        <v>10417.097192727273</v>
      </c>
      <c r="D68" s="295">
        <f>+'VENTAS-PROYECTADAS'!C14</f>
        <v>10417.097192727273</v>
      </c>
      <c r="E68" s="295">
        <f>+'VENTAS-PROYECTADAS'!D14</f>
        <v>10417.097192727273</v>
      </c>
      <c r="F68" s="295">
        <f>+'VENTAS-PROYECTADAS'!E14</f>
        <v>10417.097192727273</v>
      </c>
      <c r="G68" s="295">
        <f>+'VENTAS-PROYECTADAS'!F14</f>
        <v>10417.097192727273</v>
      </c>
      <c r="H68" s="295">
        <f>+'VENTAS-PROYECTADAS'!G14</f>
        <v>10417.097192727273</v>
      </c>
      <c r="I68" s="295">
        <f>+'VENTAS-PROYECTADAS'!H14</f>
        <v>10417.097192727273</v>
      </c>
      <c r="J68" s="295">
        <f>+'VENTAS-PROYECTADAS'!I14</f>
        <v>10417.097192727273</v>
      </c>
      <c r="K68" s="295">
        <f>+'VENTAS-PROYECTADAS'!J14</f>
        <v>10417.097192727273</v>
      </c>
      <c r="L68" s="295">
        <f>+'VENTAS-PROYECTADAS'!K14</f>
        <v>10417.097192727273</v>
      </c>
      <c r="M68" s="295">
        <f>+'VENTAS-PROYECTADAS'!L14</f>
        <v>10417.097192727273</v>
      </c>
      <c r="N68" s="295">
        <f>+'VENTAS-PROYECTADAS'!M14</f>
        <v>7639.204608</v>
      </c>
      <c r="O68" s="246">
        <f>SUM(C68:N68)</f>
        <v>122227.27372800003</v>
      </c>
    </row>
    <row r="69" spans="1:15">
      <c r="A69" s="4" t="s">
        <v>283</v>
      </c>
      <c r="B69" s="4"/>
      <c r="C69" s="295">
        <f>+'COSTO-VTA'!B15</f>
        <v>5932.3952290909092</v>
      </c>
      <c r="D69" s="295">
        <f>+'COSTO-VTA'!C15</f>
        <v>5932.3952290909092</v>
      </c>
      <c r="E69" s="295">
        <f>+'COSTO-VTA'!D15</f>
        <v>5932.3952290909092</v>
      </c>
      <c r="F69" s="295">
        <f>+'COSTO-VTA'!E15</f>
        <v>5932.3952290909092</v>
      </c>
      <c r="G69" s="295">
        <f>+'COSTO-VTA'!F15</f>
        <v>5932.3952290909092</v>
      </c>
      <c r="H69" s="295">
        <f>+'COSTO-VTA'!G15</f>
        <v>5932.3952290909092</v>
      </c>
      <c r="I69" s="295">
        <f>+'COSTO-VTA'!H15</f>
        <v>5932.3952290909092</v>
      </c>
      <c r="J69" s="295">
        <f>+'COSTO-VTA'!I15</f>
        <v>5932.3952290909092</v>
      </c>
      <c r="K69" s="295">
        <f>+'COSTO-VTA'!J15</f>
        <v>5932.3952290909092</v>
      </c>
      <c r="L69" s="295">
        <f>+'COSTO-VTA'!K15</f>
        <v>5932.3952290909092</v>
      </c>
      <c r="M69" s="295">
        <f>+'COSTO-VTA'!L15</f>
        <v>5932.3952290909092</v>
      </c>
      <c r="N69" s="295">
        <f>+'COSTO-VTA'!M15</f>
        <v>4350.4231679999994</v>
      </c>
      <c r="O69" s="246">
        <f>SUM(C69:N69)</f>
        <v>69606.77068799999</v>
      </c>
    </row>
    <row r="70" spans="1:15">
      <c r="A70" s="2" t="s">
        <v>284</v>
      </c>
      <c r="B70" s="2"/>
      <c r="C70" s="296">
        <f>+C68-C69</f>
        <v>4484.7019636363639</v>
      </c>
      <c r="D70" s="296">
        <f t="shared" ref="D70:O70" si="84">+D68-D69</f>
        <v>4484.7019636363639</v>
      </c>
      <c r="E70" s="296">
        <f t="shared" si="84"/>
        <v>4484.7019636363639</v>
      </c>
      <c r="F70" s="296">
        <f t="shared" si="84"/>
        <v>4484.7019636363639</v>
      </c>
      <c r="G70" s="296">
        <f t="shared" si="84"/>
        <v>4484.7019636363639</v>
      </c>
      <c r="H70" s="296">
        <f t="shared" si="84"/>
        <v>4484.7019636363639</v>
      </c>
      <c r="I70" s="296">
        <f t="shared" si="84"/>
        <v>4484.7019636363639</v>
      </c>
      <c r="J70" s="296">
        <f t="shared" si="84"/>
        <v>4484.7019636363639</v>
      </c>
      <c r="K70" s="296">
        <f t="shared" si="84"/>
        <v>4484.7019636363639</v>
      </c>
      <c r="L70" s="296">
        <f t="shared" si="84"/>
        <v>4484.7019636363639</v>
      </c>
      <c r="M70" s="296">
        <f t="shared" si="84"/>
        <v>4484.7019636363639</v>
      </c>
      <c r="N70" s="296">
        <f t="shared" si="84"/>
        <v>3288.7814400000007</v>
      </c>
      <c r="O70" s="248">
        <f t="shared" si="84"/>
        <v>52620.50304000004</v>
      </c>
    </row>
    <row r="71" spans="1:15">
      <c r="A71" s="2" t="s">
        <v>287</v>
      </c>
      <c r="B71" s="2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48"/>
    </row>
    <row r="72" spans="1:15">
      <c r="A72" s="4" t="s">
        <v>295</v>
      </c>
      <c r="B72" s="4"/>
      <c r="C72" s="295">
        <f>+'BENEFICIOS SOCIALES'!B125</f>
        <v>1575.4970000000001</v>
      </c>
      <c r="D72" s="295">
        <f>+'BENEFICIOS SOCIALES'!C125</f>
        <v>1575.4970000000001</v>
      </c>
      <c r="E72" s="295">
        <f>+'BENEFICIOS SOCIALES'!D125</f>
        <v>1575.4970000000001</v>
      </c>
      <c r="F72" s="295">
        <f>+'BENEFICIOS SOCIALES'!E125</f>
        <v>1575.4970000000001</v>
      </c>
      <c r="G72" s="295">
        <f>+'BENEFICIOS SOCIALES'!F125</f>
        <v>1575.4970000000001</v>
      </c>
      <c r="H72" s="295">
        <f>+'BENEFICIOS SOCIALES'!G125</f>
        <v>1575.4970000000001</v>
      </c>
      <c r="I72" s="295">
        <f>+'BENEFICIOS SOCIALES'!H125</f>
        <v>1575.4970000000001</v>
      </c>
      <c r="J72" s="295">
        <f>+'BENEFICIOS SOCIALES'!I125</f>
        <v>1575.4970000000001</v>
      </c>
      <c r="K72" s="295">
        <f>+'BENEFICIOS SOCIALES'!J125</f>
        <v>1575.4970000000001</v>
      </c>
      <c r="L72" s="295">
        <f>+'BENEFICIOS SOCIALES'!K125</f>
        <v>1575.4970000000001</v>
      </c>
      <c r="M72" s="295">
        <f>+'BENEFICIOS SOCIALES'!L125</f>
        <v>1575.4970000000001</v>
      </c>
      <c r="N72" s="295">
        <f>+'BENEFICIOS SOCIALES'!M125</f>
        <v>1575.4970000000001</v>
      </c>
      <c r="O72" s="246">
        <f t="shared" ref="O72:O77" si="85">SUM(C72:N72)</f>
        <v>18905.963999999996</v>
      </c>
    </row>
    <row r="73" spans="1:15">
      <c r="A73" s="4" t="s">
        <v>290</v>
      </c>
      <c r="B73" s="4"/>
      <c r="C73" s="295">
        <f>+'BENEFICIOS SOCIALES'!$O$129</f>
        <v>167.02780555555555</v>
      </c>
      <c r="D73" s="295">
        <f>+'BENEFICIOS SOCIALES'!$O$129</f>
        <v>167.02780555555555</v>
      </c>
      <c r="E73" s="295">
        <f>+'BENEFICIOS SOCIALES'!$O$129</f>
        <v>167.02780555555555</v>
      </c>
      <c r="F73" s="295">
        <f>+'BENEFICIOS SOCIALES'!$O$129</f>
        <v>167.02780555555555</v>
      </c>
      <c r="G73" s="295">
        <f>+'BENEFICIOS SOCIALES'!$O$129</f>
        <v>167.02780555555555</v>
      </c>
      <c r="H73" s="295">
        <f>+'BENEFICIOS SOCIALES'!$O$129</f>
        <v>167.02780555555555</v>
      </c>
      <c r="I73" s="295">
        <f>+'BENEFICIOS SOCIALES'!$O$129</f>
        <v>167.02780555555555</v>
      </c>
      <c r="J73" s="295">
        <f>+'BENEFICIOS SOCIALES'!$O$129</f>
        <v>167.02780555555555</v>
      </c>
      <c r="K73" s="295">
        <f>+'BENEFICIOS SOCIALES'!$O$129</f>
        <v>167.02780555555555</v>
      </c>
      <c r="L73" s="295">
        <f>+'BENEFICIOS SOCIALES'!$O$129</f>
        <v>167.02780555555555</v>
      </c>
      <c r="M73" s="295">
        <f>+'BENEFICIOS SOCIALES'!$O$129</f>
        <v>167.02780555555555</v>
      </c>
      <c r="N73" s="295">
        <f>+'BENEFICIOS SOCIALES'!$O$129</f>
        <v>167.02780555555555</v>
      </c>
      <c r="O73" s="246">
        <f t="shared" si="85"/>
        <v>2004.3336666666662</v>
      </c>
    </row>
    <row r="74" spans="1:15">
      <c r="A74" s="4" t="s">
        <v>294</v>
      </c>
      <c r="B74" s="4"/>
      <c r="C74" s="295">
        <v>325</v>
      </c>
      <c r="D74" s="295">
        <v>325</v>
      </c>
      <c r="E74" s="295">
        <v>325</v>
      </c>
      <c r="F74" s="295">
        <v>325</v>
      </c>
      <c r="G74" s="295">
        <v>325</v>
      </c>
      <c r="H74" s="295">
        <v>325</v>
      </c>
      <c r="I74" s="295">
        <v>325</v>
      </c>
      <c r="J74" s="295">
        <v>325</v>
      </c>
      <c r="K74" s="295">
        <v>325</v>
      </c>
      <c r="L74" s="295">
        <v>325</v>
      </c>
      <c r="M74" s="295">
        <v>325</v>
      </c>
      <c r="N74" s="295">
        <v>325</v>
      </c>
      <c r="O74" s="246">
        <f t="shared" si="85"/>
        <v>3900</v>
      </c>
    </row>
    <row r="75" spans="1:15">
      <c r="A75" s="4" t="s">
        <v>300</v>
      </c>
      <c r="B75" s="4"/>
      <c r="C75" s="295">
        <f>+GASTOS!$E$22</f>
        <v>8.125</v>
      </c>
      <c r="D75" s="295">
        <f>+GASTOS!$E$22</f>
        <v>8.125</v>
      </c>
      <c r="E75" s="295">
        <f>+GASTOS!$E$22</f>
        <v>8.125</v>
      </c>
      <c r="F75" s="295">
        <f>+GASTOS!$E$22</f>
        <v>8.125</v>
      </c>
      <c r="G75" s="295">
        <f>+GASTOS!$E$22</f>
        <v>8.125</v>
      </c>
      <c r="H75" s="295">
        <f>+GASTOS!$E$22</f>
        <v>8.125</v>
      </c>
      <c r="I75" s="295">
        <f>+GASTOS!$E$22</f>
        <v>8.125</v>
      </c>
      <c r="J75" s="295">
        <f>+GASTOS!$E$22</f>
        <v>8.125</v>
      </c>
      <c r="K75" s="295">
        <f>+GASTOS!$E$22</f>
        <v>8.125</v>
      </c>
      <c r="L75" s="295">
        <f>+GASTOS!$E$22</f>
        <v>8.125</v>
      </c>
      <c r="M75" s="295">
        <f>+GASTOS!$E$22</f>
        <v>8.125</v>
      </c>
      <c r="N75" s="295">
        <f>+GASTOS!$E$22</f>
        <v>8.125</v>
      </c>
      <c r="O75" s="246">
        <f t="shared" si="85"/>
        <v>97.5</v>
      </c>
    </row>
    <row r="76" spans="1:15">
      <c r="A76" s="4" t="s">
        <v>296</v>
      </c>
      <c r="B76" s="4"/>
      <c r="C76" s="295">
        <f>+GASTOS!$B$8</f>
        <v>190</v>
      </c>
      <c r="D76" s="295">
        <f>+GASTOS!$B$8</f>
        <v>190</v>
      </c>
      <c r="E76" s="295">
        <f>+GASTOS!$B$8</f>
        <v>190</v>
      </c>
      <c r="F76" s="295">
        <f>+GASTOS!$B$8</f>
        <v>190</v>
      </c>
      <c r="G76" s="295">
        <f>+GASTOS!$B$8</f>
        <v>190</v>
      </c>
      <c r="H76" s="295">
        <f>+GASTOS!$B$8</f>
        <v>190</v>
      </c>
      <c r="I76" s="295">
        <f>+GASTOS!$B$8</f>
        <v>190</v>
      </c>
      <c r="J76" s="295">
        <f>+GASTOS!$B$8</f>
        <v>190</v>
      </c>
      <c r="K76" s="295">
        <f>+GASTOS!$B$8</f>
        <v>190</v>
      </c>
      <c r="L76" s="295">
        <f>+GASTOS!$B$8</f>
        <v>190</v>
      </c>
      <c r="M76" s="295">
        <f>+GASTOS!$B$8</f>
        <v>190</v>
      </c>
      <c r="N76" s="295">
        <f>+GASTOS!$B$8</f>
        <v>190</v>
      </c>
      <c r="O76" s="246">
        <f t="shared" si="85"/>
        <v>2280</v>
      </c>
    </row>
    <row r="77" spans="1:15">
      <c r="A77" s="4" t="s">
        <v>458</v>
      </c>
      <c r="B77" s="4"/>
      <c r="C77" s="295">
        <f>+GASTOS!$F$16</f>
        <v>15.6</v>
      </c>
      <c r="D77" s="295">
        <f>+GASTOS!$F$16</f>
        <v>15.6</v>
      </c>
      <c r="E77" s="295">
        <f>+GASTOS!$F$16</f>
        <v>15.6</v>
      </c>
      <c r="F77" s="295">
        <f>+GASTOS!$F$16</f>
        <v>15.6</v>
      </c>
      <c r="G77" s="295">
        <f>+GASTOS!$F$16</f>
        <v>15.6</v>
      </c>
      <c r="H77" s="295">
        <f>+GASTOS!$F$16</f>
        <v>15.6</v>
      </c>
      <c r="I77" s="295">
        <f>+GASTOS!$F$16</f>
        <v>15.6</v>
      </c>
      <c r="J77" s="295">
        <f>+GASTOS!$F$16</f>
        <v>15.6</v>
      </c>
      <c r="K77" s="295">
        <f>+GASTOS!$F$16</f>
        <v>15.6</v>
      </c>
      <c r="L77" s="295">
        <f>+GASTOS!$F$16</f>
        <v>15.6</v>
      </c>
      <c r="M77" s="295">
        <f>+GASTOS!$F$16</f>
        <v>15.6</v>
      </c>
      <c r="N77" s="295">
        <f>+GASTOS!$F$16</f>
        <v>15.6</v>
      </c>
      <c r="O77" s="246">
        <f t="shared" si="85"/>
        <v>187.19999999999996</v>
      </c>
    </row>
    <row r="78" spans="1:15">
      <c r="A78" s="2" t="s">
        <v>297</v>
      </c>
      <c r="B78" s="4"/>
      <c r="C78" s="296">
        <f>SUM(C72:C77)</f>
        <v>2281.2498055555557</v>
      </c>
      <c r="D78" s="296">
        <f t="shared" ref="D78" si="86">SUM(D72:D77)</f>
        <v>2281.2498055555557</v>
      </c>
      <c r="E78" s="296">
        <f t="shared" ref="E78" si="87">SUM(E72:E77)</f>
        <v>2281.2498055555557</v>
      </c>
      <c r="F78" s="296">
        <f t="shared" ref="F78" si="88">SUM(F72:F77)</f>
        <v>2281.2498055555557</v>
      </c>
      <c r="G78" s="296">
        <f t="shared" ref="G78" si="89">SUM(G72:G77)</f>
        <v>2281.2498055555557</v>
      </c>
      <c r="H78" s="296">
        <f t="shared" ref="H78" si="90">SUM(H72:H77)</f>
        <v>2281.2498055555557</v>
      </c>
      <c r="I78" s="296">
        <f t="shared" ref="I78" si="91">SUM(I72:I77)</f>
        <v>2281.2498055555557</v>
      </c>
      <c r="J78" s="296">
        <f t="shared" ref="J78" si="92">SUM(J72:J77)</f>
        <v>2281.2498055555557</v>
      </c>
      <c r="K78" s="296">
        <f t="shared" ref="K78" si="93">SUM(K72:K77)</f>
        <v>2281.2498055555557</v>
      </c>
      <c r="L78" s="296">
        <f t="shared" ref="L78" si="94">SUM(L72:L77)</f>
        <v>2281.2498055555557</v>
      </c>
      <c r="M78" s="296">
        <f t="shared" ref="M78" si="95">SUM(M72:M77)</f>
        <v>2281.2498055555557</v>
      </c>
      <c r="N78" s="296">
        <f t="shared" ref="N78:O78" si="96">SUM(N72:N77)</f>
        <v>2281.2498055555557</v>
      </c>
      <c r="O78" s="248">
        <f t="shared" si="96"/>
        <v>27374.997666666663</v>
      </c>
    </row>
    <row r="79" spans="1:15">
      <c r="A79" s="2" t="s">
        <v>519</v>
      </c>
      <c r="B79" s="4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46"/>
    </row>
    <row r="80" spans="1:15">
      <c r="A80" s="4" t="s">
        <v>501</v>
      </c>
      <c r="B80" s="4"/>
      <c r="C80" s="295">
        <f>+'Gastos de Publicidad'!$C$28</f>
        <v>29.367500000000003</v>
      </c>
      <c r="D80" s="295">
        <f>+'Gastos de Publicidad'!$C$28</f>
        <v>29.367500000000003</v>
      </c>
      <c r="E80" s="295">
        <f>+'Gastos de Publicidad'!$C$28</f>
        <v>29.367500000000003</v>
      </c>
      <c r="F80" s="295">
        <f>+'Gastos de Publicidad'!$C$28</f>
        <v>29.367500000000003</v>
      </c>
      <c r="G80" s="295">
        <f>+'Gastos de Publicidad'!$C$28</f>
        <v>29.367500000000003</v>
      </c>
      <c r="H80" s="295">
        <f>+'Gastos de Publicidad'!$C$28</f>
        <v>29.367500000000003</v>
      </c>
      <c r="I80" s="295">
        <f>+'Gastos de Publicidad'!$C$28</f>
        <v>29.367500000000003</v>
      </c>
      <c r="J80" s="295">
        <f>+'Gastos de Publicidad'!$C$28</f>
        <v>29.367500000000003</v>
      </c>
      <c r="K80" s="295">
        <f>+'Gastos de Publicidad'!$C$28</f>
        <v>29.367500000000003</v>
      </c>
      <c r="L80" s="295">
        <f>+'Gastos de Publicidad'!$C$28</f>
        <v>29.367500000000003</v>
      </c>
      <c r="M80" s="295">
        <f>+'Gastos de Publicidad'!$C$28</f>
        <v>29.367500000000003</v>
      </c>
      <c r="N80" s="295">
        <f>+'Gastos de Publicidad'!$C$28</f>
        <v>29.367500000000003</v>
      </c>
      <c r="O80" s="246">
        <f t="shared" ref="O80:O81" si="97">SUM(C80:N80)</f>
        <v>352.41</v>
      </c>
    </row>
    <row r="81" spans="1:15">
      <c r="A81" s="4" t="s">
        <v>456</v>
      </c>
      <c r="B81" s="4"/>
      <c r="C81" s="295">
        <f>+'Gastos de Publicidad'!$C$31</f>
        <v>36</v>
      </c>
      <c r="D81" s="295">
        <f>+'Gastos de Publicidad'!$C$31</f>
        <v>36</v>
      </c>
      <c r="E81" s="295">
        <f>+'Gastos de Publicidad'!$C$31</f>
        <v>36</v>
      </c>
      <c r="F81" s="295">
        <f>+'Gastos de Publicidad'!$C$31</f>
        <v>36</v>
      </c>
      <c r="G81" s="295">
        <f>+'Gastos de Publicidad'!$C$31</f>
        <v>36</v>
      </c>
      <c r="H81" s="295">
        <f>+'Gastos de Publicidad'!$C$31</f>
        <v>36</v>
      </c>
      <c r="I81" s="295">
        <f>+'Gastos de Publicidad'!$C$31</f>
        <v>36</v>
      </c>
      <c r="J81" s="295">
        <f>+'Gastos de Publicidad'!$C$31</f>
        <v>36</v>
      </c>
      <c r="K81" s="295">
        <f>+'Gastos de Publicidad'!$C$31</f>
        <v>36</v>
      </c>
      <c r="L81" s="295">
        <f>+'Gastos de Publicidad'!$C$31</f>
        <v>36</v>
      </c>
      <c r="M81" s="295">
        <f>+'Gastos de Publicidad'!$C$31</f>
        <v>36</v>
      </c>
      <c r="N81" s="295">
        <f>+'Gastos de Publicidad'!$C$31</f>
        <v>36</v>
      </c>
      <c r="O81" s="246">
        <f t="shared" si="97"/>
        <v>432</v>
      </c>
    </row>
    <row r="82" spans="1:15">
      <c r="A82" s="2" t="s">
        <v>520</v>
      </c>
      <c r="B82" s="4"/>
      <c r="C82" s="296">
        <f>SUM(C80:C81)</f>
        <v>65.367500000000007</v>
      </c>
      <c r="D82" s="296">
        <f t="shared" ref="D82" si="98">SUM(D80:D81)</f>
        <v>65.367500000000007</v>
      </c>
      <c r="E82" s="296">
        <f t="shared" ref="E82" si="99">SUM(E80:E81)</f>
        <v>65.367500000000007</v>
      </c>
      <c r="F82" s="296">
        <f t="shared" ref="F82" si="100">SUM(F80:F81)</f>
        <v>65.367500000000007</v>
      </c>
      <c r="G82" s="296">
        <f t="shared" ref="G82" si="101">SUM(G80:G81)</f>
        <v>65.367500000000007</v>
      </c>
      <c r="H82" s="296">
        <f t="shared" ref="H82" si="102">SUM(H80:H81)</f>
        <v>65.367500000000007</v>
      </c>
      <c r="I82" s="296">
        <f t="shared" ref="I82" si="103">SUM(I80:I81)</f>
        <v>65.367500000000007</v>
      </c>
      <c r="J82" s="296">
        <f t="shared" ref="J82" si="104">SUM(J80:J81)</f>
        <v>65.367500000000007</v>
      </c>
      <c r="K82" s="296">
        <f t="shared" ref="K82" si="105">SUM(K80:K81)</f>
        <v>65.367500000000007</v>
      </c>
      <c r="L82" s="296">
        <f t="shared" ref="L82" si="106">SUM(L80:L81)</f>
        <v>65.367500000000007</v>
      </c>
      <c r="M82" s="296">
        <f t="shared" ref="M82" si="107">SUM(M80:M81)</f>
        <v>65.367500000000007</v>
      </c>
      <c r="N82" s="296">
        <f t="shared" ref="N82" si="108">SUM(N80:N81)</f>
        <v>65.367500000000007</v>
      </c>
      <c r="O82" s="248">
        <f t="shared" ref="O82" si="109">SUM(O80:O81)</f>
        <v>784.41000000000008</v>
      </c>
    </row>
    <row r="83" spans="1:15">
      <c r="A83" s="2" t="s">
        <v>298</v>
      </c>
      <c r="B83" s="2"/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48"/>
    </row>
    <row r="84" spans="1:15">
      <c r="A84" s="4" t="s">
        <v>266</v>
      </c>
      <c r="B84" s="4"/>
      <c r="C84" s="295">
        <f>+DEPRE!$H$29</f>
        <v>189.18395833333332</v>
      </c>
      <c r="D84" s="295">
        <f>+DEPRE!$H$29</f>
        <v>189.18395833333332</v>
      </c>
      <c r="E84" s="295">
        <f>+DEPRE!$H$29</f>
        <v>189.18395833333332</v>
      </c>
      <c r="F84" s="295">
        <f>+DEPRE!$H$29</f>
        <v>189.18395833333332</v>
      </c>
      <c r="G84" s="295">
        <f>+DEPRE!$H$29</f>
        <v>189.18395833333332</v>
      </c>
      <c r="H84" s="295">
        <f>+DEPRE!$H$29</f>
        <v>189.18395833333332</v>
      </c>
      <c r="I84" s="295">
        <f>+DEPRE!$H$29</f>
        <v>189.18395833333332</v>
      </c>
      <c r="J84" s="295">
        <f>+DEPRE!$H$29</f>
        <v>189.18395833333332</v>
      </c>
      <c r="K84" s="295">
        <f>+DEPRE!$H$29</f>
        <v>189.18395833333332</v>
      </c>
      <c r="L84" s="295">
        <f>+DEPRE!$H$29</f>
        <v>189.18395833333332</v>
      </c>
      <c r="M84" s="295">
        <f>+DEPRE!$H$29</f>
        <v>189.18395833333332</v>
      </c>
      <c r="N84" s="295">
        <f>+DEPRE!$H$29</f>
        <v>189.18395833333332</v>
      </c>
      <c r="O84" s="246">
        <f t="shared" ref="O84:O90" si="110">SUM(C84:N84)</f>
        <v>2270.2075</v>
      </c>
    </row>
    <row r="85" spans="1:15">
      <c r="A85" s="4" t="s">
        <v>457</v>
      </c>
      <c r="B85" s="4"/>
      <c r="C85" s="295">
        <f>+PRESTAMO!$D$12</f>
        <v>17.5</v>
      </c>
      <c r="D85" s="295">
        <f>+PRESTAMO!$D$12</f>
        <v>17.5</v>
      </c>
      <c r="E85" s="295">
        <f>+PRESTAMO!$D$12</f>
        <v>17.5</v>
      </c>
      <c r="F85" s="295">
        <f>+PRESTAMO!$D$12</f>
        <v>17.5</v>
      </c>
      <c r="G85" s="295">
        <f>+PRESTAMO!$D$12</f>
        <v>17.5</v>
      </c>
      <c r="H85" s="295">
        <f>+PRESTAMO!$D$12</f>
        <v>17.5</v>
      </c>
      <c r="I85" s="295">
        <f>+PRESTAMO!$D$12</f>
        <v>17.5</v>
      </c>
      <c r="J85" s="295">
        <f>+PRESTAMO!$D$12</f>
        <v>17.5</v>
      </c>
      <c r="K85" s="295">
        <f>+PRESTAMO!$D$12</f>
        <v>17.5</v>
      </c>
      <c r="L85" s="295">
        <f>+PRESTAMO!$D$12</f>
        <v>17.5</v>
      </c>
      <c r="M85" s="295">
        <f>+PRESTAMO!$D$12</f>
        <v>17.5</v>
      </c>
      <c r="N85" s="295">
        <f>+PRESTAMO!$D$12</f>
        <v>17.5</v>
      </c>
      <c r="O85" s="246">
        <f t="shared" si="110"/>
        <v>210</v>
      </c>
    </row>
    <row r="86" spans="1:15">
      <c r="A86" s="4" t="s">
        <v>500</v>
      </c>
      <c r="B86" s="4"/>
      <c r="C86" s="295">
        <v>22.44</v>
      </c>
      <c r="D86" s="295">
        <v>22.44</v>
      </c>
      <c r="E86" s="295">
        <v>22.44</v>
      </c>
      <c r="F86" s="295">
        <v>22.44</v>
      </c>
      <c r="G86" s="295">
        <v>22.44</v>
      </c>
      <c r="H86" s="295">
        <v>22.44</v>
      </c>
      <c r="I86" s="295">
        <v>22.44</v>
      </c>
      <c r="J86" s="295">
        <v>22.44</v>
      </c>
      <c r="K86" s="295">
        <v>22.44</v>
      </c>
      <c r="L86" s="295">
        <v>22.44</v>
      </c>
      <c r="M86" s="295">
        <v>22.44</v>
      </c>
      <c r="N86" s="295">
        <v>22.44</v>
      </c>
      <c r="O86" s="246">
        <f t="shared" ref="O86:O87" si="111">SUM(C86:N86)</f>
        <v>269.28000000000003</v>
      </c>
    </row>
    <row r="87" spans="1:15">
      <c r="A87" s="2" t="s">
        <v>299</v>
      </c>
      <c r="B87" s="2"/>
      <c r="C87" s="295">
        <f>+C70-C78-C82-C84-C85-C86</f>
        <v>1908.960699747475</v>
      </c>
      <c r="D87" s="295">
        <f t="shared" ref="D87:N87" si="112">+D70-D78-D82-D84-D85-D86</f>
        <v>1908.960699747475</v>
      </c>
      <c r="E87" s="295">
        <f t="shared" si="112"/>
        <v>1908.960699747475</v>
      </c>
      <c r="F87" s="295">
        <f t="shared" si="112"/>
        <v>1908.960699747475</v>
      </c>
      <c r="G87" s="295">
        <f t="shared" si="112"/>
        <v>1908.960699747475</v>
      </c>
      <c r="H87" s="295">
        <f t="shared" si="112"/>
        <v>1908.960699747475</v>
      </c>
      <c r="I87" s="295">
        <f t="shared" si="112"/>
        <v>1908.960699747475</v>
      </c>
      <c r="J87" s="295">
        <f t="shared" si="112"/>
        <v>1908.960699747475</v>
      </c>
      <c r="K87" s="295">
        <f t="shared" si="112"/>
        <v>1908.960699747475</v>
      </c>
      <c r="L87" s="295">
        <f t="shared" si="112"/>
        <v>1908.960699747475</v>
      </c>
      <c r="M87" s="295">
        <f t="shared" si="112"/>
        <v>1908.960699747475</v>
      </c>
      <c r="N87" s="295">
        <f t="shared" si="112"/>
        <v>713.04017611111158</v>
      </c>
      <c r="O87" s="246">
        <f t="shared" si="111"/>
        <v>21711.607873333342</v>
      </c>
    </row>
    <row r="88" spans="1:15">
      <c r="A88" s="4" t="s">
        <v>64</v>
      </c>
      <c r="B88" s="249">
        <v>0.15</v>
      </c>
      <c r="C88" s="295">
        <f>+C87*$B$27</f>
        <v>286.34410496212126</v>
      </c>
      <c r="D88" s="295">
        <f t="shared" ref="D88" si="113">+D87*$B$27</f>
        <v>286.34410496212126</v>
      </c>
      <c r="E88" s="295">
        <f t="shared" ref="E88" si="114">+E87*$B$27</f>
        <v>286.34410496212126</v>
      </c>
      <c r="F88" s="295">
        <f t="shared" ref="F88" si="115">+F87*$B$27</f>
        <v>286.34410496212126</v>
      </c>
      <c r="G88" s="295">
        <f t="shared" ref="G88" si="116">+G87*$B$27</f>
        <v>286.34410496212126</v>
      </c>
      <c r="H88" s="295">
        <f t="shared" ref="H88" si="117">+H87*$B$27</f>
        <v>286.34410496212126</v>
      </c>
      <c r="I88" s="295">
        <f t="shared" ref="I88" si="118">+I87*$B$27</f>
        <v>286.34410496212126</v>
      </c>
      <c r="J88" s="295">
        <f t="shared" ref="J88" si="119">+J87*$B$27</f>
        <v>286.34410496212126</v>
      </c>
      <c r="K88" s="295">
        <f t="shared" ref="K88" si="120">+K87*$B$27</f>
        <v>286.34410496212126</v>
      </c>
      <c r="L88" s="295">
        <f t="shared" ref="L88" si="121">+L87*$B$27</f>
        <v>286.34410496212126</v>
      </c>
      <c r="M88" s="295">
        <f t="shared" ref="M88" si="122">+M87*$B$27</f>
        <v>286.34410496212126</v>
      </c>
      <c r="N88" s="295">
        <f t="shared" ref="N88" si="123">+N87*$B$27</f>
        <v>106.95602641666673</v>
      </c>
      <c r="O88" s="246">
        <f t="shared" si="110"/>
        <v>3256.7411810000012</v>
      </c>
    </row>
    <row r="89" spans="1:15" ht="25.5">
      <c r="A89" s="217" t="s">
        <v>263</v>
      </c>
      <c r="B89" s="2"/>
      <c r="C89" s="296">
        <f>SUM(C87:C88)</f>
        <v>2195.3048047095963</v>
      </c>
      <c r="D89" s="296">
        <f t="shared" ref="D89" si="124">SUM(D87:D88)</f>
        <v>2195.3048047095963</v>
      </c>
      <c r="E89" s="296">
        <f t="shared" ref="E89" si="125">SUM(E87:E88)</f>
        <v>2195.3048047095963</v>
      </c>
      <c r="F89" s="296">
        <f t="shared" ref="F89" si="126">SUM(F87:F88)</f>
        <v>2195.3048047095963</v>
      </c>
      <c r="G89" s="296">
        <f t="shared" ref="G89" si="127">SUM(G87:G88)</f>
        <v>2195.3048047095963</v>
      </c>
      <c r="H89" s="296">
        <f t="shared" ref="H89" si="128">SUM(H87:H88)</f>
        <v>2195.3048047095963</v>
      </c>
      <c r="I89" s="296">
        <f t="shared" ref="I89" si="129">SUM(I87:I88)</f>
        <v>2195.3048047095963</v>
      </c>
      <c r="J89" s="296">
        <f t="shared" ref="J89" si="130">SUM(J87:J88)</f>
        <v>2195.3048047095963</v>
      </c>
      <c r="K89" s="296">
        <f t="shared" ref="K89" si="131">SUM(K87:K88)</f>
        <v>2195.3048047095963</v>
      </c>
      <c r="L89" s="296">
        <f t="shared" ref="L89" si="132">SUM(L87:L88)</f>
        <v>2195.3048047095963</v>
      </c>
      <c r="M89" s="296">
        <f t="shared" ref="M89" si="133">SUM(M87:M88)</f>
        <v>2195.3048047095963</v>
      </c>
      <c r="N89" s="296">
        <f t="shared" ref="N89:O89" si="134">SUM(N87:N88)</f>
        <v>819.99620252777834</v>
      </c>
      <c r="O89" s="248">
        <f t="shared" si="134"/>
        <v>24968.349054333343</v>
      </c>
    </row>
    <row r="90" spans="1:15">
      <c r="A90" s="4" t="s">
        <v>65</v>
      </c>
      <c r="B90" s="249">
        <v>0.25</v>
      </c>
      <c r="C90" s="295">
        <f>+C89*$B$29</f>
        <v>548.82620117739907</v>
      </c>
      <c r="D90" s="295">
        <f t="shared" ref="D90" si="135">+D89*$B$29</f>
        <v>548.82620117739907</v>
      </c>
      <c r="E90" s="295">
        <f t="shared" ref="E90" si="136">+E89*$B$29</f>
        <v>548.82620117739907</v>
      </c>
      <c r="F90" s="295">
        <f t="shared" ref="F90" si="137">+F89*$B$29</f>
        <v>548.82620117739907</v>
      </c>
      <c r="G90" s="295">
        <f t="shared" ref="G90" si="138">+G89*$B$29</f>
        <v>548.82620117739907</v>
      </c>
      <c r="H90" s="295">
        <f t="shared" ref="H90" si="139">+H89*$B$29</f>
        <v>548.82620117739907</v>
      </c>
      <c r="I90" s="295">
        <f t="shared" ref="I90" si="140">+I89*$B$29</f>
        <v>548.82620117739907</v>
      </c>
      <c r="J90" s="295">
        <f t="shared" ref="J90" si="141">+J89*$B$29</f>
        <v>548.82620117739907</v>
      </c>
      <c r="K90" s="295">
        <f t="shared" ref="K90" si="142">+K89*$B$29</f>
        <v>548.82620117739907</v>
      </c>
      <c r="L90" s="295">
        <f t="shared" ref="L90" si="143">+L89*$B$29</f>
        <v>548.82620117739907</v>
      </c>
      <c r="M90" s="295">
        <f t="shared" ref="M90" si="144">+M89*$B$29</f>
        <v>548.82620117739907</v>
      </c>
      <c r="N90" s="295">
        <f t="shared" ref="N90" si="145">+N89*$B$29</f>
        <v>204.99905063194458</v>
      </c>
      <c r="O90" s="246">
        <f t="shared" si="110"/>
        <v>6242.087263583333</v>
      </c>
    </row>
    <row r="91" spans="1:15">
      <c r="A91" s="2" t="s">
        <v>63</v>
      </c>
      <c r="B91" s="2"/>
      <c r="C91" s="296">
        <f>SUM(C89:C90)</f>
        <v>2744.1310058869954</v>
      </c>
      <c r="D91" s="296">
        <f t="shared" ref="D91" si="146">SUM(D89:D90)</f>
        <v>2744.1310058869954</v>
      </c>
      <c r="E91" s="296">
        <f t="shared" ref="E91" si="147">SUM(E89:E90)</f>
        <v>2744.1310058869954</v>
      </c>
      <c r="F91" s="296">
        <f t="shared" ref="F91" si="148">SUM(F89:F90)</f>
        <v>2744.1310058869954</v>
      </c>
      <c r="G91" s="296">
        <f t="shared" ref="G91" si="149">SUM(G89:G90)</f>
        <v>2744.1310058869954</v>
      </c>
      <c r="H91" s="296">
        <f t="shared" ref="H91" si="150">SUM(H89:H90)</f>
        <v>2744.1310058869954</v>
      </c>
      <c r="I91" s="296">
        <f t="shared" ref="I91" si="151">SUM(I89:I90)</f>
        <v>2744.1310058869954</v>
      </c>
      <c r="J91" s="296">
        <f t="shared" ref="J91" si="152">SUM(J89:J90)</f>
        <v>2744.1310058869954</v>
      </c>
      <c r="K91" s="296">
        <f t="shared" ref="K91" si="153">SUM(K89:K90)</f>
        <v>2744.1310058869954</v>
      </c>
      <c r="L91" s="296">
        <f t="shared" ref="L91" si="154">SUM(L89:L90)</f>
        <v>2744.1310058869954</v>
      </c>
      <c r="M91" s="296">
        <f t="shared" ref="M91" si="155">SUM(M89:M90)</f>
        <v>2744.1310058869954</v>
      </c>
      <c r="N91" s="296">
        <f t="shared" ref="N91:O91" si="156">SUM(N89:N90)</f>
        <v>1024.995253159723</v>
      </c>
      <c r="O91" s="248">
        <f t="shared" si="156"/>
        <v>31210.436317916676</v>
      </c>
    </row>
    <row r="92" spans="1:15">
      <c r="C92" s="347" t="s">
        <v>22</v>
      </c>
      <c r="D92" s="347"/>
      <c r="E92" s="347"/>
      <c r="F92" s="347"/>
      <c r="G92" s="347"/>
      <c r="H92" s="347"/>
      <c r="I92" s="347"/>
      <c r="J92" s="347"/>
      <c r="K92" s="347"/>
      <c r="L92" s="347"/>
      <c r="M92" s="347"/>
      <c r="N92" s="347"/>
    </row>
    <row r="93" spans="1:15">
      <c r="A93" s="4"/>
      <c r="B93" s="4"/>
      <c r="C93" s="296" t="s">
        <v>272</v>
      </c>
      <c r="D93" s="296" t="s">
        <v>273</v>
      </c>
      <c r="E93" s="296" t="s">
        <v>274</v>
      </c>
      <c r="F93" s="296" t="s">
        <v>275</v>
      </c>
      <c r="G93" s="296" t="s">
        <v>276</v>
      </c>
      <c r="H93" s="296" t="s">
        <v>277</v>
      </c>
      <c r="I93" s="296" t="s">
        <v>278</v>
      </c>
      <c r="J93" s="296" t="s">
        <v>279</v>
      </c>
      <c r="K93" s="294" t="s">
        <v>524</v>
      </c>
      <c r="L93" s="294" t="s">
        <v>525</v>
      </c>
      <c r="M93" s="294" t="s">
        <v>526</v>
      </c>
      <c r="N93" s="294" t="s">
        <v>527</v>
      </c>
      <c r="O93" s="1" t="s">
        <v>0</v>
      </c>
    </row>
    <row r="94" spans="1:15">
      <c r="A94" s="4" t="s">
        <v>301</v>
      </c>
      <c r="B94" s="4"/>
      <c r="C94" s="295">
        <f>+'VENTAS-PROYECTADAS'!B15</f>
        <v>7639.204608</v>
      </c>
      <c r="D94" s="295">
        <f>+'VENTAS-PROYECTADAS'!C15</f>
        <v>7639.204608</v>
      </c>
      <c r="E94" s="295">
        <f>+'VENTAS-PROYECTADAS'!D15</f>
        <v>7639.204608</v>
      </c>
      <c r="F94" s="295">
        <f>+'VENTAS-PROYECTADAS'!E15</f>
        <v>7639.204608</v>
      </c>
      <c r="G94" s="295">
        <f>+'VENTAS-PROYECTADAS'!F15</f>
        <v>7639.204608</v>
      </c>
      <c r="H94" s="295">
        <f>+'VENTAS-PROYECTADAS'!G15</f>
        <v>7639.204608</v>
      </c>
      <c r="I94" s="295">
        <f>+'VENTAS-PROYECTADAS'!H15</f>
        <v>7639.204608</v>
      </c>
      <c r="J94" s="295">
        <f>+'VENTAS-PROYECTADAS'!I15</f>
        <v>7639.204608</v>
      </c>
      <c r="K94" s="295">
        <f>+'VENTAS-PROYECTADAS'!J15</f>
        <v>7639.204608</v>
      </c>
      <c r="L94" s="295">
        <f>+'VENTAS-PROYECTADAS'!K15</f>
        <v>7639.204608</v>
      </c>
      <c r="M94" s="295">
        <f>+'VENTAS-PROYECTADAS'!L15</f>
        <v>7639.204608</v>
      </c>
      <c r="N94" s="295">
        <f>+'VENTAS-PROYECTADAS'!M15</f>
        <v>7639.204608</v>
      </c>
      <c r="O94" s="246">
        <f>SUM(C94:N94)</f>
        <v>91670.455296</v>
      </c>
    </row>
    <row r="95" spans="1:15">
      <c r="A95" s="4" t="s">
        <v>283</v>
      </c>
      <c r="B95" s="4"/>
      <c r="C95" s="295">
        <f>+'COSTO-VTA'!B16</f>
        <v>4350.4231679999994</v>
      </c>
      <c r="D95" s="295">
        <f>+'COSTO-VTA'!C16</f>
        <v>4350.4231679999994</v>
      </c>
      <c r="E95" s="295">
        <f>+'COSTO-VTA'!D16</f>
        <v>4350.4231679999994</v>
      </c>
      <c r="F95" s="295">
        <f>+'COSTO-VTA'!E16</f>
        <v>4350.4231679999994</v>
      </c>
      <c r="G95" s="295">
        <f>+'COSTO-VTA'!F16</f>
        <v>4350.4231679999994</v>
      </c>
      <c r="H95" s="295">
        <f>+'COSTO-VTA'!G16</f>
        <v>4350.4231679999994</v>
      </c>
      <c r="I95" s="295">
        <f>+'COSTO-VTA'!H16</f>
        <v>4350.4231679999994</v>
      </c>
      <c r="J95" s="295">
        <f>+'COSTO-VTA'!I16</f>
        <v>4350.4231679999994</v>
      </c>
      <c r="K95" s="295">
        <f>+'COSTO-VTA'!J16</f>
        <v>4350.4231679999994</v>
      </c>
      <c r="L95" s="295">
        <f>+'COSTO-VTA'!K16</f>
        <v>4350.4231679999994</v>
      </c>
      <c r="M95" s="295">
        <f>+'COSTO-VTA'!L16</f>
        <v>4350.4231679999994</v>
      </c>
      <c r="N95" s="295">
        <f>+'COSTO-VTA'!M16</f>
        <v>4350.4231679999994</v>
      </c>
      <c r="O95" s="246">
        <f>SUM(C95:N95)</f>
        <v>52205.078016000007</v>
      </c>
    </row>
    <row r="96" spans="1:15">
      <c r="A96" s="2" t="s">
        <v>284</v>
      </c>
      <c r="B96" s="2"/>
      <c r="C96" s="296">
        <f>+C94-C95</f>
        <v>3288.7814400000007</v>
      </c>
      <c r="D96" s="296">
        <f t="shared" ref="D96:O96" si="157">+D94-D95</f>
        <v>3288.7814400000007</v>
      </c>
      <c r="E96" s="296">
        <f t="shared" si="157"/>
        <v>3288.7814400000007</v>
      </c>
      <c r="F96" s="296">
        <f t="shared" si="157"/>
        <v>3288.7814400000007</v>
      </c>
      <c r="G96" s="296">
        <f t="shared" si="157"/>
        <v>3288.7814400000007</v>
      </c>
      <c r="H96" s="296">
        <f t="shared" si="157"/>
        <v>3288.7814400000007</v>
      </c>
      <c r="I96" s="296">
        <f t="shared" si="157"/>
        <v>3288.7814400000007</v>
      </c>
      <c r="J96" s="296">
        <f t="shared" si="157"/>
        <v>3288.7814400000007</v>
      </c>
      <c r="K96" s="296">
        <f t="shared" si="157"/>
        <v>3288.7814400000007</v>
      </c>
      <c r="L96" s="296">
        <f t="shared" si="157"/>
        <v>3288.7814400000007</v>
      </c>
      <c r="M96" s="296">
        <f t="shared" si="157"/>
        <v>3288.7814400000007</v>
      </c>
      <c r="N96" s="296">
        <f t="shared" si="157"/>
        <v>3288.7814400000007</v>
      </c>
      <c r="O96" s="248">
        <f t="shared" si="157"/>
        <v>39465.377279999993</v>
      </c>
    </row>
    <row r="97" spans="1:15">
      <c r="A97" s="2" t="s">
        <v>287</v>
      </c>
      <c r="B97" s="2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48"/>
    </row>
    <row r="98" spans="1:15">
      <c r="A98" s="4" t="s">
        <v>295</v>
      </c>
      <c r="B98" s="4"/>
      <c r="C98" s="295">
        <f>+'BENEFICIOS SOCIALES'!B125</f>
        <v>1575.4970000000001</v>
      </c>
      <c r="D98" s="295">
        <f>+'BENEFICIOS SOCIALES'!C125</f>
        <v>1575.4970000000001</v>
      </c>
      <c r="E98" s="295">
        <f>+'BENEFICIOS SOCIALES'!D125</f>
        <v>1575.4970000000001</v>
      </c>
      <c r="F98" s="295">
        <f>+'BENEFICIOS SOCIALES'!E125</f>
        <v>1575.4970000000001</v>
      </c>
      <c r="G98" s="295">
        <f>+'BENEFICIOS SOCIALES'!F125</f>
        <v>1575.4970000000001</v>
      </c>
      <c r="H98" s="295">
        <f>+'BENEFICIOS SOCIALES'!G125</f>
        <v>1575.4970000000001</v>
      </c>
      <c r="I98" s="295">
        <f>+'BENEFICIOS SOCIALES'!H125</f>
        <v>1575.4970000000001</v>
      </c>
      <c r="J98" s="295">
        <f>+'BENEFICIOS SOCIALES'!I125</f>
        <v>1575.4970000000001</v>
      </c>
      <c r="K98" s="295">
        <f>+'BENEFICIOS SOCIALES'!J125</f>
        <v>1575.4970000000001</v>
      </c>
      <c r="L98" s="295">
        <f>+'BENEFICIOS SOCIALES'!K125</f>
        <v>1575.4970000000001</v>
      </c>
      <c r="M98" s="295">
        <f>+'BENEFICIOS SOCIALES'!L125</f>
        <v>1575.4970000000001</v>
      </c>
      <c r="N98" s="295">
        <f>+'BENEFICIOS SOCIALES'!M125</f>
        <v>1575.4970000000001</v>
      </c>
      <c r="O98" s="246">
        <f t="shared" ref="O98:O103" si="158">SUM(C98:N98)</f>
        <v>18905.963999999996</v>
      </c>
    </row>
    <row r="99" spans="1:15">
      <c r="A99" s="4" t="s">
        <v>290</v>
      </c>
      <c r="B99" s="4"/>
      <c r="C99" s="295">
        <f>+'BENEFICIOS SOCIALES'!$O$129</f>
        <v>167.02780555555555</v>
      </c>
      <c r="D99" s="295">
        <f>+'BENEFICIOS SOCIALES'!$O$129</f>
        <v>167.02780555555555</v>
      </c>
      <c r="E99" s="295">
        <f>+'BENEFICIOS SOCIALES'!$O$129</f>
        <v>167.02780555555555</v>
      </c>
      <c r="F99" s="295">
        <f>+'BENEFICIOS SOCIALES'!$O$129</f>
        <v>167.02780555555555</v>
      </c>
      <c r="G99" s="295">
        <f>+'BENEFICIOS SOCIALES'!$O$129</f>
        <v>167.02780555555555</v>
      </c>
      <c r="H99" s="295">
        <f>+'BENEFICIOS SOCIALES'!$O$129</f>
        <v>167.02780555555555</v>
      </c>
      <c r="I99" s="295">
        <f>+'BENEFICIOS SOCIALES'!$O$129</f>
        <v>167.02780555555555</v>
      </c>
      <c r="J99" s="295">
        <f>+'BENEFICIOS SOCIALES'!$O$129</f>
        <v>167.02780555555555</v>
      </c>
      <c r="K99" s="295">
        <f>+'BENEFICIOS SOCIALES'!$O$129</f>
        <v>167.02780555555555</v>
      </c>
      <c r="L99" s="295">
        <f>+'BENEFICIOS SOCIALES'!$O$129</f>
        <v>167.02780555555555</v>
      </c>
      <c r="M99" s="295">
        <f>+'BENEFICIOS SOCIALES'!$O$129</f>
        <v>167.02780555555555</v>
      </c>
      <c r="N99" s="295">
        <f>+'BENEFICIOS SOCIALES'!$O$129</f>
        <v>167.02780555555555</v>
      </c>
      <c r="O99" s="246">
        <f t="shared" si="158"/>
        <v>2004.3336666666662</v>
      </c>
    </row>
    <row r="100" spans="1:15">
      <c r="A100" s="4" t="s">
        <v>294</v>
      </c>
      <c r="B100" s="4"/>
      <c r="C100" s="295">
        <v>325</v>
      </c>
      <c r="D100" s="295">
        <v>325</v>
      </c>
      <c r="E100" s="295">
        <v>325</v>
      </c>
      <c r="F100" s="295">
        <v>325</v>
      </c>
      <c r="G100" s="295">
        <v>325</v>
      </c>
      <c r="H100" s="295">
        <v>325</v>
      </c>
      <c r="I100" s="295">
        <v>325</v>
      </c>
      <c r="J100" s="295">
        <v>325</v>
      </c>
      <c r="K100" s="295">
        <v>325</v>
      </c>
      <c r="L100" s="295">
        <v>325</v>
      </c>
      <c r="M100" s="295">
        <v>325</v>
      </c>
      <c r="N100" s="295">
        <v>325</v>
      </c>
      <c r="O100" s="246">
        <f t="shared" si="158"/>
        <v>3900</v>
      </c>
    </row>
    <row r="101" spans="1:15">
      <c r="A101" s="4" t="s">
        <v>300</v>
      </c>
      <c r="B101" s="4"/>
      <c r="C101" s="295">
        <f>+GASTOS!$E$22</f>
        <v>8.125</v>
      </c>
      <c r="D101" s="295">
        <f>+GASTOS!$E$22</f>
        <v>8.125</v>
      </c>
      <c r="E101" s="295">
        <f>+GASTOS!$E$22</f>
        <v>8.125</v>
      </c>
      <c r="F101" s="295">
        <f>+GASTOS!$E$22</f>
        <v>8.125</v>
      </c>
      <c r="G101" s="295">
        <f>+GASTOS!$E$22</f>
        <v>8.125</v>
      </c>
      <c r="H101" s="295">
        <f>+GASTOS!$E$22</f>
        <v>8.125</v>
      </c>
      <c r="I101" s="295">
        <f>+GASTOS!$E$22</f>
        <v>8.125</v>
      </c>
      <c r="J101" s="295">
        <f>+GASTOS!$E$22</f>
        <v>8.125</v>
      </c>
      <c r="K101" s="295">
        <f>+GASTOS!$E$22</f>
        <v>8.125</v>
      </c>
      <c r="L101" s="295">
        <f>+GASTOS!$E$22</f>
        <v>8.125</v>
      </c>
      <c r="M101" s="295">
        <f>+GASTOS!$E$22</f>
        <v>8.125</v>
      </c>
      <c r="N101" s="295">
        <f>+GASTOS!$E$22</f>
        <v>8.125</v>
      </c>
      <c r="O101" s="246">
        <f t="shared" si="158"/>
        <v>97.5</v>
      </c>
    </row>
    <row r="102" spans="1:15">
      <c r="A102" s="4" t="s">
        <v>296</v>
      </c>
      <c r="B102" s="4"/>
      <c r="C102" s="295">
        <f>+GASTOS!$B$8</f>
        <v>190</v>
      </c>
      <c r="D102" s="295">
        <f>+GASTOS!$B$8</f>
        <v>190</v>
      </c>
      <c r="E102" s="295">
        <f>+GASTOS!$B$8</f>
        <v>190</v>
      </c>
      <c r="F102" s="295">
        <f>+GASTOS!$B$8</f>
        <v>190</v>
      </c>
      <c r="G102" s="295">
        <f>+GASTOS!$B$8</f>
        <v>190</v>
      </c>
      <c r="H102" s="295">
        <f>+GASTOS!$B$8</f>
        <v>190</v>
      </c>
      <c r="I102" s="295">
        <f>+GASTOS!$B$8</f>
        <v>190</v>
      </c>
      <c r="J102" s="295">
        <f>+GASTOS!$B$8</f>
        <v>190</v>
      </c>
      <c r="K102" s="295">
        <f>+GASTOS!$B$8</f>
        <v>190</v>
      </c>
      <c r="L102" s="295">
        <f>+GASTOS!$B$8</f>
        <v>190</v>
      </c>
      <c r="M102" s="295">
        <f>+GASTOS!$B$8</f>
        <v>190</v>
      </c>
      <c r="N102" s="295">
        <f>+GASTOS!$B$8</f>
        <v>190</v>
      </c>
      <c r="O102" s="246">
        <f t="shared" si="158"/>
        <v>2280</v>
      </c>
    </row>
    <row r="103" spans="1:15">
      <c r="A103" s="4" t="s">
        <v>458</v>
      </c>
      <c r="B103" s="4"/>
      <c r="C103" s="295">
        <f>+GASTOS!$F$16</f>
        <v>15.6</v>
      </c>
      <c r="D103" s="295">
        <f>+GASTOS!$F$16</f>
        <v>15.6</v>
      </c>
      <c r="E103" s="295">
        <f>+GASTOS!$F$16</f>
        <v>15.6</v>
      </c>
      <c r="F103" s="295">
        <f>+GASTOS!$F$16</f>
        <v>15.6</v>
      </c>
      <c r="G103" s="295">
        <f>+GASTOS!$F$16</f>
        <v>15.6</v>
      </c>
      <c r="H103" s="295">
        <f>+GASTOS!$F$16</f>
        <v>15.6</v>
      </c>
      <c r="I103" s="295">
        <f>+GASTOS!$F$16</f>
        <v>15.6</v>
      </c>
      <c r="J103" s="295">
        <f>+GASTOS!$F$16</f>
        <v>15.6</v>
      </c>
      <c r="K103" s="295">
        <f>+GASTOS!$F$16</f>
        <v>15.6</v>
      </c>
      <c r="L103" s="295">
        <f>+GASTOS!$F$16</f>
        <v>15.6</v>
      </c>
      <c r="M103" s="295">
        <f>+GASTOS!$F$16</f>
        <v>15.6</v>
      </c>
      <c r="N103" s="295">
        <f>+GASTOS!$F$16</f>
        <v>15.6</v>
      </c>
      <c r="O103" s="246">
        <f t="shared" si="158"/>
        <v>187.19999999999996</v>
      </c>
    </row>
    <row r="104" spans="1:15">
      <c r="A104" s="2" t="s">
        <v>297</v>
      </c>
      <c r="B104" s="4"/>
      <c r="C104" s="296">
        <f>SUM(C98:C103)</f>
        <v>2281.2498055555557</v>
      </c>
      <c r="D104" s="296">
        <f t="shared" ref="D104" si="159">SUM(D98:D103)</f>
        <v>2281.2498055555557</v>
      </c>
      <c r="E104" s="296">
        <f t="shared" ref="E104" si="160">SUM(E98:E103)</f>
        <v>2281.2498055555557</v>
      </c>
      <c r="F104" s="296">
        <f t="shared" ref="F104" si="161">SUM(F98:F103)</f>
        <v>2281.2498055555557</v>
      </c>
      <c r="G104" s="296">
        <f t="shared" ref="G104" si="162">SUM(G98:G103)</f>
        <v>2281.2498055555557</v>
      </c>
      <c r="H104" s="296">
        <f t="shared" ref="H104" si="163">SUM(H98:H103)</f>
        <v>2281.2498055555557</v>
      </c>
      <c r="I104" s="296">
        <f t="shared" ref="I104" si="164">SUM(I98:I103)</f>
        <v>2281.2498055555557</v>
      </c>
      <c r="J104" s="296">
        <f t="shared" ref="J104" si="165">SUM(J98:J103)</f>
        <v>2281.2498055555557</v>
      </c>
      <c r="K104" s="296">
        <f t="shared" ref="K104" si="166">SUM(K98:K103)</f>
        <v>2281.2498055555557</v>
      </c>
      <c r="L104" s="296">
        <f t="shared" ref="L104" si="167">SUM(L98:L103)</f>
        <v>2281.2498055555557</v>
      </c>
      <c r="M104" s="296">
        <f t="shared" ref="M104" si="168">SUM(M98:M103)</f>
        <v>2281.2498055555557</v>
      </c>
      <c r="N104" s="296">
        <f t="shared" ref="N104:O104" si="169">SUM(N98:N103)</f>
        <v>2281.2498055555557</v>
      </c>
      <c r="O104" s="248">
        <f t="shared" si="169"/>
        <v>27374.997666666663</v>
      </c>
    </row>
    <row r="105" spans="1:15">
      <c r="A105" s="2" t="s">
        <v>519</v>
      </c>
      <c r="B105" s="4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46"/>
    </row>
    <row r="106" spans="1:15">
      <c r="A106" s="4" t="s">
        <v>501</v>
      </c>
      <c r="B106" s="4"/>
      <c r="C106" s="295">
        <f>+'Gastos de Publicidad'!$C$28</f>
        <v>29.367500000000003</v>
      </c>
      <c r="D106" s="295">
        <f>+'Gastos de Publicidad'!$C$28</f>
        <v>29.367500000000003</v>
      </c>
      <c r="E106" s="295">
        <f>+'Gastos de Publicidad'!$C$28</f>
        <v>29.367500000000003</v>
      </c>
      <c r="F106" s="295">
        <f>+'Gastos de Publicidad'!$C$28</f>
        <v>29.367500000000003</v>
      </c>
      <c r="G106" s="295">
        <f>+'Gastos de Publicidad'!$C$28</f>
        <v>29.367500000000003</v>
      </c>
      <c r="H106" s="295">
        <f>+'Gastos de Publicidad'!$C$28</f>
        <v>29.367500000000003</v>
      </c>
      <c r="I106" s="295">
        <f>+'Gastos de Publicidad'!$C$28</f>
        <v>29.367500000000003</v>
      </c>
      <c r="J106" s="295">
        <f>+'Gastos de Publicidad'!$C$28</f>
        <v>29.367500000000003</v>
      </c>
      <c r="K106" s="295">
        <f>+'Gastos de Publicidad'!$C$28</f>
        <v>29.367500000000003</v>
      </c>
      <c r="L106" s="295">
        <f>+'Gastos de Publicidad'!$C$28</f>
        <v>29.367500000000003</v>
      </c>
      <c r="M106" s="295">
        <f>+'Gastos de Publicidad'!$C$28</f>
        <v>29.367500000000003</v>
      </c>
      <c r="N106" s="295">
        <f>+'Gastos de Publicidad'!$C$28</f>
        <v>29.367500000000003</v>
      </c>
      <c r="O106" s="246">
        <f t="shared" ref="O106:O107" si="170">SUM(C106:N106)</f>
        <v>352.41</v>
      </c>
    </row>
    <row r="107" spans="1:15">
      <c r="A107" s="4" t="s">
        <v>456</v>
      </c>
      <c r="B107" s="4"/>
      <c r="C107" s="295">
        <f>+'Gastos de Publicidad'!$C$31</f>
        <v>36</v>
      </c>
      <c r="D107" s="295">
        <f>+'Gastos de Publicidad'!$C$31</f>
        <v>36</v>
      </c>
      <c r="E107" s="295">
        <f>+'Gastos de Publicidad'!$C$31</f>
        <v>36</v>
      </c>
      <c r="F107" s="295">
        <f>+'Gastos de Publicidad'!$C$31</f>
        <v>36</v>
      </c>
      <c r="G107" s="295">
        <f>+'Gastos de Publicidad'!$C$31</f>
        <v>36</v>
      </c>
      <c r="H107" s="295">
        <f>+'Gastos de Publicidad'!$C$31</f>
        <v>36</v>
      </c>
      <c r="I107" s="295">
        <f>+'Gastos de Publicidad'!$C$31</f>
        <v>36</v>
      </c>
      <c r="J107" s="295">
        <f>+'Gastos de Publicidad'!$C$31</f>
        <v>36</v>
      </c>
      <c r="K107" s="295">
        <f>+'Gastos de Publicidad'!$C$31</f>
        <v>36</v>
      </c>
      <c r="L107" s="295">
        <f>+'Gastos de Publicidad'!$C$31</f>
        <v>36</v>
      </c>
      <c r="M107" s="295">
        <f>+'Gastos de Publicidad'!$C$31</f>
        <v>36</v>
      </c>
      <c r="N107" s="295">
        <f>+'Gastos de Publicidad'!$C$31</f>
        <v>36</v>
      </c>
      <c r="O107" s="246">
        <f t="shared" si="170"/>
        <v>432</v>
      </c>
    </row>
    <row r="108" spans="1:15">
      <c r="A108" s="2" t="s">
        <v>520</v>
      </c>
      <c r="B108" s="4"/>
      <c r="C108" s="296">
        <f>SUM(C106:C107)</f>
        <v>65.367500000000007</v>
      </c>
      <c r="D108" s="296">
        <f t="shared" ref="D108" si="171">SUM(D106:D107)</f>
        <v>65.367500000000007</v>
      </c>
      <c r="E108" s="296">
        <f t="shared" ref="E108" si="172">SUM(E106:E107)</f>
        <v>65.367500000000007</v>
      </c>
      <c r="F108" s="296">
        <f t="shared" ref="F108" si="173">SUM(F106:F107)</f>
        <v>65.367500000000007</v>
      </c>
      <c r="G108" s="296">
        <f t="shared" ref="G108" si="174">SUM(G106:G107)</f>
        <v>65.367500000000007</v>
      </c>
      <c r="H108" s="296">
        <f t="shared" ref="H108" si="175">SUM(H106:H107)</f>
        <v>65.367500000000007</v>
      </c>
      <c r="I108" s="296">
        <f t="shared" ref="I108" si="176">SUM(I106:I107)</f>
        <v>65.367500000000007</v>
      </c>
      <c r="J108" s="296">
        <f t="shared" ref="J108" si="177">SUM(J106:J107)</f>
        <v>65.367500000000007</v>
      </c>
      <c r="K108" s="296">
        <f t="shared" ref="K108" si="178">SUM(K106:K107)</f>
        <v>65.367500000000007</v>
      </c>
      <c r="L108" s="296">
        <f t="shared" ref="L108" si="179">SUM(L106:L107)</f>
        <v>65.367500000000007</v>
      </c>
      <c r="M108" s="296">
        <f t="shared" ref="M108" si="180">SUM(M106:M107)</f>
        <v>65.367500000000007</v>
      </c>
      <c r="N108" s="296">
        <f t="shared" ref="N108" si="181">SUM(N106:N107)</f>
        <v>65.367500000000007</v>
      </c>
      <c r="O108" s="248">
        <f t="shared" ref="O108" si="182">SUM(O106:O107)</f>
        <v>784.41000000000008</v>
      </c>
    </row>
    <row r="109" spans="1:15">
      <c r="A109" s="2" t="s">
        <v>298</v>
      </c>
      <c r="B109" s="2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48"/>
    </row>
    <row r="110" spans="1:15">
      <c r="A110" s="4" t="s">
        <v>266</v>
      </c>
      <c r="B110" s="4"/>
      <c r="C110" s="295">
        <f>+DEPRE!$H$29</f>
        <v>189.18395833333332</v>
      </c>
      <c r="D110" s="295">
        <f>+DEPRE!$H$29</f>
        <v>189.18395833333332</v>
      </c>
      <c r="E110" s="295">
        <f>+DEPRE!$H$29</f>
        <v>189.18395833333332</v>
      </c>
      <c r="F110" s="295">
        <f>+DEPRE!$H$29</f>
        <v>189.18395833333332</v>
      </c>
      <c r="G110" s="295">
        <f>+DEPRE!$H$29</f>
        <v>189.18395833333332</v>
      </c>
      <c r="H110" s="295">
        <f>+DEPRE!$H$29</f>
        <v>189.18395833333332</v>
      </c>
      <c r="I110" s="295">
        <f>+DEPRE!$H$29</f>
        <v>189.18395833333332</v>
      </c>
      <c r="J110" s="295">
        <f>+DEPRE!$H$29</f>
        <v>189.18395833333332</v>
      </c>
      <c r="K110" s="295">
        <f>+DEPRE!$H$29</f>
        <v>189.18395833333332</v>
      </c>
      <c r="L110" s="295">
        <f>+DEPRE!$H$29</f>
        <v>189.18395833333332</v>
      </c>
      <c r="M110" s="295">
        <f>+DEPRE!$H$29</f>
        <v>189.18395833333332</v>
      </c>
      <c r="N110" s="295">
        <f>+DEPRE!$H$29</f>
        <v>189.18395833333332</v>
      </c>
      <c r="O110" s="246">
        <f t="shared" ref="O110:O116" si="183">SUM(C110:N110)</f>
        <v>2270.2075</v>
      </c>
    </row>
    <row r="111" spans="1:15">
      <c r="A111" s="4" t="s">
        <v>457</v>
      </c>
      <c r="B111" s="4"/>
      <c r="C111" s="295">
        <f>+PRESTAMO!$E$12</f>
        <v>11.666666666666666</v>
      </c>
      <c r="D111" s="295">
        <f>+PRESTAMO!$E$12</f>
        <v>11.666666666666666</v>
      </c>
      <c r="E111" s="295">
        <f>+PRESTAMO!$E$12</f>
        <v>11.666666666666666</v>
      </c>
      <c r="F111" s="295">
        <f>+PRESTAMO!$E$12</f>
        <v>11.666666666666666</v>
      </c>
      <c r="G111" s="295">
        <f>+PRESTAMO!$E$12</f>
        <v>11.666666666666666</v>
      </c>
      <c r="H111" s="295">
        <f>+PRESTAMO!$E$12</f>
        <v>11.666666666666666</v>
      </c>
      <c r="I111" s="295">
        <f>+PRESTAMO!$E$12</f>
        <v>11.666666666666666</v>
      </c>
      <c r="J111" s="295">
        <f>+PRESTAMO!$E$12</f>
        <v>11.666666666666666</v>
      </c>
      <c r="K111" s="295">
        <f>+PRESTAMO!$E$12</f>
        <v>11.666666666666666</v>
      </c>
      <c r="L111" s="295">
        <f>+PRESTAMO!$E$12</f>
        <v>11.666666666666666</v>
      </c>
      <c r="M111" s="295">
        <f>+PRESTAMO!$E$12</f>
        <v>11.666666666666666</v>
      </c>
      <c r="N111" s="295">
        <f>+PRESTAMO!$E$12</f>
        <v>11.666666666666666</v>
      </c>
      <c r="O111" s="246">
        <f t="shared" si="183"/>
        <v>140</v>
      </c>
    </row>
    <row r="112" spans="1:15">
      <c r="A112" s="4" t="s">
        <v>500</v>
      </c>
      <c r="B112" s="4"/>
      <c r="C112" s="295">
        <v>22.44</v>
      </c>
      <c r="D112" s="295">
        <v>22.44</v>
      </c>
      <c r="E112" s="295">
        <v>22.44</v>
      </c>
      <c r="F112" s="295">
        <v>22.44</v>
      </c>
      <c r="G112" s="295">
        <v>22.44</v>
      </c>
      <c r="H112" s="295">
        <v>22.44</v>
      </c>
      <c r="I112" s="295">
        <v>22.44</v>
      </c>
      <c r="J112" s="295">
        <v>22.44</v>
      </c>
      <c r="K112" s="295">
        <v>22.44</v>
      </c>
      <c r="L112" s="295">
        <v>22.44</v>
      </c>
      <c r="M112" s="295">
        <v>22.44</v>
      </c>
      <c r="N112" s="295">
        <v>22.44</v>
      </c>
      <c r="O112" s="246">
        <f t="shared" si="183"/>
        <v>269.28000000000003</v>
      </c>
    </row>
    <row r="113" spans="1:15">
      <c r="A113" s="2" t="s">
        <v>299</v>
      </c>
      <c r="B113" s="2"/>
      <c r="C113" s="295">
        <f>+C96-C104-C108-C110-C111-C112</f>
        <v>718.87350944444495</v>
      </c>
      <c r="D113" s="295">
        <f t="shared" ref="D113:N113" si="184">+D96-D104-D108-D110-D111-D112</f>
        <v>718.87350944444495</v>
      </c>
      <c r="E113" s="295">
        <f t="shared" si="184"/>
        <v>718.87350944444495</v>
      </c>
      <c r="F113" s="295">
        <f t="shared" si="184"/>
        <v>718.87350944444495</v>
      </c>
      <c r="G113" s="295">
        <f t="shared" si="184"/>
        <v>718.87350944444495</v>
      </c>
      <c r="H113" s="295">
        <f t="shared" si="184"/>
        <v>718.87350944444495</v>
      </c>
      <c r="I113" s="295">
        <f t="shared" si="184"/>
        <v>718.87350944444495</v>
      </c>
      <c r="J113" s="295">
        <f t="shared" si="184"/>
        <v>718.87350944444495</v>
      </c>
      <c r="K113" s="295">
        <f t="shared" si="184"/>
        <v>718.87350944444495</v>
      </c>
      <c r="L113" s="295">
        <f t="shared" si="184"/>
        <v>718.87350944444495</v>
      </c>
      <c r="M113" s="295">
        <f t="shared" si="184"/>
        <v>718.87350944444495</v>
      </c>
      <c r="N113" s="295">
        <f t="shared" si="184"/>
        <v>718.87350944444495</v>
      </c>
      <c r="O113" s="246">
        <f t="shared" si="183"/>
        <v>8626.4821133333371</v>
      </c>
    </row>
    <row r="114" spans="1:15">
      <c r="A114" s="4" t="s">
        <v>64</v>
      </c>
      <c r="B114" s="249">
        <v>0.15</v>
      </c>
      <c r="C114" s="295">
        <f>+C113*$B$27</f>
        <v>107.83102641666675</v>
      </c>
      <c r="D114" s="295">
        <f t="shared" ref="D114" si="185">+D113*$B$27</f>
        <v>107.83102641666675</v>
      </c>
      <c r="E114" s="295">
        <f t="shared" ref="E114" si="186">+E113*$B$27</f>
        <v>107.83102641666675</v>
      </c>
      <c r="F114" s="295">
        <f t="shared" ref="F114" si="187">+F113*$B$27</f>
        <v>107.83102641666675</v>
      </c>
      <c r="G114" s="295">
        <f t="shared" ref="G114" si="188">+G113*$B$27</f>
        <v>107.83102641666675</v>
      </c>
      <c r="H114" s="295">
        <f t="shared" ref="H114" si="189">+H113*$B$27</f>
        <v>107.83102641666675</v>
      </c>
      <c r="I114" s="295">
        <f t="shared" ref="I114" si="190">+I113*$B$27</f>
        <v>107.83102641666675</v>
      </c>
      <c r="J114" s="295">
        <f t="shared" ref="J114" si="191">+J113*$B$27</f>
        <v>107.83102641666675</v>
      </c>
      <c r="K114" s="295">
        <f t="shared" ref="K114" si="192">+K113*$B$27</f>
        <v>107.83102641666675</v>
      </c>
      <c r="L114" s="295">
        <f t="shared" ref="L114" si="193">+L113*$B$27</f>
        <v>107.83102641666675</v>
      </c>
      <c r="M114" s="295">
        <f t="shared" ref="M114" si="194">+M113*$B$27</f>
        <v>107.83102641666675</v>
      </c>
      <c r="N114" s="295">
        <f t="shared" ref="N114" si="195">+N113*$B$27</f>
        <v>107.83102641666675</v>
      </c>
      <c r="O114" s="246">
        <f t="shared" si="183"/>
        <v>1293.9723170000007</v>
      </c>
    </row>
    <row r="115" spans="1:15" ht="25.5">
      <c r="A115" s="217" t="s">
        <v>263</v>
      </c>
      <c r="B115" s="2"/>
      <c r="C115" s="296">
        <f>SUM(C113:C114)</f>
        <v>826.70453586111171</v>
      </c>
      <c r="D115" s="296">
        <f t="shared" ref="D115" si="196">SUM(D113:D114)</f>
        <v>826.70453586111171</v>
      </c>
      <c r="E115" s="296">
        <f t="shared" ref="E115" si="197">SUM(E113:E114)</f>
        <v>826.70453586111171</v>
      </c>
      <c r="F115" s="296">
        <f t="shared" ref="F115" si="198">SUM(F113:F114)</f>
        <v>826.70453586111171</v>
      </c>
      <c r="G115" s="296">
        <f t="shared" ref="G115" si="199">SUM(G113:G114)</f>
        <v>826.70453586111171</v>
      </c>
      <c r="H115" s="296">
        <f t="shared" ref="H115" si="200">SUM(H113:H114)</f>
        <v>826.70453586111171</v>
      </c>
      <c r="I115" s="296">
        <f t="shared" ref="I115" si="201">SUM(I113:I114)</f>
        <v>826.70453586111171</v>
      </c>
      <c r="J115" s="296">
        <f t="shared" ref="J115" si="202">SUM(J113:J114)</f>
        <v>826.70453586111171</v>
      </c>
      <c r="K115" s="296">
        <f t="shared" ref="K115" si="203">SUM(K113:K114)</f>
        <v>826.70453586111171</v>
      </c>
      <c r="L115" s="296">
        <f t="shared" ref="L115" si="204">SUM(L113:L114)</f>
        <v>826.70453586111171</v>
      </c>
      <c r="M115" s="296">
        <f t="shared" ref="M115" si="205">SUM(M113:M114)</f>
        <v>826.70453586111171</v>
      </c>
      <c r="N115" s="296">
        <f t="shared" ref="N115:O115" si="206">SUM(N113:N114)</f>
        <v>826.70453586111171</v>
      </c>
      <c r="O115" s="248">
        <f t="shared" si="206"/>
        <v>9920.4544303333387</v>
      </c>
    </row>
    <row r="116" spans="1:15">
      <c r="A116" s="4" t="s">
        <v>65</v>
      </c>
      <c r="B116" s="249">
        <v>0.25</v>
      </c>
      <c r="C116" s="295">
        <f>+C115*$B$29</f>
        <v>206.67613396527793</v>
      </c>
      <c r="D116" s="295">
        <f t="shared" ref="D116" si="207">+D115*$B$29</f>
        <v>206.67613396527793</v>
      </c>
      <c r="E116" s="295">
        <f t="shared" ref="E116" si="208">+E115*$B$29</f>
        <v>206.67613396527793</v>
      </c>
      <c r="F116" s="295">
        <f t="shared" ref="F116" si="209">+F115*$B$29</f>
        <v>206.67613396527793</v>
      </c>
      <c r="G116" s="295">
        <f t="shared" ref="G116" si="210">+G115*$B$29</f>
        <v>206.67613396527793</v>
      </c>
      <c r="H116" s="295">
        <f t="shared" ref="H116" si="211">+H115*$B$29</f>
        <v>206.67613396527793</v>
      </c>
      <c r="I116" s="295">
        <f t="shared" ref="I116" si="212">+I115*$B$29</f>
        <v>206.67613396527793</v>
      </c>
      <c r="J116" s="295">
        <f t="shared" ref="J116" si="213">+J115*$B$29</f>
        <v>206.67613396527793</v>
      </c>
      <c r="K116" s="295">
        <f t="shared" ref="K116" si="214">+K115*$B$29</f>
        <v>206.67613396527793</v>
      </c>
      <c r="L116" s="295">
        <f t="shared" ref="L116" si="215">+L115*$B$29</f>
        <v>206.67613396527793</v>
      </c>
      <c r="M116" s="295">
        <f t="shared" ref="M116" si="216">+M115*$B$29</f>
        <v>206.67613396527793</v>
      </c>
      <c r="N116" s="295">
        <f t="shared" ref="N116" si="217">+N115*$B$29</f>
        <v>206.67613396527793</v>
      </c>
      <c r="O116" s="246">
        <f t="shared" si="183"/>
        <v>2480.113607583336</v>
      </c>
    </row>
    <row r="117" spans="1:15">
      <c r="A117" s="2" t="s">
        <v>63</v>
      </c>
      <c r="B117" s="2"/>
      <c r="C117" s="296">
        <f>SUM(C115:C116)</f>
        <v>1033.3806698263897</v>
      </c>
      <c r="D117" s="296">
        <f t="shared" ref="D117" si="218">SUM(D115:D116)</f>
        <v>1033.3806698263897</v>
      </c>
      <c r="E117" s="296">
        <f t="shared" ref="E117" si="219">SUM(E115:E116)</f>
        <v>1033.3806698263897</v>
      </c>
      <c r="F117" s="296">
        <f t="shared" ref="F117" si="220">SUM(F115:F116)</f>
        <v>1033.3806698263897</v>
      </c>
      <c r="G117" s="296">
        <f t="shared" ref="G117" si="221">SUM(G115:G116)</f>
        <v>1033.3806698263897</v>
      </c>
      <c r="H117" s="296">
        <f t="shared" ref="H117" si="222">SUM(H115:H116)</f>
        <v>1033.3806698263897</v>
      </c>
      <c r="I117" s="296">
        <f t="shared" ref="I117" si="223">SUM(I115:I116)</f>
        <v>1033.3806698263897</v>
      </c>
      <c r="J117" s="296">
        <f t="shared" ref="J117" si="224">SUM(J115:J116)</f>
        <v>1033.3806698263897</v>
      </c>
      <c r="K117" s="296">
        <f t="shared" ref="K117" si="225">SUM(K115:K116)</f>
        <v>1033.3806698263897</v>
      </c>
      <c r="L117" s="296">
        <f t="shared" ref="L117" si="226">SUM(L115:L116)</f>
        <v>1033.3806698263897</v>
      </c>
      <c r="M117" s="296">
        <f t="shared" ref="M117" si="227">SUM(M115:M116)</f>
        <v>1033.3806698263897</v>
      </c>
      <c r="N117" s="296">
        <f t="shared" ref="N117:O117" si="228">SUM(N115:N116)</f>
        <v>1033.3806698263897</v>
      </c>
      <c r="O117" s="248">
        <f t="shared" si="228"/>
        <v>12400.568037916675</v>
      </c>
    </row>
    <row r="118" spans="1:15">
      <c r="A118" s="9"/>
      <c r="B118" s="9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56"/>
    </row>
    <row r="121" spans="1:15">
      <c r="C121" s="347" t="s">
        <v>23</v>
      </c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</row>
    <row r="122" spans="1:15">
      <c r="A122" s="4"/>
      <c r="B122" s="4"/>
      <c r="C122" s="296" t="s">
        <v>272</v>
      </c>
      <c r="D122" s="296" t="s">
        <v>273</v>
      </c>
      <c r="E122" s="296" t="s">
        <v>274</v>
      </c>
      <c r="F122" s="296" t="s">
        <v>275</v>
      </c>
      <c r="G122" s="296" t="s">
        <v>276</v>
      </c>
      <c r="H122" s="296" t="s">
        <v>277</v>
      </c>
      <c r="I122" s="296" t="s">
        <v>278</v>
      </c>
      <c r="J122" s="296" t="s">
        <v>279</v>
      </c>
      <c r="K122" s="294" t="s">
        <v>524</v>
      </c>
      <c r="L122" s="294" t="s">
        <v>525</v>
      </c>
      <c r="M122" s="294" t="s">
        <v>526</v>
      </c>
      <c r="N122" s="294" t="s">
        <v>527</v>
      </c>
      <c r="O122" s="1" t="s">
        <v>0</v>
      </c>
    </row>
    <row r="123" spans="1:15">
      <c r="A123" s="4" t="s">
        <v>301</v>
      </c>
      <c r="B123" s="4"/>
      <c r="C123" s="295">
        <f>+'VENTAS-PROYECTADAS'!B16</f>
        <v>7639.204608</v>
      </c>
      <c r="D123" s="295">
        <f>+'VENTAS-PROYECTADAS'!C16</f>
        <v>7639.204608</v>
      </c>
      <c r="E123" s="295">
        <f>+'VENTAS-PROYECTADAS'!D16</f>
        <v>7639.204608</v>
      </c>
      <c r="F123" s="295">
        <f>+'VENTAS-PROYECTADAS'!E16</f>
        <v>7639.204608</v>
      </c>
      <c r="G123" s="295">
        <f>+'VENTAS-PROYECTADAS'!F16</f>
        <v>7639.204608</v>
      </c>
      <c r="H123" s="295">
        <f>+'VENTAS-PROYECTADAS'!G16</f>
        <v>7639.204608</v>
      </c>
      <c r="I123" s="295">
        <f>+'VENTAS-PROYECTADAS'!H16</f>
        <v>7639.204608</v>
      </c>
      <c r="J123" s="295">
        <f>+'VENTAS-PROYECTADAS'!I16</f>
        <v>7639.204608</v>
      </c>
      <c r="K123" s="295">
        <f>+'VENTAS-PROYECTADAS'!J16</f>
        <v>7639.204608</v>
      </c>
      <c r="L123" s="295">
        <f>+'VENTAS-PROYECTADAS'!K16</f>
        <v>7639.204608</v>
      </c>
      <c r="M123" s="295">
        <f>+'VENTAS-PROYECTADAS'!L16</f>
        <v>7639.204608</v>
      </c>
      <c r="N123" s="295">
        <f>+'VENTAS-PROYECTADAS'!M16</f>
        <v>7639.204608</v>
      </c>
      <c r="O123" s="250">
        <f>SUM(C123:N123)</f>
        <v>91670.455296</v>
      </c>
    </row>
    <row r="124" spans="1:15">
      <c r="A124" s="4" t="s">
        <v>283</v>
      </c>
      <c r="B124" s="4"/>
      <c r="C124" s="295">
        <f>+'COSTO-VTA'!B17</f>
        <v>4350.4231679999994</v>
      </c>
      <c r="D124" s="295">
        <f>+'COSTO-VTA'!C17</f>
        <v>4350.4231679999994</v>
      </c>
      <c r="E124" s="295">
        <f>+'COSTO-VTA'!D17</f>
        <v>4350.4231679999994</v>
      </c>
      <c r="F124" s="295">
        <f>+'COSTO-VTA'!E17</f>
        <v>4350.4231679999994</v>
      </c>
      <c r="G124" s="295">
        <f>+'COSTO-VTA'!F17</f>
        <v>4350.4231679999994</v>
      </c>
      <c r="H124" s="295">
        <f>+'COSTO-VTA'!G17</f>
        <v>4350.4231679999994</v>
      </c>
      <c r="I124" s="295">
        <f>+'COSTO-VTA'!H17</f>
        <v>4350.4231679999994</v>
      </c>
      <c r="J124" s="295">
        <f>+'COSTO-VTA'!I17</f>
        <v>4350.4231679999994</v>
      </c>
      <c r="K124" s="295">
        <f>+'COSTO-VTA'!J17</f>
        <v>4350.4231679999994</v>
      </c>
      <c r="L124" s="295">
        <f>+'COSTO-VTA'!K17</f>
        <v>4350.4231679999994</v>
      </c>
      <c r="M124" s="295">
        <f>+'COSTO-VTA'!L17</f>
        <v>4350.4231679999994</v>
      </c>
      <c r="N124" s="295">
        <f>+'COSTO-VTA'!M17</f>
        <v>4350.4231679999994</v>
      </c>
      <c r="O124" s="250">
        <f>SUM(C124:N124)</f>
        <v>52205.078016000007</v>
      </c>
    </row>
    <row r="125" spans="1:15">
      <c r="A125" s="2" t="s">
        <v>284</v>
      </c>
      <c r="B125" s="2"/>
      <c r="C125" s="296">
        <f>+C123-C124</f>
        <v>3288.7814400000007</v>
      </c>
      <c r="D125" s="296">
        <f t="shared" ref="D125:O125" si="229">+D123-D124</f>
        <v>3288.7814400000007</v>
      </c>
      <c r="E125" s="296">
        <f t="shared" si="229"/>
        <v>3288.7814400000007</v>
      </c>
      <c r="F125" s="296">
        <f t="shared" si="229"/>
        <v>3288.7814400000007</v>
      </c>
      <c r="G125" s="296">
        <f t="shared" si="229"/>
        <v>3288.7814400000007</v>
      </c>
      <c r="H125" s="296">
        <f t="shared" si="229"/>
        <v>3288.7814400000007</v>
      </c>
      <c r="I125" s="296">
        <f t="shared" si="229"/>
        <v>3288.7814400000007</v>
      </c>
      <c r="J125" s="296">
        <f t="shared" si="229"/>
        <v>3288.7814400000007</v>
      </c>
      <c r="K125" s="296">
        <f t="shared" si="229"/>
        <v>3288.7814400000007</v>
      </c>
      <c r="L125" s="296">
        <f t="shared" si="229"/>
        <v>3288.7814400000007</v>
      </c>
      <c r="M125" s="296">
        <f t="shared" si="229"/>
        <v>3288.7814400000007</v>
      </c>
      <c r="N125" s="296">
        <f t="shared" si="229"/>
        <v>3288.7814400000007</v>
      </c>
      <c r="O125" s="251">
        <f t="shared" si="229"/>
        <v>39465.377279999993</v>
      </c>
    </row>
    <row r="126" spans="1:15">
      <c r="A126" s="2" t="s">
        <v>287</v>
      </c>
      <c r="B126" s="2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51"/>
    </row>
    <row r="127" spans="1:15">
      <c r="A127" s="4" t="s">
        <v>295</v>
      </c>
      <c r="B127" s="4"/>
      <c r="C127" s="295">
        <f>+'BENEFICIOS SOCIALES'!B125</f>
        <v>1575.4970000000001</v>
      </c>
      <c r="D127" s="295">
        <f>+'BENEFICIOS SOCIALES'!C125</f>
        <v>1575.4970000000001</v>
      </c>
      <c r="E127" s="295">
        <f>+'BENEFICIOS SOCIALES'!D125</f>
        <v>1575.4970000000001</v>
      </c>
      <c r="F127" s="295">
        <f>+'BENEFICIOS SOCIALES'!E125</f>
        <v>1575.4970000000001</v>
      </c>
      <c r="G127" s="295">
        <f>+'BENEFICIOS SOCIALES'!F125</f>
        <v>1575.4970000000001</v>
      </c>
      <c r="H127" s="295">
        <f>+'BENEFICIOS SOCIALES'!G125</f>
        <v>1575.4970000000001</v>
      </c>
      <c r="I127" s="295">
        <f>+'BENEFICIOS SOCIALES'!H125</f>
        <v>1575.4970000000001</v>
      </c>
      <c r="J127" s="295">
        <f>+'BENEFICIOS SOCIALES'!I125</f>
        <v>1575.4970000000001</v>
      </c>
      <c r="K127" s="295">
        <f>+'BENEFICIOS SOCIALES'!J125</f>
        <v>1575.4970000000001</v>
      </c>
      <c r="L127" s="295">
        <f>+'BENEFICIOS SOCIALES'!K125</f>
        <v>1575.4970000000001</v>
      </c>
      <c r="M127" s="295">
        <f>+'BENEFICIOS SOCIALES'!L125</f>
        <v>1575.4970000000001</v>
      </c>
      <c r="N127" s="295">
        <f>+'BENEFICIOS SOCIALES'!M125</f>
        <v>1575.4970000000001</v>
      </c>
      <c r="O127" s="250">
        <f t="shared" ref="O127:O132" si="230">SUM(C127:N127)</f>
        <v>18905.963999999996</v>
      </c>
    </row>
    <row r="128" spans="1:15">
      <c r="A128" s="4" t="s">
        <v>290</v>
      </c>
      <c r="B128" s="4"/>
      <c r="C128" s="295">
        <f>+'BENEFICIOS SOCIALES'!$O$129</f>
        <v>167.02780555555555</v>
      </c>
      <c r="D128" s="295">
        <f>+'BENEFICIOS SOCIALES'!$O$129</f>
        <v>167.02780555555555</v>
      </c>
      <c r="E128" s="295">
        <f>+'BENEFICIOS SOCIALES'!$O$129</f>
        <v>167.02780555555555</v>
      </c>
      <c r="F128" s="295">
        <f>+'BENEFICIOS SOCIALES'!$O$129</f>
        <v>167.02780555555555</v>
      </c>
      <c r="G128" s="295">
        <f>+'BENEFICIOS SOCIALES'!$O$129</f>
        <v>167.02780555555555</v>
      </c>
      <c r="H128" s="295">
        <f>+'BENEFICIOS SOCIALES'!$O$129</f>
        <v>167.02780555555555</v>
      </c>
      <c r="I128" s="295">
        <f>+'BENEFICIOS SOCIALES'!$O$129</f>
        <v>167.02780555555555</v>
      </c>
      <c r="J128" s="295">
        <f>+'BENEFICIOS SOCIALES'!$O$129</f>
        <v>167.02780555555555</v>
      </c>
      <c r="K128" s="295">
        <f>+'BENEFICIOS SOCIALES'!$O$129</f>
        <v>167.02780555555555</v>
      </c>
      <c r="L128" s="295">
        <f>+'BENEFICIOS SOCIALES'!$O$129</f>
        <v>167.02780555555555</v>
      </c>
      <c r="M128" s="295">
        <f>+'BENEFICIOS SOCIALES'!$O$129</f>
        <v>167.02780555555555</v>
      </c>
      <c r="N128" s="295">
        <f>+'BENEFICIOS SOCIALES'!$O$129</f>
        <v>167.02780555555555</v>
      </c>
      <c r="O128" s="250">
        <f t="shared" si="230"/>
        <v>2004.3336666666662</v>
      </c>
    </row>
    <row r="129" spans="1:15">
      <c r="A129" s="4" t="s">
        <v>294</v>
      </c>
      <c r="B129" s="4"/>
      <c r="C129" s="295">
        <v>325</v>
      </c>
      <c r="D129" s="295">
        <v>325</v>
      </c>
      <c r="E129" s="295">
        <v>325</v>
      </c>
      <c r="F129" s="295">
        <v>325</v>
      </c>
      <c r="G129" s="295">
        <v>325</v>
      </c>
      <c r="H129" s="295">
        <v>325</v>
      </c>
      <c r="I129" s="295">
        <v>325</v>
      </c>
      <c r="J129" s="295">
        <v>325</v>
      </c>
      <c r="K129" s="295">
        <v>325</v>
      </c>
      <c r="L129" s="295">
        <v>325</v>
      </c>
      <c r="M129" s="295">
        <v>325</v>
      </c>
      <c r="N129" s="295">
        <v>325</v>
      </c>
      <c r="O129" s="250">
        <f t="shared" si="230"/>
        <v>3900</v>
      </c>
    </row>
    <row r="130" spans="1:15">
      <c r="A130" s="4" t="s">
        <v>300</v>
      </c>
      <c r="B130" s="4"/>
      <c r="C130" s="295">
        <f>+GASTOS!$E$22</f>
        <v>8.125</v>
      </c>
      <c r="D130" s="295">
        <f>+GASTOS!$E$22</f>
        <v>8.125</v>
      </c>
      <c r="E130" s="295">
        <f>+GASTOS!$E$22</f>
        <v>8.125</v>
      </c>
      <c r="F130" s="295">
        <f>+GASTOS!$E$22</f>
        <v>8.125</v>
      </c>
      <c r="G130" s="295">
        <f>+GASTOS!$E$22</f>
        <v>8.125</v>
      </c>
      <c r="H130" s="295">
        <f>+GASTOS!$E$22</f>
        <v>8.125</v>
      </c>
      <c r="I130" s="295">
        <f>+GASTOS!$E$22</f>
        <v>8.125</v>
      </c>
      <c r="J130" s="295">
        <f>+GASTOS!$E$22</f>
        <v>8.125</v>
      </c>
      <c r="K130" s="295">
        <f>+GASTOS!$E$22</f>
        <v>8.125</v>
      </c>
      <c r="L130" s="295">
        <f>+GASTOS!$E$22</f>
        <v>8.125</v>
      </c>
      <c r="M130" s="295">
        <f>+GASTOS!$E$22</f>
        <v>8.125</v>
      </c>
      <c r="N130" s="295">
        <f>+GASTOS!$E$22</f>
        <v>8.125</v>
      </c>
      <c r="O130" s="250">
        <f t="shared" si="230"/>
        <v>97.5</v>
      </c>
    </row>
    <row r="131" spans="1:15">
      <c r="A131" s="4" t="s">
        <v>296</v>
      </c>
      <c r="B131" s="4"/>
      <c r="C131" s="295">
        <f>+GASTOS!$B$8</f>
        <v>190</v>
      </c>
      <c r="D131" s="295">
        <f>+GASTOS!$B$8</f>
        <v>190</v>
      </c>
      <c r="E131" s="295">
        <f>+GASTOS!$B$8</f>
        <v>190</v>
      </c>
      <c r="F131" s="295">
        <f>+GASTOS!$B$8</f>
        <v>190</v>
      </c>
      <c r="G131" s="295">
        <f>+GASTOS!$B$8</f>
        <v>190</v>
      </c>
      <c r="H131" s="295">
        <f>+GASTOS!$B$8</f>
        <v>190</v>
      </c>
      <c r="I131" s="295">
        <f>+GASTOS!$B$8</f>
        <v>190</v>
      </c>
      <c r="J131" s="295">
        <f>+GASTOS!$B$8</f>
        <v>190</v>
      </c>
      <c r="K131" s="295">
        <f>+GASTOS!$B$8</f>
        <v>190</v>
      </c>
      <c r="L131" s="295">
        <f>+GASTOS!$B$8</f>
        <v>190</v>
      </c>
      <c r="M131" s="295">
        <f>+GASTOS!$B$8</f>
        <v>190</v>
      </c>
      <c r="N131" s="295">
        <f>+GASTOS!$B$8</f>
        <v>190</v>
      </c>
      <c r="O131" s="250">
        <f t="shared" si="230"/>
        <v>2280</v>
      </c>
    </row>
    <row r="132" spans="1:15">
      <c r="A132" s="4" t="s">
        <v>458</v>
      </c>
      <c r="B132" s="4"/>
      <c r="C132" s="295">
        <f>+GASTOS!$F$16</f>
        <v>15.6</v>
      </c>
      <c r="D132" s="295">
        <f>+GASTOS!$F$16</f>
        <v>15.6</v>
      </c>
      <c r="E132" s="295">
        <f>+GASTOS!$F$16</f>
        <v>15.6</v>
      </c>
      <c r="F132" s="295">
        <f>+GASTOS!$F$16</f>
        <v>15.6</v>
      </c>
      <c r="G132" s="295">
        <f>+GASTOS!$F$16</f>
        <v>15.6</v>
      </c>
      <c r="H132" s="295">
        <f>+GASTOS!$F$16</f>
        <v>15.6</v>
      </c>
      <c r="I132" s="295">
        <f>+GASTOS!$F$16</f>
        <v>15.6</v>
      </c>
      <c r="J132" s="295">
        <f>+GASTOS!$F$16</f>
        <v>15.6</v>
      </c>
      <c r="K132" s="295">
        <f>+GASTOS!$F$16</f>
        <v>15.6</v>
      </c>
      <c r="L132" s="295">
        <f>+GASTOS!$F$16</f>
        <v>15.6</v>
      </c>
      <c r="M132" s="295">
        <f>+GASTOS!$F$16</f>
        <v>15.6</v>
      </c>
      <c r="N132" s="295">
        <f>+GASTOS!$F$16</f>
        <v>15.6</v>
      </c>
      <c r="O132" s="250">
        <f t="shared" si="230"/>
        <v>187.19999999999996</v>
      </c>
    </row>
    <row r="133" spans="1:15">
      <c r="A133" s="2" t="s">
        <v>297</v>
      </c>
      <c r="B133" s="4"/>
      <c r="C133" s="296">
        <f>SUM(C127:C132)</f>
        <v>2281.2498055555557</v>
      </c>
      <c r="D133" s="296">
        <f t="shared" ref="D133" si="231">SUM(D127:D132)</f>
        <v>2281.2498055555557</v>
      </c>
      <c r="E133" s="296">
        <f t="shared" ref="E133" si="232">SUM(E127:E132)</f>
        <v>2281.2498055555557</v>
      </c>
      <c r="F133" s="296">
        <f t="shared" ref="F133" si="233">SUM(F127:F132)</f>
        <v>2281.2498055555557</v>
      </c>
      <c r="G133" s="296">
        <f t="shared" ref="G133" si="234">SUM(G127:G132)</f>
        <v>2281.2498055555557</v>
      </c>
      <c r="H133" s="296">
        <f t="shared" ref="H133" si="235">SUM(H127:H132)</f>
        <v>2281.2498055555557</v>
      </c>
      <c r="I133" s="296">
        <f t="shared" ref="I133" si="236">SUM(I127:I132)</f>
        <v>2281.2498055555557</v>
      </c>
      <c r="J133" s="296">
        <f t="shared" ref="J133" si="237">SUM(J127:J132)</f>
        <v>2281.2498055555557</v>
      </c>
      <c r="K133" s="296">
        <f t="shared" ref="K133" si="238">SUM(K127:K132)</f>
        <v>2281.2498055555557</v>
      </c>
      <c r="L133" s="296">
        <f t="shared" ref="L133" si="239">SUM(L127:L132)</f>
        <v>2281.2498055555557</v>
      </c>
      <c r="M133" s="296">
        <f t="shared" ref="M133" si="240">SUM(M127:M132)</f>
        <v>2281.2498055555557</v>
      </c>
      <c r="N133" s="296">
        <f t="shared" ref="N133:O133" si="241">SUM(N127:N132)</f>
        <v>2281.2498055555557</v>
      </c>
      <c r="O133" s="251">
        <f t="shared" si="241"/>
        <v>27374.997666666663</v>
      </c>
    </row>
    <row r="134" spans="1:15">
      <c r="A134" s="2" t="s">
        <v>519</v>
      </c>
      <c r="B134" s="4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250"/>
    </row>
    <row r="135" spans="1:15">
      <c r="A135" s="4" t="s">
        <v>501</v>
      </c>
      <c r="B135" s="4"/>
      <c r="C135" s="295">
        <f>+'Gastos de Publicidad'!$C$28</f>
        <v>29.367500000000003</v>
      </c>
      <c r="D135" s="295">
        <f>+'Gastos de Publicidad'!$C$28</f>
        <v>29.367500000000003</v>
      </c>
      <c r="E135" s="295">
        <f>+'Gastos de Publicidad'!$C$28</f>
        <v>29.367500000000003</v>
      </c>
      <c r="F135" s="295">
        <f>+'Gastos de Publicidad'!$C$28</f>
        <v>29.367500000000003</v>
      </c>
      <c r="G135" s="295">
        <f>+'Gastos de Publicidad'!$C$28</f>
        <v>29.367500000000003</v>
      </c>
      <c r="H135" s="295">
        <f>+'Gastos de Publicidad'!$C$28</f>
        <v>29.367500000000003</v>
      </c>
      <c r="I135" s="295">
        <f>+'Gastos de Publicidad'!$C$28</f>
        <v>29.367500000000003</v>
      </c>
      <c r="J135" s="295">
        <f>+'Gastos de Publicidad'!$C$28</f>
        <v>29.367500000000003</v>
      </c>
      <c r="K135" s="295">
        <f>+'Gastos de Publicidad'!$C$28</f>
        <v>29.367500000000003</v>
      </c>
      <c r="L135" s="295">
        <f>+'Gastos de Publicidad'!$C$28</f>
        <v>29.367500000000003</v>
      </c>
      <c r="M135" s="295">
        <f>+'Gastos de Publicidad'!$C$28</f>
        <v>29.367500000000003</v>
      </c>
      <c r="N135" s="295">
        <f>+'Gastos de Publicidad'!$C$28</f>
        <v>29.367500000000003</v>
      </c>
      <c r="O135" s="246">
        <f t="shared" ref="O135:O136" si="242">SUM(C135:N135)</f>
        <v>352.41</v>
      </c>
    </row>
    <row r="136" spans="1:15">
      <c r="A136" s="4" t="s">
        <v>456</v>
      </c>
      <c r="B136" s="4"/>
      <c r="C136" s="295">
        <f>+'Gastos de Publicidad'!$C$31</f>
        <v>36</v>
      </c>
      <c r="D136" s="295">
        <f>+'Gastos de Publicidad'!$C$31</f>
        <v>36</v>
      </c>
      <c r="E136" s="295">
        <f>+'Gastos de Publicidad'!$C$31</f>
        <v>36</v>
      </c>
      <c r="F136" s="295">
        <f>+'Gastos de Publicidad'!$C$31</f>
        <v>36</v>
      </c>
      <c r="G136" s="295">
        <f>+'Gastos de Publicidad'!$C$31</f>
        <v>36</v>
      </c>
      <c r="H136" s="295">
        <f>+'Gastos de Publicidad'!$C$31</f>
        <v>36</v>
      </c>
      <c r="I136" s="295">
        <f>+'Gastos de Publicidad'!$C$31</f>
        <v>36</v>
      </c>
      <c r="J136" s="295">
        <f>+'Gastos de Publicidad'!$C$31</f>
        <v>36</v>
      </c>
      <c r="K136" s="295">
        <f>+'Gastos de Publicidad'!$C$31</f>
        <v>36</v>
      </c>
      <c r="L136" s="295">
        <f>+'Gastos de Publicidad'!$C$31</f>
        <v>36</v>
      </c>
      <c r="M136" s="295">
        <f>+'Gastos de Publicidad'!$C$31</f>
        <v>36</v>
      </c>
      <c r="N136" s="295">
        <f>+'Gastos de Publicidad'!$C$31</f>
        <v>36</v>
      </c>
      <c r="O136" s="246">
        <f t="shared" si="242"/>
        <v>432</v>
      </c>
    </row>
    <row r="137" spans="1:15">
      <c r="A137" s="2" t="s">
        <v>520</v>
      </c>
      <c r="B137" s="4"/>
      <c r="C137" s="296">
        <f>SUM(C135:C136)</f>
        <v>65.367500000000007</v>
      </c>
      <c r="D137" s="296">
        <f t="shared" ref="D137" si="243">SUM(D135:D136)</f>
        <v>65.367500000000007</v>
      </c>
      <c r="E137" s="296">
        <f t="shared" ref="E137" si="244">SUM(E135:E136)</f>
        <v>65.367500000000007</v>
      </c>
      <c r="F137" s="296">
        <f t="shared" ref="F137" si="245">SUM(F135:F136)</f>
        <v>65.367500000000007</v>
      </c>
      <c r="G137" s="296">
        <f t="shared" ref="G137" si="246">SUM(G135:G136)</f>
        <v>65.367500000000007</v>
      </c>
      <c r="H137" s="296">
        <f t="shared" ref="H137" si="247">SUM(H135:H136)</f>
        <v>65.367500000000007</v>
      </c>
      <c r="I137" s="296">
        <f t="shared" ref="I137" si="248">SUM(I135:I136)</f>
        <v>65.367500000000007</v>
      </c>
      <c r="J137" s="296">
        <f t="shared" ref="J137" si="249">SUM(J135:J136)</f>
        <v>65.367500000000007</v>
      </c>
      <c r="K137" s="296">
        <f t="shared" ref="K137" si="250">SUM(K135:K136)</f>
        <v>65.367500000000007</v>
      </c>
      <c r="L137" s="296">
        <f t="shared" ref="L137" si="251">SUM(L135:L136)</f>
        <v>65.367500000000007</v>
      </c>
      <c r="M137" s="296">
        <f t="shared" ref="M137" si="252">SUM(M135:M136)</f>
        <v>65.367500000000007</v>
      </c>
      <c r="N137" s="296">
        <f t="shared" ref="N137" si="253">SUM(N135:N136)</f>
        <v>65.367500000000007</v>
      </c>
      <c r="O137" s="248">
        <f t="shared" ref="O137" si="254">SUM(O135:O136)</f>
        <v>784.41000000000008</v>
      </c>
    </row>
    <row r="138" spans="1:15">
      <c r="A138" s="2" t="s">
        <v>298</v>
      </c>
      <c r="B138" s="2"/>
      <c r="C138" s="296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51"/>
    </row>
    <row r="139" spans="1:15">
      <c r="A139" s="4" t="s">
        <v>266</v>
      </c>
      <c r="B139" s="4"/>
      <c r="C139" s="295">
        <f>+DEPRE!$H$29</f>
        <v>189.18395833333332</v>
      </c>
      <c r="D139" s="295">
        <f>+DEPRE!$H$29</f>
        <v>189.18395833333332</v>
      </c>
      <c r="E139" s="295">
        <f>+DEPRE!$H$29</f>
        <v>189.18395833333332</v>
      </c>
      <c r="F139" s="295">
        <f>+DEPRE!$H$29</f>
        <v>189.18395833333332</v>
      </c>
      <c r="G139" s="295">
        <f>+DEPRE!$H$29</f>
        <v>189.18395833333332</v>
      </c>
      <c r="H139" s="295">
        <f>+DEPRE!$H$29</f>
        <v>189.18395833333332</v>
      </c>
      <c r="I139" s="295">
        <f>+DEPRE!$H$29</f>
        <v>189.18395833333332</v>
      </c>
      <c r="J139" s="295">
        <f>+DEPRE!$H$29</f>
        <v>189.18395833333332</v>
      </c>
      <c r="K139" s="295">
        <f>+DEPRE!$H$29</f>
        <v>189.18395833333332</v>
      </c>
      <c r="L139" s="295">
        <f>+DEPRE!$H$29</f>
        <v>189.18395833333332</v>
      </c>
      <c r="M139" s="295">
        <f>+DEPRE!$H$29</f>
        <v>189.18395833333332</v>
      </c>
      <c r="N139" s="295">
        <f>+DEPRE!$H$29</f>
        <v>189.18395833333332</v>
      </c>
      <c r="O139" s="250">
        <f t="shared" ref="O139:O145" si="255">SUM(C139:N139)</f>
        <v>2270.2075</v>
      </c>
    </row>
    <row r="140" spans="1:15">
      <c r="A140" s="4" t="s">
        <v>457</v>
      </c>
      <c r="B140" s="4"/>
      <c r="C140" s="295">
        <f>+PRESTAMO!$F$12</f>
        <v>5.833333333333333</v>
      </c>
      <c r="D140" s="295">
        <f>+PRESTAMO!$F$12</f>
        <v>5.833333333333333</v>
      </c>
      <c r="E140" s="295">
        <f>+PRESTAMO!$F$12</f>
        <v>5.833333333333333</v>
      </c>
      <c r="F140" s="295">
        <f>+PRESTAMO!$F$12</f>
        <v>5.833333333333333</v>
      </c>
      <c r="G140" s="295">
        <f>+PRESTAMO!$F$12</f>
        <v>5.833333333333333</v>
      </c>
      <c r="H140" s="295">
        <f>+PRESTAMO!$F$12</f>
        <v>5.833333333333333</v>
      </c>
      <c r="I140" s="295">
        <f>+PRESTAMO!$F$12</f>
        <v>5.833333333333333</v>
      </c>
      <c r="J140" s="295">
        <f>+PRESTAMO!$F$12</f>
        <v>5.833333333333333</v>
      </c>
      <c r="K140" s="295">
        <f>+PRESTAMO!$F$12</f>
        <v>5.833333333333333</v>
      </c>
      <c r="L140" s="295">
        <f>+PRESTAMO!$F$12</f>
        <v>5.833333333333333</v>
      </c>
      <c r="M140" s="295">
        <f>+PRESTAMO!$F$12</f>
        <v>5.833333333333333</v>
      </c>
      <c r="N140" s="295">
        <f>+PRESTAMO!$F$12</f>
        <v>5.833333333333333</v>
      </c>
      <c r="O140" s="250">
        <f t="shared" si="255"/>
        <v>70</v>
      </c>
    </row>
    <row r="141" spans="1:15">
      <c r="A141" s="4" t="s">
        <v>500</v>
      </c>
      <c r="B141" s="4"/>
      <c r="C141" s="295">
        <v>22.44</v>
      </c>
      <c r="D141" s="295">
        <v>22.44</v>
      </c>
      <c r="E141" s="295">
        <v>22.44</v>
      </c>
      <c r="F141" s="295">
        <v>22.44</v>
      </c>
      <c r="G141" s="295">
        <v>22.44</v>
      </c>
      <c r="H141" s="295">
        <v>22.44</v>
      </c>
      <c r="I141" s="295">
        <v>22.44</v>
      </c>
      <c r="J141" s="295">
        <v>22.44</v>
      </c>
      <c r="K141" s="295">
        <v>22.44</v>
      </c>
      <c r="L141" s="295">
        <v>22.44</v>
      </c>
      <c r="M141" s="295">
        <v>22.44</v>
      </c>
      <c r="N141" s="295">
        <v>22.44</v>
      </c>
      <c r="O141" s="250">
        <f t="shared" si="255"/>
        <v>269.28000000000003</v>
      </c>
    </row>
    <row r="142" spans="1:15">
      <c r="A142" s="2" t="s">
        <v>299</v>
      </c>
      <c r="B142" s="2"/>
      <c r="C142" s="295">
        <f>+C125-C133-C137-C139-C140</f>
        <v>747.14684277777826</v>
      </c>
      <c r="D142" s="295">
        <f t="shared" ref="D142:N142" si="256">+D125-D133-D137-D139-D140</f>
        <v>747.14684277777826</v>
      </c>
      <c r="E142" s="295">
        <f t="shared" si="256"/>
        <v>747.14684277777826</v>
      </c>
      <c r="F142" s="295">
        <f t="shared" si="256"/>
        <v>747.14684277777826</v>
      </c>
      <c r="G142" s="295">
        <f t="shared" si="256"/>
        <v>747.14684277777826</v>
      </c>
      <c r="H142" s="295">
        <f t="shared" si="256"/>
        <v>747.14684277777826</v>
      </c>
      <c r="I142" s="295">
        <f t="shared" si="256"/>
        <v>747.14684277777826</v>
      </c>
      <c r="J142" s="295">
        <f t="shared" si="256"/>
        <v>747.14684277777826</v>
      </c>
      <c r="K142" s="295">
        <f t="shared" si="256"/>
        <v>747.14684277777826</v>
      </c>
      <c r="L142" s="295">
        <f>+L125-L133-L137-L139-L140</f>
        <v>747.14684277777826</v>
      </c>
      <c r="M142" s="295">
        <f t="shared" si="256"/>
        <v>747.14684277777826</v>
      </c>
      <c r="N142" s="295">
        <f t="shared" si="256"/>
        <v>747.14684277777826</v>
      </c>
      <c r="O142" s="250">
        <f t="shared" si="255"/>
        <v>8965.7621133333396</v>
      </c>
    </row>
    <row r="143" spans="1:15">
      <c r="A143" s="4" t="s">
        <v>64</v>
      </c>
      <c r="B143" s="249">
        <v>0.15</v>
      </c>
      <c r="C143" s="295">
        <f>+C142*$B$27</f>
        <v>112.07202641666673</v>
      </c>
      <c r="D143" s="295">
        <f t="shared" ref="D143" si="257">+D142*$B$27</f>
        <v>112.07202641666673</v>
      </c>
      <c r="E143" s="295">
        <f t="shared" ref="E143" si="258">+E142*$B$27</f>
        <v>112.07202641666673</v>
      </c>
      <c r="F143" s="295">
        <f t="shared" ref="F143" si="259">+F142*$B$27</f>
        <v>112.07202641666673</v>
      </c>
      <c r="G143" s="295">
        <f t="shared" ref="G143" si="260">+G142*$B$27</f>
        <v>112.07202641666673</v>
      </c>
      <c r="H143" s="295">
        <f t="shared" ref="H143" si="261">+H142*$B$27</f>
        <v>112.07202641666673</v>
      </c>
      <c r="I143" s="295">
        <f t="shared" ref="I143" si="262">+I142*$B$27</f>
        <v>112.07202641666673</v>
      </c>
      <c r="J143" s="295">
        <f t="shared" ref="J143" si="263">+J142*$B$27</f>
        <v>112.07202641666673</v>
      </c>
      <c r="K143" s="295">
        <f t="shared" ref="K143" si="264">+K142*$B$27</f>
        <v>112.07202641666673</v>
      </c>
      <c r="L143" s="295">
        <f t="shared" ref="L143" si="265">+L142*$B$27</f>
        <v>112.07202641666673</v>
      </c>
      <c r="M143" s="295">
        <f t="shared" ref="M143" si="266">+M142*$B$27</f>
        <v>112.07202641666673</v>
      </c>
      <c r="N143" s="295">
        <f t="shared" ref="N143" si="267">+N142*$B$27</f>
        <v>112.07202641666673</v>
      </c>
      <c r="O143" s="250">
        <f t="shared" si="255"/>
        <v>1344.8643170000005</v>
      </c>
    </row>
    <row r="144" spans="1:15" ht="25.5">
      <c r="A144" s="217" t="s">
        <v>263</v>
      </c>
      <c r="B144" s="2"/>
      <c r="C144" s="296">
        <f>SUM(C142:C143)</f>
        <v>859.21886919444501</v>
      </c>
      <c r="D144" s="296">
        <f t="shared" ref="D144" si="268">SUM(D142:D143)</f>
        <v>859.21886919444501</v>
      </c>
      <c r="E144" s="296">
        <f t="shared" ref="E144" si="269">SUM(E142:E143)</f>
        <v>859.21886919444501</v>
      </c>
      <c r="F144" s="296">
        <f t="shared" ref="F144" si="270">SUM(F142:F143)</f>
        <v>859.21886919444501</v>
      </c>
      <c r="G144" s="296">
        <f t="shared" ref="G144" si="271">SUM(G142:G143)</f>
        <v>859.21886919444501</v>
      </c>
      <c r="H144" s="296">
        <f t="shared" ref="H144" si="272">SUM(H142:H143)</f>
        <v>859.21886919444501</v>
      </c>
      <c r="I144" s="296">
        <f t="shared" ref="I144" si="273">SUM(I142:I143)</f>
        <v>859.21886919444501</v>
      </c>
      <c r="J144" s="296">
        <f t="shared" ref="J144" si="274">SUM(J142:J143)</f>
        <v>859.21886919444501</v>
      </c>
      <c r="K144" s="296">
        <f t="shared" ref="K144" si="275">SUM(K142:K143)</f>
        <v>859.21886919444501</v>
      </c>
      <c r="L144" s="296">
        <f t="shared" ref="L144" si="276">SUM(L142:L143)</f>
        <v>859.21886919444501</v>
      </c>
      <c r="M144" s="296">
        <f t="shared" ref="M144" si="277">SUM(M142:M143)</f>
        <v>859.21886919444501</v>
      </c>
      <c r="N144" s="296">
        <f t="shared" ref="N144:O144" si="278">SUM(N142:N143)</f>
        <v>859.21886919444501</v>
      </c>
      <c r="O144" s="251">
        <f t="shared" si="278"/>
        <v>10310.626430333341</v>
      </c>
    </row>
    <row r="145" spans="1:15">
      <c r="A145" s="4" t="s">
        <v>65</v>
      </c>
      <c r="B145" s="249">
        <v>0.25</v>
      </c>
      <c r="C145" s="295">
        <f>+C144*$B$29</f>
        <v>214.80471729861125</v>
      </c>
      <c r="D145" s="295">
        <f t="shared" ref="D145" si="279">+D144*$B$29</f>
        <v>214.80471729861125</v>
      </c>
      <c r="E145" s="295">
        <f t="shared" ref="E145" si="280">+E144*$B$29</f>
        <v>214.80471729861125</v>
      </c>
      <c r="F145" s="295">
        <f t="shared" ref="F145" si="281">+F144*$B$29</f>
        <v>214.80471729861125</v>
      </c>
      <c r="G145" s="295">
        <f t="shared" ref="G145" si="282">+G144*$B$29</f>
        <v>214.80471729861125</v>
      </c>
      <c r="H145" s="295">
        <f t="shared" ref="H145" si="283">+H144*$B$29</f>
        <v>214.80471729861125</v>
      </c>
      <c r="I145" s="295">
        <f t="shared" ref="I145" si="284">+I144*$B$29</f>
        <v>214.80471729861125</v>
      </c>
      <c r="J145" s="295">
        <f t="shared" ref="J145" si="285">+J144*$B$29</f>
        <v>214.80471729861125</v>
      </c>
      <c r="K145" s="295">
        <f t="shared" ref="K145" si="286">+K144*$B$29</f>
        <v>214.80471729861125</v>
      </c>
      <c r="L145" s="295">
        <f t="shared" ref="L145" si="287">+L144*$B$29</f>
        <v>214.80471729861125</v>
      </c>
      <c r="M145" s="295">
        <f t="shared" ref="M145" si="288">+M144*$B$29</f>
        <v>214.80471729861125</v>
      </c>
      <c r="N145" s="295">
        <f t="shared" ref="N145" si="289">+N144*$B$29</f>
        <v>214.80471729861125</v>
      </c>
      <c r="O145" s="250">
        <f t="shared" si="255"/>
        <v>2577.6566075833348</v>
      </c>
    </row>
    <row r="146" spans="1:15">
      <c r="A146" s="2" t="s">
        <v>63</v>
      </c>
      <c r="B146" s="2"/>
      <c r="C146" s="296">
        <f>SUM(C144:C145)</f>
        <v>1074.0235864930562</v>
      </c>
      <c r="D146" s="296">
        <f t="shared" ref="D146" si="290">SUM(D144:D145)</f>
        <v>1074.0235864930562</v>
      </c>
      <c r="E146" s="296">
        <f t="shared" ref="E146" si="291">SUM(E144:E145)</f>
        <v>1074.0235864930562</v>
      </c>
      <c r="F146" s="296">
        <f t="shared" ref="F146" si="292">SUM(F144:F145)</f>
        <v>1074.0235864930562</v>
      </c>
      <c r="G146" s="296">
        <f t="shared" ref="G146" si="293">SUM(G144:G145)</f>
        <v>1074.0235864930562</v>
      </c>
      <c r="H146" s="296">
        <f t="shared" ref="H146" si="294">SUM(H144:H145)</f>
        <v>1074.0235864930562</v>
      </c>
      <c r="I146" s="296">
        <f t="shared" ref="I146" si="295">SUM(I144:I145)</f>
        <v>1074.0235864930562</v>
      </c>
      <c r="J146" s="296">
        <f t="shared" ref="J146" si="296">SUM(J144:J145)</f>
        <v>1074.0235864930562</v>
      </c>
      <c r="K146" s="296">
        <f t="shared" ref="K146" si="297">SUM(K144:K145)</f>
        <v>1074.0235864930562</v>
      </c>
      <c r="L146" s="296">
        <f t="shared" ref="L146" si="298">SUM(L144:L145)</f>
        <v>1074.0235864930562</v>
      </c>
      <c r="M146" s="296">
        <f t="shared" ref="M146" si="299">SUM(M144:M145)</f>
        <v>1074.0235864930562</v>
      </c>
      <c r="N146" s="296">
        <f t="shared" ref="N146:O146" si="300">SUM(N144:N145)</f>
        <v>1074.0235864930562</v>
      </c>
      <c r="O146" s="251">
        <f t="shared" si="300"/>
        <v>12888.283037916675</v>
      </c>
    </row>
    <row r="147" spans="1:15">
      <c r="A147" s="9"/>
      <c r="B147" s="9"/>
      <c r="C147" s="293"/>
      <c r="D147" s="293"/>
      <c r="E147" s="293"/>
      <c r="F147" s="293"/>
      <c r="G147" s="293"/>
      <c r="H147" s="293"/>
      <c r="I147" s="293"/>
      <c r="J147" s="293"/>
      <c r="K147" s="293"/>
      <c r="L147" s="293"/>
      <c r="M147" s="293"/>
      <c r="N147" s="293"/>
      <c r="O147" s="56"/>
    </row>
    <row r="149" spans="1:15">
      <c r="A149" s="9"/>
    </row>
  </sheetData>
  <mergeCells count="8">
    <mergeCell ref="C121:N121"/>
    <mergeCell ref="C38:N38"/>
    <mergeCell ref="C66:N66"/>
    <mergeCell ref="C92:N92"/>
    <mergeCell ref="C1:N1"/>
    <mergeCell ref="C2:N2"/>
    <mergeCell ref="C3:N3"/>
    <mergeCell ref="C5:N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1200" r:id="rId1"/>
  <ignoredErrors>
    <ignoredError sqref="A1:XFD5 A22:XFD23 B19 O19:XFD19 E11:XFD11 A10:XFD10 A9:C9 P9:XFD9 A43:XFD44 A42:C42 P42:XFD42 A71:XFD72 A70:C70 P70:XFD70 A97:XFD98 A96:C96 P96:XFD96 A126:XFD127 A125:C125 P125:XFD125 A11:B12 O12:XFD12 A45:B45 O45:XFD45 A73:B73 O73:XFD73 A99:B99 O99:XFD99 A128:B128 O128:XFD128 A13:XFD16 A60:XFD66 A109:XFD110 A138:XFD139 A27:N27 A26:B26 A53:B53 A81:B81 A114:XFD118 B111:N111 A144:XFD148 B142 A59:B59 P59:XFD59 A87:B87 P87:XFD87 A113:B113 P113:XFD113 P111:XFD111 A140:N140 P140:XFD140 A143:N143 P142:XFD143 B18:XFD18 A17:N17 P17:XFD17 B21 P21:XFD21 A29:XFD29 A28:C28 A31:XFD38 A30:N30 P30:XFD30 A24:N24 P24:XFD24 P26:XFD28 A46:XFD50 A74:XFD78 B79:XFD79 B51:XFD51 A100:XFD104 A83:XFD85 B82 A55:XFD57 B54 B107:B108 B105:XFD105 A129:XFD133 B136:B137 B134:XFD134 P53:XFD54 P81:XFD82 P107:XFD108 P136:XFD137 A7:XFD8 A6:J6 O6:XFD6 A40:XFD41 A39:J39 O39:XFD39 A68:XFD69 A67:J67 O67:XFD67 A94:XFD95 A93:J93 O93:XFD93 A123:XFD124 A122:J122 O122:XFD122 A88:XFD92 A120:XFD121 A119:J119 L119:XFD119 A150:XFD1048576 B149:XFD149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O49"/>
  <sheetViews>
    <sheetView tabSelected="1" topLeftCell="C1" workbookViewId="0">
      <pane ySplit="4" topLeftCell="A37" activePane="bottomLeft" state="frozen"/>
      <selection pane="bottomLeft" activeCell="I44" sqref="I44:M49"/>
    </sheetView>
  </sheetViews>
  <sheetFormatPr defaultColWidth="9.140625" defaultRowHeight="12.75"/>
  <cols>
    <col min="1" max="1" width="41" style="215" bestFit="1" customWidth="1"/>
    <col min="2" max="2" width="11.7109375" style="215" customWidth="1"/>
    <col min="3" max="7" width="11.140625" style="215" bestFit="1" customWidth="1"/>
    <col min="8" max="8" width="9.140625" style="215"/>
    <col min="9" max="9" width="9.42578125" style="215" bestFit="1" customWidth="1"/>
    <col min="10" max="10" width="10.85546875" style="215" customWidth="1"/>
    <col min="11" max="11" width="10.140625" style="215" customWidth="1"/>
    <col min="12" max="12" width="17" style="215" customWidth="1"/>
    <col min="13" max="13" width="16" style="215" customWidth="1"/>
    <col min="14" max="16384" width="9.140625" style="215"/>
  </cols>
  <sheetData>
    <row r="1" spans="1:7">
      <c r="A1" s="302" t="s">
        <v>280</v>
      </c>
      <c r="B1" s="302"/>
      <c r="C1" s="302"/>
      <c r="D1" s="302"/>
      <c r="E1" s="302"/>
      <c r="F1" s="302"/>
      <c r="G1" s="302"/>
    </row>
    <row r="2" spans="1:7">
      <c r="A2" s="302" t="s">
        <v>320</v>
      </c>
      <c r="B2" s="302"/>
      <c r="C2" s="302"/>
      <c r="D2" s="302"/>
      <c r="E2" s="302"/>
      <c r="F2" s="302"/>
      <c r="G2" s="302"/>
    </row>
    <row r="3" spans="1:7">
      <c r="A3" s="302" t="s">
        <v>282</v>
      </c>
      <c r="B3" s="302"/>
      <c r="C3" s="302"/>
      <c r="D3" s="302"/>
      <c r="E3" s="302"/>
      <c r="F3" s="302"/>
      <c r="G3" s="302"/>
    </row>
    <row r="4" spans="1:7">
      <c r="A4" s="172"/>
      <c r="B4" s="216" t="s">
        <v>328</v>
      </c>
      <c r="C4" s="216" t="s">
        <v>10</v>
      </c>
      <c r="D4" s="216" t="s">
        <v>21</v>
      </c>
      <c r="E4" s="216" t="s">
        <v>20</v>
      </c>
      <c r="F4" s="216" t="s">
        <v>22</v>
      </c>
      <c r="G4" s="216" t="s">
        <v>23</v>
      </c>
    </row>
    <row r="5" spans="1:7">
      <c r="A5" s="4" t="s">
        <v>301</v>
      </c>
      <c r="B5" s="241"/>
      <c r="C5" s="241">
        <f>+'P&amp;G'!O7</f>
        <v>60066.359999999993</v>
      </c>
      <c r="D5" s="241">
        <f>+'P&amp;G'!O40</f>
        <v>84092.903999999995</v>
      </c>
      <c r="E5" s="241">
        <f>+'P&amp;G'!O68</f>
        <v>122227.27372800003</v>
      </c>
      <c r="F5" s="241">
        <f>+'P&amp;G'!O94</f>
        <v>91670.455296</v>
      </c>
      <c r="G5" s="241">
        <f>+'P&amp;G'!O123</f>
        <v>91670.455296</v>
      </c>
    </row>
    <row r="6" spans="1:7">
      <c r="A6" s="4" t="s">
        <v>283</v>
      </c>
      <c r="B6" s="241"/>
      <c r="C6" s="241">
        <f>+'P&amp;G'!O8</f>
        <v>34201.440000000002</v>
      </c>
      <c r="D6" s="241">
        <f>+'P&amp;G'!O41</f>
        <v>47882.015999999981</v>
      </c>
      <c r="E6" s="241">
        <f>+'P&amp;G'!O69</f>
        <v>69606.77068799999</v>
      </c>
      <c r="F6" s="241">
        <f>+'P&amp;G'!O95</f>
        <v>52205.078016000007</v>
      </c>
      <c r="G6" s="241">
        <f>+'P&amp;G'!O124</f>
        <v>52205.078016000007</v>
      </c>
    </row>
    <row r="7" spans="1:7" s="55" customFormat="1">
      <c r="A7" s="2" t="s">
        <v>284</v>
      </c>
      <c r="B7" s="238"/>
      <c r="C7" s="238">
        <f>+C5-C6</f>
        <v>25864.919999999991</v>
      </c>
      <c r="D7" s="238">
        <f t="shared" ref="D7:G7" si="0">+D5-D6</f>
        <v>36210.888000000014</v>
      </c>
      <c r="E7" s="238">
        <f t="shared" si="0"/>
        <v>52620.50304000004</v>
      </c>
      <c r="F7" s="238">
        <f t="shared" si="0"/>
        <v>39465.377279999993</v>
      </c>
      <c r="G7" s="238">
        <f t="shared" si="0"/>
        <v>39465.377279999993</v>
      </c>
    </row>
    <row r="8" spans="1:7" s="55" customFormat="1">
      <c r="A8" s="2" t="s">
        <v>287</v>
      </c>
      <c r="B8" s="238"/>
      <c r="C8" s="238"/>
      <c r="D8" s="238"/>
      <c r="E8" s="238"/>
      <c r="F8" s="238"/>
      <c r="G8" s="238"/>
    </row>
    <row r="9" spans="1:7">
      <c r="A9" s="4" t="s">
        <v>295</v>
      </c>
      <c r="B9" s="241"/>
      <c r="C9" s="241">
        <f>+'P&amp;G'!O11</f>
        <v>17187.240000000002</v>
      </c>
      <c r="D9" s="241">
        <f>+'P&amp;G'!O44</f>
        <v>17187.240000000002</v>
      </c>
      <c r="E9" s="241">
        <f>+'P&amp;G'!O72</f>
        <v>18905.963999999996</v>
      </c>
      <c r="F9" s="241">
        <f>+'P&amp;G'!O98</f>
        <v>18905.963999999996</v>
      </c>
      <c r="G9" s="241">
        <f>+'P&amp;G'!O127</f>
        <v>18905.963999999996</v>
      </c>
    </row>
    <row r="10" spans="1:7">
      <c r="A10" s="4" t="s">
        <v>290</v>
      </c>
      <c r="B10" s="241"/>
      <c r="C10" s="241">
        <f>+'P&amp;G'!O12</f>
        <v>1840.3033333333331</v>
      </c>
      <c r="D10" s="241">
        <f>+'P&amp;G'!O45</f>
        <v>1840.3033333333331</v>
      </c>
      <c r="E10" s="241">
        <f>+'P&amp;G'!O73</f>
        <v>2004.3336666666662</v>
      </c>
      <c r="F10" s="241">
        <f>+'P&amp;G'!O99</f>
        <v>2004.3336666666662</v>
      </c>
      <c r="G10" s="241">
        <f>+'P&amp;G'!O128</f>
        <v>2004.3336666666662</v>
      </c>
    </row>
    <row r="11" spans="1:7">
      <c r="A11" s="4" t="s">
        <v>294</v>
      </c>
      <c r="B11" s="241"/>
      <c r="C11" s="241">
        <f>+'P&amp;G'!O13</f>
        <v>3900</v>
      </c>
      <c r="D11" s="241">
        <f>+'P&amp;G'!O46</f>
        <v>3900</v>
      </c>
      <c r="E11" s="241">
        <f>+'P&amp;G'!O74</f>
        <v>3900</v>
      </c>
      <c r="F11" s="241">
        <f>+'P&amp;G'!O100</f>
        <v>3900</v>
      </c>
      <c r="G11" s="241">
        <f>+'P&amp;G'!O129</f>
        <v>3900</v>
      </c>
    </row>
    <row r="12" spans="1:7">
      <c r="A12" s="4" t="s">
        <v>300</v>
      </c>
      <c r="B12" s="241"/>
      <c r="C12" s="241">
        <f>+'P&amp;G'!O14</f>
        <v>97.5</v>
      </c>
      <c r="D12" s="241">
        <f>+'P&amp;G'!O47</f>
        <v>97.5</v>
      </c>
      <c r="E12" s="241">
        <f>+'P&amp;G'!O75</f>
        <v>97.5</v>
      </c>
      <c r="F12" s="241">
        <f>+'P&amp;G'!O101</f>
        <v>97.5</v>
      </c>
      <c r="G12" s="241">
        <f>+'P&amp;G'!O130</f>
        <v>97.5</v>
      </c>
    </row>
    <row r="13" spans="1:7">
      <c r="A13" s="4" t="s">
        <v>296</v>
      </c>
      <c r="B13" s="241"/>
      <c r="C13" s="241">
        <f>+'P&amp;G'!O15</f>
        <v>2280</v>
      </c>
      <c r="D13" s="241">
        <f>+'P&amp;G'!O48</f>
        <v>2280</v>
      </c>
      <c r="E13" s="241">
        <f>+'P&amp;G'!O76</f>
        <v>2280</v>
      </c>
      <c r="F13" s="241">
        <f>+'P&amp;G'!O102</f>
        <v>2280</v>
      </c>
      <c r="G13" s="241">
        <f>+'P&amp;G'!O131</f>
        <v>2280</v>
      </c>
    </row>
    <row r="14" spans="1:7">
      <c r="A14" s="4" t="s">
        <v>458</v>
      </c>
      <c r="B14" s="241"/>
      <c r="C14" s="241">
        <f>+'P&amp;G'!O16</f>
        <v>187.19999999999996</v>
      </c>
      <c r="D14" s="241">
        <f>+'P&amp;G'!O49</f>
        <v>187.19999999999996</v>
      </c>
      <c r="E14" s="241">
        <f>+'P&amp;G'!O77</f>
        <v>187.19999999999996</v>
      </c>
      <c r="F14" s="241">
        <f>+'P&amp;G'!O103</f>
        <v>187.19999999999996</v>
      </c>
      <c r="G14" s="241">
        <f>+'P&amp;G'!O132</f>
        <v>187.19999999999996</v>
      </c>
    </row>
    <row r="15" spans="1:7" s="55" customFormat="1">
      <c r="A15" s="2" t="s">
        <v>297</v>
      </c>
      <c r="B15" s="238"/>
      <c r="C15" s="238">
        <f>SUM(C9:C14)</f>
        <v>25492.243333333336</v>
      </c>
      <c r="D15" s="238">
        <f t="shared" ref="D15:G15" si="1">SUM(D9:D14)</f>
        <v>25492.243333333336</v>
      </c>
      <c r="E15" s="238">
        <f t="shared" si="1"/>
        <v>27374.997666666663</v>
      </c>
      <c r="F15" s="238">
        <f t="shared" si="1"/>
        <v>27374.997666666663</v>
      </c>
      <c r="G15" s="238">
        <f t="shared" si="1"/>
        <v>27374.997666666663</v>
      </c>
    </row>
    <row r="16" spans="1:7" s="55" customFormat="1">
      <c r="A16" s="2" t="s">
        <v>519</v>
      </c>
      <c r="B16" s="238"/>
      <c r="C16" s="238"/>
      <c r="D16" s="238"/>
      <c r="E16" s="238"/>
      <c r="F16" s="238"/>
      <c r="G16" s="238"/>
    </row>
    <row r="17" spans="1:7">
      <c r="A17" s="4" t="s">
        <v>501</v>
      </c>
      <c r="B17" s="241"/>
      <c r="C17" s="241">
        <f>+'P&amp;G'!O19</f>
        <v>352.41</v>
      </c>
      <c r="D17" s="241">
        <f>+'P&amp;G'!O52</f>
        <v>352.41</v>
      </c>
      <c r="E17" s="241">
        <f>+'P&amp;G'!O80</f>
        <v>352.41</v>
      </c>
      <c r="F17" s="241">
        <f>+'P&amp;G'!O106</f>
        <v>352.41</v>
      </c>
      <c r="G17" s="241">
        <f>+'P&amp;G'!O135</f>
        <v>352.41</v>
      </c>
    </row>
    <row r="18" spans="1:7">
      <c r="A18" s="4" t="s">
        <v>456</v>
      </c>
      <c r="B18" s="241"/>
      <c r="C18" s="241">
        <f>+'P&amp;G'!O20</f>
        <v>432</v>
      </c>
      <c r="D18" s="241">
        <f>+'P&amp;G'!O54</f>
        <v>784.41000000000008</v>
      </c>
      <c r="E18" s="241">
        <f>+'P&amp;G'!O82</f>
        <v>784.41000000000008</v>
      </c>
      <c r="F18" s="241">
        <f>+'P&amp;G'!O108</f>
        <v>784.41000000000008</v>
      </c>
      <c r="G18" s="241">
        <f>+'P&amp;G'!O137</f>
        <v>784.41000000000008</v>
      </c>
    </row>
    <row r="19" spans="1:7" s="55" customFormat="1">
      <c r="A19" s="2" t="s">
        <v>520</v>
      </c>
      <c r="B19" s="238"/>
      <c r="C19" s="238">
        <f>SUM(C17:C18)</f>
        <v>784.41000000000008</v>
      </c>
      <c r="D19" s="238">
        <f t="shared" ref="D19:G19" si="2">SUM(D17:D18)</f>
        <v>1136.8200000000002</v>
      </c>
      <c r="E19" s="238">
        <f t="shared" si="2"/>
        <v>1136.8200000000002</v>
      </c>
      <c r="F19" s="238">
        <f t="shared" si="2"/>
        <v>1136.8200000000002</v>
      </c>
      <c r="G19" s="238">
        <f t="shared" si="2"/>
        <v>1136.8200000000002</v>
      </c>
    </row>
    <row r="20" spans="1:7" s="55" customFormat="1">
      <c r="A20" s="2" t="s">
        <v>298</v>
      </c>
      <c r="B20" s="238"/>
      <c r="C20" s="238"/>
      <c r="D20" s="238"/>
      <c r="E20" s="238"/>
      <c r="F20" s="238"/>
      <c r="G20" s="238"/>
    </row>
    <row r="21" spans="1:7">
      <c r="A21" s="4" t="s">
        <v>266</v>
      </c>
      <c r="B21" s="241"/>
      <c r="C21" s="241">
        <f>+'P&amp;G'!O23</f>
        <v>2270.2075</v>
      </c>
      <c r="D21" s="241">
        <f>+'P&amp;G'!O56</f>
        <v>2270.2075</v>
      </c>
      <c r="E21" s="241">
        <f>+'P&amp;G'!O84</f>
        <v>2270.2075</v>
      </c>
      <c r="F21" s="241">
        <f>+'P&amp;G'!O110</f>
        <v>2270.2075</v>
      </c>
      <c r="G21" s="241">
        <f>+'P&amp;G'!O139</f>
        <v>2270.2075</v>
      </c>
    </row>
    <row r="22" spans="1:7">
      <c r="A22" s="4" t="s">
        <v>457</v>
      </c>
      <c r="B22" s="241"/>
      <c r="C22" s="241">
        <f>+'P&amp;G'!O24</f>
        <v>350.00000000000006</v>
      </c>
      <c r="D22" s="241">
        <f>+'P&amp;G'!O57</f>
        <v>280</v>
      </c>
      <c r="E22" s="241">
        <f>+'P&amp;G'!O85</f>
        <v>210</v>
      </c>
      <c r="F22" s="241">
        <f>+'P&amp;G'!O111</f>
        <v>140</v>
      </c>
      <c r="G22" s="241">
        <f>+'P&amp;G'!O140</f>
        <v>70</v>
      </c>
    </row>
    <row r="23" spans="1:7">
      <c r="A23" s="4" t="s">
        <v>500</v>
      </c>
      <c r="B23" s="241"/>
      <c r="C23" s="241">
        <f>+'P&amp;G'!O25</f>
        <v>269.28000000000003</v>
      </c>
      <c r="D23" s="241">
        <f>+'P&amp;G'!O58</f>
        <v>269.28000000000003</v>
      </c>
      <c r="E23" s="241">
        <f>+'P&amp;G'!O86</f>
        <v>269.28000000000003</v>
      </c>
      <c r="F23" s="241">
        <f>+'P&amp;G'!O112</f>
        <v>269.28000000000003</v>
      </c>
      <c r="G23" s="241">
        <f>+'P&amp;G'!O141</f>
        <v>269.28000000000003</v>
      </c>
    </row>
    <row r="24" spans="1:7" s="55" customFormat="1">
      <c r="A24" s="2" t="s">
        <v>299</v>
      </c>
      <c r="B24" s="238"/>
      <c r="C24" s="247">
        <f>+C7-C15-C19-C21-C22-C23</f>
        <v>-3301.2208333333451</v>
      </c>
      <c r="D24" s="247">
        <f t="shared" ref="D24:F24" si="3">+D7-D15-D19-D21-D22-D23</f>
        <v>6762.3371666666781</v>
      </c>
      <c r="E24" s="247">
        <f t="shared" si="3"/>
        <v>21359.197873333378</v>
      </c>
      <c r="F24" s="247">
        <f t="shared" si="3"/>
        <v>8274.07211333333</v>
      </c>
      <c r="G24" s="241">
        <f>+'P&amp;G'!O142</f>
        <v>8965.7621133333396</v>
      </c>
    </row>
    <row r="25" spans="1:7">
      <c r="A25" s="4" t="s">
        <v>64</v>
      </c>
      <c r="B25" s="249">
        <v>0.15</v>
      </c>
      <c r="C25" s="241">
        <f>+C24*$B$25</f>
        <v>-495.18312500000172</v>
      </c>
      <c r="D25" s="241">
        <f t="shared" ref="D25:F25" si="4">+D24*$B$25</f>
        <v>1014.3505750000016</v>
      </c>
      <c r="E25" s="241">
        <f t="shared" si="4"/>
        <v>3203.8796810000067</v>
      </c>
      <c r="F25" s="241">
        <f t="shared" si="4"/>
        <v>1241.1108169999995</v>
      </c>
      <c r="G25" s="241">
        <f>+'P&amp;G'!O143</f>
        <v>1344.8643170000005</v>
      </c>
    </row>
    <row r="26" spans="1:7" s="55" customFormat="1" ht="25.5">
      <c r="A26" s="217" t="s">
        <v>263</v>
      </c>
      <c r="B26" s="238"/>
      <c r="C26" s="238">
        <f>SUM(C24:C25)</f>
        <v>-3796.403958333347</v>
      </c>
      <c r="D26" s="238">
        <f t="shared" ref="D26:G26" si="5">SUM(D24:D25)</f>
        <v>7776.6877416666794</v>
      </c>
      <c r="E26" s="238">
        <f t="shared" si="5"/>
        <v>24563.077554333384</v>
      </c>
      <c r="F26" s="238">
        <f t="shared" si="5"/>
        <v>9515.1829303333288</v>
      </c>
      <c r="G26" s="238">
        <f t="shared" si="5"/>
        <v>10310.626430333341</v>
      </c>
    </row>
    <row r="27" spans="1:7">
      <c r="A27" s="4" t="s">
        <v>65</v>
      </c>
      <c r="B27" s="249">
        <v>0.25</v>
      </c>
      <c r="C27" s="241">
        <f>+C26*$B$27</f>
        <v>-949.10098958333674</v>
      </c>
      <c r="D27" s="241">
        <f t="shared" ref="D27:G27" si="6">+D26*$B$27</f>
        <v>1944.1719354166698</v>
      </c>
      <c r="E27" s="241">
        <f t="shared" si="6"/>
        <v>6140.769388583346</v>
      </c>
      <c r="F27" s="241">
        <f t="shared" si="6"/>
        <v>2378.7957325833322</v>
      </c>
      <c r="G27" s="241">
        <f t="shared" si="6"/>
        <v>2577.6566075833352</v>
      </c>
    </row>
    <row r="28" spans="1:7" s="55" customFormat="1">
      <c r="A28" s="2" t="s">
        <v>63</v>
      </c>
      <c r="B28" s="238"/>
      <c r="C28" s="238">
        <f>SUM(C26:C27)</f>
        <v>-4745.5049479166837</v>
      </c>
      <c r="D28" s="238">
        <f t="shared" ref="D28:G28" si="7">SUM(D26:D27)</f>
        <v>9720.8596770833501</v>
      </c>
      <c r="E28" s="238">
        <f t="shared" si="7"/>
        <v>30703.846942916731</v>
      </c>
      <c r="F28" s="238">
        <f t="shared" si="7"/>
        <v>11893.978662916661</v>
      </c>
      <c r="G28" s="238">
        <f t="shared" si="7"/>
        <v>12888.283037916677</v>
      </c>
    </row>
    <row r="29" spans="1:7">
      <c r="A29" s="172" t="s">
        <v>266</v>
      </c>
      <c r="B29" s="242"/>
      <c r="C29" s="241">
        <f>+C21</f>
        <v>2270.2075</v>
      </c>
      <c r="D29" s="241">
        <f t="shared" ref="D29:G29" si="8">+D21</f>
        <v>2270.2075</v>
      </c>
      <c r="E29" s="241">
        <f t="shared" si="8"/>
        <v>2270.2075</v>
      </c>
      <c r="F29" s="241">
        <f t="shared" si="8"/>
        <v>2270.2075</v>
      </c>
      <c r="G29" s="241">
        <f t="shared" si="8"/>
        <v>2270.2075</v>
      </c>
    </row>
    <row r="30" spans="1:7">
      <c r="A30" s="4" t="s">
        <v>500</v>
      </c>
      <c r="B30" s="242"/>
      <c r="C30" s="241">
        <f>+C23</f>
        <v>269.28000000000003</v>
      </c>
      <c r="D30" s="241">
        <f t="shared" ref="D30:G30" si="9">+D23</f>
        <v>269.28000000000003</v>
      </c>
      <c r="E30" s="241">
        <f t="shared" si="9"/>
        <v>269.28000000000003</v>
      </c>
      <c r="F30" s="241">
        <f t="shared" si="9"/>
        <v>269.28000000000003</v>
      </c>
      <c r="G30" s="241">
        <f t="shared" si="9"/>
        <v>269.28000000000003</v>
      </c>
    </row>
    <row r="31" spans="1:7">
      <c r="A31" s="4" t="s">
        <v>321</v>
      </c>
      <c r="B31" s="238">
        <f>+'Inversión Inicial'!B12</f>
        <v>29090.400000000001</v>
      </c>
      <c r="C31" s="241"/>
      <c r="D31" s="241"/>
      <c r="E31" s="241"/>
      <c r="F31" s="241"/>
      <c r="G31" s="241"/>
    </row>
    <row r="32" spans="1:7">
      <c r="A32" s="4" t="s">
        <v>322</v>
      </c>
      <c r="B32" s="238">
        <f>-'capital-trabajo'!C4</f>
        <v>6551.0199913194447</v>
      </c>
      <c r="C32" s="241"/>
      <c r="D32" s="241"/>
      <c r="E32" s="241"/>
      <c r="F32" s="241"/>
      <c r="G32" s="241"/>
    </row>
    <row r="33" spans="1:15">
      <c r="A33" s="4" t="s">
        <v>323</v>
      </c>
      <c r="B33" s="238">
        <v>7000</v>
      </c>
      <c r="C33" s="241"/>
      <c r="D33" s="241"/>
      <c r="E33" s="241"/>
      <c r="F33" s="241"/>
      <c r="G33" s="241"/>
    </row>
    <row r="34" spans="1:15">
      <c r="A34" s="4" t="s">
        <v>521</v>
      </c>
      <c r="B34" s="238"/>
      <c r="C34" s="241"/>
      <c r="D34" s="241"/>
      <c r="E34" s="241">
        <f>+'Muebles y Enseres'!E16</f>
        <v>3276</v>
      </c>
      <c r="F34" s="241"/>
      <c r="G34" s="241"/>
    </row>
    <row r="35" spans="1:15">
      <c r="A35" s="4" t="s">
        <v>324</v>
      </c>
      <c r="B35" s="242"/>
      <c r="C35" s="241">
        <f>+[1]PRESTAMO!$B$18</f>
        <v>1616.82</v>
      </c>
      <c r="D35" s="241">
        <f>+[1]PRESTAMO!$B$18</f>
        <v>1616.82</v>
      </c>
      <c r="E35" s="241">
        <f>+[1]PRESTAMO!$B$18</f>
        <v>1616.82</v>
      </c>
      <c r="F35" s="241">
        <f>+[1]PRESTAMO!$B$18</f>
        <v>1616.82</v>
      </c>
      <c r="G35" s="241">
        <f>+[1]PRESTAMO!$B$18</f>
        <v>1616.82</v>
      </c>
    </row>
    <row r="36" spans="1:15">
      <c r="A36" s="4" t="s">
        <v>325</v>
      </c>
      <c r="B36" s="242"/>
      <c r="C36" s="241"/>
      <c r="D36" s="241"/>
      <c r="E36" s="241"/>
      <c r="F36" s="241"/>
      <c r="G36" s="243">
        <f>(F37-G21-G23)/0.128</f>
        <v>76082.802054036409</v>
      </c>
    </row>
    <row r="37" spans="1:15">
      <c r="A37" s="239" t="s">
        <v>329</v>
      </c>
      <c r="B37" s="238">
        <f>-B31-B32+B33</f>
        <v>-28641.419991319446</v>
      </c>
      <c r="C37" s="238">
        <f>+C28+C29-C35-C30</f>
        <v>-4361.3974479166836</v>
      </c>
      <c r="D37" s="238">
        <f t="shared" ref="D37:G37" si="10">+D28+D29-D35-D30</f>
        <v>10104.96717708335</v>
      </c>
      <c r="E37" s="238">
        <f>+E28+E29-E35-E30-E34</f>
        <v>27811.954442916729</v>
      </c>
      <c r="F37" s="238">
        <f t="shared" si="10"/>
        <v>12278.086162916661</v>
      </c>
      <c r="G37" s="238">
        <f t="shared" si="10"/>
        <v>13272.390537916677</v>
      </c>
    </row>
    <row r="40" spans="1:15">
      <c r="A40" s="216" t="s">
        <v>326</v>
      </c>
      <c r="B40" s="238">
        <f>NPV(12.28%,C37:G37)+B37</f>
        <v>10301.021054770528</v>
      </c>
    </row>
    <row r="41" spans="1:15">
      <c r="A41" s="216" t="s">
        <v>327</v>
      </c>
      <c r="B41" s="244">
        <f>IRR(B37:G37)</f>
        <v>0.22409698225352107</v>
      </c>
    </row>
    <row r="44" spans="1:15" ht="38.25">
      <c r="I44" s="349" t="s">
        <v>529</v>
      </c>
      <c r="J44" s="349" t="s">
        <v>530</v>
      </c>
      <c r="K44" s="349" t="s">
        <v>531</v>
      </c>
      <c r="L44" s="349" t="s">
        <v>532</v>
      </c>
      <c r="M44" s="349" t="s">
        <v>533</v>
      </c>
      <c r="N44" s="348"/>
      <c r="O44" s="348"/>
    </row>
    <row r="45" spans="1:15">
      <c r="I45" s="3">
        <v>1</v>
      </c>
      <c r="J45" s="247">
        <v>28641</v>
      </c>
      <c r="K45" s="247">
        <v>-4361.39744791668</v>
      </c>
      <c r="L45" s="247">
        <f>+J45*12.28%</f>
        <v>3517.1147999999998</v>
      </c>
      <c r="M45" s="247">
        <f>+K45-L45</f>
        <v>-7878.5122479166803</v>
      </c>
    </row>
    <row r="46" spans="1:15">
      <c r="I46" s="3">
        <v>2</v>
      </c>
      <c r="J46" s="247">
        <f>+J45-M45</f>
        <v>36519.512247916682</v>
      </c>
      <c r="K46" s="247">
        <v>10104.96717708335</v>
      </c>
      <c r="L46" s="247">
        <f t="shared" ref="L46:L49" si="11">+J46*12.28%</f>
        <v>4484.596104044168</v>
      </c>
      <c r="M46" s="247">
        <f t="shared" ref="M46:M49" si="12">+K46-L46</f>
        <v>5620.3710730391822</v>
      </c>
    </row>
    <row r="47" spans="1:15">
      <c r="I47" s="3">
        <v>3</v>
      </c>
      <c r="J47" s="247">
        <f t="shared" ref="J47:J49" si="13">+J46-M46</f>
        <v>30899.141174877499</v>
      </c>
      <c r="K47" s="247">
        <v>27811.954442916729</v>
      </c>
      <c r="L47" s="247">
        <f t="shared" si="11"/>
        <v>3794.4145362749568</v>
      </c>
      <c r="M47" s="247">
        <f t="shared" si="12"/>
        <v>24017.539906641774</v>
      </c>
    </row>
    <row r="48" spans="1:15">
      <c r="I48" s="3">
        <v>4</v>
      </c>
      <c r="J48" s="247">
        <f t="shared" si="13"/>
        <v>6881.601268235725</v>
      </c>
      <c r="K48" s="247">
        <v>12278.086162916661</v>
      </c>
      <c r="L48" s="247">
        <f t="shared" si="11"/>
        <v>845.06063573934694</v>
      </c>
      <c r="M48" s="247">
        <f t="shared" si="12"/>
        <v>11433.025527177315</v>
      </c>
    </row>
    <row r="49" spans="9:13">
      <c r="I49" s="3">
        <v>5</v>
      </c>
      <c r="J49" s="247">
        <f t="shared" si="13"/>
        <v>-4551.4242589415899</v>
      </c>
      <c r="K49" s="247">
        <v>13272.390537916677</v>
      </c>
      <c r="L49" s="247">
        <f t="shared" si="11"/>
        <v>-558.91489899802718</v>
      </c>
      <c r="M49" s="247">
        <f t="shared" si="12"/>
        <v>13831.305436914705</v>
      </c>
    </row>
  </sheetData>
  <mergeCells count="3">
    <mergeCell ref="A1:G1"/>
    <mergeCell ref="A2:G2"/>
    <mergeCell ref="A3:G3"/>
  </mergeCells>
  <pageMargins left="0.7" right="0.7" top="0.75" bottom="0.75" header="0.3" footer="0.3"/>
  <ignoredErrors>
    <ignoredError sqref="C27:D27 E27:G27 E37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13" sqref="B13"/>
    </sheetView>
  </sheetViews>
  <sheetFormatPr defaultColWidth="9.140625" defaultRowHeight="12.75"/>
  <cols>
    <col min="1" max="1" width="20.28515625" bestFit="1" customWidth="1"/>
    <col min="2" max="2" width="49.42578125" bestFit="1" customWidth="1"/>
    <col min="3" max="3" width="4.7109375" bestFit="1" customWidth="1"/>
    <col min="4" max="4" width="17.7109375" bestFit="1" customWidth="1"/>
  </cols>
  <sheetData>
    <row r="1" spans="1:4">
      <c r="A1" s="55" t="s">
        <v>326</v>
      </c>
      <c r="B1" t="s">
        <v>464</v>
      </c>
      <c r="C1" s="240">
        <v>0.05</v>
      </c>
      <c r="D1" t="s">
        <v>465</v>
      </c>
    </row>
    <row r="2" spans="1:4">
      <c r="C2" s="240">
        <v>0.1</v>
      </c>
      <c r="D2" t="s">
        <v>465</v>
      </c>
    </row>
    <row r="3" spans="1:4">
      <c r="B3" t="s">
        <v>248</v>
      </c>
      <c r="C3" s="240">
        <v>0.05</v>
      </c>
      <c r="D3" t="s">
        <v>466</v>
      </c>
    </row>
    <row r="4" spans="1:4">
      <c r="A4" s="55" t="s">
        <v>467</v>
      </c>
      <c r="C4" s="240">
        <v>0.1</v>
      </c>
      <c r="D4" t="s">
        <v>468</v>
      </c>
    </row>
    <row r="5" spans="1:4">
      <c r="A5" s="55" t="s">
        <v>469</v>
      </c>
      <c r="C5" s="240">
        <v>0.15</v>
      </c>
      <c r="D5" t="s">
        <v>468</v>
      </c>
    </row>
    <row r="6" spans="1:4">
      <c r="B6" t="s">
        <v>470</v>
      </c>
      <c r="C6" s="240">
        <v>0.15</v>
      </c>
      <c r="D6" t="s">
        <v>466</v>
      </c>
    </row>
    <row r="7" spans="1:4">
      <c r="C7" s="240">
        <v>0.25</v>
      </c>
      <c r="D7" t="s">
        <v>468</v>
      </c>
    </row>
    <row r="8" spans="1:4">
      <c r="C8" s="240">
        <v>0.3</v>
      </c>
      <c r="D8" t="s">
        <v>468</v>
      </c>
    </row>
    <row r="10" spans="1:4">
      <c r="A10" s="55" t="s">
        <v>471</v>
      </c>
    </row>
    <row r="12" spans="1:4">
      <c r="A12" s="55" t="s">
        <v>472</v>
      </c>
    </row>
    <row r="13" spans="1:4">
      <c r="B13" t="s">
        <v>473</v>
      </c>
    </row>
    <row r="14" spans="1:4">
      <c r="B14" t="s">
        <v>326</v>
      </c>
    </row>
    <row r="15" spans="1:4">
      <c r="B15" t="s">
        <v>474</v>
      </c>
    </row>
    <row r="16" spans="1:4">
      <c r="B16" t="s">
        <v>475</v>
      </c>
    </row>
    <row r="17" spans="1:2">
      <c r="B17" t="s">
        <v>476</v>
      </c>
    </row>
    <row r="19" spans="1:2">
      <c r="A19" s="55" t="s">
        <v>477</v>
      </c>
    </row>
    <row r="20" spans="1:2">
      <c r="B20" t="s">
        <v>478</v>
      </c>
    </row>
    <row r="21" spans="1:2">
      <c r="B21" t="s">
        <v>479</v>
      </c>
    </row>
    <row r="22" spans="1:2">
      <c r="B22" t="s">
        <v>480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43"/>
  <sheetViews>
    <sheetView workbookViewId="0">
      <selection sqref="A1:F8"/>
    </sheetView>
  </sheetViews>
  <sheetFormatPr defaultColWidth="9.140625" defaultRowHeight="12.75"/>
  <cols>
    <col min="1" max="1" width="24.7109375" style="6" customWidth="1"/>
    <col min="2" max="2" width="10.7109375" style="6" bestFit="1" customWidth="1"/>
    <col min="3" max="4" width="10.5703125" style="6" bestFit="1" customWidth="1"/>
    <col min="5" max="5" width="14.28515625" style="6" customWidth="1"/>
    <col min="6" max="6" width="14.140625" style="6" customWidth="1"/>
    <col min="7" max="7" width="10.5703125" style="61" bestFit="1" customWidth="1"/>
    <col min="8" max="13" width="10.5703125" style="6" bestFit="1" customWidth="1"/>
    <col min="14" max="14" width="11.140625" style="6" bestFit="1" customWidth="1"/>
    <col min="15" max="16384" width="9.140625" style="6"/>
  </cols>
  <sheetData>
    <row r="1" spans="1:13">
      <c r="A1" s="303" t="s">
        <v>237</v>
      </c>
      <c r="B1" s="59" t="s">
        <v>232</v>
      </c>
      <c r="C1" s="59" t="s">
        <v>233</v>
      </c>
      <c r="D1" s="60" t="s">
        <v>234</v>
      </c>
      <c r="E1" s="303" t="s">
        <v>235</v>
      </c>
      <c r="F1" s="303" t="s">
        <v>236</v>
      </c>
    </row>
    <row r="2" spans="1:13" ht="36.75" customHeight="1">
      <c r="A2" s="304"/>
      <c r="B2" s="62" t="s">
        <v>238</v>
      </c>
      <c r="C2" s="62" t="s">
        <v>239</v>
      </c>
      <c r="D2" s="63" t="s">
        <v>240</v>
      </c>
      <c r="E2" s="304"/>
      <c r="F2" s="304"/>
    </row>
    <row r="3" spans="1:13">
      <c r="A3" s="4" t="s">
        <v>241</v>
      </c>
      <c r="B3" s="4" t="s">
        <v>444</v>
      </c>
      <c r="C3" s="222">
        <v>0</v>
      </c>
      <c r="D3" s="64">
        <v>0</v>
      </c>
      <c r="E3" s="57">
        <v>0</v>
      </c>
      <c r="F3" s="13">
        <f>+D3*E3</f>
        <v>0</v>
      </c>
      <c r="G3" s="64">
        <f>+F3/2</f>
        <v>0</v>
      </c>
      <c r="H3" s="3">
        <v>2</v>
      </c>
    </row>
    <row r="4" spans="1:13">
      <c r="A4" s="6" t="s">
        <v>452</v>
      </c>
      <c r="B4" s="4" t="s">
        <v>445</v>
      </c>
      <c r="C4" s="222">
        <v>0.5</v>
      </c>
      <c r="D4" s="64">
        <f>18144*C4</f>
        <v>9072</v>
      </c>
      <c r="E4" s="57">
        <f>+Costo!$B$51</f>
        <v>6.6210714285714296</v>
      </c>
      <c r="F4" s="13">
        <f t="shared" ref="F4:F7" si="0">+D4*E4</f>
        <v>60066.360000000008</v>
      </c>
      <c r="G4" s="64">
        <f>+F4/10</f>
        <v>6006.6360000000004</v>
      </c>
      <c r="H4" s="3">
        <v>10</v>
      </c>
    </row>
    <row r="5" spans="1:13">
      <c r="A5" s="4" t="s">
        <v>242</v>
      </c>
      <c r="B5" s="4" t="s">
        <v>446</v>
      </c>
      <c r="C5" s="222">
        <v>0.7</v>
      </c>
      <c r="D5" s="64">
        <f>18144*C5</f>
        <v>12700.8</v>
      </c>
      <c r="E5" s="57">
        <f>+Costo!$B$51</f>
        <v>6.6210714285714296</v>
      </c>
      <c r="F5" s="13">
        <f t="shared" si="0"/>
        <v>84092.90400000001</v>
      </c>
      <c r="G5" s="64">
        <f>+F5/12</f>
        <v>7007.7420000000011</v>
      </c>
      <c r="H5" s="3">
        <v>12</v>
      </c>
    </row>
    <row r="6" spans="1:13">
      <c r="A6" s="4" t="s">
        <v>447</v>
      </c>
      <c r="B6" s="4" t="s">
        <v>448</v>
      </c>
      <c r="C6" s="222">
        <v>0.9</v>
      </c>
      <c r="D6" s="64">
        <f>18144*C6</f>
        <v>16329.6</v>
      </c>
      <c r="E6" s="57">
        <f>+$A$25</f>
        <v>7.0171999999999999</v>
      </c>
      <c r="F6" s="13">
        <f t="shared" si="0"/>
        <v>114588.06912</v>
      </c>
      <c r="G6" s="64">
        <f>+F6/11</f>
        <v>10417.097192727273</v>
      </c>
      <c r="H6" s="3">
        <v>11</v>
      </c>
    </row>
    <row r="7" spans="1:13">
      <c r="A7" s="4" t="s">
        <v>243</v>
      </c>
      <c r="B7" s="4" t="s">
        <v>449</v>
      </c>
      <c r="C7" s="222">
        <v>1.5</v>
      </c>
      <c r="D7" s="64">
        <f>18144*C7</f>
        <v>27216</v>
      </c>
      <c r="E7" s="57">
        <f>+$A$25</f>
        <v>7.0171999999999999</v>
      </c>
      <c r="F7" s="13">
        <f t="shared" si="0"/>
        <v>190980.1152</v>
      </c>
      <c r="G7" s="64">
        <f>+F7/25</f>
        <v>7639.204608</v>
      </c>
      <c r="H7" s="3">
        <v>25</v>
      </c>
    </row>
    <row r="8" spans="1:13">
      <c r="F8" s="13">
        <f>SUM(F3:F7)</f>
        <v>449727.44832000002</v>
      </c>
    </row>
    <row r="9" spans="1:13">
      <c r="F9" s="65"/>
    </row>
    <row r="10" spans="1:13">
      <c r="A10" s="9" t="s">
        <v>302</v>
      </c>
    </row>
    <row r="11" spans="1:13">
      <c r="A11" s="67"/>
      <c r="B11" s="1" t="s">
        <v>303</v>
      </c>
      <c r="C11" s="1" t="s">
        <v>304</v>
      </c>
      <c r="D11" s="1" t="s">
        <v>305</v>
      </c>
      <c r="E11" s="1" t="s">
        <v>306</v>
      </c>
      <c r="F11" s="1" t="s">
        <v>307</v>
      </c>
      <c r="G11" s="5" t="s">
        <v>308</v>
      </c>
      <c r="H11" s="1" t="s">
        <v>309</v>
      </c>
      <c r="I11" s="1" t="s">
        <v>310</v>
      </c>
      <c r="J11" s="1" t="s">
        <v>311</v>
      </c>
      <c r="K11" s="1" t="s">
        <v>312</v>
      </c>
      <c r="L11" s="1" t="s">
        <v>313</v>
      </c>
      <c r="M11" s="1" t="s">
        <v>314</v>
      </c>
    </row>
    <row r="12" spans="1:13">
      <c r="A12" s="2" t="s">
        <v>10</v>
      </c>
      <c r="B12" s="223">
        <f>+$G$3</f>
        <v>0</v>
      </c>
      <c r="C12" s="223">
        <f>+$G$3</f>
        <v>0</v>
      </c>
      <c r="D12" s="223">
        <f t="shared" ref="D12:M12" si="1">+$G$4</f>
        <v>6006.6360000000004</v>
      </c>
      <c r="E12" s="223">
        <f t="shared" si="1"/>
        <v>6006.6360000000004</v>
      </c>
      <c r="F12" s="223">
        <f t="shared" si="1"/>
        <v>6006.6360000000004</v>
      </c>
      <c r="G12" s="223">
        <f t="shared" si="1"/>
        <v>6006.6360000000004</v>
      </c>
      <c r="H12" s="223">
        <f t="shared" si="1"/>
        <v>6006.6360000000004</v>
      </c>
      <c r="I12" s="223">
        <f t="shared" si="1"/>
        <v>6006.6360000000004</v>
      </c>
      <c r="J12" s="223">
        <f t="shared" si="1"/>
        <v>6006.6360000000004</v>
      </c>
      <c r="K12" s="223">
        <f t="shared" si="1"/>
        <v>6006.6360000000004</v>
      </c>
      <c r="L12" s="223">
        <f t="shared" si="1"/>
        <v>6006.6360000000004</v>
      </c>
      <c r="M12" s="223">
        <f t="shared" si="1"/>
        <v>6006.6360000000004</v>
      </c>
    </row>
    <row r="13" spans="1:13">
      <c r="A13" s="2" t="s">
        <v>21</v>
      </c>
      <c r="B13" s="223">
        <f>+$G$5</f>
        <v>7007.7420000000011</v>
      </c>
      <c r="C13" s="223">
        <f t="shared" ref="C13:M13" si="2">+$G$5</f>
        <v>7007.7420000000011</v>
      </c>
      <c r="D13" s="223">
        <f t="shared" si="2"/>
        <v>7007.7420000000011</v>
      </c>
      <c r="E13" s="223">
        <f t="shared" si="2"/>
        <v>7007.7420000000011</v>
      </c>
      <c r="F13" s="223">
        <f t="shared" si="2"/>
        <v>7007.7420000000011</v>
      </c>
      <c r="G13" s="223">
        <f t="shared" si="2"/>
        <v>7007.7420000000011</v>
      </c>
      <c r="H13" s="223">
        <f t="shared" si="2"/>
        <v>7007.7420000000011</v>
      </c>
      <c r="I13" s="223">
        <f t="shared" si="2"/>
        <v>7007.7420000000011</v>
      </c>
      <c r="J13" s="223">
        <f t="shared" si="2"/>
        <v>7007.7420000000011</v>
      </c>
      <c r="K13" s="223">
        <f t="shared" si="2"/>
        <v>7007.7420000000011</v>
      </c>
      <c r="L13" s="223">
        <f t="shared" si="2"/>
        <v>7007.7420000000011</v>
      </c>
      <c r="M13" s="223">
        <f t="shared" si="2"/>
        <v>7007.7420000000011</v>
      </c>
    </row>
    <row r="14" spans="1:13">
      <c r="A14" s="2" t="s">
        <v>20</v>
      </c>
      <c r="B14" s="223">
        <f>+$G$6</f>
        <v>10417.097192727273</v>
      </c>
      <c r="C14" s="223">
        <f t="shared" ref="C14:L14" si="3">+$G$6</f>
        <v>10417.097192727273</v>
      </c>
      <c r="D14" s="223">
        <f t="shared" si="3"/>
        <v>10417.097192727273</v>
      </c>
      <c r="E14" s="223">
        <f t="shared" si="3"/>
        <v>10417.097192727273</v>
      </c>
      <c r="F14" s="223">
        <f t="shared" si="3"/>
        <v>10417.097192727273</v>
      </c>
      <c r="G14" s="223">
        <f t="shared" si="3"/>
        <v>10417.097192727273</v>
      </c>
      <c r="H14" s="223">
        <f t="shared" si="3"/>
        <v>10417.097192727273</v>
      </c>
      <c r="I14" s="223">
        <f t="shared" si="3"/>
        <v>10417.097192727273</v>
      </c>
      <c r="J14" s="223">
        <f t="shared" si="3"/>
        <v>10417.097192727273</v>
      </c>
      <c r="K14" s="223">
        <f t="shared" si="3"/>
        <v>10417.097192727273</v>
      </c>
      <c r="L14" s="223">
        <f t="shared" si="3"/>
        <v>10417.097192727273</v>
      </c>
      <c r="M14" s="223">
        <f>+$G$7</f>
        <v>7639.204608</v>
      </c>
    </row>
    <row r="15" spans="1:13">
      <c r="A15" s="2" t="s">
        <v>22</v>
      </c>
      <c r="B15" s="223">
        <f>+$G$7</f>
        <v>7639.204608</v>
      </c>
      <c r="C15" s="223">
        <f t="shared" ref="C15:M16" si="4">+$G$7</f>
        <v>7639.204608</v>
      </c>
      <c r="D15" s="223">
        <f t="shared" si="4"/>
        <v>7639.204608</v>
      </c>
      <c r="E15" s="223">
        <f t="shared" si="4"/>
        <v>7639.204608</v>
      </c>
      <c r="F15" s="223">
        <f t="shared" si="4"/>
        <v>7639.204608</v>
      </c>
      <c r="G15" s="223">
        <f t="shared" si="4"/>
        <v>7639.204608</v>
      </c>
      <c r="H15" s="223">
        <f t="shared" si="4"/>
        <v>7639.204608</v>
      </c>
      <c r="I15" s="223">
        <f t="shared" si="4"/>
        <v>7639.204608</v>
      </c>
      <c r="J15" s="223">
        <f t="shared" si="4"/>
        <v>7639.204608</v>
      </c>
      <c r="K15" s="223">
        <f t="shared" si="4"/>
        <v>7639.204608</v>
      </c>
      <c r="L15" s="223">
        <f t="shared" si="4"/>
        <v>7639.204608</v>
      </c>
      <c r="M15" s="223">
        <f t="shared" si="4"/>
        <v>7639.204608</v>
      </c>
    </row>
    <row r="16" spans="1:13">
      <c r="A16" s="2" t="s">
        <v>23</v>
      </c>
      <c r="B16" s="223">
        <f>+$G$7</f>
        <v>7639.204608</v>
      </c>
      <c r="C16" s="223">
        <f t="shared" si="4"/>
        <v>7639.204608</v>
      </c>
      <c r="D16" s="223">
        <f t="shared" si="4"/>
        <v>7639.204608</v>
      </c>
      <c r="E16" s="223">
        <f t="shared" si="4"/>
        <v>7639.204608</v>
      </c>
      <c r="F16" s="223">
        <f t="shared" si="4"/>
        <v>7639.204608</v>
      </c>
      <c r="G16" s="223">
        <f t="shared" si="4"/>
        <v>7639.204608</v>
      </c>
      <c r="H16" s="223">
        <f t="shared" si="4"/>
        <v>7639.204608</v>
      </c>
      <c r="I16" s="223">
        <f t="shared" si="4"/>
        <v>7639.204608</v>
      </c>
      <c r="J16" s="223">
        <f t="shared" si="4"/>
        <v>7639.204608</v>
      </c>
      <c r="K16" s="223">
        <f t="shared" si="4"/>
        <v>7639.204608</v>
      </c>
      <c r="L16" s="223">
        <f t="shared" si="4"/>
        <v>7639.204608</v>
      </c>
      <c r="M16" s="223">
        <f t="shared" si="4"/>
        <v>7639.204608</v>
      </c>
    </row>
    <row r="17" spans="1:14">
      <c r="A17" s="7"/>
      <c r="B17" s="224">
        <f>SUM(B12:B16)</f>
        <v>32703.248408727275</v>
      </c>
      <c r="C17" s="224">
        <f t="shared" ref="C17:M17" si="5">SUM(C12:C16)</f>
        <v>32703.248408727275</v>
      </c>
      <c r="D17" s="224">
        <f t="shared" si="5"/>
        <v>38709.884408727274</v>
      </c>
      <c r="E17" s="224">
        <f t="shared" si="5"/>
        <v>38709.884408727274</v>
      </c>
      <c r="F17" s="224">
        <f t="shared" si="5"/>
        <v>38709.884408727274</v>
      </c>
      <c r="G17" s="224">
        <f t="shared" si="5"/>
        <v>38709.884408727274</v>
      </c>
      <c r="H17" s="224">
        <f t="shared" si="5"/>
        <v>38709.884408727274</v>
      </c>
      <c r="I17" s="224">
        <f t="shared" si="5"/>
        <v>38709.884408727274</v>
      </c>
      <c r="J17" s="224">
        <f t="shared" si="5"/>
        <v>38709.884408727274</v>
      </c>
      <c r="K17" s="224">
        <f t="shared" si="5"/>
        <v>38709.884408727274</v>
      </c>
      <c r="L17" s="224">
        <f t="shared" si="5"/>
        <v>38709.884408727274</v>
      </c>
      <c r="M17" s="224">
        <f t="shared" si="5"/>
        <v>35931.991823999997</v>
      </c>
      <c r="N17" s="66">
        <f>SUM(B17:M17)</f>
        <v>449727.44832000008</v>
      </c>
    </row>
    <row r="18" spans="1:14">
      <c r="H18" s="7"/>
      <c r="I18" s="7"/>
    </row>
    <row r="19" spans="1:14">
      <c r="A19" s="9"/>
      <c r="H19" s="7"/>
      <c r="I19" s="7"/>
    </row>
    <row r="20" spans="1:14">
      <c r="H20" s="7"/>
      <c r="I20" s="7"/>
    </row>
    <row r="21" spans="1:14">
      <c r="H21" s="7"/>
      <c r="I21" s="7"/>
    </row>
    <row r="22" spans="1:14">
      <c r="A22" s="9" t="s">
        <v>450</v>
      </c>
      <c r="H22" s="7"/>
      <c r="I22" s="7"/>
    </row>
    <row r="23" spans="1:14">
      <c r="A23" s="207">
        <v>6.62</v>
      </c>
      <c r="I23" s="7"/>
    </row>
    <row r="24" spans="1:14">
      <c r="A24" s="207">
        <f>+A23*0.06</f>
        <v>0.3972</v>
      </c>
      <c r="I24" s="7"/>
    </row>
    <row r="25" spans="1:14">
      <c r="A25" s="208">
        <f>SUM(A23:A24)</f>
        <v>7.0171999999999999</v>
      </c>
      <c r="I25" s="7"/>
    </row>
    <row r="26" spans="1:14">
      <c r="I26" s="7"/>
    </row>
    <row r="27" spans="1:14">
      <c r="B27" s="61">
        <f>+B12-'COSTO-VTA'!B13</f>
        <v>0</v>
      </c>
      <c r="C27" s="61">
        <f>+C12-'COSTO-VTA'!C13</f>
        <v>0</v>
      </c>
      <c r="D27" s="61">
        <f>+D12-'COSTO-VTA'!D13</f>
        <v>2586.4920000000002</v>
      </c>
      <c r="E27" s="61">
        <f>+E12-'COSTO-VTA'!E13</f>
        <v>2586.4920000000002</v>
      </c>
      <c r="F27" s="61">
        <f>+F12-'COSTO-VTA'!F13</f>
        <v>2586.4920000000002</v>
      </c>
      <c r="G27" s="61">
        <f>+G12-'COSTO-VTA'!G13</f>
        <v>2586.4920000000002</v>
      </c>
      <c r="H27" s="61">
        <f>+H12-'COSTO-VTA'!H13</f>
        <v>2586.4920000000002</v>
      </c>
      <c r="I27" s="61">
        <f>+I12-'COSTO-VTA'!I13</f>
        <v>2586.4920000000002</v>
      </c>
      <c r="J27" s="61">
        <f>+J12-'COSTO-VTA'!J13</f>
        <v>2586.4920000000002</v>
      </c>
      <c r="K27" s="61">
        <f>+K12-'COSTO-VTA'!K13</f>
        <v>2586.4920000000002</v>
      </c>
      <c r="L27" s="61">
        <f>+L12-'COSTO-VTA'!L13</f>
        <v>2586.4920000000002</v>
      </c>
      <c r="M27" s="61">
        <f>+M12-'COSTO-VTA'!M13</f>
        <v>2586.4920000000002</v>
      </c>
    </row>
    <row r="28" spans="1:14">
      <c r="B28" s="61">
        <f>+B13-'COSTO-VTA'!B14</f>
        <v>3017.5740000000014</v>
      </c>
      <c r="C28" s="61">
        <f>+C13-'COSTO-VTA'!C14</f>
        <v>3017.5740000000014</v>
      </c>
      <c r="D28" s="61">
        <f>+D13-'COSTO-VTA'!D14</f>
        <v>3017.5740000000014</v>
      </c>
      <c r="E28" s="61">
        <f>+E13-'COSTO-VTA'!E14</f>
        <v>3017.5740000000014</v>
      </c>
      <c r="F28" s="61">
        <f>+F13-'COSTO-VTA'!F14</f>
        <v>3017.5740000000014</v>
      </c>
      <c r="G28" s="61">
        <f>+G13-'COSTO-VTA'!G14</f>
        <v>3017.5740000000014</v>
      </c>
      <c r="H28" s="61">
        <f>+H13-'COSTO-VTA'!H14</f>
        <v>3017.5740000000014</v>
      </c>
      <c r="I28" s="61">
        <f>+I13-'COSTO-VTA'!I14</f>
        <v>3017.5740000000014</v>
      </c>
      <c r="J28" s="61">
        <f>+J13-'COSTO-VTA'!J14</f>
        <v>3017.5740000000014</v>
      </c>
      <c r="K28" s="61">
        <f>+K13-'COSTO-VTA'!K14</f>
        <v>3017.5740000000014</v>
      </c>
      <c r="L28" s="61">
        <f>+L13-'COSTO-VTA'!L14</f>
        <v>3017.5740000000014</v>
      </c>
      <c r="M28" s="61">
        <f>+M13-'COSTO-VTA'!M14</f>
        <v>3017.5740000000014</v>
      </c>
    </row>
    <row r="29" spans="1:14">
      <c r="B29" s="61">
        <f>+B14-'COSTO-VTA'!B15</f>
        <v>4484.7019636363639</v>
      </c>
      <c r="C29" s="61">
        <f>+C14-'COSTO-VTA'!C15</f>
        <v>4484.7019636363639</v>
      </c>
      <c r="D29" s="61">
        <f>+D14-'COSTO-VTA'!D15</f>
        <v>4484.7019636363639</v>
      </c>
      <c r="E29" s="61">
        <f>+E14-'COSTO-VTA'!E15</f>
        <v>4484.7019636363639</v>
      </c>
      <c r="F29" s="61">
        <f>+F14-'COSTO-VTA'!F15</f>
        <v>4484.7019636363639</v>
      </c>
      <c r="G29" s="61">
        <f>+G14-'COSTO-VTA'!G15</f>
        <v>4484.7019636363639</v>
      </c>
      <c r="H29" s="61">
        <f>+H14-'COSTO-VTA'!H15</f>
        <v>4484.7019636363639</v>
      </c>
      <c r="I29" s="61">
        <f>+I14-'COSTO-VTA'!I15</f>
        <v>4484.7019636363639</v>
      </c>
      <c r="J29" s="61">
        <f>+J14-'COSTO-VTA'!J15</f>
        <v>4484.7019636363639</v>
      </c>
      <c r="K29" s="61">
        <f>+K14-'COSTO-VTA'!K15</f>
        <v>4484.7019636363639</v>
      </c>
      <c r="L29" s="61">
        <f>+L14-'COSTO-VTA'!L15</f>
        <v>4484.7019636363639</v>
      </c>
      <c r="M29" s="61">
        <f>+M14-'COSTO-VTA'!M15</f>
        <v>3288.7814400000007</v>
      </c>
    </row>
    <row r="30" spans="1:14">
      <c r="B30" s="61">
        <f>+B15-'COSTO-VTA'!B16</f>
        <v>3288.7814400000007</v>
      </c>
      <c r="C30" s="61">
        <f>+C15-'COSTO-VTA'!C16</f>
        <v>3288.7814400000007</v>
      </c>
      <c r="D30" s="61">
        <f>+D15-'COSTO-VTA'!D16</f>
        <v>3288.7814400000007</v>
      </c>
      <c r="E30" s="61">
        <f>+E15-'COSTO-VTA'!E16</f>
        <v>3288.7814400000007</v>
      </c>
      <c r="F30" s="61">
        <f>+F15-'COSTO-VTA'!F16</f>
        <v>3288.7814400000007</v>
      </c>
      <c r="G30" s="61">
        <f>+G15-'COSTO-VTA'!G16</f>
        <v>3288.7814400000007</v>
      </c>
      <c r="H30" s="61">
        <f>+H15-'COSTO-VTA'!H16</f>
        <v>3288.7814400000007</v>
      </c>
      <c r="I30" s="61">
        <f>+I15-'COSTO-VTA'!I16</f>
        <v>3288.7814400000007</v>
      </c>
      <c r="J30" s="61">
        <f>+J15-'COSTO-VTA'!J16</f>
        <v>3288.7814400000007</v>
      </c>
      <c r="K30" s="61">
        <f>+K15-'COSTO-VTA'!K16</f>
        <v>3288.7814400000007</v>
      </c>
      <c r="L30" s="61">
        <f>+L15-'COSTO-VTA'!L16</f>
        <v>3288.7814400000007</v>
      </c>
      <c r="M30" s="61">
        <f>+M15-'COSTO-VTA'!M16</f>
        <v>3288.7814400000007</v>
      </c>
    </row>
    <row r="31" spans="1:14">
      <c r="B31" s="61">
        <f>+B16-'COSTO-VTA'!B17</f>
        <v>3288.7814400000007</v>
      </c>
      <c r="C31" s="61">
        <f>+C16-'COSTO-VTA'!C17</f>
        <v>3288.7814400000007</v>
      </c>
      <c r="D31" s="61">
        <f>+D16-'COSTO-VTA'!D17</f>
        <v>3288.7814400000007</v>
      </c>
      <c r="E31" s="61">
        <f>+E16-'COSTO-VTA'!E17</f>
        <v>3288.7814400000007</v>
      </c>
      <c r="F31" s="61">
        <f>+F16-'COSTO-VTA'!F17</f>
        <v>3288.7814400000007</v>
      </c>
      <c r="G31" s="61">
        <f>+G16-'COSTO-VTA'!G17</f>
        <v>3288.7814400000007</v>
      </c>
      <c r="H31" s="61">
        <f>+H16-'COSTO-VTA'!H17</f>
        <v>3288.7814400000007</v>
      </c>
      <c r="I31" s="61">
        <f>+I16-'COSTO-VTA'!I17</f>
        <v>3288.7814400000007</v>
      </c>
      <c r="J31" s="61">
        <f>+J16-'COSTO-VTA'!J17</f>
        <v>3288.7814400000007</v>
      </c>
      <c r="K31" s="61">
        <f>+K16-'COSTO-VTA'!K17</f>
        <v>3288.7814400000007</v>
      </c>
      <c r="L31" s="61">
        <f>+L16-'COSTO-VTA'!L17</f>
        <v>3288.7814400000007</v>
      </c>
      <c r="M31" s="61">
        <f>+M16-'COSTO-VTA'!M17</f>
        <v>3288.7814400000007</v>
      </c>
    </row>
    <row r="32" spans="1:14">
      <c r="I32" s="7"/>
    </row>
    <row r="33" spans="9:9">
      <c r="I33" s="7"/>
    </row>
    <row r="34" spans="9:9">
      <c r="I34" s="7"/>
    </row>
    <row r="35" spans="9:9">
      <c r="I35" s="7"/>
    </row>
    <row r="36" spans="9:9">
      <c r="I36" s="7"/>
    </row>
    <row r="37" spans="9:9">
      <c r="I37" s="7"/>
    </row>
    <row r="38" spans="9:9">
      <c r="I38" s="7"/>
    </row>
    <row r="39" spans="9:9">
      <c r="I39" s="7"/>
    </row>
    <row r="40" spans="9:9">
      <c r="I40" s="7"/>
    </row>
    <row r="41" spans="9:9">
      <c r="I41" s="7"/>
    </row>
    <row r="42" spans="9:9">
      <c r="I42" s="7"/>
    </row>
    <row r="43" spans="9:9">
      <c r="I43" s="7"/>
    </row>
  </sheetData>
  <mergeCells count="3">
    <mergeCell ref="E1:E2"/>
    <mergeCell ref="F1:F2"/>
    <mergeCell ref="A1:A2"/>
  </mergeCells>
  <pageMargins left="0.7" right="0.7" top="0.75" bottom="0.75" header="0.3" footer="0.3"/>
  <pageSetup paperSize="9" scale="8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N26"/>
  <sheetViews>
    <sheetView workbookViewId="0">
      <selection activeCell="G10" sqref="G10"/>
    </sheetView>
  </sheetViews>
  <sheetFormatPr defaultColWidth="22.5703125" defaultRowHeight="12.75"/>
  <cols>
    <col min="1" max="1" width="23.140625" style="6" customWidth="1"/>
    <col min="2" max="2" width="12" style="6" bestFit="1" customWidth="1"/>
    <col min="3" max="3" width="12.28515625" style="6" bestFit="1" customWidth="1"/>
    <col min="4" max="4" width="10" style="6" bestFit="1" customWidth="1"/>
    <col min="5" max="5" width="12.28515625" style="6" customWidth="1"/>
    <col min="6" max="6" width="16" style="6" customWidth="1"/>
    <col min="7" max="7" width="11.85546875" style="6" bestFit="1" customWidth="1"/>
    <col min="8" max="13" width="10" style="6" bestFit="1" customWidth="1"/>
    <col min="14" max="14" width="10.140625" style="6" bestFit="1" customWidth="1"/>
    <col min="15" max="16384" width="22.5703125" style="6"/>
  </cols>
  <sheetData>
    <row r="1" spans="1:13">
      <c r="A1" s="303" t="s">
        <v>237</v>
      </c>
      <c r="B1" s="59" t="s">
        <v>232</v>
      </c>
      <c r="C1" s="59" t="s">
        <v>233</v>
      </c>
      <c r="D1" s="60" t="s">
        <v>234</v>
      </c>
      <c r="E1" s="303" t="s">
        <v>235</v>
      </c>
      <c r="F1" s="303" t="s">
        <v>528</v>
      </c>
    </row>
    <row r="2" spans="1:13" ht="24.75" customHeight="1">
      <c r="A2" s="304"/>
      <c r="B2" s="62" t="s">
        <v>238</v>
      </c>
      <c r="C2" s="62" t="s">
        <v>239</v>
      </c>
      <c r="D2" s="63" t="s">
        <v>240</v>
      </c>
      <c r="E2" s="304"/>
      <c r="F2" s="304"/>
    </row>
    <row r="3" spans="1:13">
      <c r="A3" s="4" t="s">
        <v>241</v>
      </c>
      <c r="B3" s="4" t="s">
        <v>444</v>
      </c>
      <c r="C3" s="222">
        <v>0</v>
      </c>
      <c r="D3" s="64">
        <v>0</v>
      </c>
      <c r="E3" s="57">
        <v>0</v>
      </c>
      <c r="F3" s="13">
        <f>+D3*E3</f>
        <v>0</v>
      </c>
      <c r="G3" s="64">
        <f>+F3/2</f>
        <v>0</v>
      </c>
      <c r="H3" s="3">
        <v>2</v>
      </c>
    </row>
    <row r="4" spans="1:13">
      <c r="A4" s="6" t="s">
        <v>452</v>
      </c>
      <c r="B4" s="4" t="s">
        <v>445</v>
      </c>
      <c r="C4" s="222">
        <v>0.5</v>
      </c>
      <c r="D4" s="64">
        <f>18144*C4</f>
        <v>9072</v>
      </c>
      <c r="E4" s="57">
        <v>3.77</v>
      </c>
      <c r="F4" s="13">
        <f t="shared" ref="F4:F7" si="0">+D4*E4</f>
        <v>34201.440000000002</v>
      </c>
      <c r="G4" s="64">
        <f>+F4/10</f>
        <v>3420.1440000000002</v>
      </c>
      <c r="H4" s="3">
        <v>10</v>
      </c>
    </row>
    <row r="5" spans="1:13">
      <c r="A5" s="4" t="s">
        <v>242</v>
      </c>
      <c r="B5" s="4" t="s">
        <v>446</v>
      </c>
      <c r="C5" s="222">
        <v>0.7</v>
      </c>
      <c r="D5" s="64">
        <f>18144*C5</f>
        <v>12700.8</v>
      </c>
      <c r="E5" s="57">
        <v>3.77</v>
      </c>
      <c r="F5" s="13">
        <f t="shared" si="0"/>
        <v>47882.015999999996</v>
      </c>
      <c r="G5" s="64">
        <f>+F5/12</f>
        <v>3990.1679999999997</v>
      </c>
      <c r="H5" s="3">
        <v>12</v>
      </c>
    </row>
    <row r="6" spans="1:13">
      <c r="A6" s="4" t="s">
        <v>447</v>
      </c>
      <c r="B6" s="4" t="s">
        <v>448</v>
      </c>
      <c r="C6" s="222">
        <v>0.9</v>
      </c>
      <c r="D6" s="64">
        <f>18144*C6</f>
        <v>16329.6</v>
      </c>
      <c r="E6" s="57">
        <f>+$A$26</f>
        <v>3.9962</v>
      </c>
      <c r="F6" s="13">
        <f t="shared" si="0"/>
        <v>65256.347520000003</v>
      </c>
      <c r="G6" s="64">
        <f>+F6/11</f>
        <v>5932.3952290909092</v>
      </c>
      <c r="H6" s="3">
        <v>11</v>
      </c>
    </row>
    <row r="7" spans="1:13">
      <c r="A7" s="4" t="s">
        <v>243</v>
      </c>
      <c r="B7" s="4" t="s">
        <v>449</v>
      </c>
      <c r="C7" s="222">
        <v>1.5</v>
      </c>
      <c r="D7" s="64">
        <f>18144*C7</f>
        <v>27216</v>
      </c>
      <c r="E7" s="57">
        <f>+$A$26</f>
        <v>3.9962</v>
      </c>
      <c r="F7" s="13">
        <f t="shared" si="0"/>
        <v>108760.57919999999</v>
      </c>
      <c r="G7" s="64">
        <f>+F7/25</f>
        <v>4350.4231679999994</v>
      </c>
      <c r="H7" s="3">
        <v>25</v>
      </c>
    </row>
    <row r="8" spans="1:13">
      <c r="F8" s="13">
        <f>SUM(F3:F7)</f>
        <v>256100.38271999999</v>
      </c>
      <c r="G8" s="262">
        <f>+F8/'VENTAS-PROYECTADAS'!F8</f>
        <v>0.56945686476706614</v>
      </c>
    </row>
    <row r="11" spans="1:13">
      <c r="A11" s="9" t="s">
        <v>302</v>
      </c>
      <c r="G11" s="61"/>
    </row>
    <row r="12" spans="1:13">
      <c r="A12" s="67"/>
      <c r="B12" s="1" t="s">
        <v>303</v>
      </c>
      <c r="C12" s="1" t="s">
        <v>304</v>
      </c>
      <c r="D12" s="1" t="s">
        <v>305</v>
      </c>
      <c r="E12" s="1" t="s">
        <v>306</v>
      </c>
      <c r="F12" s="1" t="s">
        <v>307</v>
      </c>
      <c r="G12" s="5" t="s">
        <v>308</v>
      </c>
      <c r="H12" s="1" t="s">
        <v>309</v>
      </c>
      <c r="I12" s="1" t="s">
        <v>310</v>
      </c>
      <c r="J12" s="1" t="s">
        <v>311</v>
      </c>
      <c r="K12" s="1" t="s">
        <v>312</v>
      </c>
      <c r="L12" s="1" t="s">
        <v>313</v>
      </c>
      <c r="M12" s="1" t="s">
        <v>314</v>
      </c>
    </row>
    <row r="13" spans="1:13">
      <c r="A13" s="2" t="s">
        <v>10</v>
      </c>
      <c r="B13" s="225">
        <f>+$G$3</f>
        <v>0</v>
      </c>
      <c r="C13" s="225">
        <f>+$G$3</f>
        <v>0</v>
      </c>
      <c r="D13" s="225">
        <f>+$G$4</f>
        <v>3420.1440000000002</v>
      </c>
      <c r="E13" s="225">
        <f t="shared" ref="E13:M13" si="1">+$G$4</f>
        <v>3420.1440000000002</v>
      </c>
      <c r="F13" s="225">
        <f t="shared" si="1"/>
        <v>3420.1440000000002</v>
      </c>
      <c r="G13" s="225">
        <f t="shared" si="1"/>
        <v>3420.1440000000002</v>
      </c>
      <c r="H13" s="225">
        <f t="shared" si="1"/>
        <v>3420.1440000000002</v>
      </c>
      <c r="I13" s="225">
        <f t="shared" si="1"/>
        <v>3420.1440000000002</v>
      </c>
      <c r="J13" s="225">
        <f t="shared" si="1"/>
        <v>3420.1440000000002</v>
      </c>
      <c r="K13" s="225">
        <f t="shared" si="1"/>
        <v>3420.1440000000002</v>
      </c>
      <c r="L13" s="225">
        <f t="shared" si="1"/>
        <v>3420.1440000000002</v>
      </c>
      <c r="M13" s="225">
        <f t="shared" si="1"/>
        <v>3420.1440000000002</v>
      </c>
    </row>
    <row r="14" spans="1:13">
      <c r="A14" s="2" t="s">
        <v>21</v>
      </c>
      <c r="B14" s="225">
        <f>+$G$5</f>
        <v>3990.1679999999997</v>
      </c>
      <c r="C14" s="225">
        <f t="shared" ref="C14:M14" si="2">+$G$5</f>
        <v>3990.1679999999997</v>
      </c>
      <c r="D14" s="225">
        <f t="shared" si="2"/>
        <v>3990.1679999999997</v>
      </c>
      <c r="E14" s="225">
        <f t="shared" si="2"/>
        <v>3990.1679999999997</v>
      </c>
      <c r="F14" s="225">
        <f t="shared" si="2"/>
        <v>3990.1679999999997</v>
      </c>
      <c r="G14" s="225">
        <f t="shared" si="2"/>
        <v>3990.1679999999997</v>
      </c>
      <c r="H14" s="225">
        <f t="shared" si="2"/>
        <v>3990.1679999999997</v>
      </c>
      <c r="I14" s="225">
        <f t="shared" si="2"/>
        <v>3990.1679999999997</v>
      </c>
      <c r="J14" s="225">
        <f t="shared" si="2"/>
        <v>3990.1679999999997</v>
      </c>
      <c r="K14" s="225">
        <f t="shared" si="2"/>
        <v>3990.1679999999997</v>
      </c>
      <c r="L14" s="225">
        <f t="shared" si="2"/>
        <v>3990.1679999999997</v>
      </c>
      <c r="M14" s="225">
        <f t="shared" si="2"/>
        <v>3990.1679999999997</v>
      </c>
    </row>
    <row r="15" spans="1:13">
      <c r="A15" s="2" t="s">
        <v>20</v>
      </c>
      <c r="B15" s="225">
        <f>+$G$6</f>
        <v>5932.3952290909092</v>
      </c>
      <c r="C15" s="225">
        <f t="shared" ref="C15:L15" si="3">+$G$6</f>
        <v>5932.3952290909092</v>
      </c>
      <c r="D15" s="225">
        <f t="shared" si="3"/>
        <v>5932.3952290909092</v>
      </c>
      <c r="E15" s="225">
        <f t="shared" si="3"/>
        <v>5932.3952290909092</v>
      </c>
      <c r="F15" s="225">
        <f t="shared" si="3"/>
        <v>5932.3952290909092</v>
      </c>
      <c r="G15" s="225">
        <f t="shared" si="3"/>
        <v>5932.3952290909092</v>
      </c>
      <c r="H15" s="225">
        <f t="shared" si="3"/>
        <v>5932.3952290909092</v>
      </c>
      <c r="I15" s="225">
        <f t="shared" si="3"/>
        <v>5932.3952290909092</v>
      </c>
      <c r="J15" s="225">
        <f t="shared" si="3"/>
        <v>5932.3952290909092</v>
      </c>
      <c r="K15" s="225">
        <f t="shared" si="3"/>
        <v>5932.3952290909092</v>
      </c>
      <c r="L15" s="225">
        <f t="shared" si="3"/>
        <v>5932.3952290909092</v>
      </c>
      <c r="M15" s="225">
        <f>+$G$7</f>
        <v>4350.4231679999994</v>
      </c>
    </row>
    <row r="16" spans="1:13">
      <c r="A16" s="2" t="s">
        <v>22</v>
      </c>
      <c r="B16" s="225">
        <f>+$G$7</f>
        <v>4350.4231679999994</v>
      </c>
      <c r="C16" s="225">
        <f t="shared" ref="C16:M17" si="4">+$G$7</f>
        <v>4350.4231679999994</v>
      </c>
      <c r="D16" s="225">
        <f t="shared" si="4"/>
        <v>4350.4231679999994</v>
      </c>
      <c r="E16" s="225">
        <f t="shared" si="4"/>
        <v>4350.4231679999994</v>
      </c>
      <c r="F16" s="225">
        <f t="shared" si="4"/>
        <v>4350.4231679999994</v>
      </c>
      <c r="G16" s="225">
        <f t="shared" si="4"/>
        <v>4350.4231679999994</v>
      </c>
      <c r="H16" s="225">
        <f t="shared" si="4"/>
        <v>4350.4231679999994</v>
      </c>
      <c r="I16" s="225">
        <f t="shared" si="4"/>
        <v>4350.4231679999994</v>
      </c>
      <c r="J16" s="225">
        <f t="shared" si="4"/>
        <v>4350.4231679999994</v>
      </c>
      <c r="K16" s="225">
        <f t="shared" si="4"/>
        <v>4350.4231679999994</v>
      </c>
      <c r="L16" s="225">
        <f t="shared" si="4"/>
        <v>4350.4231679999994</v>
      </c>
      <c r="M16" s="225">
        <f t="shared" si="4"/>
        <v>4350.4231679999994</v>
      </c>
    </row>
    <row r="17" spans="1:14">
      <c r="A17" s="2" t="s">
        <v>23</v>
      </c>
      <c r="B17" s="225">
        <f>+$G$7</f>
        <v>4350.4231679999994</v>
      </c>
      <c r="C17" s="225">
        <f t="shared" si="4"/>
        <v>4350.4231679999994</v>
      </c>
      <c r="D17" s="225">
        <f t="shared" si="4"/>
        <v>4350.4231679999994</v>
      </c>
      <c r="E17" s="225">
        <f t="shared" si="4"/>
        <v>4350.4231679999994</v>
      </c>
      <c r="F17" s="225">
        <f t="shared" si="4"/>
        <v>4350.4231679999994</v>
      </c>
      <c r="G17" s="225">
        <f t="shared" si="4"/>
        <v>4350.4231679999994</v>
      </c>
      <c r="H17" s="225">
        <f t="shared" si="4"/>
        <v>4350.4231679999994</v>
      </c>
      <c r="I17" s="225">
        <f t="shared" si="4"/>
        <v>4350.4231679999994</v>
      </c>
      <c r="J17" s="225">
        <f t="shared" si="4"/>
        <v>4350.4231679999994</v>
      </c>
      <c r="K17" s="225">
        <f t="shared" si="4"/>
        <v>4350.4231679999994</v>
      </c>
      <c r="L17" s="225">
        <f t="shared" si="4"/>
        <v>4350.4231679999994</v>
      </c>
      <c r="M17" s="225">
        <f t="shared" si="4"/>
        <v>4350.4231679999994</v>
      </c>
    </row>
    <row r="18" spans="1:14">
      <c r="A18" s="7"/>
      <c r="B18" s="64">
        <f>SUM(B13:B17)</f>
        <v>18623.409565090908</v>
      </c>
      <c r="C18" s="64">
        <f t="shared" ref="C18:M18" si="5">SUM(C13:C17)</f>
        <v>18623.409565090908</v>
      </c>
      <c r="D18" s="64">
        <f t="shared" si="5"/>
        <v>22043.553565090908</v>
      </c>
      <c r="E18" s="64">
        <f t="shared" si="5"/>
        <v>22043.553565090908</v>
      </c>
      <c r="F18" s="64">
        <f t="shared" si="5"/>
        <v>22043.553565090908</v>
      </c>
      <c r="G18" s="64">
        <f t="shared" si="5"/>
        <v>22043.553565090908</v>
      </c>
      <c r="H18" s="64">
        <f t="shared" si="5"/>
        <v>22043.553565090908</v>
      </c>
      <c r="I18" s="64">
        <f t="shared" si="5"/>
        <v>22043.553565090908</v>
      </c>
      <c r="J18" s="64">
        <f t="shared" si="5"/>
        <v>22043.553565090908</v>
      </c>
      <c r="K18" s="64">
        <f t="shared" si="5"/>
        <v>22043.553565090908</v>
      </c>
      <c r="L18" s="64">
        <f t="shared" si="5"/>
        <v>22043.553565090908</v>
      </c>
      <c r="M18" s="64">
        <f t="shared" si="5"/>
        <v>20461.581503999998</v>
      </c>
      <c r="N18" s="264">
        <f>SUM(B18:M18)</f>
        <v>256100.38271999994</v>
      </c>
    </row>
    <row r="19" spans="1:14">
      <c r="G19" s="61"/>
      <c r="H19" s="7"/>
      <c r="I19" s="7"/>
    </row>
    <row r="21" spans="1:14">
      <c r="A21" s="9"/>
    </row>
    <row r="23" spans="1:14">
      <c r="A23" s="2" t="s">
        <v>451</v>
      </c>
    </row>
    <row r="24" spans="1:14">
      <c r="A24" s="213">
        <v>3.77</v>
      </c>
    </row>
    <row r="25" spans="1:14">
      <c r="A25" s="213">
        <f>+A24*0.06</f>
        <v>0.22619999999999998</v>
      </c>
    </row>
    <row r="26" spans="1:14">
      <c r="A26" s="214">
        <f>SUM(A24:A25)</f>
        <v>3.9962</v>
      </c>
    </row>
  </sheetData>
  <mergeCells count="3">
    <mergeCell ref="A1:A2"/>
    <mergeCell ref="E1:E2"/>
    <mergeCell ref="F1:F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pane ySplit="1" topLeftCell="A2" activePane="bottomLeft" state="frozen"/>
      <selection pane="bottomLeft" activeCell="A10" sqref="A10"/>
    </sheetView>
  </sheetViews>
  <sheetFormatPr defaultColWidth="9.140625" defaultRowHeight="12.75"/>
  <cols>
    <col min="1" max="1" width="39.140625" style="91" bestFit="1" customWidth="1"/>
    <col min="2" max="2" width="66" style="91" bestFit="1" customWidth="1"/>
    <col min="3" max="3" width="9.140625" style="112" bestFit="1" customWidth="1"/>
    <col min="4" max="4" width="10.140625" style="113" bestFit="1" customWidth="1"/>
    <col min="5" max="16384" width="9.140625" style="91"/>
  </cols>
  <sheetData>
    <row r="1" spans="1:4">
      <c r="A1" s="94" t="s">
        <v>357</v>
      </c>
      <c r="B1" s="94" t="s">
        <v>9</v>
      </c>
      <c r="C1" s="94" t="s">
        <v>358</v>
      </c>
      <c r="D1" s="100" t="s">
        <v>316</v>
      </c>
    </row>
    <row r="2" spans="1:4">
      <c r="A2" s="95" t="s">
        <v>359</v>
      </c>
      <c r="B2" s="95" t="s">
        <v>360</v>
      </c>
      <c r="C2" s="103">
        <v>1</v>
      </c>
      <c r="D2" s="104">
        <v>643.14</v>
      </c>
    </row>
    <row r="3" spans="1:4">
      <c r="A3" s="96" t="s">
        <v>106</v>
      </c>
      <c r="B3" s="96" t="s">
        <v>361</v>
      </c>
      <c r="C3" s="105">
        <v>1</v>
      </c>
      <c r="D3" s="104">
        <v>477.77</v>
      </c>
    </row>
    <row r="4" spans="1:4">
      <c r="A4" s="96" t="s">
        <v>362</v>
      </c>
      <c r="B4" s="96" t="s">
        <v>361</v>
      </c>
      <c r="C4" s="105">
        <v>1</v>
      </c>
      <c r="D4" s="104">
        <v>198.45</v>
      </c>
    </row>
    <row r="5" spans="1:4">
      <c r="A5" s="96" t="s">
        <v>108</v>
      </c>
      <c r="B5" s="96" t="s">
        <v>363</v>
      </c>
      <c r="C5" s="105">
        <v>1</v>
      </c>
      <c r="D5" s="104">
        <v>801.9</v>
      </c>
    </row>
    <row r="6" spans="1:4">
      <c r="A6" s="96" t="s">
        <v>364</v>
      </c>
      <c r="B6" s="96" t="s">
        <v>365</v>
      </c>
      <c r="C6" s="105">
        <v>1</v>
      </c>
      <c r="D6" s="104">
        <v>64.510000000000005</v>
      </c>
    </row>
    <row r="7" spans="1:4">
      <c r="A7" s="96" t="s">
        <v>366</v>
      </c>
      <c r="B7" s="96" t="s">
        <v>365</v>
      </c>
      <c r="C7" s="105">
        <v>1</v>
      </c>
      <c r="D7" s="104">
        <v>67.36</v>
      </c>
    </row>
    <row r="8" spans="1:4">
      <c r="A8" s="96" t="s">
        <v>107</v>
      </c>
      <c r="B8" s="96" t="s">
        <v>367</v>
      </c>
      <c r="C8" s="105">
        <v>1</v>
      </c>
      <c r="D8" s="104">
        <v>314.68</v>
      </c>
    </row>
    <row r="9" spans="1:4">
      <c r="A9" s="96" t="s">
        <v>368</v>
      </c>
      <c r="B9" s="96" t="s">
        <v>367</v>
      </c>
      <c r="C9" s="105">
        <v>1</v>
      </c>
      <c r="D9" s="104">
        <v>470.16</v>
      </c>
    </row>
    <row r="10" spans="1:4">
      <c r="A10" s="96" t="s">
        <v>369</v>
      </c>
      <c r="B10" s="96" t="s">
        <v>370</v>
      </c>
      <c r="C10" s="105">
        <v>1</v>
      </c>
      <c r="D10" s="104">
        <v>16.149999999999999</v>
      </c>
    </row>
    <row r="11" spans="1:4">
      <c r="A11" s="96" t="s">
        <v>371</v>
      </c>
      <c r="B11" s="97" t="s">
        <v>372</v>
      </c>
      <c r="C11" s="105">
        <v>1</v>
      </c>
      <c r="D11" s="104">
        <v>315</v>
      </c>
    </row>
    <row r="12" spans="1:4" ht="38.25">
      <c r="A12" s="98" t="s">
        <v>373</v>
      </c>
      <c r="B12" s="99" t="s">
        <v>374</v>
      </c>
      <c r="C12" s="105">
        <v>1</v>
      </c>
      <c r="D12" s="104">
        <v>4750.2</v>
      </c>
    </row>
    <row r="13" spans="1:4">
      <c r="A13" s="97" t="s">
        <v>375</v>
      </c>
      <c r="B13" s="97" t="s">
        <v>376</v>
      </c>
      <c r="C13" s="105">
        <v>1</v>
      </c>
      <c r="D13" s="104">
        <v>266.11</v>
      </c>
    </row>
    <row r="14" spans="1:4">
      <c r="A14" s="97" t="s">
        <v>58</v>
      </c>
      <c r="B14" s="305" t="s">
        <v>377</v>
      </c>
      <c r="C14" s="106">
        <v>1</v>
      </c>
      <c r="D14" s="107">
        <v>117.01</v>
      </c>
    </row>
    <row r="15" spans="1:4">
      <c r="A15" s="97"/>
      <c r="B15" s="305"/>
      <c r="C15" s="106"/>
      <c r="D15" s="108"/>
    </row>
    <row r="16" spans="1:4">
      <c r="A16" s="97"/>
      <c r="B16" s="305"/>
      <c r="C16" s="106"/>
      <c r="D16" s="109"/>
    </row>
    <row r="17" spans="1:4">
      <c r="A17" s="97" t="s">
        <v>378</v>
      </c>
      <c r="B17" s="99" t="s">
        <v>379</v>
      </c>
      <c r="C17" s="106">
        <v>1</v>
      </c>
      <c r="D17" s="101">
        <v>1148.72</v>
      </c>
    </row>
    <row r="18" spans="1:4">
      <c r="A18" s="97" t="s">
        <v>380</v>
      </c>
      <c r="B18" s="305" t="s">
        <v>381</v>
      </c>
      <c r="C18" s="105">
        <v>1</v>
      </c>
      <c r="D18" s="107">
        <v>840.04</v>
      </c>
    </row>
    <row r="19" spans="1:4" ht="13.5" thickBot="1">
      <c r="A19" s="96"/>
      <c r="B19" s="305"/>
      <c r="C19" s="105"/>
      <c r="D19" s="108"/>
    </row>
    <row r="20" spans="1:4" ht="13.5" thickBot="1">
      <c r="A20" s="306" t="s">
        <v>382</v>
      </c>
      <c r="B20" s="307"/>
      <c r="C20" s="110"/>
      <c r="D20" s="111">
        <f xml:space="preserve"> D2+D3+D4+D5+D6+D7+D8+D9+D10+D11+D12+D13+D14+D17+D18</f>
        <v>10491.2</v>
      </c>
    </row>
  </sheetData>
  <mergeCells count="3">
    <mergeCell ref="B14:B16"/>
    <mergeCell ref="B18:B19"/>
    <mergeCell ref="A20:B2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pane ySplit="1" topLeftCell="A8" activePane="bottomLeft" state="frozen"/>
      <selection pane="bottomLeft" activeCell="F27" sqref="F27"/>
    </sheetView>
  </sheetViews>
  <sheetFormatPr defaultColWidth="9.140625" defaultRowHeight="12.75"/>
  <cols>
    <col min="1" max="1" width="19.28515625" style="91" bestFit="1" customWidth="1"/>
    <col min="2" max="2" width="36.140625" style="91" bestFit="1" customWidth="1"/>
    <col min="3" max="3" width="9.140625" style="91" bestFit="1" customWidth="1"/>
    <col min="4" max="4" width="7.5703125" style="102" bestFit="1" customWidth="1"/>
    <col min="5" max="5" width="15.28515625" style="91" bestFit="1" customWidth="1"/>
    <col min="6" max="6" width="9.140625" style="91"/>
    <col min="7" max="7" width="6.85546875" style="91" bestFit="1" customWidth="1"/>
    <col min="8" max="8" width="5.5703125" style="91" bestFit="1" customWidth="1"/>
    <col min="9" max="9" width="26.42578125" style="91" bestFit="1" customWidth="1"/>
    <col min="10" max="10" width="19.7109375" style="91" bestFit="1" customWidth="1"/>
    <col min="11" max="11" width="9.140625" style="91"/>
    <col min="12" max="12" width="18.7109375" style="91" customWidth="1"/>
    <col min="13" max="16384" width="9.140625" style="91"/>
  </cols>
  <sheetData>
    <row r="1" spans="1:10" ht="13.5" thickBot="1">
      <c r="A1" s="123" t="s">
        <v>349</v>
      </c>
      <c r="B1" s="123" t="s">
        <v>9</v>
      </c>
      <c r="C1" s="124" t="s">
        <v>358</v>
      </c>
      <c r="D1" s="129" t="s">
        <v>316</v>
      </c>
    </row>
    <row r="2" spans="1:10">
      <c r="A2" s="114" t="s">
        <v>110</v>
      </c>
      <c r="B2" s="115" t="s">
        <v>111</v>
      </c>
      <c r="C2" s="116">
        <v>2</v>
      </c>
      <c r="D2" s="130">
        <v>44</v>
      </c>
    </row>
    <row r="3" spans="1:10">
      <c r="A3" s="117" t="s">
        <v>112</v>
      </c>
      <c r="B3" s="118" t="s">
        <v>113</v>
      </c>
      <c r="C3" s="119">
        <v>5</v>
      </c>
      <c r="D3" s="131">
        <v>7.5</v>
      </c>
    </row>
    <row r="4" spans="1:10">
      <c r="A4" s="117" t="s">
        <v>112</v>
      </c>
      <c r="B4" s="118" t="s">
        <v>114</v>
      </c>
      <c r="C4" s="119">
        <v>5</v>
      </c>
      <c r="D4" s="131">
        <v>7.5</v>
      </c>
    </row>
    <row r="5" spans="1:10">
      <c r="A5" s="117" t="s">
        <v>115</v>
      </c>
      <c r="B5" s="118" t="s">
        <v>116</v>
      </c>
      <c r="C5" s="119">
        <v>1</v>
      </c>
      <c r="D5" s="131">
        <v>2.2000000000000002</v>
      </c>
    </row>
    <row r="6" spans="1:10">
      <c r="A6" s="117" t="s">
        <v>117</v>
      </c>
      <c r="B6" s="118" t="s">
        <v>118</v>
      </c>
      <c r="C6" s="119">
        <v>2</v>
      </c>
      <c r="D6" s="131">
        <v>2.2000000000000002</v>
      </c>
    </row>
    <row r="7" spans="1:10">
      <c r="A7" s="117" t="s">
        <v>119</v>
      </c>
      <c r="B7" s="118" t="s">
        <v>120</v>
      </c>
      <c r="C7" s="119">
        <v>2</v>
      </c>
      <c r="D7" s="131">
        <v>6.6</v>
      </c>
    </row>
    <row r="8" spans="1:10">
      <c r="A8" s="117" t="s">
        <v>121</v>
      </c>
      <c r="B8" s="118" t="s">
        <v>122</v>
      </c>
      <c r="C8" s="119">
        <v>1</v>
      </c>
      <c r="D8" s="131">
        <v>3</v>
      </c>
    </row>
    <row r="9" spans="1:10">
      <c r="A9" s="117" t="s">
        <v>123</v>
      </c>
      <c r="B9" s="118" t="s">
        <v>124</v>
      </c>
      <c r="C9" s="119">
        <v>2</v>
      </c>
      <c r="D9" s="131">
        <v>6.6</v>
      </c>
    </row>
    <row r="10" spans="1:10">
      <c r="A10" s="117" t="s">
        <v>125</v>
      </c>
      <c r="B10" s="118" t="s">
        <v>126</v>
      </c>
      <c r="C10" s="119">
        <v>1</v>
      </c>
      <c r="D10" s="131">
        <v>2.5</v>
      </c>
    </row>
    <row r="11" spans="1:10">
      <c r="A11" s="117" t="s">
        <v>127</v>
      </c>
      <c r="B11" s="118" t="s">
        <v>128</v>
      </c>
      <c r="C11" s="119">
        <v>1</v>
      </c>
      <c r="D11" s="131">
        <v>4.5999999999999996</v>
      </c>
    </row>
    <row r="12" spans="1:10">
      <c r="A12" s="117" t="s">
        <v>129</v>
      </c>
      <c r="B12" s="118" t="s">
        <v>130</v>
      </c>
      <c r="C12" s="119">
        <v>2</v>
      </c>
      <c r="D12" s="131">
        <v>11.5</v>
      </c>
    </row>
    <row r="13" spans="1:10">
      <c r="A13" s="117" t="s">
        <v>123</v>
      </c>
      <c r="B13" s="118" t="s">
        <v>131</v>
      </c>
      <c r="C13" s="119">
        <v>1</v>
      </c>
      <c r="D13" s="131">
        <v>6.9</v>
      </c>
      <c r="F13" s="125" t="s">
        <v>358</v>
      </c>
      <c r="G13" s="125" t="s">
        <v>316</v>
      </c>
      <c r="H13" s="125" t="s">
        <v>62</v>
      </c>
      <c r="I13" s="125" t="s">
        <v>383</v>
      </c>
      <c r="J13" s="126" t="s">
        <v>384</v>
      </c>
    </row>
    <row r="14" spans="1:10">
      <c r="A14" s="117" t="s">
        <v>132</v>
      </c>
      <c r="B14" s="118" t="s">
        <v>131</v>
      </c>
      <c r="C14" s="119">
        <v>1</v>
      </c>
      <c r="D14" s="131">
        <v>6.9</v>
      </c>
      <c r="E14" s="125" t="s">
        <v>385</v>
      </c>
      <c r="F14" s="127">
        <f>500</f>
        <v>500</v>
      </c>
      <c r="G14" s="127">
        <v>0.66</v>
      </c>
      <c r="H14" s="127">
        <f>F14*G14</f>
        <v>330</v>
      </c>
      <c r="I14" s="127">
        <f>(H14*0.1)</f>
        <v>33</v>
      </c>
      <c r="J14" s="128">
        <f>H14-I14</f>
        <v>297</v>
      </c>
    </row>
    <row r="15" spans="1:10">
      <c r="A15" s="117" t="s">
        <v>133</v>
      </c>
      <c r="B15" s="118" t="s">
        <v>134</v>
      </c>
      <c r="C15" s="119">
        <v>1</v>
      </c>
      <c r="D15" s="131">
        <v>31.9</v>
      </c>
    </row>
    <row r="16" spans="1:10">
      <c r="A16" s="117" t="s">
        <v>135</v>
      </c>
      <c r="B16" s="118" t="s">
        <v>136</v>
      </c>
      <c r="C16" s="119">
        <v>2</v>
      </c>
      <c r="D16" s="131">
        <v>33.799999999999997</v>
      </c>
    </row>
    <row r="17" spans="1:4">
      <c r="A17" s="117" t="s">
        <v>137</v>
      </c>
      <c r="B17" s="118" t="s">
        <v>138</v>
      </c>
      <c r="C17" s="119">
        <v>1</v>
      </c>
      <c r="D17" s="131">
        <v>33.1</v>
      </c>
    </row>
    <row r="18" spans="1:4">
      <c r="A18" s="117" t="s">
        <v>139</v>
      </c>
      <c r="B18" s="118" t="s">
        <v>140</v>
      </c>
      <c r="C18" s="119">
        <v>20</v>
      </c>
      <c r="D18" s="131">
        <v>24</v>
      </c>
    </row>
    <row r="19" spans="1:4">
      <c r="A19" s="117" t="s">
        <v>141</v>
      </c>
      <c r="B19" s="118" t="s">
        <v>142</v>
      </c>
      <c r="C19" s="119">
        <v>6</v>
      </c>
      <c r="D19" s="131">
        <v>19.2</v>
      </c>
    </row>
    <row r="20" spans="1:4">
      <c r="A20" s="117" t="s">
        <v>139</v>
      </c>
      <c r="B20" s="118" t="s">
        <v>143</v>
      </c>
      <c r="C20" s="119">
        <v>30</v>
      </c>
      <c r="D20" s="131">
        <v>48</v>
      </c>
    </row>
    <row r="21" spans="1:4">
      <c r="A21" s="117" t="s">
        <v>144</v>
      </c>
      <c r="B21" s="118" t="s">
        <v>145</v>
      </c>
      <c r="C21" s="119">
        <v>1</v>
      </c>
      <c r="D21" s="131">
        <v>35.5</v>
      </c>
    </row>
    <row r="22" spans="1:4">
      <c r="A22" s="117" t="s">
        <v>144</v>
      </c>
      <c r="B22" s="118" t="s">
        <v>145</v>
      </c>
      <c r="C22" s="119">
        <v>2</v>
      </c>
      <c r="D22" s="131">
        <v>71</v>
      </c>
    </row>
    <row r="23" spans="1:4">
      <c r="A23" s="117" t="s">
        <v>146</v>
      </c>
      <c r="B23" s="118" t="s">
        <v>147</v>
      </c>
      <c r="C23" s="119">
        <v>3</v>
      </c>
      <c r="D23" s="131">
        <v>55.8</v>
      </c>
    </row>
    <row r="24" spans="1:4">
      <c r="A24" s="117" t="s">
        <v>148</v>
      </c>
      <c r="B24" s="118" t="s">
        <v>149</v>
      </c>
      <c r="C24" s="119">
        <v>5</v>
      </c>
      <c r="D24" s="131">
        <v>9.35</v>
      </c>
    </row>
    <row r="25" spans="1:4">
      <c r="A25" s="117" t="s">
        <v>150</v>
      </c>
      <c r="B25" s="118" t="s">
        <v>151</v>
      </c>
      <c r="C25" s="119">
        <v>5</v>
      </c>
      <c r="D25" s="131">
        <v>30</v>
      </c>
    </row>
    <row r="26" spans="1:4">
      <c r="A26" s="117" t="s">
        <v>152</v>
      </c>
      <c r="B26" s="118" t="s">
        <v>153</v>
      </c>
      <c r="C26" s="119">
        <v>5</v>
      </c>
      <c r="D26" s="131">
        <v>25</v>
      </c>
    </row>
    <row r="27" spans="1:4">
      <c r="A27" s="120" t="s">
        <v>386</v>
      </c>
      <c r="B27" s="121" t="s">
        <v>387</v>
      </c>
      <c r="C27" s="122">
        <v>500</v>
      </c>
      <c r="D27" s="132">
        <v>297</v>
      </c>
    </row>
    <row r="28" spans="1:4">
      <c r="A28" s="120" t="s">
        <v>154</v>
      </c>
      <c r="B28" s="121" t="s">
        <v>155</v>
      </c>
      <c r="C28" s="122">
        <v>6</v>
      </c>
      <c r="D28" s="132">
        <v>12</v>
      </c>
    </row>
    <row r="29" spans="1:4" ht="13.5" thickBot="1">
      <c r="A29" s="120" t="s">
        <v>171</v>
      </c>
      <c r="B29" s="121" t="s">
        <v>172</v>
      </c>
      <c r="C29" s="122">
        <v>6</v>
      </c>
      <c r="D29" s="132">
        <v>11.8</v>
      </c>
    </row>
    <row r="30" spans="1:4" ht="13.5" thickBot="1">
      <c r="A30" s="308" t="s">
        <v>388</v>
      </c>
      <c r="B30" s="309"/>
      <c r="C30" s="310"/>
      <c r="D30" s="133">
        <f>SUM(D2:D29)</f>
        <v>849.45</v>
      </c>
    </row>
  </sheetData>
  <mergeCells count="1">
    <mergeCell ref="A30:C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="120" zoomScaleNormal="120" workbookViewId="0">
      <pane ySplit="1" topLeftCell="A2" activePane="bottomLeft" state="frozen"/>
      <selection pane="bottomLeft" activeCell="F18" sqref="F18"/>
    </sheetView>
  </sheetViews>
  <sheetFormatPr defaultColWidth="9.140625" defaultRowHeight="12.75"/>
  <cols>
    <col min="1" max="1" width="24.85546875" style="91" customWidth="1"/>
    <col min="2" max="2" width="33.42578125" style="91" bestFit="1" customWidth="1"/>
    <col min="3" max="3" width="9.140625" style="91" bestFit="1" customWidth="1"/>
    <col min="4" max="4" width="9.5703125" style="91" bestFit="1" customWidth="1"/>
    <col min="5" max="16384" width="9.140625" style="91"/>
  </cols>
  <sheetData>
    <row r="1" spans="1:4">
      <c r="A1" s="125" t="s">
        <v>350</v>
      </c>
      <c r="B1" s="125" t="s">
        <v>9</v>
      </c>
      <c r="C1" s="125" t="s">
        <v>358</v>
      </c>
      <c r="D1" s="125" t="s">
        <v>316</v>
      </c>
    </row>
    <row r="2" spans="1:4">
      <c r="A2" s="134" t="s">
        <v>156</v>
      </c>
      <c r="B2" s="135" t="s">
        <v>157</v>
      </c>
      <c r="C2" s="136">
        <v>1</v>
      </c>
      <c r="D2" s="137">
        <v>1210</v>
      </c>
    </row>
    <row r="3" spans="1:4">
      <c r="A3" s="134" t="s">
        <v>158</v>
      </c>
      <c r="B3" s="135" t="s">
        <v>159</v>
      </c>
      <c r="C3" s="119">
        <v>2</v>
      </c>
      <c r="D3" s="131">
        <v>74</v>
      </c>
    </row>
    <row r="4" spans="1:4">
      <c r="A4" s="311" t="s">
        <v>389</v>
      </c>
      <c r="B4" s="311"/>
      <c r="C4" s="311"/>
      <c r="D4" s="138">
        <f>SUM(D2:D3)</f>
        <v>1284</v>
      </c>
    </row>
  </sheetData>
  <mergeCells count="1"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pane ySplit="1" topLeftCell="A2" activePane="bottomLeft" state="frozen"/>
      <selection pane="bottomLeft" activeCell="K21" sqref="K21"/>
    </sheetView>
  </sheetViews>
  <sheetFormatPr defaultColWidth="9.140625" defaultRowHeight="12.75"/>
  <cols>
    <col min="1" max="1" width="21.5703125" style="32" bestFit="1" customWidth="1"/>
    <col min="2" max="2" width="15.7109375" style="32" bestFit="1" customWidth="1"/>
    <col min="3" max="3" width="9.140625" style="32" bestFit="1" customWidth="1"/>
    <col min="4" max="4" width="6.85546875" style="143" bestFit="1" customWidth="1"/>
    <col min="5" max="16384" width="9.140625" style="32"/>
  </cols>
  <sheetData>
    <row r="1" spans="1:4">
      <c r="A1" s="34" t="s">
        <v>351</v>
      </c>
      <c r="B1" s="34" t="s">
        <v>9</v>
      </c>
      <c r="C1" s="34" t="s">
        <v>358</v>
      </c>
      <c r="D1" s="139" t="s">
        <v>316</v>
      </c>
    </row>
    <row r="2" spans="1:4">
      <c r="A2" s="38" t="s">
        <v>390</v>
      </c>
      <c r="B2" s="38" t="s">
        <v>391</v>
      </c>
      <c r="C2" s="38">
        <v>1</v>
      </c>
      <c r="D2" s="140">
        <v>3</v>
      </c>
    </row>
    <row r="3" spans="1:4">
      <c r="A3" s="38" t="s">
        <v>392</v>
      </c>
      <c r="B3" s="38" t="s">
        <v>393</v>
      </c>
      <c r="C3" s="38">
        <v>12</v>
      </c>
      <c r="D3" s="140">
        <v>2</v>
      </c>
    </row>
    <row r="4" spans="1:4" ht="13.5" thickBot="1">
      <c r="A4" s="40" t="s">
        <v>394</v>
      </c>
      <c r="B4" s="40"/>
      <c r="C4" s="40">
        <v>12</v>
      </c>
      <c r="D4" s="141">
        <v>12</v>
      </c>
    </row>
    <row r="5" spans="1:4" ht="13.5" thickBot="1">
      <c r="A5" s="312" t="s">
        <v>395</v>
      </c>
      <c r="B5" s="313"/>
      <c r="C5" s="314"/>
      <c r="D5" s="142">
        <f>SUM(D2:D4)</f>
        <v>17</v>
      </c>
    </row>
  </sheetData>
  <mergeCells count="1">
    <mergeCell ref="A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pane ySplit="1" topLeftCell="A2" activePane="bottomLeft" state="frozen"/>
      <selection pane="bottomLeft" activeCell="C25" sqref="C25"/>
    </sheetView>
  </sheetViews>
  <sheetFormatPr defaultColWidth="9.140625" defaultRowHeight="12.75"/>
  <cols>
    <col min="1" max="1" width="25.7109375" style="32" bestFit="1" customWidth="1"/>
    <col min="2" max="2" width="36" style="32" bestFit="1" customWidth="1"/>
    <col min="3" max="3" width="9.140625" style="32" bestFit="1" customWidth="1"/>
    <col min="4" max="4" width="7.5703125" style="143" bestFit="1" customWidth="1"/>
    <col min="5" max="16384" width="9.140625" style="32"/>
  </cols>
  <sheetData>
    <row r="1" spans="1:4">
      <c r="A1" s="152" t="s">
        <v>352</v>
      </c>
      <c r="B1" s="152" t="s">
        <v>9</v>
      </c>
      <c r="C1" s="152" t="s">
        <v>358</v>
      </c>
      <c r="D1" s="153" t="s">
        <v>316</v>
      </c>
    </row>
    <row r="2" spans="1:4">
      <c r="A2" s="144" t="s">
        <v>160</v>
      </c>
      <c r="B2" s="145" t="s">
        <v>161</v>
      </c>
      <c r="C2" s="146">
        <v>1</v>
      </c>
      <c r="D2" s="147">
        <v>688.75</v>
      </c>
    </row>
    <row r="3" spans="1:4">
      <c r="A3" s="144"/>
      <c r="B3" s="145" t="s">
        <v>162</v>
      </c>
      <c r="C3" s="146"/>
      <c r="D3" s="147"/>
    </row>
    <row r="4" spans="1:4">
      <c r="A4" s="315" t="s">
        <v>396</v>
      </c>
      <c r="B4" s="315"/>
      <c r="C4" s="315"/>
      <c r="D4" s="153">
        <f xml:space="preserve"> D2</f>
        <v>688.75</v>
      </c>
    </row>
  </sheetData>
  <mergeCells count="1"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P.V.P</vt:lpstr>
      <vt:lpstr>Costo</vt:lpstr>
      <vt:lpstr>VENTAS-PROYECTADAS</vt:lpstr>
      <vt:lpstr>COSTO-VTA</vt:lpstr>
      <vt:lpstr>Maquinaria y Equipo</vt:lpstr>
      <vt:lpstr>Menaje</vt:lpstr>
      <vt:lpstr>Equipo de Oficina</vt:lpstr>
      <vt:lpstr>Materiales de Oficina</vt:lpstr>
      <vt:lpstr>Equipos de Computo</vt:lpstr>
      <vt:lpstr>Muebles y Enseres</vt:lpstr>
      <vt:lpstr>Inversión Inicial</vt:lpstr>
      <vt:lpstr>AMORTIZ</vt:lpstr>
      <vt:lpstr>Gastos de Instalación</vt:lpstr>
      <vt:lpstr>GASTOS</vt:lpstr>
      <vt:lpstr>Gastos Legales</vt:lpstr>
      <vt:lpstr>Gastos de Publicidad</vt:lpstr>
      <vt:lpstr>DEPRE</vt:lpstr>
      <vt:lpstr>capital-trabajo</vt:lpstr>
      <vt:lpstr>BENEFICIOS SOCIALES</vt:lpstr>
      <vt:lpstr>PRESTAMO</vt:lpstr>
      <vt:lpstr>SENSIBILIDAD</vt:lpstr>
      <vt:lpstr>P&amp;G</vt:lpstr>
      <vt:lpstr>FC</vt:lpstr>
      <vt:lpstr>DATOS</vt:lpstr>
      <vt:lpstr>'Maquinaria y Equipo'!Print_Area</vt:lpstr>
    </vt:vector>
  </TitlesOfParts>
  <Company>Management Consultant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für Overhead, blanko und Ergebnisse</dc:title>
  <dc:creator>GFA</dc:creator>
  <cp:lastModifiedBy>Cliente</cp:lastModifiedBy>
  <cp:lastPrinted>2010-05-02T07:55:13Z</cp:lastPrinted>
  <dcterms:created xsi:type="dcterms:W3CDTF">2000-07-04T18:36:20Z</dcterms:created>
  <dcterms:modified xsi:type="dcterms:W3CDTF">2010-05-04T17:15:50Z</dcterms:modified>
</cp:coreProperties>
</file>