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8115" windowHeight="4170" activeTab="3"/>
  </bookViews>
  <sheets>
    <sheet name="gastos" sheetId="1" r:id="rId1"/>
    <sheet name="capital de trabajo" sheetId="2" r:id="rId2"/>
    <sheet name="financiamiento" sheetId="3" r:id="rId3"/>
    <sheet name="segmentacion" sheetId="4" r:id="rId4"/>
    <sheet name="ingresos 1 año" sheetId="5" r:id="rId5"/>
    <sheet name="precios" sheetId="6" r:id="rId6"/>
    <sheet name="costos" sheetId="7" r:id="rId7"/>
    <sheet name="depreciacion" sheetId="8" r:id="rId8"/>
    <sheet name="amortizacion" sheetId="9" r:id="rId9"/>
    <sheet name="estado de resultados" sheetId="10" r:id="rId10"/>
    <sheet name="VAN vs TMAR" sheetId="23" r:id="rId11"/>
    <sheet name="flujo de caja" sheetId="11" r:id="rId12"/>
    <sheet name="payback" sheetId="12" r:id="rId13"/>
  </sheets>
  <calcPr calcId="125725"/>
</workbook>
</file>

<file path=xl/calcChain.xml><?xml version="1.0" encoding="utf-8"?>
<calcChain xmlns="http://schemas.openxmlformats.org/spreadsheetml/2006/main">
  <c r="C60" i="4"/>
  <c r="C13"/>
  <c r="C14"/>
  <c r="D26" i="3"/>
  <c r="C26"/>
  <c r="H17" i="12"/>
  <c r="H18"/>
  <c r="H19"/>
  <c r="H20"/>
  <c r="H16"/>
  <c r="G17"/>
  <c r="G16"/>
  <c r="D15"/>
  <c r="C133" i="4"/>
  <c r="C131"/>
  <c r="C135"/>
  <c r="C104"/>
  <c r="C102"/>
  <c r="E11" i="10"/>
  <c r="E10"/>
  <c r="F10" s="1"/>
  <c r="G12" i="11" s="1"/>
  <c r="E9" i="10"/>
  <c r="F9" s="1"/>
  <c r="G9" s="1"/>
  <c r="F132" i="4"/>
  <c r="E131"/>
  <c r="F127"/>
  <c r="D10" i="10"/>
  <c r="E12" i="11" s="1"/>
  <c r="C10" i="10"/>
  <c r="D12" i="11" s="1"/>
  <c r="I30" i="1"/>
  <c r="F17" i="7"/>
  <c r="F9"/>
  <c r="E8"/>
  <c r="E5"/>
  <c r="F5"/>
  <c r="D4"/>
  <c r="C4"/>
  <c r="F17" i="5"/>
  <c r="F9"/>
  <c r="E8"/>
  <c r="E5"/>
  <c r="F5"/>
  <c r="D4"/>
  <c r="C4"/>
  <c r="D8" i="10"/>
  <c r="C8"/>
  <c r="D10" i="11" s="1"/>
  <c r="I4" i="1"/>
  <c r="I32" s="1"/>
  <c r="C13" i="8"/>
  <c r="C16" s="1"/>
  <c r="I4"/>
  <c r="I3"/>
  <c r="I5" s="1"/>
  <c r="I8" s="1"/>
  <c r="F4"/>
  <c r="F5"/>
  <c r="F3"/>
  <c r="C3"/>
  <c r="C6" s="1"/>
  <c r="K20" i="1"/>
  <c r="E20"/>
  <c r="F20" s="1"/>
  <c r="E21"/>
  <c r="F21" s="1"/>
  <c r="E28"/>
  <c r="F28" s="1"/>
  <c r="F29" s="1"/>
  <c r="C32" s="1"/>
  <c r="E22"/>
  <c r="F22" s="1"/>
  <c r="E19"/>
  <c r="F19" s="1"/>
  <c r="F23" s="1"/>
  <c r="I28" s="1"/>
  <c r="C7" i="10" s="1"/>
  <c r="D7" s="1"/>
  <c r="E7" s="1"/>
  <c r="E13" i="2"/>
  <c r="C115" i="4"/>
  <c r="D114"/>
  <c r="D115" s="1"/>
  <c r="C100"/>
  <c r="C103" s="1"/>
  <c r="C105" s="1"/>
  <c r="F150" s="1"/>
  <c r="D99"/>
  <c r="D100" s="1"/>
  <c r="F12" i="11" l="1"/>
  <c r="F6" i="8"/>
  <c r="F9" s="1"/>
  <c r="H15" s="1"/>
  <c r="E12" i="10" s="1"/>
  <c r="F17" i="11" s="1"/>
  <c r="F27" s="1"/>
  <c r="G15" i="8"/>
  <c r="D12" i="10" s="1"/>
  <c r="E17" i="11" s="1"/>
  <c r="E27" s="1"/>
  <c r="G10" i="10"/>
  <c r="H12" i="11" s="1"/>
  <c r="E8" i="10"/>
  <c r="F8" s="1"/>
  <c r="E9" i="11"/>
  <c r="D9"/>
  <c r="C15" i="10"/>
  <c r="D11"/>
  <c r="C11"/>
  <c r="D13" i="11" s="1"/>
  <c r="F10"/>
  <c r="E10"/>
  <c r="F9"/>
  <c r="F149" i="4"/>
  <c r="F154"/>
  <c r="F153" s="1"/>
  <c r="C117"/>
  <c r="C118" s="1"/>
  <c r="C119" s="1"/>
  <c r="C120" s="1"/>
  <c r="E150" s="1"/>
  <c r="C85"/>
  <c r="D84"/>
  <c r="D85" s="1"/>
  <c r="C70"/>
  <c r="J15" i="8" l="1"/>
  <c r="G12" i="10" s="1"/>
  <c r="H17" i="11" s="1"/>
  <c r="H27" s="1"/>
  <c r="F15" i="8"/>
  <c r="C12" i="10" s="1"/>
  <c r="D17" i="11" s="1"/>
  <c r="D27" s="1"/>
  <c r="I15" i="8"/>
  <c r="F12" i="10" s="1"/>
  <c r="G17" i="11" s="1"/>
  <c r="G27" s="1"/>
  <c r="F11" i="8"/>
  <c r="I33" i="1" s="1"/>
  <c r="G8" i="10"/>
  <c r="H10" i="11" s="1"/>
  <c r="G10"/>
  <c r="F24" i="7"/>
  <c r="F24" i="5"/>
  <c r="F21" i="7"/>
  <c r="F21" i="5"/>
  <c r="E13" i="11"/>
  <c r="D15" i="10"/>
  <c r="D15" i="11"/>
  <c r="F7" i="10"/>
  <c r="G9" i="11" s="1"/>
  <c r="E154" i="4"/>
  <c r="E153" s="1"/>
  <c r="E149"/>
  <c r="C87"/>
  <c r="C88" s="1"/>
  <c r="C89" s="1"/>
  <c r="C90" s="1"/>
  <c r="D150" s="1"/>
  <c r="C72"/>
  <c r="C73" s="1"/>
  <c r="C74" s="1"/>
  <c r="C75" s="1"/>
  <c r="C150" s="1"/>
  <c r="D69"/>
  <c r="D70" s="1"/>
  <c r="C55"/>
  <c r="D54"/>
  <c r="D55" s="1"/>
  <c r="C39"/>
  <c r="C41" s="1"/>
  <c r="C42" s="1"/>
  <c r="C43" s="1"/>
  <c r="C44" s="1"/>
  <c r="F129" s="1"/>
  <c r="F133" s="1"/>
  <c r="D38"/>
  <c r="D39" s="1"/>
  <c r="C24"/>
  <c r="C26" s="1"/>
  <c r="C27" s="1"/>
  <c r="C28" s="1"/>
  <c r="C29" s="1"/>
  <c r="D129" s="1"/>
  <c r="D23"/>
  <c r="D24" s="1"/>
  <c r="E15" i="10" l="1"/>
  <c r="E21" i="7"/>
  <c r="E21" i="5"/>
  <c r="E24" i="7"/>
  <c r="E24" i="5"/>
  <c r="F136" i="4"/>
  <c r="E15" i="11"/>
  <c r="F11" i="10"/>
  <c r="F13" i="11"/>
  <c r="G7" i="10"/>
  <c r="D154" i="4"/>
  <c r="D133" s="1"/>
  <c r="D149"/>
  <c r="C154"/>
  <c r="C149"/>
  <c r="D127"/>
  <c r="D128"/>
  <c r="F128"/>
  <c r="F126"/>
  <c r="C57"/>
  <c r="C58" s="1"/>
  <c r="C59" s="1"/>
  <c r="E129" s="1"/>
  <c r="C11"/>
  <c r="C12" s="1"/>
  <c r="D8"/>
  <c r="D9" s="1"/>
  <c r="E133" l="1"/>
  <c r="E126"/>
  <c r="C129"/>
  <c r="D131"/>
  <c r="D132"/>
  <c r="D136"/>
  <c r="D21" i="7"/>
  <c r="D21" i="5"/>
  <c r="G149" i="4"/>
  <c r="G21" i="7" s="1"/>
  <c r="C21"/>
  <c r="C21" i="5"/>
  <c r="E132" i="4"/>
  <c r="E136"/>
  <c r="F4" i="7"/>
  <c r="F4" i="5"/>
  <c r="F6" i="7"/>
  <c r="F6" i="5"/>
  <c r="F139" i="4"/>
  <c r="F135"/>
  <c r="F8" i="7"/>
  <c r="F8" i="5"/>
  <c r="D6" i="7"/>
  <c r="D6" i="5"/>
  <c r="D5" i="7"/>
  <c r="D5" i="5"/>
  <c r="D139" i="4"/>
  <c r="D135"/>
  <c r="D9" i="7"/>
  <c r="D9" i="5"/>
  <c r="D8" i="7"/>
  <c r="D8" i="5"/>
  <c r="H9" i="11"/>
  <c r="G11" i="10"/>
  <c r="H13" i="11" s="1"/>
  <c r="G13"/>
  <c r="F15" i="10"/>
  <c r="F15" i="11"/>
  <c r="C153" i="4"/>
  <c r="D153"/>
  <c r="G126"/>
  <c r="G4" i="7" s="1"/>
  <c r="E128" i="4"/>
  <c r="C127"/>
  <c r="C128"/>
  <c r="K21" i="1"/>
  <c r="K23" s="1"/>
  <c r="K24" s="1"/>
  <c r="H5"/>
  <c r="H8" s="1"/>
  <c r="I8" s="1"/>
  <c r="D19" i="2"/>
  <c r="E19" s="1"/>
  <c r="E6"/>
  <c r="E7" i="1"/>
  <c r="D8"/>
  <c r="E8" s="1"/>
  <c r="D13"/>
  <c r="E11" i="3"/>
  <c r="E5" i="2"/>
  <c r="E10"/>
  <c r="E9" s="1"/>
  <c r="D18"/>
  <c r="E18" s="1"/>
  <c r="D3" i="9" s="1"/>
  <c r="E3" s="1"/>
  <c r="F3" s="1"/>
  <c r="G3" s="1"/>
  <c r="H3" s="1"/>
  <c r="D17" i="2"/>
  <c r="E17" s="1"/>
  <c r="D2" i="9" s="1"/>
  <c r="H22" i="1"/>
  <c r="E15" i="2"/>
  <c r="E14" s="1"/>
  <c r="E12"/>
  <c r="E8"/>
  <c r="E13" i="1"/>
  <c r="C33" s="1"/>
  <c r="E7" i="2"/>
  <c r="E11"/>
  <c r="D12" i="1"/>
  <c r="E12" s="1"/>
  <c r="D3"/>
  <c r="E3" s="1"/>
  <c r="G21" i="5" l="1"/>
  <c r="I21" s="1"/>
  <c r="E4" i="7"/>
  <c r="E4" i="5"/>
  <c r="G4" s="1"/>
  <c r="I4" s="1"/>
  <c r="C132" i="4"/>
  <c r="C136"/>
  <c r="D24" i="7"/>
  <c r="D24" i="5"/>
  <c r="C24" i="7"/>
  <c r="C24" i="5"/>
  <c r="G24" s="1"/>
  <c r="I24" s="1"/>
  <c r="E6" i="7"/>
  <c r="E6" i="5"/>
  <c r="E139" i="4"/>
  <c r="E135"/>
  <c r="E9" i="7"/>
  <c r="E9" i="5"/>
  <c r="F11" i="7"/>
  <c r="F11" i="5"/>
  <c r="F142" i="4"/>
  <c r="F138"/>
  <c r="F13" i="7" s="1"/>
  <c r="D11"/>
  <c r="D11" i="5"/>
  <c r="D142" i="4"/>
  <c r="D138"/>
  <c r="D13" i="7" s="1"/>
  <c r="G128" i="4"/>
  <c r="C6" i="7"/>
  <c r="C6" i="5"/>
  <c r="G127" i="4"/>
  <c r="G5" i="7" s="1"/>
  <c r="C5"/>
  <c r="C5" i="5"/>
  <c r="G5" s="1"/>
  <c r="I5" s="1"/>
  <c r="C139" i="4"/>
  <c r="C9" i="7"/>
  <c r="C9" i="5"/>
  <c r="G132" i="4"/>
  <c r="G9" i="7" s="1"/>
  <c r="C8"/>
  <c r="C8" i="5"/>
  <c r="G8" s="1"/>
  <c r="I8" s="1"/>
  <c r="G131" i="4"/>
  <c r="G8" i="7" s="1"/>
  <c r="I31" i="1"/>
  <c r="E15"/>
  <c r="C16" i="10"/>
  <c r="C34" i="1"/>
  <c r="G15" i="10"/>
  <c r="H15" i="11" s="1"/>
  <c r="G15"/>
  <c r="D15" i="1"/>
  <c r="G153" i="4"/>
  <c r="G24" i="7" s="1"/>
  <c r="E2" i="9"/>
  <c r="G4"/>
  <c r="D4"/>
  <c r="D5" s="1"/>
  <c r="I34" i="1" s="1"/>
  <c r="F4" i="9"/>
  <c r="E4"/>
  <c r="C13" i="10" l="1"/>
  <c r="D18" i="11" s="1"/>
  <c r="D28" s="1"/>
  <c r="I35" i="1"/>
  <c r="G9" i="5"/>
  <c r="I9" s="1"/>
  <c r="E11" i="7"/>
  <c r="E11" i="5"/>
  <c r="E142" i="4"/>
  <c r="E138"/>
  <c r="E13" i="7" s="1"/>
  <c r="F147" i="4"/>
  <c r="F141"/>
  <c r="D147"/>
  <c r="D141"/>
  <c r="G135"/>
  <c r="G11" i="7" s="1"/>
  <c r="C11"/>
  <c r="C11" i="5"/>
  <c r="G11" s="1"/>
  <c r="I11" s="1"/>
  <c r="C142" i="4"/>
  <c r="C138"/>
  <c r="G6" i="7"/>
  <c r="G6" i="5"/>
  <c r="I6" s="1"/>
  <c r="E16" i="10"/>
  <c r="F16" i="11" s="1"/>
  <c r="D16"/>
  <c r="D16" i="10"/>
  <c r="G16"/>
  <c r="H16" i="11" s="1"/>
  <c r="F16" i="10"/>
  <c r="G16" i="11" s="1"/>
  <c r="D9" i="10"/>
  <c r="C9"/>
  <c r="C17" s="1"/>
  <c r="E5" i="9"/>
  <c r="D13" i="10" s="1"/>
  <c r="E18" i="11" s="1"/>
  <c r="E28" s="1"/>
  <c r="F2" i="9"/>
  <c r="D17" i="10" l="1"/>
  <c r="D19" i="7"/>
  <c r="D19" i="5"/>
  <c r="E147" i="4"/>
  <c r="E141"/>
  <c r="F15" i="7"/>
  <c r="F15" i="5"/>
  <c r="F13"/>
  <c r="F145" i="4"/>
  <c r="F146"/>
  <c r="D15" i="7"/>
  <c r="D15" i="5"/>
  <c r="D13"/>
  <c r="D144" i="4"/>
  <c r="D157"/>
  <c r="D145"/>
  <c r="C13" i="7"/>
  <c r="G138" i="4"/>
  <c r="G13" i="7" s="1"/>
  <c r="C147" i="4"/>
  <c r="C146" s="1"/>
  <c r="C141"/>
  <c r="D11" i="11"/>
  <c r="D19" s="1"/>
  <c r="E11"/>
  <c r="E19" s="1"/>
  <c r="E16"/>
  <c r="G2" i="9"/>
  <c r="F5"/>
  <c r="E13" i="10" s="1"/>
  <c r="F18" i="11" l="1"/>
  <c r="F28" s="1"/>
  <c r="E17" i="10"/>
  <c r="E15" i="7"/>
  <c r="E15" i="5"/>
  <c r="E13"/>
  <c r="E144" i="4"/>
  <c r="E157"/>
  <c r="E145"/>
  <c r="F19" i="7"/>
  <c r="F19" i="5"/>
  <c r="F18" i="7"/>
  <c r="F18" i="5"/>
  <c r="D18" i="7"/>
  <c r="D18" i="5"/>
  <c r="D160" i="4"/>
  <c r="D156"/>
  <c r="D17" i="7"/>
  <c r="D17" i="5"/>
  <c r="C15" i="7"/>
  <c r="C15" i="5"/>
  <c r="G15" s="1"/>
  <c r="I15" s="1"/>
  <c r="C13"/>
  <c r="G13" s="1"/>
  <c r="I13" s="1"/>
  <c r="G141" i="4"/>
  <c r="G15" i="7" s="1"/>
  <c r="C157" i="4"/>
  <c r="C145"/>
  <c r="F11" i="11"/>
  <c r="F19" s="1"/>
  <c r="G5" i="9"/>
  <c r="F13" i="10" s="1"/>
  <c r="G18" i="11" s="1"/>
  <c r="G28" s="1"/>
  <c r="H2" i="9"/>
  <c r="H5" s="1"/>
  <c r="G13" i="10" s="1"/>
  <c r="H18" i="11" s="1"/>
  <c r="H28" s="1"/>
  <c r="G145" i="4"/>
  <c r="G18" i="7" s="1"/>
  <c r="F157" i="4"/>
  <c r="F156" s="1"/>
  <c r="F160"/>
  <c r="F161" s="1"/>
  <c r="F159"/>
  <c r="G144"/>
  <c r="G17" i="7" s="1"/>
  <c r="F17" i="10" l="1"/>
  <c r="E18" i="7"/>
  <c r="E18" i="5"/>
  <c r="E160" i="4"/>
  <c r="E156"/>
  <c r="E17" i="7"/>
  <c r="E17" i="5"/>
  <c r="E19" i="7"/>
  <c r="E19" i="5"/>
  <c r="F28" i="7"/>
  <c r="F28" i="5"/>
  <c r="F26" i="7"/>
  <c r="F26" i="5"/>
  <c r="D26" i="7"/>
  <c r="D26" i="5"/>
  <c r="D159" i="4"/>
  <c r="D161"/>
  <c r="C18" i="7"/>
  <c r="C18" i="5"/>
  <c r="G18" s="1"/>
  <c r="I18" s="1"/>
  <c r="C17" i="7"/>
  <c r="C17" i="5"/>
  <c r="G17" s="1"/>
  <c r="I17" s="1"/>
  <c r="C156" i="4"/>
  <c r="C160"/>
  <c r="G156"/>
  <c r="G26" i="7" s="1"/>
  <c r="G17" i="10"/>
  <c r="G11" i="11"/>
  <c r="G19" s="1"/>
  <c r="E26" i="7" l="1"/>
  <c r="E26" i="5"/>
  <c r="E159" i="4"/>
  <c r="E161"/>
  <c r="D28" i="7"/>
  <c r="D28" i="5"/>
  <c r="C159" i="4"/>
  <c r="C161"/>
  <c r="C26" i="7"/>
  <c r="C26" i="5"/>
  <c r="G26" s="1"/>
  <c r="I26" s="1"/>
  <c r="C19" i="7"/>
  <c r="C19" i="5"/>
  <c r="G19" s="1"/>
  <c r="I19" s="1"/>
  <c r="G146" i="4"/>
  <c r="H11" i="11"/>
  <c r="H19" s="1"/>
  <c r="E28" i="7" l="1"/>
  <c r="E28" i="5"/>
  <c r="G19" i="7"/>
  <c r="C28"/>
  <c r="C28" i="5"/>
  <c r="G159" i="4"/>
  <c r="G28" i="7" l="1"/>
  <c r="G29" s="1"/>
  <c r="C3" i="10" s="1"/>
  <c r="D6" i="11" s="1"/>
  <c r="G28" i="5"/>
  <c r="I28" s="1"/>
  <c r="I29" s="1"/>
  <c r="C2" i="10" s="1"/>
  <c r="D5" i="11" s="1"/>
  <c r="G161" i="4"/>
  <c r="H13" i="1" s="1"/>
  <c r="H15" s="1"/>
  <c r="D3" i="2" s="1"/>
  <c r="E3" s="1"/>
  <c r="E20" l="1"/>
  <c r="F3" s="1"/>
  <c r="D2" i="10"/>
  <c r="E5" i="11" s="1"/>
  <c r="C4" i="10"/>
  <c r="C18" s="1"/>
  <c r="D3"/>
  <c r="E6" i="11" s="1"/>
  <c r="E2" i="10" l="1"/>
  <c r="F5" i="11" s="1"/>
  <c r="E3" i="10"/>
  <c r="F6" i="11" s="1"/>
  <c r="D4" i="10"/>
  <c r="D18" s="1"/>
  <c r="F14" i="2"/>
  <c r="F13"/>
  <c r="F17"/>
  <c r="F18"/>
  <c r="F19"/>
  <c r="F9"/>
  <c r="F5"/>
  <c r="F20" s="1"/>
  <c r="C3" i="11"/>
  <c r="E22" i="2"/>
  <c r="D2" i="3" s="1"/>
  <c r="H30" i="11" l="1"/>
  <c r="F2" i="10"/>
  <c r="G5" i="11" s="1"/>
  <c r="D11" i="3"/>
  <c r="D3"/>
  <c r="C17" s="1"/>
  <c r="E4" i="10"/>
  <c r="E18" s="1"/>
  <c r="F3"/>
  <c r="G6" i="11" s="1"/>
  <c r="G2" i="10" l="1"/>
  <c r="H5" i="11" s="1"/>
  <c r="D4" i="3"/>
  <c r="G3" i="10"/>
  <c r="H6" i="11" s="1"/>
  <c r="F4" i="10"/>
  <c r="F18" s="1"/>
  <c r="C4" i="11"/>
  <c r="F25" i="3"/>
  <c r="D9"/>
  <c r="D8"/>
  <c r="D10"/>
  <c r="E26" l="1"/>
  <c r="C31" i="11"/>
  <c r="C20" i="10"/>
  <c r="G4"/>
  <c r="G18" s="1"/>
  <c r="D20" i="11" l="1"/>
  <c r="F26" i="3"/>
  <c r="C27" s="1"/>
  <c r="D20" i="10" s="1"/>
  <c r="G15" i="12"/>
  <c r="E27" i="3"/>
  <c r="D21" i="11"/>
  <c r="C21" i="10"/>
  <c r="D21" l="1"/>
  <c r="D22" s="1"/>
  <c r="D23" s="1"/>
  <c r="E21" i="11"/>
  <c r="D22"/>
  <c r="D23" s="1"/>
  <c r="D24" s="1"/>
  <c r="C22" i="10"/>
  <c r="C23" s="1"/>
  <c r="E28" i="3"/>
  <c r="E29" s="1"/>
  <c r="E30" s="1"/>
  <c r="D27"/>
  <c r="F27" s="1"/>
  <c r="C28" s="1"/>
  <c r="E31"/>
  <c r="D29" i="11"/>
  <c r="E20"/>
  <c r="D24" i="10"/>
  <c r="D25" s="1"/>
  <c r="C24" l="1"/>
  <c r="C25"/>
  <c r="E22" i="11"/>
  <c r="D25"/>
  <c r="D26" s="1"/>
  <c r="D31" s="1"/>
  <c r="E23"/>
  <c r="E24" s="1"/>
  <c r="E25" s="1"/>
  <c r="E26" s="1"/>
  <c r="E29"/>
  <c r="F20"/>
  <c r="E20" i="10"/>
  <c r="D28" i="3"/>
  <c r="E31" i="11" l="1"/>
  <c r="E17" i="12" s="1"/>
  <c r="E16"/>
  <c r="F29" i="11"/>
  <c r="G20"/>
  <c r="F28" i="3"/>
  <c r="F21" i="11"/>
  <c r="F22" s="1"/>
  <c r="E21" i="10"/>
  <c r="E22" s="1"/>
  <c r="E23" s="1"/>
  <c r="I16" i="12" l="1"/>
  <c r="F16"/>
  <c r="F17" s="1"/>
  <c r="G29" i="11"/>
  <c r="H20"/>
  <c r="E24" i="10"/>
  <c r="E25" s="1"/>
  <c r="F23" i="11"/>
  <c r="F24" s="1"/>
  <c r="C29" i="3"/>
  <c r="H29" i="11" l="1"/>
  <c r="F25"/>
  <c r="F26" s="1"/>
  <c r="F31" s="1"/>
  <c r="F20" i="10"/>
  <c r="D29" i="3"/>
  <c r="E18" i="12" l="1"/>
  <c r="F29" i="3"/>
  <c r="G21" i="11"/>
  <c r="G22" s="1"/>
  <c r="F21" i="10"/>
  <c r="F22" s="1"/>
  <c r="F23" s="1"/>
  <c r="G18" i="12" l="1"/>
  <c r="F18"/>
  <c r="F24" i="10"/>
  <c r="F25" s="1"/>
  <c r="G23" i="11"/>
  <c r="G24" s="1"/>
  <c r="C30" i="3"/>
  <c r="G25" i="11" l="1"/>
  <c r="G26" s="1"/>
  <c r="G31" s="1"/>
  <c r="G20" i="10"/>
  <c r="D30" i="3"/>
  <c r="C31"/>
  <c r="E19" i="12" l="1"/>
  <c r="D31" i="3"/>
  <c r="F30"/>
  <c r="H21" i="11"/>
  <c r="H22" s="1"/>
  <c r="G21" i="10"/>
  <c r="G22" s="1"/>
  <c r="G23" s="1"/>
  <c r="F19" i="12" l="1"/>
  <c r="G19"/>
  <c r="G24" i="10"/>
  <c r="G25" s="1"/>
  <c r="H23" i="11"/>
  <c r="H24" s="1"/>
  <c r="H25" l="1"/>
  <c r="H26" s="1"/>
  <c r="H31" s="1"/>
  <c r="C34" s="1"/>
  <c r="E20" i="12" l="1"/>
  <c r="G20" s="1"/>
  <c r="C33" i="11"/>
  <c r="F20" i="12" l="1"/>
</calcChain>
</file>

<file path=xl/sharedStrings.xml><?xml version="1.0" encoding="utf-8"?>
<sst xmlns="http://schemas.openxmlformats.org/spreadsheetml/2006/main" count="584" uniqueCount="259">
  <si>
    <t>GASTOS ADMINISTRATIVOS</t>
  </si>
  <si>
    <t>Servicios básicos</t>
  </si>
  <si>
    <t>Sueldos</t>
  </si>
  <si>
    <t>Mantenimiento de carro</t>
  </si>
  <si>
    <t>Mantenimiento de dominio</t>
  </si>
  <si>
    <t>Mantenimiento de hosting</t>
  </si>
  <si>
    <t>Agua</t>
  </si>
  <si>
    <t>Luz</t>
  </si>
  <si>
    <t>Telefono</t>
  </si>
  <si>
    <t>Parcial</t>
  </si>
  <si>
    <t>Total</t>
  </si>
  <si>
    <t>Administrador</t>
  </si>
  <si>
    <t>Anuales</t>
  </si>
  <si>
    <t>GASTOS DE VENTAS</t>
  </si>
  <si>
    <t>Sueldo del vendedor</t>
  </si>
  <si>
    <t>Gastos de entrega</t>
  </si>
  <si>
    <t>Compra de mercadería</t>
  </si>
  <si>
    <t>Gastos operativos</t>
  </si>
  <si>
    <t>TOTAL</t>
  </si>
  <si>
    <t>DESCRIPCION</t>
  </si>
  <si>
    <t>VALOR</t>
  </si>
  <si>
    <t>PORCENTAJES</t>
  </si>
  <si>
    <t>Capital de trabajo</t>
  </si>
  <si>
    <t>ACTIVOS FIJOS</t>
  </si>
  <si>
    <t>Alquiler de local</t>
  </si>
  <si>
    <t>Muebles y enseres</t>
  </si>
  <si>
    <t>Cámara digital</t>
  </si>
  <si>
    <t>AREA ADMINISTRATIVA</t>
  </si>
  <si>
    <t>Sistema de computacion</t>
  </si>
  <si>
    <t>Anual</t>
  </si>
  <si>
    <t xml:space="preserve">      Escritorio</t>
  </si>
  <si>
    <t xml:space="preserve">      Sillas plasticas</t>
  </si>
  <si>
    <t xml:space="preserve">      Vitrinas</t>
  </si>
  <si>
    <t>Pagina web</t>
  </si>
  <si>
    <t>Activos diferidos</t>
  </si>
  <si>
    <t>Gastos de Constitución</t>
  </si>
  <si>
    <t>Permisos e impuestos</t>
  </si>
  <si>
    <t>Gastos de Publicidad</t>
  </si>
  <si>
    <t>Activos Intangibles</t>
  </si>
  <si>
    <t>TOTAL DE INVERSION FIJA</t>
  </si>
  <si>
    <t>CANT</t>
  </si>
  <si>
    <t>Capital propio</t>
  </si>
  <si>
    <t>Crédito</t>
  </si>
  <si>
    <t>% Participación</t>
  </si>
  <si>
    <t>Inversionistas</t>
  </si>
  <si>
    <t>Monto Aportado</t>
  </si>
  <si>
    <t>Ileana Romero</t>
  </si>
  <si>
    <t>Nick Balseca</t>
  </si>
  <si>
    <t>Holger Cevallos</t>
  </si>
  <si>
    <t>Gastos por embalaje</t>
  </si>
  <si>
    <t>Teléfono</t>
  </si>
  <si>
    <t>País: Estados Unidos de América</t>
  </si>
  <si>
    <t>Microsegmentación de Mercado</t>
  </si>
  <si>
    <t xml:space="preserve">Importaciones Totales de Artículos de Tagua </t>
  </si>
  <si>
    <t>Miles de USD</t>
  </si>
  <si>
    <t>Importaciones de Artículos de Tagua desde Ecuador</t>
  </si>
  <si>
    <t>%</t>
  </si>
  <si>
    <t>Mercado Total de Artículos de Tagua para ECUARTISAN S.A.</t>
  </si>
  <si>
    <t>Precio promedio de venta de cada artículo</t>
  </si>
  <si>
    <t>Estimación de Demanda Anual de Artículos de Tagua para ECUARTISAN S.A.</t>
  </si>
  <si>
    <t>Unidades</t>
  </si>
  <si>
    <t>Estimación de Demanda Mensual de Artículos de Tagua para ECUARTISAN S.A.</t>
  </si>
  <si>
    <t>Mercado Total Anual de Artículos de Tagua para ECUARTISAN S.A.</t>
  </si>
  <si>
    <t>Mercado Total Mensual de Artículos de Tagua para ECUARTISAN S.A.</t>
  </si>
  <si>
    <t>Producto: Artículos de Tagua</t>
  </si>
  <si>
    <t>País: Holanda</t>
  </si>
  <si>
    <t>Importaciones Totales de Artículos de Tagua (2008)*</t>
  </si>
  <si>
    <t>Importaciones de Artículos de Tagua desde Ecuador (2008)*</t>
  </si>
  <si>
    <t>País: Francia</t>
  </si>
  <si>
    <t>País: Alemania</t>
  </si>
  <si>
    <t>Importaciones de Artículos de Tagua desde América Latina (AL)</t>
  </si>
  <si>
    <t>Rubros</t>
  </si>
  <si>
    <t>Producto: Artículos de Concha, Concha de Nácar</t>
  </si>
  <si>
    <t>PRODUCTOS</t>
  </si>
  <si>
    <t>PRECIOS</t>
  </si>
  <si>
    <t>TAGUA</t>
  </si>
  <si>
    <t>Pulseras medianas</t>
  </si>
  <si>
    <t>Pulseras gruesas</t>
  </si>
  <si>
    <t>COCO</t>
  </si>
  <si>
    <t>Relojes</t>
  </si>
  <si>
    <t>$ 10.00</t>
  </si>
  <si>
    <t>CAFÉ</t>
  </si>
  <si>
    <t>TORTA -HABAS</t>
  </si>
  <si>
    <t>HUAYRURO</t>
  </si>
  <si>
    <t>CON CÁSCARA DE NARANJA</t>
  </si>
  <si>
    <t>Aretes</t>
  </si>
  <si>
    <t>Pulseras</t>
  </si>
  <si>
    <t>CONCHA DE NACAR</t>
  </si>
  <si>
    <t xml:space="preserve">Collares </t>
  </si>
  <si>
    <t>ADORNOS</t>
  </si>
  <si>
    <t>CONCHA</t>
  </si>
  <si>
    <t>Muñeca</t>
  </si>
  <si>
    <t>PAJA TOQUILLA</t>
  </si>
  <si>
    <t>Lámparas</t>
  </si>
  <si>
    <t>MADERA</t>
  </si>
  <si>
    <t>Barcos</t>
  </si>
  <si>
    <t>Estados Unidos</t>
  </si>
  <si>
    <t>Holanda</t>
  </si>
  <si>
    <t>Alemania</t>
  </si>
  <si>
    <t>Francia</t>
  </si>
  <si>
    <t>TOTAL DE ADQUISICION DEL PRODUCTO</t>
  </si>
  <si>
    <t>TOTAL DE ADQUISICIONES ANUALES</t>
  </si>
  <si>
    <t>Juegos de collar y aretes</t>
  </si>
  <si>
    <t>Valor Total $$USD</t>
  </si>
  <si>
    <t>Valor de compra</t>
  </si>
  <si>
    <t>Juego de collar y aretes</t>
  </si>
  <si>
    <t>Total valor de compras</t>
  </si>
  <si>
    <t>Vehículo</t>
  </si>
  <si>
    <t xml:space="preserve">  Salario del transportador</t>
  </si>
  <si>
    <t xml:space="preserve">  Gasolina</t>
  </si>
  <si>
    <t>Crèdito bancario</t>
  </si>
  <si>
    <t>Valor a financiar</t>
  </si>
  <si>
    <t xml:space="preserve">Plazo </t>
  </si>
  <si>
    <t>años</t>
  </si>
  <si>
    <t xml:space="preserve">Forma de pago </t>
  </si>
  <si>
    <t>Amortizacion gradual</t>
  </si>
  <si>
    <t>Pagos</t>
  </si>
  <si>
    <t>Mensuales</t>
  </si>
  <si>
    <t>Tasa de interes</t>
  </si>
  <si>
    <t>#</t>
  </si>
  <si>
    <t>Intereses</t>
  </si>
  <si>
    <t>Capital</t>
  </si>
  <si>
    <t xml:space="preserve">Cuota </t>
  </si>
  <si>
    <t>Capital Reducido</t>
  </si>
  <si>
    <t>PVP</t>
  </si>
  <si>
    <t>Ventas Totales</t>
  </si>
  <si>
    <t>Juegos de collares y aretes</t>
  </si>
  <si>
    <t>Collares con juegos de aretes</t>
  </si>
  <si>
    <t>Adornos</t>
  </si>
  <si>
    <t>Total cant</t>
  </si>
  <si>
    <t>Función</t>
  </si>
  <si>
    <t>Número de recursos</t>
  </si>
  <si>
    <t>Mensual</t>
  </si>
  <si>
    <t>Administración</t>
  </si>
  <si>
    <t>Control de inventario</t>
  </si>
  <si>
    <t>Control de empaque</t>
  </si>
  <si>
    <t>Ventas</t>
  </si>
  <si>
    <t>Distribución</t>
  </si>
  <si>
    <t>Total de sueldos por administracion anual</t>
  </si>
  <si>
    <t>gastos administrativos</t>
  </si>
  <si>
    <t>Suministros</t>
  </si>
  <si>
    <t>Depreciacion</t>
  </si>
  <si>
    <t>Computadoras</t>
  </si>
  <si>
    <t>Costo</t>
  </si>
  <si>
    <t>Vida util</t>
  </si>
  <si>
    <t>Valor dep anual</t>
  </si>
  <si>
    <t>Muebles de oficina</t>
  </si>
  <si>
    <t>Escritorio</t>
  </si>
  <si>
    <t xml:space="preserve"> Sillas plasticas</t>
  </si>
  <si>
    <t xml:space="preserve"> Vitrinas</t>
  </si>
  <si>
    <t>Valor residual</t>
  </si>
  <si>
    <t>Equipo de oficina</t>
  </si>
  <si>
    <t>total depreciacion anual</t>
  </si>
  <si>
    <t>Año</t>
  </si>
  <si>
    <t>Amortizacion</t>
  </si>
  <si>
    <t>Total gastos administrativos</t>
  </si>
  <si>
    <t>Coordinador de ventas</t>
  </si>
  <si>
    <t>Total de sueldos por ventas anual</t>
  </si>
  <si>
    <t>Gastos por ventas</t>
  </si>
  <si>
    <t xml:space="preserve">Sueldos </t>
  </si>
  <si>
    <t>Mantenimiento pag web</t>
  </si>
  <si>
    <t>Total gastos de ventas</t>
  </si>
  <si>
    <t>AÑO 1</t>
  </si>
  <si>
    <t>AÑO 2</t>
  </si>
  <si>
    <t>AÑO 3</t>
  </si>
  <si>
    <t>AÑO 4</t>
  </si>
  <si>
    <t>AÑO 5</t>
  </si>
  <si>
    <t>UTILIDAD BRUTA EN VENTAS</t>
  </si>
  <si>
    <t>GASTOS OPERACIONALES</t>
  </si>
  <si>
    <t>TOTAL GASTOS OPERACIONALES</t>
  </si>
  <si>
    <t>PARTICIP TRABAJADORES 15%</t>
  </si>
  <si>
    <t>UTILIDAD GRAVABLE</t>
  </si>
  <si>
    <t>IMPUESTO A LA RENTA 25%</t>
  </si>
  <si>
    <t>UTILIDAD NETA</t>
  </si>
  <si>
    <t>AÑO 0</t>
  </si>
  <si>
    <t>UTILIDAD ANTES DE PARTICIP. E IMPUESTOS</t>
  </si>
  <si>
    <t>Depreciacio</t>
  </si>
  <si>
    <t>GASTOS FINANCIEROS</t>
  </si>
  <si>
    <t>(+) Préstamos</t>
  </si>
  <si>
    <t>UTILIDAD ANTES DE PARTICIP. INTERESES E IMPUESTOS</t>
  </si>
  <si>
    <t>Gastos por intereses</t>
  </si>
  <si>
    <t>(-) Inversión fija</t>
  </si>
  <si>
    <t>Costo de ventas</t>
  </si>
  <si>
    <t>(+)Ingresos por ventas</t>
  </si>
  <si>
    <t>(-)Costo de Ventas</t>
  </si>
  <si>
    <t>Ingresos antes de beneficios a trabajadores</t>
  </si>
  <si>
    <t>(-)Sueldos</t>
  </si>
  <si>
    <t>(-)Suministros</t>
  </si>
  <si>
    <t>(-)Servicios básicos</t>
  </si>
  <si>
    <t>(-)Gastos por embalaje</t>
  </si>
  <si>
    <t xml:space="preserve">(-)Sueldos </t>
  </si>
  <si>
    <t>(-)Mantenimiento pag web</t>
  </si>
  <si>
    <t>(-)Depreciacion</t>
  </si>
  <si>
    <t>(-)Amortizacion de gastos preoperativos</t>
  </si>
  <si>
    <t>(-)Amortizacion del préstamo</t>
  </si>
  <si>
    <t>(-)Interés por préstamo</t>
  </si>
  <si>
    <t>(-)15% Beneficios a trabajadores</t>
  </si>
  <si>
    <t>Ingresos antes de impuesto a la renta</t>
  </si>
  <si>
    <t>Ingresos después de impuestos</t>
  </si>
  <si>
    <t>FLUJO DE EFECTIVO NETO</t>
  </si>
  <si>
    <t>VAN</t>
  </si>
  <si>
    <t>TIR</t>
  </si>
  <si>
    <t>(+) Amortizaciones de gastos preoperativos</t>
  </si>
  <si>
    <t xml:space="preserve">(+) Depreciación </t>
  </si>
  <si>
    <t xml:space="preserve">(-) Amortización de prestamo </t>
  </si>
  <si>
    <t>(-) 25 % de Impuesto a la renta</t>
  </si>
  <si>
    <t>Compra de bisuterias y adornos</t>
  </si>
  <si>
    <t>TMAR</t>
  </si>
  <si>
    <t>Alquiler del local</t>
  </si>
  <si>
    <t>Gastos por alquiler</t>
  </si>
  <si>
    <t>Ingresos totales anuales</t>
  </si>
  <si>
    <t>Flujo de Caja</t>
  </si>
  <si>
    <t>Flujo Acumulado</t>
  </si>
  <si>
    <t>% Recuperado</t>
  </si>
  <si>
    <t>% Por recuperar</t>
  </si>
  <si>
    <t>(-)Gastos por alquiler</t>
  </si>
  <si>
    <t>Inversión por recuperar</t>
  </si>
  <si>
    <t>Inversión</t>
  </si>
  <si>
    <t>Crecimiento de Ventas por año (%)</t>
  </si>
  <si>
    <t>Año 1</t>
  </si>
  <si>
    <t>Año 2</t>
  </si>
  <si>
    <t>Año 3</t>
  </si>
  <si>
    <t>Año 4</t>
  </si>
  <si>
    <t>Año 5</t>
  </si>
  <si>
    <t xml:space="preserve">Hemos tomado estos porcentajes de crecimiento </t>
  </si>
  <si>
    <t xml:space="preserve">ya que las importaciones de artesanías de artículos </t>
  </si>
  <si>
    <t>de Tagua y Concha para los países a donde ECUARTISAN</t>
  </si>
  <si>
    <t>vendería han tenido aproximadamente este crecimiento durante</t>
  </si>
  <si>
    <t>nuestro período de estudio (2001-2008). Luego, hemos estimado</t>
  </si>
  <si>
    <t>un crecimiento modesto y un poco conservador de 5% en los años subsiguientes</t>
  </si>
  <si>
    <t>(hasta el año 5).</t>
  </si>
  <si>
    <t>TOTAL GASTOS OPERATIVOS</t>
  </si>
  <si>
    <t>ANÁLISIS DE SENSIBILIDAD</t>
  </si>
  <si>
    <t>Variación % de Costos Operativos</t>
  </si>
  <si>
    <t>Este monto nos indicará el porcentaje a aumentar como máximo nuestros Costos Operativos para ser indiferente entre realizar el proyecto o no (VAN=0).</t>
  </si>
  <si>
    <t>Variación % de Costos de Ventas</t>
  </si>
  <si>
    <t>Este monto nos indicará el porcentaje a aumentar como máximo nuestros Costos de Ventas para ser indiferente entre realizar el proyecto o no (VAN=0).</t>
  </si>
  <si>
    <t>Variación % de Ingresos</t>
  </si>
  <si>
    <t>Este monto nos indicará el porcentaje a disminuir como máximo nuestros Ingresos para ser indiferente entre realizar el proyecto o no (VAN=0).</t>
  </si>
  <si>
    <t>Creado por juan el 19/02/2010
Modificado por juan el 19/02/2010</t>
  </si>
  <si>
    <t>Creado por juan el 19/02/2010</t>
  </si>
  <si>
    <t>Resumen de escenario</t>
  </si>
  <si>
    <t>Celdas cambiantes:</t>
  </si>
  <si>
    <t>Valores actuales:</t>
  </si>
  <si>
    <t>Celdas de resultado:</t>
  </si>
  <si>
    <t>Notas: La columna de valores actuales representa los valores de las celdas cambiantes</t>
  </si>
  <si>
    <t>en el momento en que se creó el Informe resumen de escenario. Las celdas cambiantes de</t>
  </si>
  <si>
    <t>cada escenario se muestran en gris.</t>
  </si>
  <si>
    <t>Con este análisis buscamos escenarios hasta los cuales resulte conveniente realizar el proyecto (esto es con un VAN=0). Además, se ha realizado una sensibilidad</t>
  </si>
  <si>
    <t>Uni-variable, por lo que nos hemos enfocado en estas variables anteriormente mencionadas y no en las cantidades de pedidos o precios de venta. Estas dos últimas variables</t>
  </si>
  <si>
    <t>El análisis de Sensibilidad se lo ha basado en relaciones entre el VAN y otras variables como: Costos Operativos, Costos de Ventas, e Ingresos.</t>
  </si>
  <si>
    <t xml:space="preserve">Además, se ha hecho una gráfica de escenarios VAN vs TMAR (o tasa de descuento), en la cual se refleja la decisión del criterio de la TIR, y los diferentes valores del VAN para cada tasa de descuento </t>
  </si>
  <si>
    <t>correspondiente. Este análisis fue hecho con la opción "Administrador de Escenarios" del software Microsoft Excel.</t>
  </si>
  <si>
    <t>poseen varios items, lo que imposibilitó hacer un análisis Uni-variable. Este análisis fue hecho con la opción "Buscar Ojetivo" del software Microsoft Excel.</t>
  </si>
  <si>
    <t>(+) Recuperacion del capital de trabajo</t>
  </si>
  <si>
    <t>$C$37</t>
  </si>
  <si>
    <t>$C$33</t>
  </si>
  <si>
    <t>Crédito CFN</t>
  </si>
  <si>
    <t>Creado por Holger Cevallos el 03/03/2010</t>
  </si>
</sst>
</file>

<file path=xl/styles.xml><?xml version="1.0" encoding="utf-8"?>
<styleSheet xmlns="http://schemas.openxmlformats.org/spreadsheetml/2006/main">
  <numFmts count="5">
    <numFmt numFmtId="6" formatCode="&quot;$&quot;#,##0;[Red]\-&quot;$&quot;#,##0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-[$$-300A]\ * #,##0.00_ ;_-[$$-300A]\ * \-#,##0.00\ ;_-[$$-300A]\ * &quot;-&quot;??_ ;_-@_ "/>
    <numFmt numFmtId="167" formatCode="[$$-300A]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indexed="9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165" fontId="0" fillId="0" borderId="0" xfId="1" applyFont="1"/>
    <xf numFmtId="0" fontId="0" fillId="0" borderId="1" xfId="0" applyBorder="1"/>
    <xf numFmtId="165" fontId="0" fillId="0" borderId="1" xfId="1" applyFont="1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6" fontId="0" fillId="0" borderId="1" xfId="0" applyNumberFormat="1" applyBorder="1"/>
    <xf numFmtId="0" fontId="0" fillId="0" borderId="2" xfId="0" applyBorder="1"/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ont="1" applyBorder="1"/>
    <xf numFmtId="166" fontId="2" fillId="0" borderId="1" xfId="0" applyNumberFormat="1" applyFont="1" applyBorder="1"/>
    <xf numFmtId="165" fontId="2" fillId="0" borderId="1" xfId="0" applyNumberFormat="1" applyFont="1" applyBorder="1"/>
    <xf numFmtId="10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166" fontId="0" fillId="3" borderId="1" xfId="0" applyNumberFormat="1" applyFill="1" applyBorder="1"/>
    <xf numFmtId="0" fontId="0" fillId="3" borderId="1" xfId="0" applyFill="1" applyBorder="1"/>
    <xf numFmtId="9" fontId="0" fillId="3" borderId="1" xfId="0" applyNumberFormat="1" applyFill="1" applyBorder="1"/>
    <xf numFmtId="10" fontId="0" fillId="0" borderId="1" xfId="0" applyNumberFormat="1" applyBorder="1"/>
    <xf numFmtId="0" fontId="8" fillId="0" borderId="0" xfId="0" applyFont="1"/>
    <xf numFmtId="0" fontId="7" fillId="0" borderId="1" xfId="0" applyFont="1" applyBorder="1" applyAlignment="1">
      <alignment horizontal="left"/>
    </xf>
    <xf numFmtId="0" fontId="8" fillId="0" borderId="1" xfId="0" applyFont="1" applyBorder="1"/>
    <xf numFmtId="10" fontId="8" fillId="0" borderId="1" xfId="0" applyNumberFormat="1" applyFont="1" applyBorder="1"/>
    <xf numFmtId="0" fontId="7" fillId="0" borderId="1" xfId="0" applyFont="1" applyBorder="1"/>
    <xf numFmtId="10" fontId="7" fillId="0" borderId="1" xfId="0" applyNumberFormat="1" applyFont="1" applyBorder="1"/>
    <xf numFmtId="1" fontId="7" fillId="0" borderId="1" xfId="0" applyNumberFormat="1" applyFont="1" applyBorder="1"/>
    <xf numFmtId="1" fontId="8" fillId="0" borderId="1" xfId="0" applyNumberFormat="1" applyFont="1" applyBorder="1"/>
    <xf numFmtId="9" fontId="8" fillId="0" borderId="1" xfId="0" applyNumberFormat="1" applyFont="1" applyBorder="1"/>
    <xf numFmtId="9" fontId="7" fillId="0" borderId="1" xfId="0" applyNumberFormat="1" applyFont="1" applyBorder="1"/>
    <xf numFmtId="0" fontId="7" fillId="0" borderId="0" xfId="0" applyFont="1"/>
    <xf numFmtId="6" fontId="8" fillId="0" borderId="0" xfId="0" applyNumberFormat="1" applyFont="1"/>
    <xf numFmtId="0" fontId="7" fillId="0" borderId="0" xfId="0" applyFont="1" applyBorder="1"/>
    <xf numFmtId="0" fontId="7" fillId="4" borderId="1" xfId="0" applyFont="1" applyFill="1" applyBorder="1" applyAlignment="1">
      <alignment horizontal="center"/>
    </xf>
    <xf numFmtId="1" fontId="8" fillId="4" borderId="1" xfId="0" applyNumberFormat="1" applyFont="1" applyFill="1" applyBorder="1"/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6" fillId="5" borderId="1" xfId="0" applyFont="1" applyFill="1" applyBorder="1"/>
    <xf numFmtId="0" fontId="8" fillId="5" borderId="1" xfId="0" applyFont="1" applyFill="1" applyBorder="1"/>
    <xf numFmtId="0" fontId="5" fillId="5" borderId="1" xfId="0" applyFont="1" applyFill="1" applyBorder="1"/>
    <xf numFmtId="167" fontId="6" fillId="5" borderId="1" xfId="0" applyNumberFormat="1" applyFont="1" applyFill="1" applyBorder="1"/>
    <xf numFmtId="167" fontId="8" fillId="5" borderId="1" xfId="0" applyNumberFormat="1" applyFont="1" applyFill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166" fontId="2" fillId="0" borderId="0" xfId="0" applyNumberFormat="1" applyFont="1" applyBorder="1"/>
    <xf numFmtId="166" fontId="0" fillId="0" borderId="0" xfId="0" applyNumberFormat="1"/>
    <xf numFmtId="164" fontId="0" fillId="0" borderId="1" xfId="0" applyNumberFormat="1" applyBorder="1"/>
    <xf numFmtId="0" fontId="0" fillId="0" borderId="0" xfId="0" applyFill="1"/>
    <xf numFmtId="1" fontId="0" fillId="0" borderId="1" xfId="0" applyNumberFormat="1" applyBorder="1"/>
    <xf numFmtId="165" fontId="2" fillId="4" borderId="1" xfId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" xfId="0" applyNumberFormat="1" applyFill="1" applyBorder="1"/>
    <xf numFmtId="166" fontId="9" fillId="0" borderId="0" xfId="0" applyNumberFormat="1" applyFont="1"/>
    <xf numFmtId="0" fontId="8" fillId="4" borderId="1" xfId="0" applyFont="1" applyFill="1" applyBorder="1"/>
    <xf numFmtId="165" fontId="8" fillId="4" borderId="1" xfId="1" applyFont="1" applyFill="1" applyBorder="1"/>
    <xf numFmtId="167" fontId="7" fillId="2" borderId="1" xfId="0" applyNumberFormat="1" applyFont="1" applyFill="1" applyBorder="1"/>
    <xf numFmtId="0" fontId="0" fillId="0" borderId="3" xfId="0" applyBorder="1"/>
    <xf numFmtId="0" fontId="2" fillId="0" borderId="3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165" fontId="0" fillId="4" borderId="1" xfId="0" applyNumberFormat="1" applyFill="1" applyBorder="1"/>
    <xf numFmtId="165" fontId="4" fillId="0" borderId="1" xfId="1" applyFont="1" applyBorder="1" applyAlignment="1">
      <alignment horizontal="right"/>
    </xf>
    <xf numFmtId="165" fontId="0" fillId="0" borderId="0" xfId="0" applyNumberFormat="1"/>
    <xf numFmtId="165" fontId="0" fillId="4" borderId="1" xfId="1" applyFont="1" applyFill="1" applyBorder="1"/>
    <xf numFmtId="0" fontId="2" fillId="0" borderId="1" xfId="0" applyFont="1" applyFill="1" applyBorder="1" applyAlignment="1">
      <alignment horizontal="left"/>
    </xf>
    <xf numFmtId="0" fontId="0" fillId="0" borderId="1" xfId="1" applyNumberFormat="1" applyFont="1" applyBorder="1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4" xfId="0" applyBorder="1"/>
    <xf numFmtId="166" fontId="0" fillId="4" borderId="1" xfId="0" applyNumberFormat="1" applyFill="1" applyBorder="1"/>
    <xf numFmtId="166" fontId="0" fillId="4" borderId="5" xfId="0" applyNumberFormat="1" applyFill="1" applyBorder="1"/>
    <xf numFmtId="166" fontId="0" fillId="0" borderId="4" xfId="0" applyNumberFormat="1" applyBorder="1"/>
    <xf numFmtId="0" fontId="11" fillId="0" borderId="1" xfId="0" applyFont="1" applyBorder="1"/>
    <xf numFmtId="0" fontId="0" fillId="4" borderId="6" xfId="0" applyFill="1" applyBorder="1" applyAlignment="1">
      <alignment wrapText="1"/>
    </xf>
    <xf numFmtId="166" fontId="0" fillId="4" borderId="4" xfId="0" applyNumberFormat="1" applyFill="1" applyBorder="1"/>
    <xf numFmtId="0" fontId="0" fillId="0" borderId="6" xfId="0" applyFill="1" applyBorder="1" applyAlignment="1">
      <alignment wrapText="1"/>
    </xf>
    <xf numFmtId="165" fontId="0" fillId="4" borderId="4" xfId="1" applyFont="1" applyFill="1" applyBorder="1"/>
    <xf numFmtId="0" fontId="2" fillId="4" borderId="6" xfId="0" applyFont="1" applyFill="1" applyBorder="1" applyAlignment="1">
      <alignment wrapText="1"/>
    </xf>
    <xf numFmtId="0" fontId="12" fillId="0" borderId="0" xfId="0" applyFont="1"/>
    <xf numFmtId="0" fontId="12" fillId="0" borderId="0" xfId="0" applyFont="1" applyFill="1"/>
    <xf numFmtId="165" fontId="12" fillId="0" borderId="1" xfId="1" applyFont="1" applyFill="1" applyBorder="1"/>
    <xf numFmtId="165" fontId="7" fillId="2" borderId="1" xfId="1" applyFont="1" applyFill="1" applyBorder="1"/>
    <xf numFmtId="0" fontId="12" fillId="4" borderId="0" xfId="0" applyFont="1" applyFill="1"/>
    <xf numFmtId="0" fontId="12" fillId="4" borderId="0" xfId="0" applyNumberFormat="1" applyFont="1" applyFill="1"/>
    <xf numFmtId="0" fontId="12" fillId="0" borderId="0" xfId="0" applyFont="1" applyFill="1" applyBorder="1"/>
    <xf numFmtId="0" fontId="12" fillId="0" borderId="0" xfId="0" applyFont="1" applyBorder="1"/>
    <xf numFmtId="0" fontId="13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2" borderId="1" xfId="0" applyFont="1" applyFill="1" applyBorder="1"/>
    <xf numFmtId="0" fontId="5" fillId="2" borderId="1" xfId="0" applyFont="1" applyFill="1" applyBorder="1"/>
    <xf numFmtId="164" fontId="6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0" fillId="8" borderId="1" xfId="0" applyFill="1" applyBorder="1"/>
    <xf numFmtId="166" fontId="2" fillId="8" borderId="1" xfId="0" applyNumberFormat="1" applyFont="1" applyFill="1" applyBorder="1"/>
    <xf numFmtId="10" fontId="0" fillId="8" borderId="1" xfId="2" applyNumberFormat="1" applyFont="1" applyFill="1" applyBorder="1"/>
    <xf numFmtId="0" fontId="2" fillId="8" borderId="1" xfId="0" applyFont="1" applyFill="1" applyBorder="1" applyAlignment="1">
      <alignment horizontal="left"/>
    </xf>
    <xf numFmtId="166" fontId="0" fillId="8" borderId="1" xfId="0" applyNumberFormat="1" applyFill="1" applyBorder="1"/>
    <xf numFmtId="0" fontId="2" fillId="8" borderId="1" xfId="0" applyFont="1" applyFill="1" applyBorder="1"/>
    <xf numFmtId="165" fontId="2" fillId="8" borderId="1" xfId="0" applyNumberFormat="1" applyFont="1" applyFill="1" applyBorder="1"/>
    <xf numFmtId="10" fontId="2" fillId="8" borderId="1" xfId="0" applyNumberFormat="1" applyFont="1" applyFill="1" applyBorder="1"/>
    <xf numFmtId="0" fontId="2" fillId="4" borderId="2" xfId="0" applyFont="1" applyFill="1" applyBorder="1" applyAlignment="1">
      <alignment horizontal="right"/>
    </xf>
    <xf numFmtId="0" fontId="2" fillId="7" borderId="1" xfId="0" applyFont="1" applyFill="1" applyBorder="1"/>
    <xf numFmtId="166" fontId="0" fillId="7" borderId="1" xfId="0" applyNumberFormat="1" applyFill="1" applyBorder="1"/>
    <xf numFmtId="0" fontId="15" fillId="4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165" fontId="14" fillId="0" borderId="1" xfId="1" applyFont="1" applyBorder="1"/>
    <xf numFmtId="165" fontId="14" fillId="0" borderId="1" xfId="0" applyNumberFormat="1" applyFont="1" applyBorder="1"/>
    <xf numFmtId="10" fontId="14" fillId="0" borderId="1" xfId="2" applyNumberFormat="1" applyFont="1" applyBorder="1"/>
    <xf numFmtId="165" fontId="14" fillId="0" borderId="1" xfId="1" applyFont="1" applyFill="1" applyBorder="1"/>
    <xf numFmtId="9" fontId="14" fillId="0" borderId="1" xfId="2" applyFont="1" applyBorder="1"/>
    <xf numFmtId="9" fontId="0" fillId="0" borderId="0" xfId="0" applyNumberFormat="1"/>
    <xf numFmtId="9" fontId="12" fillId="0" borderId="0" xfId="0" applyNumberFormat="1" applyFont="1"/>
    <xf numFmtId="0" fontId="0" fillId="0" borderId="0" xfId="0" applyFill="1" applyBorder="1" applyAlignment="1"/>
    <xf numFmtId="165" fontId="0" fillId="0" borderId="13" xfId="0" applyNumberFormat="1" applyFill="1" applyBorder="1" applyAlignment="1"/>
    <xf numFmtId="0" fontId="0" fillId="0" borderId="7" xfId="0" applyFill="1" applyBorder="1" applyAlignment="1"/>
    <xf numFmtId="0" fontId="16" fillId="9" borderId="12" xfId="0" applyFont="1" applyFill="1" applyBorder="1" applyAlignment="1">
      <alignment horizontal="right"/>
    </xf>
    <xf numFmtId="0" fontId="16" fillId="9" borderId="14" xfId="0" applyFont="1" applyFill="1" applyBorder="1" applyAlignment="1">
      <alignment horizontal="right"/>
    </xf>
    <xf numFmtId="9" fontId="16" fillId="9" borderId="14" xfId="0" applyNumberFormat="1" applyFont="1" applyFill="1" applyBorder="1" applyAlignment="1">
      <alignment horizontal="right"/>
    </xf>
    <xf numFmtId="0" fontId="0" fillId="11" borderId="0" xfId="0" applyFill="1" applyBorder="1" applyAlignment="1"/>
    <xf numFmtId="0" fontId="8" fillId="0" borderId="0" xfId="0" applyFont="1" applyFill="1" applyBorder="1" applyAlignment="1">
      <alignment vertical="top" wrapText="1"/>
    </xf>
    <xf numFmtId="10" fontId="16" fillId="9" borderId="14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10" fontId="12" fillId="0" borderId="1" xfId="0" applyNumberFormat="1" applyFont="1" applyFill="1" applyBorder="1"/>
    <xf numFmtId="10" fontId="14" fillId="0" borderId="1" xfId="0" applyNumberFormat="1" applyFont="1" applyBorder="1"/>
    <xf numFmtId="10" fontId="12" fillId="0" borderId="0" xfId="0" applyNumberFormat="1" applyFont="1"/>
    <xf numFmtId="0" fontId="8" fillId="0" borderId="6" xfId="0" applyFont="1" applyFill="1" applyBorder="1"/>
    <xf numFmtId="166" fontId="8" fillId="0" borderId="1" xfId="0" applyNumberFormat="1" applyFont="1" applyFill="1" applyBorder="1"/>
    <xf numFmtId="0" fontId="8" fillId="0" borderId="1" xfId="0" applyFont="1" applyFill="1" applyBorder="1"/>
    <xf numFmtId="0" fontId="8" fillId="0" borderId="6" xfId="0" applyFont="1" applyBorder="1"/>
    <xf numFmtId="166" fontId="8" fillId="0" borderId="1" xfId="0" applyNumberFormat="1" applyFont="1" applyBorder="1"/>
    <xf numFmtId="0" fontId="8" fillId="0" borderId="2" xfId="0" applyFont="1" applyBorder="1"/>
    <xf numFmtId="0" fontId="17" fillId="0" borderId="1" xfId="0" applyFont="1" applyBorder="1"/>
    <xf numFmtId="165" fontId="8" fillId="0" borderId="1" xfId="1" applyFont="1" applyBorder="1"/>
    <xf numFmtId="166" fontId="8" fillId="4" borderId="1" xfId="0" applyNumberFormat="1" applyFont="1" applyFill="1" applyBorder="1"/>
    <xf numFmtId="0" fontId="8" fillId="0" borderId="6" xfId="0" applyFont="1" applyFill="1" applyBorder="1" applyAlignment="1">
      <alignment wrapText="1"/>
    </xf>
    <xf numFmtId="165" fontId="8" fillId="0" borderId="1" xfId="1" applyFont="1" applyFill="1" applyBorder="1"/>
    <xf numFmtId="0" fontId="7" fillId="4" borderId="1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4" borderId="1" xfId="0" applyFont="1" applyFill="1" applyBorder="1" applyAlignment="1">
      <alignment wrapText="1"/>
    </xf>
    <xf numFmtId="0" fontId="18" fillId="0" borderId="8" xfId="0" applyFont="1" applyBorder="1" applyAlignment="1">
      <alignment wrapText="1"/>
    </xf>
    <xf numFmtId="165" fontId="8" fillId="0" borderId="1" xfId="0" applyNumberFormat="1" applyFont="1" applyFill="1" applyBorder="1"/>
    <xf numFmtId="0" fontId="18" fillId="0" borderId="9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8" fillId="0" borderId="5" xfId="0" applyFont="1" applyFill="1" applyBorder="1"/>
    <xf numFmtId="0" fontId="19" fillId="4" borderId="11" xfId="0" applyFont="1" applyFill="1" applyBorder="1" applyAlignment="1">
      <alignment wrapText="1"/>
    </xf>
    <xf numFmtId="165" fontId="8" fillId="4" borderId="5" xfId="1" applyFont="1" applyFill="1" applyBorder="1"/>
    <xf numFmtId="10" fontId="12" fillId="0" borderId="0" xfId="2" applyNumberFormat="1" applyFont="1"/>
    <xf numFmtId="0" fontId="20" fillId="9" borderId="14" xfId="0" applyFont="1" applyFill="1" applyBorder="1" applyAlignment="1">
      <alignment horizontal="left"/>
    </xf>
    <xf numFmtId="0" fontId="20" fillId="9" borderId="12" xfId="0" applyFont="1" applyFill="1" applyBorder="1" applyAlignment="1">
      <alignment horizontal="left"/>
    </xf>
    <xf numFmtId="0" fontId="21" fillId="10" borderId="0" xfId="0" applyFont="1" applyFill="1" applyBorder="1" applyAlignment="1">
      <alignment horizontal="left"/>
    </xf>
    <xf numFmtId="0" fontId="22" fillId="10" borderId="7" xfId="0" applyFont="1" applyFill="1" applyBorder="1" applyAlignment="1">
      <alignment horizontal="left"/>
    </xf>
    <xf numFmtId="0" fontId="21" fillId="10" borderId="13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  <colors>
    <mruColors>
      <color rgb="FFC6DA4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title>
      <c:tx>
        <c:rich>
          <a:bodyPr/>
          <a:lstStyle/>
          <a:p>
            <a:pPr>
              <a:defRPr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r>
              <a:rPr lang="en-US">
                <a:solidFill>
                  <a:schemeClr val="tx2">
                    <a:lumMod val="60000"/>
                    <a:lumOff val="40000"/>
                  </a:schemeClr>
                </a:solidFill>
              </a:rPr>
              <a:t>VAN vs TMAR</a:t>
            </a:r>
          </a:p>
        </c:rich>
      </c:tx>
    </c:title>
    <c:plotArea>
      <c:layout/>
      <c:lineChart>
        <c:grouping val="standard"/>
        <c:ser>
          <c:idx val="1"/>
          <c:order val="0"/>
          <c:tx>
            <c:strRef>
              <c:f>'VAN vs TMAR'!$C$14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cat>
            <c:numRef>
              <c:f>'VAN vs TMAR'!$D$13:$AD$13</c:f>
              <c:numCache>
                <c:formatCode>General</c:formatCode>
                <c:ptCount val="27"/>
                <c:pt idx="1">
                  <c:v>0.02</c:v>
                </c:pt>
                <c:pt idx="2">
                  <c:v>0.04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9.1024999999999995E-2</c:v>
                </c:pt>
                <c:pt idx="6">
                  <c:v>0.11</c:v>
                </c:pt>
                <c:pt idx="7">
                  <c:v>0.13</c:v>
                </c:pt>
                <c:pt idx="8">
                  <c:v>0.15</c:v>
                </c:pt>
                <c:pt idx="9">
                  <c:v>0.17</c:v>
                </c:pt>
                <c:pt idx="10">
                  <c:v>0.2</c:v>
                </c:pt>
                <c:pt idx="11">
                  <c:v>0.22</c:v>
                </c:pt>
                <c:pt idx="12">
                  <c:v>0.25</c:v>
                </c:pt>
                <c:pt idx="13">
                  <c:v>0.3</c:v>
                </c:pt>
                <c:pt idx="14">
                  <c:v>0.35</c:v>
                </c:pt>
                <c:pt idx="15">
                  <c:v>0.4</c:v>
                </c:pt>
                <c:pt idx="16">
                  <c:v>0.45</c:v>
                </c:pt>
                <c:pt idx="17">
                  <c:v>0.5</c:v>
                </c:pt>
                <c:pt idx="18">
                  <c:v>0.55000000000000004</c:v>
                </c:pt>
                <c:pt idx="19">
                  <c:v>0.6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1.0915999999999999</c:v>
                </c:pt>
                <c:pt idx="25">
                  <c:v>1.2</c:v>
                </c:pt>
                <c:pt idx="26">
                  <c:v>1.3</c:v>
                </c:pt>
              </c:numCache>
            </c:numRef>
          </c:cat>
          <c:val>
            <c:numRef>
              <c:f>'VAN vs TMAR'!$D$14:$AD$14</c:f>
              <c:numCache>
                <c:formatCode>_("$"\ * #,##0.00_);_("$"\ * \(#,##0.00\);_("$"\ * "-"??_);_(@_)</c:formatCode>
                <c:ptCount val="27"/>
                <c:pt idx="1">
                  <c:v>424119.16826751101</c:v>
                </c:pt>
                <c:pt idx="2">
                  <c:v>390499.010067461</c:v>
                </c:pt>
                <c:pt idx="3">
                  <c:v>374928.68191217398</c:v>
                </c:pt>
                <c:pt idx="4">
                  <c:v>346023.05775658</c:v>
                </c:pt>
                <c:pt idx="5">
                  <c:v>318533.59427227598</c:v>
                </c:pt>
                <c:pt idx="6">
                  <c:v>295985.73131807399</c:v>
                </c:pt>
                <c:pt idx="7">
                  <c:v>274284.65762788698</c:v>
                </c:pt>
                <c:pt idx="8">
                  <c:v>254476.10138404201</c:v>
                </c:pt>
                <c:pt idx="9">
                  <c:v>236358.15982471599</c:v>
                </c:pt>
                <c:pt idx="10">
                  <c:v>211969.974144351</c:v>
                </c:pt>
                <c:pt idx="11">
                  <c:v>197350.45858484699</c:v>
                </c:pt>
                <c:pt idx="12">
                  <c:v>177557.956072314</c:v>
                </c:pt>
                <c:pt idx="13">
                  <c:v>149387.025247449</c:v>
                </c:pt>
                <c:pt idx="14">
                  <c:v>126086.56638203299</c:v>
                </c:pt>
                <c:pt idx="15">
                  <c:v>106629.573491598</c:v>
                </c:pt>
                <c:pt idx="16">
                  <c:v>90237.208415727393</c:v>
                </c:pt>
                <c:pt idx="17">
                  <c:v>76312.193747708894</c:v>
                </c:pt>
                <c:pt idx="18">
                  <c:v>64391.685599490898</c:v>
                </c:pt>
                <c:pt idx="19">
                  <c:v>54113.499652673599</c:v>
                </c:pt>
                <c:pt idx="20">
                  <c:v>37398.213287631901</c:v>
                </c:pt>
                <c:pt idx="21">
                  <c:v>24500.017406979099</c:v>
                </c:pt>
                <c:pt idx="22">
                  <c:v>14331.023701223199</c:v>
                </c:pt>
                <c:pt idx="23">
                  <c:v>6160.4686529874698</c:v>
                </c:pt>
                <c:pt idx="24">
                  <c:v>-2.4602252596159802</c:v>
                </c:pt>
                <c:pt idx="25">
                  <c:v>-6051.0152344473199</c:v>
                </c:pt>
                <c:pt idx="26">
                  <c:v>-10702.563149719101</c:v>
                </c:pt>
              </c:numCache>
            </c:numRef>
          </c:val>
        </c:ser>
        <c:marker val="1"/>
        <c:axId val="54162560"/>
        <c:axId val="54164096"/>
      </c:lineChart>
      <c:catAx>
        <c:axId val="54162560"/>
        <c:scaling>
          <c:orientation val="minMax"/>
        </c:scaling>
        <c:axPos val="b"/>
        <c:numFmt formatCode="General" sourceLinked="1"/>
        <c:majorTickMark val="cross"/>
        <c:tickLblPos val="nextTo"/>
        <c:crossAx val="54164096"/>
        <c:crosses val="autoZero"/>
        <c:auto val="1"/>
        <c:lblAlgn val="ctr"/>
        <c:lblOffset val="100"/>
      </c:catAx>
      <c:valAx>
        <c:axId val="54164096"/>
        <c:scaling>
          <c:orientation val="minMax"/>
        </c:scaling>
        <c:axPos val="l"/>
        <c:majorGridlines/>
        <c:numFmt formatCode="&quot;$&quot;#,##0.00" sourceLinked="0"/>
        <c:tickLblPos val="nextTo"/>
        <c:crossAx val="54162560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17</xdr:row>
      <xdr:rowOff>66675</xdr:rowOff>
    </xdr:from>
    <xdr:to>
      <xdr:col>9</xdr:col>
      <xdr:colOff>895350</xdr:colOff>
      <xdr:row>33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197938</xdr:colOff>
      <xdr:row>28</xdr:row>
      <xdr:rowOff>154488</xdr:rowOff>
    </xdr:from>
    <xdr:to>
      <xdr:col>9</xdr:col>
      <xdr:colOff>464617</xdr:colOff>
      <xdr:row>29</xdr:row>
      <xdr:rowOff>169339</xdr:rowOff>
    </xdr:to>
    <xdr:cxnSp macro="">
      <xdr:nvCxnSpPr>
        <xdr:cNvPr id="4" name="3 Conector recto de flecha"/>
        <xdr:cNvCxnSpPr/>
      </xdr:nvCxnSpPr>
      <xdr:spPr>
        <a:xfrm rot="10800000" flipV="1">
          <a:off x="7960813" y="5345613"/>
          <a:ext cx="266679" cy="205351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0.83366</cdr:x>
      <cdr:y>0.6189</cdr:y>
    </cdr:from>
    <cdr:to>
      <cdr:x>0.9939</cdr:x>
      <cdr:y>0.69512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5685491" y="1933575"/>
          <a:ext cx="1092804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lumMod val="60000"/>
            <a:lumOff val="40000"/>
          </a:srgbClr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MX" sz="1050" b="1"/>
            <a:t>TIR = 1</a:t>
          </a:r>
          <a:r>
            <a:rPr lang="es-MX" sz="1050" b="1">
              <a:solidFill>
                <a:sysClr val="windowText" lastClr="000000"/>
              </a:solidFill>
              <a:latin typeface="Calibri"/>
            </a:rPr>
            <a:t>09.16%</a:t>
          </a:r>
        </a:p>
      </cdr:txBody>
    </cdr:sp>
  </cdr:relSizeAnchor>
  <cdr:relSizeAnchor xmlns:cdr="http://schemas.openxmlformats.org/drawingml/2006/chartDrawing">
    <cdr:from>
      <cdr:x>0.13966</cdr:x>
      <cdr:y>0.59146</cdr:y>
    </cdr:from>
    <cdr:to>
      <cdr:x>0.28653</cdr:x>
      <cdr:y>0.65549</cdr:y>
    </cdr:to>
    <cdr:sp macro="" textlink="">
      <cdr:nvSpPr>
        <cdr:cNvPr id="3" name="4 CuadroTexto"/>
        <cdr:cNvSpPr txBox="1"/>
      </cdr:nvSpPr>
      <cdr:spPr>
        <a:xfrm xmlns:a="http://schemas.openxmlformats.org/drawingml/2006/main">
          <a:off x="952501" y="1847850"/>
          <a:ext cx="1001594" cy="200025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lumMod val="60000"/>
            <a:lumOff val="40000"/>
          </a:srgbClr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MX" sz="1050" b="1"/>
            <a:t>TMAR</a:t>
          </a:r>
          <a:r>
            <a:rPr lang="es-MX" sz="1050" b="1" baseline="0"/>
            <a:t> = 9,10%</a:t>
          </a:r>
        </a:p>
        <a:p xmlns:a="http://schemas.openxmlformats.org/drawingml/2006/main">
          <a:pPr algn="ctr"/>
          <a:endParaRPr lang="es-MX" sz="1200" b="1"/>
        </a:p>
      </cdr:txBody>
    </cdr:sp>
  </cdr:relSizeAnchor>
  <cdr:relSizeAnchor xmlns:cdr="http://schemas.openxmlformats.org/drawingml/2006/chartDrawing">
    <cdr:from>
      <cdr:x>0.29229</cdr:x>
      <cdr:y>0.35366</cdr:y>
    </cdr:from>
    <cdr:to>
      <cdr:x>0.29229</cdr:x>
      <cdr:y>0.77134</cdr:y>
    </cdr:to>
    <cdr:sp macro="" textlink="">
      <cdr:nvSpPr>
        <cdr:cNvPr id="10" name="9 Conector recto"/>
        <cdr:cNvSpPr/>
      </cdr:nvSpPr>
      <cdr:spPr>
        <a:xfrm xmlns:a="http://schemas.openxmlformats.org/drawingml/2006/main" rot="5400000" flipH="1" flipV="1">
          <a:off x="1340922" y="1757362"/>
          <a:ext cx="1304926" cy="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0.12709</cdr:x>
      <cdr:y>0.35061</cdr:y>
    </cdr:from>
    <cdr:to>
      <cdr:x>0.29238</cdr:x>
      <cdr:y>0.35061</cdr:y>
    </cdr:to>
    <cdr:sp macro="" textlink="">
      <cdr:nvSpPr>
        <cdr:cNvPr id="13" name="12 Conector recto"/>
        <cdr:cNvSpPr/>
      </cdr:nvSpPr>
      <cdr:spPr>
        <a:xfrm xmlns:a="http://schemas.openxmlformats.org/drawingml/2006/main" rot="10800000">
          <a:off x="866774" y="1095375"/>
          <a:ext cx="112720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0.25232</cdr:x>
      <cdr:y>0.66768</cdr:y>
    </cdr:from>
    <cdr:to>
      <cdr:x>0.28987</cdr:x>
      <cdr:y>0.7683</cdr:y>
    </cdr:to>
    <cdr:cxnSp macro="">
      <cdr:nvCxnSpPr>
        <cdr:cNvPr id="14" name="5 Conector recto de flecha"/>
        <cdr:cNvCxnSpPr/>
      </cdr:nvCxnSpPr>
      <cdr:spPr>
        <a:xfrm xmlns:a="http://schemas.openxmlformats.org/drawingml/2006/main" rot="16200000" flipH="1">
          <a:off x="1691644" y="2115108"/>
          <a:ext cx="314347" cy="25608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5"/>
  <sheetViews>
    <sheetView topLeftCell="A4" workbookViewId="0">
      <selection activeCell="F17" sqref="F17"/>
    </sheetView>
  </sheetViews>
  <sheetFormatPr baseColWidth="10" defaultRowHeight="15"/>
  <cols>
    <col min="2" max="2" width="25.7109375" bestFit="1" customWidth="1"/>
    <col min="3" max="3" width="11" customWidth="1"/>
    <col min="5" max="5" width="11.7109375" bestFit="1" customWidth="1"/>
    <col min="6" max="6" width="12.28515625" customWidth="1"/>
    <col min="7" max="7" width="23.42578125" bestFit="1" customWidth="1"/>
    <col min="8" max="8" width="26" customWidth="1"/>
    <col min="9" max="9" width="12" bestFit="1" customWidth="1"/>
    <col min="10" max="10" width="11.42578125" style="2"/>
  </cols>
  <sheetData>
    <row r="2" spans="1:9">
      <c r="B2" s="6" t="s">
        <v>0</v>
      </c>
      <c r="C2" s="8" t="s">
        <v>9</v>
      </c>
      <c r="D2" s="6" t="s">
        <v>10</v>
      </c>
      <c r="E2" s="8" t="s">
        <v>29</v>
      </c>
      <c r="G2" s="1" t="s">
        <v>13</v>
      </c>
    </row>
    <row r="3" spans="1:9">
      <c r="B3" s="9" t="s">
        <v>1</v>
      </c>
      <c r="C3" s="3"/>
      <c r="D3" s="4">
        <f>+C4+C5+C6</f>
        <v>60</v>
      </c>
      <c r="E3" s="11">
        <f>+D3*12</f>
        <v>720</v>
      </c>
      <c r="G3" s="3" t="s">
        <v>14</v>
      </c>
      <c r="H3" s="4">
        <v>280</v>
      </c>
    </row>
    <row r="4" spans="1:9">
      <c r="B4" s="5" t="s">
        <v>6</v>
      </c>
      <c r="C4" s="4">
        <v>10</v>
      </c>
      <c r="D4" s="3"/>
      <c r="E4" s="3"/>
      <c r="G4" s="5" t="s">
        <v>49</v>
      </c>
      <c r="H4" s="4">
        <v>280</v>
      </c>
      <c r="I4" s="53">
        <f>+H4*12</f>
        <v>3360</v>
      </c>
    </row>
    <row r="5" spans="1:9">
      <c r="B5" s="5" t="s">
        <v>7</v>
      </c>
      <c r="C5" s="4">
        <v>30</v>
      </c>
      <c r="D5" s="3"/>
      <c r="E5" s="3"/>
      <c r="G5" s="6" t="s">
        <v>15</v>
      </c>
      <c r="H5" s="7">
        <f>+H6+H7</f>
        <v>360</v>
      </c>
    </row>
    <row r="6" spans="1:9">
      <c r="B6" s="5" t="s">
        <v>8</v>
      </c>
      <c r="C6" s="4">
        <v>20</v>
      </c>
      <c r="D6" s="3"/>
      <c r="E6" s="3"/>
      <c r="G6" s="3" t="s">
        <v>108</v>
      </c>
      <c r="H6" s="4">
        <v>280</v>
      </c>
    </row>
    <row r="7" spans="1:9">
      <c r="B7" s="5" t="s">
        <v>24</v>
      </c>
      <c r="C7" s="4"/>
      <c r="D7" s="4">
        <v>150</v>
      </c>
      <c r="E7" s="3">
        <f>+D7*12</f>
        <v>1800</v>
      </c>
      <c r="G7" s="3" t="s">
        <v>109</v>
      </c>
      <c r="H7" s="4">
        <v>80</v>
      </c>
      <c r="I7" s="1" t="s">
        <v>29</v>
      </c>
    </row>
    <row r="8" spans="1:9">
      <c r="B8" s="9" t="s">
        <v>2</v>
      </c>
      <c r="C8" s="3"/>
      <c r="D8" s="7">
        <f>+C9+C10+C11</f>
        <v>840</v>
      </c>
      <c r="E8" s="3">
        <f>+D8*12</f>
        <v>10080</v>
      </c>
      <c r="G8" s="6" t="s">
        <v>18</v>
      </c>
      <c r="H8" s="7">
        <f>+SUM(H3:H5)</f>
        <v>920</v>
      </c>
      <c r="I8" s="53">
        <f>+H8*12</f>
        <v>11040</v>
      </c>
    </row>
    <row r="9" spans="1:9">
      <c r="B9" s="5" t="s">
        <v>11</v>
      </c>
      <c r="C9" s="4">
        <v>280</v>
      </c>
      <c r="D9" s="3"/>
      <c r="E9" s="3"/>
    </row>
    <row r="10" spans="1:9">
      <c r="B10" s="10" t="s">
        <v>11</v>
      </c>
      <c r="C10" s="4">
        <v>280</v>
      </c>
      <c r="D10" s="3"/>
      <c r="E10" s="3"/>
    </row>
    <row r="11" spans="1:9">
      <c r="B11" s="10" t="s">
        <v>11</v>
      </c>
      <c r="C11" s="4">
        <v>280</v>
      </c>
      <c r="D11" s="3"/>
      <c r="E11" s="3"/>
      <c r="G11" s="1" t="s">
        <v>22</v>
      </c>
    </row>
    <row r="12" spans="1:9">
      <c r="B12" s="10" t="s">
        <v>3</v>
      </c>
      <c r="C12" s="4">
        <v>50</v>
      </c>
      <c r="D12" s="7">
        <f>+C12</f>
        <v>50</v>
      </c>
      <c r="E12" s="3">
        <f>+D12*12</f>
        <v>600</v>
      </c>
      <c r="H12" s="8" t="s">
        <v>29</v>
      </c>
    </row>
    <row r="13" spans="1:9">
      <c r="A13" s="1" t="s">
        <v>12</v>
      </c>
      <c r="B13" s="5" t="s">
        <v>4</v>
      </c>
      <c r="C13" s="4">
        <v>12</v>
      </c>
      <c r="D13" s="7">
        <f>+C14+C13</f>
        <v>51</v>
      </c>
      <c r="E13" s="7">
        <f>+D13</f>
        <v>51</v>
      </c>
      <c r="G13" s="12" t="s">
        <v>16</v>
      </c>
      <c r="H13" s="11">
        <f>+segmentacion!G161</f>
        <v>76552.838962962953</v>
      </c>
    </row>
    <row r="14" spans="1:9">
      <c r="B14" s="5" t="s">
        <v>5</v>
      </c>
      <c r="C14" s="4">
        <v>39</v>
      </c>
      <c r="D14" s="3"/>
      <c r="E14" s="3"/>
      <c r="G14" s="12" t="s">
        <v>17</v>
      </c>
      <c r="H14" s="11">
        <v>26000</v>
      </c>
    </row>
    <row r="15" spans="1:9">
      <c r="B15" s="3"/>
      <c r="C15" s="6" t="s">
        <v>18</v>
      </c>
      <c r="D15" s="7">
        <f>+D3+D8+D12+D13+D7</f>
        <v>1151</v>
      </c>
      <c r="E15" s="11">
        <f>+SUM(E3:E14)</f>
        <v>13251</v>
      </c>
      <c r="G15" s="130" t="s">
        <v>18</v>
      </c>
      <c r="H15" s="89">
        <f>+H13+H14</f>
        <v>102552.83896296295</v>
      </c>
    </row>
    <row r="17" spans="2:12">
      <c r="B17" s="183" t="s">
        <v>2</v>
      </c>
      <c r="C17" s="183"/>
      <c r="D17" s="183"/>
      <c r="E17" s="183"/>
      <c r="F17" s="47"/>
    </row>
    <row r="18" spans="2:12" ht="26.25">
      <c r="B18" s="74" t="s">
        <v>130</v>
      </c>
      <c r="C18" s="75" t="s">
        <v>131</v>
      </c>
      <c r="D18" s="76" t="s">
        <v>2</v>
      </c>
      <c r="E18" s="76" t="s">
        <v>132</v>
      </c>
      <c r="F18" s="74" t="s">
        <v>29</v>
      </c>
      <c r="G18" s="13" t="s">
        <v>34</v>
      </c>
    </row>
    <row r="19" spans="2:12">
      <c r="B19" s="70" t="s">
        <v>133</v>
      </c>
      <c r="C19" s="71">
        <v>1</v>
      </c>
      <c r="D19" s="78">
        <v>280</v>
      </c>
      <c r="E19" s="73">
        <f>+D19</f>
        <v>280</v>
      </c>
      <c r="F19" s="4">
        <f>+E19*12</f>
        <v>3360</v>
      </c>
      <c r="G19" s="68" t="s">
        <v>35</v>
      </c>
      <c r="H19" s="11">
        <v>1650</v>
      </c>
    </row>
    <row r="20" spans="2:12">
      <c r="B20" s="70" t="s">
        <v>134</v>
      </c>
      <c r="C20" s="71">
        <v>1</v>
      </c>
      <c r="D20" s="78">
        <v>280</v>
      </c>
      <c r="E20" s="73">
        <f>+D20</f>
        <v>280</v>
      </c>
      <c r="F20" s="4">
        <f>+E20*12</f>
        <v>3360</v>
      </c>
      <c r="G20" s="68" t="s">
        <v>36</v>
      </c>
      <c r="H20" s="11">
        <v>100</v>
      </c>
      <c r="K20">
        <f>86.03*1000</f>
        <v>86030</v>
      </c>
    </row>
    <row r="21" spans="2:12">
      <c r="B21" s="70" t="s">
        <v>135</v>
      </c>
      <c r="C21" s="71">
        <v>1</v>
      </c>
      <c r="D21" s="78">
        <v>280</v>
      </c>
      <c r="E21" s="73">
        <f>+D21</f>
        <v>280</v>
      </c>
      <c r="F21" s="4">
        <f>+E21*12</f>
        <v>3360</v>
      </c>
      <c r="G21" s="68" t="s">
        <v>37</v>
      </c>
      <c r="H21" s="11">
        <v>1200</v>
      </c>
      <c r="K21">
        <f>+K20/20</f>
        <v>4301.5</v>
      </c>
    </row>
    <row r="22" spans="2:12">
      <c r="B22" s="70" t="s">
        <v>137</v>
      </c>
      <c r="C22" s="71">
        <v>1</v>
      </c>
      <c r="D22" s="78">
        <v>280</v>
      </c>
      <c r="E22" s="73">
        <f>+D22</f>
        <v>280</v>
      </c>
      <c r="F22" s="4">
        <f>+E22*12</f>
        <v>3360</v>
      </c>
      <c r="G22" s="69" t="s">
        <v>18</v>
      </c>
      <c r="H22" s="11">
        <f>+SUM(H19:H21)</f>
        <v>2950</v>
      </c>
    </row>
    <row r="23" spans="2:12">
      <c r="B23" s="184" t="s">
        <v>138</v>
      </c>
      <c r="C23" s="184"/>
      <c r="D23" s="184"/>
      <c r="E23" s="184"/>
      <c r="F23" s="77">
        <f>+SUM(F19:F22)</f>
        <v>13440</v>
      </c>
      <c r="K23">
        <f>+K21/12</f>
        <v>358.45833333333331</v>
      </c>
    </row>
    <row r="24" spans="2:12">
      <c r="K24">
        <f>+K23*5%</f>
        <v>17.922916666666666</v>
      </c>
    </row>
    <row r="25" spans="2:12">
      <c r="B25" s="49"/>
      <c r="C25" s="50"/>
      <c r="D25" s="51"/>
      <c r="E25" s="50"/>
      <c r="F25" s="47"/>
    </row>
    <row r="26" spans="2:12">
      <c r="B26" s="48"/>
      <c r="C26" s="49"/>
      <c r="D26" s="49"/>
      <c r="E26" s="49"/>
      <c r="F26" s="47"/>
    </row>
    <row r="27" spans="2:12" ht="26.25">
      <c r="B27" s="74" t="s">
        <v>130</v>
      </c>
      <c r="C27" s="75" t="s">
        <v>131</v>
      </c>
      <c r="D27" s="76" t="s">
        <v>2</v>
      </c>
      <c r="E27" s="76" t="s">
        <v>132</v>
      </c>
      <c r="F27" s="74" t="s">
        <v>29</v>
      </c>
      <c r="H27" s="185" t="s">
        <v>139</v>
      </c>
      <c r="I27" s="185"/>
      <c r="J27" s="185"/>
      <c r="K27" s="185"/>
      <c r="L27" s="185"/>
    </row>
    <row r="28" spans="2:12">
      <c r="B28" s="70" t="s">
        <v>156</v>
      </c>
      <c r="C28" s="71">
        <v>1</v>
      </c>
      <c r="D28" s="72">
        <v>280</v>
      </c>
      <c r="E28" s="73">
        <f>+D28</f>
        <v>280</v>
      </c>
      <c r="F28" s="4">
        <f>+E28*12</f>
        <v>3360</v>
      </c>
      <c r="H28" s="15" t="s">
        <v>2</v>
      </c>
      <c r="I28" s="84">
        <f>+F23</f>
        <v>13440</v>
      </c>
    </row>
    <row r="29" spans="2:12">
      <c r="B29" s="184" t="s">
        <v>157</v>
      </c>
      <c r="C29" s="184"/>
      <c r="D29" s="184"/>
      <c r="E29" s="184"/>
      <c r="F29" s="77">
        <f>+SUM(F25:F28)</f>
        <v>3360</v>
      </c>
      <c r="H29" s="3" t="s">
        <v>140</v>
      </c>
      <c r="I29" s="4">
        <v>300</v>
      </c>
    </row>
    <row r="30" spans="2:12">
      <c r="B30" s="49"/>
      <c r="C30" s="50"/>
      <c r="D30" s="51"/>
      <c r="E30" s="50"/>
      <c r="F30" s="47"/>
      <c r="H30" s="3" t="s">
        <v>208</v>
      </c>
      <c r="I30" s="4">
        <f>+E7</f>
        <v>1800</v>
      </c>
    </row>
    <row r="31" spans="2:12">
      <c r="B31" s="183" t="s">
        <v>158</v>
      </c>
      <c r="C31" s="183"/>
      <c r="D31" s="183"/>
      <c r="E31" s="183"/>
      <c r="F31" s="52"/>
      <c r="H31" s="3" t="s">
        <v>1</v>
      </c>
      <c r="I31" s="11">
        <f>+E3</f>
        <v>720</v>
      </c>
    </row>
    <row r="32" spans="2:12">
      <c r="B32" s="3" t="s">
        <v>159</v>
      </c>
      <c r="C32" s="7">
        <f>+F29</f>
        <v>3360</v>
      </c>
      <c r="H32" s="85" t="s">
        <v>49</v>
      </c>
      <c r="I32" s="11">
        <f>+I4</f>
        <v>3360</v>
      </c>
    </row>
    <row r="33" spans="2:9">
      <c r="B33" s="3" t="s">
        <v>160</v>
      </c>
      <c r="C33" s="7">
        <f>+E13</f>
        <v>51</v>
      </c>
      <c r="H33" s="3" t="s">
        <v>141</v>
      </c>
      <c r="I33" s="7">
        <f>+depreciacion!F11</f>
        <v>3346.248</v>
      </c>
    </row>
    <row r="34" spans="2:9">
      <c r="B34" s="86" t="s">
        <v>161</v>
      </c>
      <c r="C34" s="77">
        <f>+SUM(C32:C33)</f>
        <v>3411</v>
      </c>
      <c r="H34" s="3" t="s">
        <v>154</v>
      </c>
      <c r="I34" s="7">
        <f>+amortizacion!D5</f>
        <v>1150</v>
      </c>
    </row>
    <row r="35" spans="2:9">
      <c r="H35" s="58" t="s">
        <v>155</v>
      </c>
      <c r="I35" s="77">
        <f>+SUM(I28:I34)</f>
        <v>24116.248</v>
      </c>
    </row>
  </sheetData>
  <mergeCells count="5">
    <mergeCell ref="B17:E17"/>
    <mergeCell ref="B23:E23"/>
    <mergeCell ref="H27:L27"/>
    <mergeCell ref="B29:E29"/>
    <mergeCell ref="B31:E3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J25"/>
  <sheetViews>
    <sheetView topLeftCell="A18" workbookViewId="0">
      <selection activeCell="E34" sqref="E34"/>
    </sheetView>
  </sheetViews>
  <sheetFormatPr baseColWidth="10" defaultRowHeight="15"/>
  <cols>
    <col min="2" max="2" width="29.7109375" bestFit="1" customWidth="1"/>
    <col min="3" max="5" width="13" bestFit="1" customWidth="1"/>
    <col min="6" max="7" width="12.7109375" bestFit="1" customWidth="1"/>
  </cols>
  <sheetData>
    <row r="1" spans="2:10">
      <c r="B1" s="87"/>
      <c r="C1" s="59" t="s">
        <v>162</v>
      </c>
      <c r="D1" s="59" t="s">
        <v>163</v>
      </c>
      <c r="E1" s="59" t="s">
        <v>164</v>
      </c>
      <c r="F1" s="59" t="s">
        <v>165</v>
      </c>
      <c r="G1" s="59" t="s">
        <v>166</v>
      </c>
    </row>
    <row r="2" spans="2:10">
      <c r="B2" s="88" t="s">
        <v>136</v>
      </c>
      <c r="C2" s="11">
        <f>+'ingresos 1 año'!I29</f>
        <v>174753.79444444444</v>
      </c>
      <c r="D2" s="11">
        <f>+C2*(1.15)</f>
        <v>200966.8636111111</v>
      </c>
      <c r="E2" s="11">
        <f>+D2*(1.2)</f>
        <v>241160.23633333331</v>
      </c>
      <c r="F2" s="11">
        <f>+E2*(1.25)</f>
        <v>301450.29541666666</v>
      </c>
      <c r="G2" s="11">
        <f>+F2*(1.3)</f>
        <v>391885.38404166669</v>
      </c>
    </row>
    <row r="3" spans="2:10">
      <c r="B3" s="3" t="s">
        <v>182</v>
      </c>
      <c r="C3" s="11">
        <f>+costos!G29</f>
        <v>76552.838962962953</v>
      </c>
      <c r="D3" s="11">
        <f>+C3*(1.15)</f>
        <v>88035.764807407395</v>
      </c>
      <c r="E3" s="11">
        <f>+D3</f>
        <v>88035.764807407395</v>
      </c>
      <c r="F3" s="11">
        <f>+E3*(1.15)</f>
        <v>101241.12952851849</v>
      </c>
      <c r="G3" s="11">
        <f>+F3*(1.15)</f>
        <v>116427.29895779626</v>
      </c>
      <c r="I3" t="s">
        <v>218</v>
      </c>
    </row>
    <row r="4" spans="2:10">
      <c r="B4" s="86" t="s">
        <v>167</v>
      </c>
      <c r="C4" s="89">
        <f>+C2-C3</f>
        <v>98200.955481481491</v>
      </c>
      <c r="D4" s="89">
        <f>+D2-D3</f>
        <v>112931.0988037037</v>
      </c>
      <c r="E4" s="89">
        <f>+E2-E3</f>
        <v>153124.47152592591</v>
      </c>
      <c r="F4" s="89">
        <f>+F2-F3</f>
        <v>200209.16588814819</v>
      </c>
      <c r="G4" s="89">
        <f>+G2-G3</f>
        <v>275458.08508387045</v>
      </c>
      <c r="I4" t="s">
        <v>219</v>
      </c>
      <c r="J4" s="140">
        <v>0</v>
      </c>
    </row>
    <row r="5" spans="2:10">
      <c r="B5" s="92" t="s">
        <v>168</v>
      </c>
      <c r="C5" s="11"/>
      <c r="D5" s="11"/>
      <c r="E5" s="11"/>
      <c r="F5" s="11"/>
      <c r="G5" s="11"/>
      <c r="I5" t="s">
        <v>220</v>
      </c>
      <c r="J5" s="140">
        <v>0.15</v>
      </c>
    </row>
    <row r="6" spans="2:10">
      <c r="B6" s="86" t="s">
        <v>0</v>
      </c>
      <c r="C6" s="89"/>
      <c r="D6" s="89"/>
      <c r="E6" s="89"/>
      <c r="F6" s="89"/>
      <c r="G6" s="89"/>
      <c r="I6" t="s">
        <v>221</v>
      </c>
      <c r="J6" s="140">
        <v>0.2</v>
      </c>
    </row>
    <row r="7" spans="2:10">
      <c r="B7" s="15" t="s">
        <v>2</v>
      </c>
      <c r="C7" s="11">
        <f>+gastos!I28</f>
        <v>13440</v>
      </c>
      <c r="D7" s="11">
        <f>+C7*1.05</f>
        <v>14112</v>
      </c>
      <c r="E7" s="11">
        <f>+D7</f>
        <v>14112</v>
      </c>
      <c r="F7" s="11">
        <f>+E7*1.1</f>
        <v>15523.2</v>
      </c>
      <c r="G7" s="11">
        <f>+F7*1.1</f>
        <v>17075.52</v>
      </c>
      <c r="I7" t="s">
        <v>222</v>
      </c>
      <c r="J7" s="140">
        <v>0.25</v>
      </c>
    </row>
    <row r="8" spans="2:10">
      <c r="B8" s="3" t="s">
        <v>140</v>
      </c>
      <c r="C8" s="11">
        <f>+gastos!$I$29</f>
        <v>300</v>
      </c>
      <c r="D8" s="11">
        <f>+gastos!$I$29</f>
        <v>300</v>
      </c>
      <c r="E8" s="11">
        <f>+D8</f>
        <v>300</v>
      </c>
      <c r="F8" s="11">
        <f>+E8*1.1</f>
        <v>330</v>
      </c>
      <c r="G8" s="11">
        <f>+F8*1.1</f>
        <v>363.00000000000006</v>
      </c>
      <c r="I8" t="s">
        <v>223</v>
      </c>
      <c r="J8" s="140">
        <v>0.3</v>
      </c>
    </row>
    <row r="9" spans="2:10">
      <c r="B9" s="3" t="s">
        <v>1</v>
      </c>
      <c r="C9" s="11">
        <f>+gastos!$I$31</f>
        <v>720</v>
      </c>
      <c r="D9" s="11">
        <f>+gastos!$I$31</f>
        <v>720</v>
      </c>
      <c r="E9" s="11">
        <f>+gastos!$I$31</f>
        <v>720</v>
      </c>
      <c r="F9" s="11">
        <f>+E9*1.05</f>
        <v>756</v>
      </c>
      <c r="G9" s="11">
        <f>+F9*1.05</f>
        <v>793.80000000000007</v>
      </c>
    </row>
    <row r="10" spans="2:10">
      <c r="B10" s="3" t="s">
        <v>209</v>
      </c>
      <c r="C10" s="11">
        <f>+gastos!$I$30</f>
        <v>1800</v>
      </c>
      <c r="D10" s="11">
        <f>+gastos!$I$30</f>
        <v>1800</v>
      </c>
      <c r="E10" s="11">
        <f>+gastos!$I$30</f>
        <v>1800</v>
      </c>
      <c r="F10" s="11">
        <f>+E10*1.1</f>
        <v>1980.0000000000002</v>
      </c>
      <c r="G10" s="11">
        <f>+F10*1.1</f>
        <v>2178.0000000000005</v>
      </c>
      <c r="I10" t="s">
        <v>224</v>
      </c>
    </row>
    <row r="11" spans="2:10">
      <c r="B11" s="85" t="s">
        <v>49</v>
      </c>
      <c r="C11" s="11">
        <f>+gastos!$I$32</f>
        <v>3360</v>
      </c>
      <c r="D11" s="11">
        <f>+gastos!$I$32</f>
        <v>3360</v>
      </c>
      <c r="E11" s="11">
        <f>+gastos!$I$32</f>
        <v>3360</v>
      </c>
      <c r="F11" s="11">
        <f>+E11*1.1</f>
        <v>3696.0000000000005</v>
      </c>
      <c r="G11" s="11">
        <f>+F11*1.1</f>
        <v>4065.6000000000008</v>
      </c>
      <c r="I11" t="s">
        <v>225</v>
      </c>
    </row>
    <row r="12" spans="2:10">
      <c r="B12" s="3" t="s">
        <v>141</v>
      </c>
      <c r="C12" s="11">
        <f>+depreciacion!F15</f>
        <v>3346.248</v>
      </c>
      <c r="D12" s="11">
        <f>+depreciacion!G15</f>
        <v>3346.248</v>
      </c>
      <c r="E12" s="11">
        <f>+depreciacion!H15</f>
        <v>3346.248</v>
      </c>
      <c r="F12" s="11">
        <f>+depreciacion!I15</f>
        <v>2846.248</v>
      </c>
      <c r="G12" s="11">
        <f>+depreciacion!J15</f>
        <v>2846.248</v>
      </c>
      <c r="I12" t="s">
        <v>226</v>
      </c>
    </row>
    <row r="13" spans="2:10">
      <c r="B13" s="3" t="s">
        <v>154</v>
      </c>
      <c r="C13" s="11">
        <f>+gastos!$I$34</f>
        <v>1150</v>
      </c>
      <c r="D13" s="11">
        <f>+amortizacion!E5</f>
        <v>610</v>
      </c>
      <c r="E13" s="11">
        <f>+amortizacion!F5</f>
        <v>610</v>
      </c>
      <c r="F13" s="11">
        <f>+amortizacion!G5</f>
        <v>550</v>
      </c>
      <c r="G13" s="11">
        <f>+amortizacion!H5</f>
        <v>430</v>
      </c>
      <c r="I13" t="s">
        <v>227</v>
      </c>
    </row>
    <row r="14" spans="2:10">
      <c r="B14" s="86" t="s">
        <v>13</v>
      </c>
      <c r="C14" s="89"/>
      <c r="D14" s="89"/>
      <c r="E14" s="89"/>
      <c r="F14" s="89"/>
      <c r="G14" s="89"/>
      <c r="I14" t="s">
        <v>228</v>
      </c>
    </row>
    <row r="15" spans="2:10">
      <c r="B15" s="3" t="s">
        <v>159</v>
      </c>
      <c r="C15" s="11">
        <f>+gastos!C32</f>
        <v>3360</v>
      </c>
      <c r="D15" s="11">
        <f>+$C$15</f>
        <v>3360</v>
      </c>
      <c r="E15" s="11">
        <f>+D15*1.05</f>
        <v>3528</v>
      </c>
      <c r="F15" s="11">
        <f>+E15*1.1</f>
        <v>3880.8</v>
      </c>
      <c r="G15" s="11">
        <f>+F15*1.1</f>
        <v>4268.88</v>
      </c>
      <c r="I15" t="s">
        <v>229</v>
      </c>
    </row>
    <row r="16" spans="2:10">
      <c r="B16" s="3" t="s">
        <v>160</v>
      </c>
      <c r="C16" s="11">
        <f>+gastos!C33</f>
        <v>51</v>
      </c>
      <c r="D16" s="11">
        <f>+$C$16</f>
        <v>51</v>
      </c>
      <c r="E16" s="11">
        <f>+$C$16</f>
        <v>51</v>
      </c>
      <c r="F16" s="11">
        <f>+$C$16</f>
        <v>51</v>
      </c>
      <c r="G16" s="11">
        <f>+$C$16</f>
        <v>51</v>
      </c>
      <c r="I16" t="s">
        <v>230</v>
      </c>
    </row>
    <row r="17" spans="2:7">
      <c r="B17" s="58" t="s">
        <v>169</v>
      </c>
      <c r="C17" s="90">
        <f>+SUM(C7:C13)+C15+C16</f>
        <v>27527.248</v>
      </c>
      <c r="D17" s="90">
        <f>+SUM(D7:D13)+D15+D16</f>
        <v>27659.248</v>
      </c>
      <c r="E17" s="90">
        <f>+SUM(E7:E13)+E15+E16</f>
        <v>27827.248</v>
      </c>
      <c r="F17" s="90">
        <f>+SUM(F7:F13)+F15+F16</f>
        <v>29613.248</v>
      </c>
      <c r="G17" s="90">
        <f>+SUM(G7:G13)+G15+G16</f>
        <v>32072.048000000003</v>
      </c>
    </row>
    <row r="18" spans="2:7" ht="30">
      <c r="B18" s="97" t="s">
        <v>179</v>
      </c>
      <c r="C18" s="89">
        <f>+C4-C17</f>
        <v>70673.707481481484</v>
      </c>
      <c r="D18" s="89">
        <f>+D4-D17</f>
        <v>85271.85080370371</v>
      </c>
      <c r="E18" s="89">
        <f>+E4-E17</f>
        <v>125297.22352592592</v>
      </c>
      <c r="F18" s="89">
        <f>+F4-F17</f>
        <v>170595.91788814819</v>
      </c>
      <c r="G18" s="89">
        <f>+G4-G17</f>
        <v>243386.03708387044</v>
      </c>
    </row>
    <row r="19" spans="2:7">
      <c r="B19" s="93" t="s">
        <v>177</v>
      </c>
      <c r="C19" s="94"/>
      <c r="D19" s="94"/>
      <c r="E19" s="94"/>
      <c r="F19" s="94"/>
      <c r="G19" s="94"/>
    </row>
    <row r="20" spans="2:7">
      <c r="B20" s="95" t="s">
        <v>180</v>
      </c>
      <c r="C20" s="4">
        <f>+financiamiento!C26</f>
        <v>6857.7929416666657</v>
      </c>
      <c r="D20" s="4">
        <f>+financiamiento!C27</f>
        <v>5762.0961438437353</v>
      </c>
      <c r="E20" s="4">
        <f>+financiamiento!C28</f>
        <v>4543.1334562657257</v>
      </c>
      <c r="F20" s="4">
        <f>+financiamiento!C29</f>
        <v>3187.0374663351895</v>
      </c>
      <c r="G20" s="4">
        <f>+financiamiento!C30</f>
        <v>1678.380677537468</v>
      </c>
    </row>
    <row r="21" spans="2:7" ht="30">
      <c r="B21" s="97" t="s">
        <v>175</v>
      </c>
      <c r="C21" s="96">
        <f>+C18-C20</f>
        <v>63815.914539814818</v>
      </c>
      <c r="D21" s="96">
        <f>+D18-D20</f>
        <v>79509.754659859973</v>
      </c>
      <c r="E21" s="96">
        <f>+E18-E20</f>
        <v>120754.09006966019</v>
      </c>
      <c r="F21" s="96">
        <f>+F18-F20</f>
        <v>167408.880421813</v>
      </c>
      <c r="G21" s="96">
        <f>+G18-G20</f>
        <v>241707.65640633297</v>
      </c>
    </row>
    <row r="22" spans="2:7">
      <c r="B22" s="88" t="s">
        <v>170</v>
      </c>
      <c r="C22" s="91">
        <f>+C21*15%</f>
        <v>9572.3871809722223</v>
      </c>
      <c r="D22" s="91">
        <f>+D21*15%</f>
        <v>11926.463198978996</v>
      </c>
      <c r="E22" s="91">
        <f>+E21*15%</f>
        <v>18113.113510449028</v>
      </c>
      <c r="F22" s="91">
        <f>+F21*15%</f>
        <v>25111.332063271948</v>
      </c>
      <c r="G22" s="91">
        <f>+G21*15%</f>
        <v>36256.148460949946</v>
      </c>
    </row>
    <row r="23" spans="2:7">
      <c r="B23" s="58" t="s">
        <v>171</v>
      </c>
      <c r="C23" s="89">
        <f>+C21-C22</f>
        <v>54243.527358842592</v>
      </c>
      <c r="D23" s="89">
        <f>+D18-D22</f>
        <v>73345.387604724718</v>
      </c>
      <c r="E23" s="89">
        <f>+E18-E22</f>
        <v>107184.11001547689</v>
      </c>
      <c r="F23" s="89">
        <f>+F18-F22</f>
        <v>145484.58582487624</v>
      </c>
      <c r="G23" s="89">
        <f>+G18-G22</f>
        <v>207129.88862292049</v>
      </c>
    </row>
    <row r="24" spans="2:7">
      <c r="B24" s="3" t="s">
        <v>172</v>
      </c>
      <c r="C24" s="11">
        <f>+C23*25%</f>
        <v>13560.881839710648</v>
      </c>
      <c r="D24" s="11">
        <f>+D23*25%</f>
        <v>18336.346901181179</v>
      </c>
      <c r="E24" s="11">
        <f>+E23*25%</f>
        <v>26796.027503869223</v>
      </c>
      <c r="F24" s="11">
        <f>+F23*25%</f>
        <v>36371.146456219059</v>
      </c>
      <c r="G24" s="11">
        <f>+G23*25%</f>
        <v>51782.472155730124</v>
      </c>
    </row>
    <row r="25" spans="2:7">
      <c r="B25" s="58" t="s">
        <v>173</v>
      </c>
      <c r="C25" s="89">
        <f>+C23-C24</f>
        <v>40682.64551913194</v>
      </c>
      <c r="D25" s="89">
        <f>+D23-D24</f>
        <v>55009.040703543535</v>
      </c>
      <c r="E25" s="89">
        <f>+E23-E24</f>
        <v>80388.082511607674</v>
      </c>
      <c r="F25" s="89">
        <f>+F23-F24</f>
        <v>109113.43936865719</v>
      </c>
      <c r="G25" s="89">
        <f>+G23-G24</f>
        <v>155347.41646719037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/>
  </sheetPr>
  <dimension ref="B1:AD14"/>
  <sheetViews>
    <sheetView showGridLines="0" topLeftCell="A14" workbookViewId="0">
      <selection activeCell="K22" sqref="K22"/>
    </sheetView>
  </sheetViews>
  <sheetFormatPr baseColWidth="10" defaultRowHeight="15" outlineLevelRow="1" outlineLevelCol="1"/>
  <cols>
    <col min="3" max="3" width="6.140625" customWidth="1"/>
    <col min="4" max="30" width="14.5703125" bestFit="1" customWidth="1" outlineLevel="1"/>
  </cols>
  <sheetData>
    <row r="1" spans="2:30" ht="15.75" thickBot="1"/>
    <row r="2" spans="2:30" ht="15.75">
      <c r="B2" s="179" t="s">
        <v>241</v>
      </c>
      <c r="C2" s="179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2:30" ht="15.75" collapsed="1">
      <c r="B3" s="178"/>
      <c r="C3" s="178"/>
      <c r="D3" s="146" t="s">
        <v>243</v>
      </c>
      <c r="E3" s="147">
        <v>0.02</v>
      </c>
      <c r="F3" s="147">
        <v>0.04</v>
      </c>
      <c r="G3" s="147">
        <v>0.05</v>
      </c>
      <c r="H3" s="147">
        <v>7.0000000000000007E-2</v>
      </c>
      <c r="I3" s="150">
        <v>9.0999999999999998E-2</v>
      </c>
      <c r="J3" s="147">
        <v>0.11</v>
      </c>
      <c r="K3" s="147">
        <v>0.13</v>
      </c>
      <c r="L3" s="147">
        <v>0.15</v>
      </c>
      <c r="M3" s="147">
        <v>0.17</v>
      </c>
      <c r="N3" s="147">
        <v>0.2</v>
      </c>
      <c r="O3" s="147">
        <v>0.22</v>
      </c>
      <c r="P3" s="147">
        <v>0.25</v>
      </c>
      <c r="Q3" s="147">
        <v>0.3</v>
      </c>
      <c r="R3" s="147">
        <v>0.35</v>
      </c>
      <c r="S3" s="147">
        <v>0.4</v>
      </c>
      <c r="T3" s="147">
        <v>0.45</v>
      </c>
      <c r="U3" s="147">
        <v>0.5</v>
      </c>
      <c r="V3" s="147">
        <v>0.55000000000000004</v>
      </c>
      <c r="W3" s="147">
        <v>0.6</v>
      </c>
      <c r="X3" s="147">
        <v>0.7</v>
      </c>
      <c r="Y3" s="147">
        <v>0.8</v>
      </c>
      <c r="Z3" s="147">
        <v>0.9</v>
      </c>
      <c r="AA3" s="147">
        <v>1</v>
      </c>
      <c r="AB3" s="150">
        <v>1.0915999999999999</v>
      </c>
      <c r="AC3" s="147">
        <v>1.2</v>
      </c>
      <c r="AD3" s="147">
        <v>1.3</v>
      </c>
    </row>
    <row r="4" spans="2:30" ht="45" hidden="1" outlineLevel="1">
      <c r="B4" s="180"/>
      <c r="C4" s="180"/>
      <c r="D4" s="142"/>
      <c r="E4" s="149" t="s">
        <v>239</v>
      </c>
      <c r="F4" s="149" t="s">
        <v>240</v>
      </c>
      <c r="G4" s="149" t="s">
        <v>240</v>
      </c>
      <c r="H4" s="149" t="s">
        <v>240</v>
      </c>
      <c r="I4" s="149" t="s">
        <v>258</v>
      </c>
      <c r="J4" s="149" t="s">
        <v>240</v>
      </c>
      <c r="K4" s="149" t="s">
        <v>240</v>
      </c>
      <c r="L4" s="149" t="s">
        <v>240</v>
      </c>
      <c r="M4" s="149" t="s">
        <v>240</v>
      </c>
      <c r="N4" s="149" t="s">
        <v>240</v>
      </c>
      <c r="O4" s="149" t="s">
        <v>240</v>
      </c>
      <c r="P4" s="149" t="s">
        <v>240</v>
      </c>
      <c r="Q4" s="149" t="s">
        <v>240</v>
      </c>
      <c r="R4" s="149" t="s">
        <v>240</v>
      </c>
      <c r="S4" s="149" t="s">
        <v>240</v>
      </c>
      <c r="T4" s="149" t="s">
        <v>240</v>
      </c>
      <c r="U4" s="149" t="s">
        <v>240</v>
      </c>
      <c r="V4" s="149" t="s">
        <v>240</v>
      </c>
      <c r="W4" s="149" t="s">
        <v>240</v>
      </c>
      <c r="X4" s="149" t="s">
        <v>240</v>
      </c>
      <c r="Y4" s="149" t="s">
        <v>240</v>
      </c>
      <c r="Z4" s="149" t="s">
        <v>240</v>
      </c>
      <c r="AA4" s="149" t="s">
        <v>240</v>
      </c>
      <c r="AB4" s="149" t="s">
        <v>258</v>
      </c>
      <c r="AC4" s="149" t="s">
        <v>240</v>
      </c>
      <c r="AD4" s="149" t="s">
        <v>240</v>
      </c>
    </row>
    <row r="5" spans="2:30">
      <c r="B5" s="181" t="s">
        <v>242</v>
      </c>
      <c r="C5" s="181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</row>
    <row r="6" spans="2:30" outlineLevel="1">
      <c r="B6" s="180"/>
      <c r="C6" s="180" t="s">
        <v>255</v>
      </c>
      <c r="D6" s="142">
        <v>9.1024999999999995E-2</v>
      </c>
      <c r="E6" s="148">
        <v>0.02</v>
      </c>
      <c r="F6" s="148">
        <v>0.04</v>
      </c>
      <c r="G6" s="148">
        <v>0.05</v>
      </c>
      <c r="H6" s="148">
        <v>7.0000000000000007E-2</v>
      </c>
      <c r="I6" s="148">
        <v>9.1024999999999995E-2</v>
      </c>
      <c r="J6" s="148">
        <v>0.11</v>
      </c>
      <c r="K6" s="148">
        <v>0.13</v>
      </c>
      <c r="L6" s="148">
        <v>0.15</v>
      </c>
      <c r="M6" s="148">
        <v>0.17</v>
      </c>
      <c r="N6" s="148">
        <v>0.2</v>
      </c>
      <c r="O6" s="148">
        <v>0.22</v>
      </c>
      <c r="P6" s="148">
        <v>0.25</v>
      </c>
      <c r="Q6" s="148">
        <v>0.3</v>
      </c>
      <c r="R6" s="148">
        <v>0.35</v>
      </c>
      <c r="S6" s="148">
        <v>0.4</v>
      </c>
      <c r="T6" s="148">
        <v>0.45</v>
      </c>
      <c r="U6" s="148">
        <v>0.5</v>
      </c>
      <c r="V6" s="148">
        <v>0.55000000000000004</v>
      </c>
      <c r="W6" s="148">
        <v>0.6</v>
      </c>
      <c r="X6" s="148">
        <v>0.7</v>
      </c>
      <c r="Y6" s="148">
        <v>0.8</v>
      </c>
      <c r="Z6" s="148">
        <v>0.9</v>
      </c>
      <c r="AA6" s="148">
        <v>1</v>
      </c>
      <c r="AB6" s="148">
        <v>1.0915999999999999</v>
      </c>
      <c r="AC6" s="148">
        <v>1.2</v>
      </c>
      <c r="AD6" s="148">
        <v>1.3</v>
      </c>
    </row>
    <row r="7" spans="2:30">
      <c r="B7" s="181" t="s">
        <v>244</v>
      </c>
      <c r="C7" s="181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</row>
    <row r="8" spans="2:30" ht="15.75" outlineLevel="1" thickBot="1">
      <c r="B8" s="182"/>
      <c r="C8" s="182" t="s">
        <v>256</v>
      </c>
      <c r="D8" s="143">
        <v>318533.59427227598</v>
      </c>
      <c r="E8" s="143">
        <v>424119.16826751101</v>
      </c>
      <c r="F8" s="143">
        <v>390499.010067461</v>
      </c>
      <c r="G8" s="143">
        <v>374928.68191217398</v>
      </c>
      <c r="H8" s="143">
        <v>346023.05775658</v>
      </c>
      <c r="I8" s="143">
        <v>318533.59427227598</v>
      </c>
      <c r="J8" s="143">
        <v>295985.73131807399</v>
      </c>
      <c r="K8" s="143">
        <v>274284.65762788698</v>
      </c>
      <c r="L8" s="143">
        <v>254476.10138404201</v>
      </c>
      <c r="M8" s="143">
        <v>236358.15982471599</v>
      </c>
      <c r="N8" s="143">
        <v>211969.974144351</v>
      </c>
      <c r="O8" s="143">
        <v>197350.45858484699</v>
      </c>
      <c r="P8" s="143">
        <v>177557.956072314</v>
      </c>
      <c r="Q8" s="143">
        <v>149387.025247449</v>
      </c>
      <c r="R8" s="143">
        <v>126086.56638203299</v>
      </c>
      <c r="S8" s="143">
        <v>106629.573491598</v>
      </c>
      <c r="T8" s="143">
        <v>90237.208415727393</v>
      </c>
      <c r="U8" s="143">
        <v>76312.193747708894</v>
      </c>
      <c r="V8" s="143">
        <v>64391.685599490898</v>
      </c>
      <c r="W8" s="143">
        <v>54113.499652673599</v>
      </c>
      <c r="X8" s="143">
        <v>37398.213287631901</v>
      </c>
      <c r="Y8" s="143">
        <v>24500.017406979099</v>
      </c>
      <c r="Z8" s="143">
        <v>14331.023701223199</v>
      </c>
      <c r="AA8" s="143">
        <v>6160.4686529874698</v>
      </c>
      <c r="AB8" s="143">
        <v>-2.4602252596159802</v>
      </c>
      <c r="AC8" s="143">
        <v>-6051.0152344473199</v>
      </c>
      <c r="AD8" s="143">
        <v>-10702.563149719101</v>
      </c>
    </row>
    <row r="9" spans="2:30">
      <c r="B9" t="s">
        <v>245</v>
      </c>
    </row>
    <row r="10" spans="2:30">
      <c r="B10" t="s">
        <v>246</v>
      </c>
    </row>
    <row r="11" spans="2:30">
      <c r="B11" t="s">
        <v>247</v>
      </c>
    </row>
    <row r="13" spans="2:30">
      <c r="C13" t="s">
        <v>207</v>
      </c>
      <c r="E13" s="148">
        <v>0.02</v>
      </c>
      <c r="F13" s="148">
        <v>0.04</v>
      </c>
      <c r="G13" s="148">
        <v>0.05</v>
      </c>
      <c r="H13" s="148">
        <v>7.0000000000000007E-2</v>
      </c>
      <c r="I13" s="148">
        <v>9.1024999999999995E-2</v>
      </c>
      <c r="J13" s="148">
        <v>0.11</v>
      </c>
      <c r="K13" s="148">
        <v>0.13</v>
      </c>
      <c r="L13" s="148">
        <v>0.15</v>
      </c>
      <c r="M13" s="148">
        <v>0.17</v>
      </c>
      <c r="N13" s="148">
        <v>0.2</v>
      </c>
      <c r="O13" s="148">
        <v>0.22</v>
      </c>
      <c r="P13" s="148">
        <v>0.25</v>
      </c>
      <c r="Q13" s="148">
        <v>0.3</v>
      </c>
      <c r="R13" s="148">
        <v>0.35</v>
      </c>
      <c r="S13" s="148">
        <v>0.4</v>
      </c>
      <c r="T13" s="148">
        <v>0.45</v>
      </c>
      <c r="U13" s="148">
        <v>0.5</v>
      </c>
      <c r="V13" s="148">
        <v>0.55000000000000004</v>
      </c>
      <c r="W13" s="148">
        <v>0.6</v>
      </c>
      <c r="X13" s="148">
        <v>0.7</v>
      </c>
      <c r="Y13" s="148">
        <v>0.8</v>
      </c>
      <c r="Z13" s="148">
        <v>0.9</v>
      </c>
      <c r="AA13" s="148">
        <v>1</v>
      </c>
      <c r="AB13" s="148">
        <v>1.0915999999999999</v>
      </c>
      <c r="AC13" s="148">
        <v>1.2</v>
      </c>
      <c r="AD13" s="148">
        <v>1.3</v>
      </c>
    </row>
    <row r="14" spans="2:30" ht="15.75" thickBot="1">
      <c r="C14" t="s">
        <v>200</v>
      </c>
      <c r="E14" s="143">
        <v>424119.16826751101</v>
      </c>
      <c r="F14" s="143">
        <v>390499.010067461</v>
      </c>
      <c r="G14" s="143">
        <v>374928.68191217398</v>
      </c>
      <c r="H14" s="143">
        <v>346023.05775658</v>
      </c>
      <c r="I14" s="143">
        <v>318533.59427227598</v>
      </c>
      <c r="J14" s="143">
        <v>295985.73131807399</v>
      </c>
      <c r="K14" s="143">
        <v>274284.65762788698</v>
      </c>
      <c r="L14" s="143">
        <v>254476.10138404201</v>
      </c>
      <c r="M14" s="143">
        <v>236358.15982471599</v>
      </c>
      <c r="N14" s="143">
        <v>211969.974144351</v>
      </c>
      <c r="O14" s="143">
        <v>197350.45858484699</v>
      </c>
      <c r="P14" s="143">
        <v>177557.956072314</v>
      </c>
      <c r="Q14" s="143">
        <v>149387.025247449</v>
      </c>
      <c r="R14" s="143">
        <v>126086.56638203299</v>
      </c>
      <c r="S14" s="143">
        <v>106629.573491598</v>
      </c>
      <c r="T14" s="143">
        <v>90237.208415727393</v>
      </c>
      <c r="U14" s="143">
        <v>76312.193747708894</v>
      </c>
      <c r="V14" s="143">
        <v>64391.685599490898</v>
      </c>
      <c r="W14" s="143">
        <v>54113.499652673599</v>
      </c>
      <c r="X14" s="143">
        <v>37398.213287631901</v>
      </c>
      <c r="Y14" s="143">
        <v>24500.017406979099</v>
      </c>
      <c r="Z14" s="143">
        <v>14331.023701223199</v>
      </c>
      <c r="AA14" s="143">
        <v>6160.4686529874698</v>
      </c>
      <c r="AB14" s="143">
        <v>-2.4602252596159802</v>
      </c>
      <c r="AC14" s="143">
        <v>-6051.0152344473199</v>
      </c>
      <c r="AD14" s="143">
        <v>-10702.563149719101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H57"/>
  <sheetViews>
    <sheetView workbookViewId="0">
      <selection activeCell="D53" sqref="D53"/>
    </sheetView>
  </sheetViews>
  <sheetFormatPr baseColWidth="10" defaultRowHeight="12.75"/>
  <cols>
    <col min="1" max="1" width="11.42578125" style="98"/>
    <col min="2" max="2" width="35.5703125" style="98" customWidth="1"/>
    <col min="3" max="3" width="12.42578125" style="98" bestFit="1" customWidth="1"/>
    <col min="4" max="4" width="12.28515625" style="98" bestFit="1" customWidth="1"/>
    <col min="5" max="6" width="12.42578125" style="98" bestFit="1" customWidth="1"/>
    <col min="7" max="8" width="12.5703125" style="98" bestFit="1" customWidth="1"/>
    <col min="9" max="9" width="11.5703125" style="98" bestFit="1" customWidth="1"/>
    <col min="10" max="16384" width="11.42578125" style="98"/>
  </cols>
  <sheetData>
    <row r="2" spans="2:8">
      <c r="B2" s="65"/>
      <c r="C2" s="65" t="s">
        <v>174</v>
      </c>
      <c r="D2" s="65" t="s">
        <v>162</v>
      </c>
      <c r="E2" s="65" t="s">
        <v>163</v>
      </c>
      <c r="F2" s="65" t="s">
        <v>164</v>
      </c>
      <c r="G2" s="65" t="s">
        <v>165</v>
      </c>
      <c r="H2" s="65" t="s">
        <v>166</v>
      </c>
    </row>
    <row r="3" spans="2:8">
      <c r="B3" s="156" t="s">
        <v>181</v>
      </c>
      <c r="C3" s="157">
        <f>+'capital de trabajo'!E20</f>
        <v>121916.31896296295</v>
      </c>
      <c r="D3" s="158"/>
      <c r="E3" s="158"/>
      <c r="F3" s="158"/>
      <c r="G3" s="158"/>
      <c r="H3" s="158"/>
    </row>
    <row r="4" spans="2:8">
      <c r="B4" s="156" t="s">
        <v>178</v>
      </c>
      <c r="C4" s="157">
        <f>+financiamiento!C17</f>
        <v>60958.159481481474</v>
      </c>
      <c r="D4" s="158"/>
      <c r="E4" s="158"/>
      <c r="F4" s="158"/>
      <c r="G4" s="158"/>
      <c r="H4" s="158"/>
    </row>
    <row r="5" spans="2:8">
      <c r="B5" s="159" t="s">
        <v>183</v>
      </c>
      <c r="C5" s="27"/>
      <c r="D5" s="160">
        <f>+'estado de resultados'!C2*(1+$C$53)</f>
        <v>174753.79444444444</v>
      </c>
      <c r="E5" s="160">
        <f>+'estado de resultados'!D2*(1+$C$53)</f>
        <v>200966.8636111111</v>
      </c>
      <c r="F5" s="160">
        <f>+'estado de resultados'!E2*(1+$C$53)</f>
        <v>241160.23633333331</v>
      </c>
      <c r="G5" s="160">
        <f>+'estado de resultados'!F2*(1+$C$53)</f>
        <v>301450.29541666666</v>
      </c>
      <c r="H5" s="160">
        <f>+'estado de resultados'!G2*(1+$C$53)</f>
        <v>391885.38404166669</v>
      </c>
    </row>
    <row r="6" spans="2:8">
      <c r="B6" s="161" t="s">
        <v>184</v>
      </c>
      <c r="C6" s="27"/>
      <c r="D6" s="160">
        <f>+'estado de resultados'!C3*(1+$C$50)</f>
        <v>76552.838962962953</v>
      </c>
      <c r="E6" s="160">
        <f>+'estado de resultados'!D3*(1+$C$50)</f>
        <v>88035.764807407395</v>
      </c>
      <c r="F6" s="160">
        <f>+'estado de resultados'!E3*(1+$C$50)</f>
        <v>88035.764807407395</v>
      </c>
      <c r="G6" s="160">
        <f>+'estado de resultados'!F3*(1+$C$50)</f>
        <v>101241.12952851849</v>
      </c>
      <c r="H6" s="160">
        <f>+'estado de resultados'!G3*(1+$C$50)</f>
        <v>116427.29895779626</v>
      </c>
    </row>
    <row r="7" spans="2:8">
      <c r="B7" s="162" t="s">
        <v>168</v>
      </c>
      <c r="C7" s="27"/>
      <c r="D7" s="27"/>
      <c r="E7" s="27"/>
      <c r="F7" s="27"/>
      <c r="G7" s="27"/>
      <c r="H7" s="27"/>
    </row>
    <row r="8" spans="2:8">
      <c r="B8" s="65" t="s">
        <v>0</v>
      </c>
      <c r="C8" s="65"/>
      <c r="D8" s="65"/>
      <c r="E8" s="65"/>
      <c r="F8" s="65"/>
      <c r="G8" s="65"/>
      <c r="H8" s="65"/>
    </row>
    <row r="9" spans="2:8">
      <c r="B9" s="27" t="s">
        <v>186</v>
      </c>
      <c r="C9" s="27"/>
      <c r="D9" s="160">
        <f>+'estado de resultados'!C7</f>
        <v>13440</v>
      </c>
      <c r="E9" s="160">
        <f>+'estado de resultados'!D7</f>
        <v>14112</v>
      </c>
      <c r="F9" s="160">
        <f>+'estado de resultados'!E7</f>
        <v>14112</v>
      </c>
      <c r="G9" s="160">
        <f>+'estado de resultados'!F7</f>
        <v>15523.2</v>
      </c>
      <c r="H9" s="160">
        <f>+'estado de resultados'!G7</f>
        <v>17075.52</v>
      </c>
    </row>
    <row r="10" spans="2:8">
      <c r="B10" s="27" t="s">
        <v>187</v>
      </c>
      <c r="C10" s="27"/>
      <c r="D10" s="160">
        <f>+'estado de resultados'!C8</f>
        <v>300</v>
      </c>
      <c r="E10" s="160">
        <f>+'estado de resultados'!D8</f>
        <v>300</v>
      </c>
      <c r="F10" s="160">
        <f>+'estado de resultados'!E8</f>
        <v>300</v>
      </c>
      <c r="G10" s="160">
        <f>+'estado de resultados'!F8</f>
        <v>330</v>
      </c>
      <c r="H10" s="160">
        <f>+'estado de resultados'!G8</f>
        <v>363.00000000000006</v>
      </c>
    </row>
    <row r="11" spans="2:8">
      <c r="B11" s="27" t="s">
        <v>188</v>
      </c>
      <c r="C11" s="27"/>
      <c r="D11" s="160">
        <f>+'estado de resultados'!C9</f>
        <v>720</v>
      </c>
      <c r="E11" s="160">
        <f>+'estado de resultados'!D9</f>
        <v>720</v>
      </c>
      <c r="F11" s="160">
        <f>+'estado de resultados'!E9</f>
        <v>720</v>
      </c>
      <c r="G11" s="160">
        <f>+'estado de resultados'!F9</f>
        <v>756</v>
      </c>
      <c r="H11" s="160">
        <f>+'estado de resultados'!G9</f>
        <v>793.80000000000007</v>
      </c>
    </row>
    <row r="12" spans="2:8">
      <c r="B12" s="27" t="s">
        <v>215</v>
      </c>
      <c r="C12" s="27"/>
      <c r="D12" s="160">
        <f>+'estado de resultados'!C10</f>
        <v>1800</v>
      </c>
      <c r="E12" s="160">
        <f>+'estado de resultados'!D10</f>
        <v>1800</v>
      </c>
      <c r="F12" s="160">
        <f>+'estado de resultados'!E10</f>
        <v>1800</v>
      </c>
      <c r="G12" s="160">
        <f>+'estado de resultados'!F10</f>
        <v>1980.0000000000002</v>
      </c>
      <c r="H12" s="160">
        <f>+'estado de resultados'!G10</f>
        <v>2178.0000000000005</v>
      </c>
    </row>
    <row r="13" spans="2:8">
      <c r="B13" s="158" t="s">
        <v>189</v>
      </c>
      <c r="C13" s="27"/>
      <c r="D13" s="160">
        <f>+'estado de resultados'!C11</f>
        <v>3360</v>
      </c>
      <c r="E13" s="160">
        <f>+'estado de resultados'!D11</f>
        <v>3360</v>
      </c>
      <c r="F13" s="160">
        <f>+'estado de resultados'!E11</f>
        <v>3360</v>
      </c>
      <c r="G13" s="160">
        <f>+'estado de resultados'!F11</f>
        <v>3696.0000000000005</v>
      </c>
      <c r="H13" s="160">
        <f>+'estado de resultados'!G11</f>
        <v>4065.6000000000008</v>
      </c>
    </row>
    <row r="14" spans="2:8">
      <c r="B14" s="65" t="s">
        <v>13</v>
      </c>
      <c r="C14" s="65"/>
      <c r="D14" s="65"/>
      <c r="E14" s="65"/>
      <c r="F14" s="65"/>
      <c r="G14" s="65"/>
      <c r="H14" s="65"/>
    </row>
    <row r="15" spans="2:8">
      <c r="B15" s="27" t="s">
        <v>190</v>
      </c>
      <c r="C15" s="27"/>
      <c r="D15" s="160">
        <f>+'estado de resultados'!C15</f>
        <v>3360</v>
      </c>
      <c r="E15" s="160">
        <f>+'estado de resultados'!D15</f>
        <v>3360</v>
      </c>
      <c r="F15" s="160">
        <f>+'estado de resultados'!E15</f>
        <v>3528</v>
      </c>
      <c r="G15" s="160">
        <f>+'estado de resultados'!F15</f>
        <v>3880.8</v>
      </c>
      <c r="H15" s="160">
        <f>+'estado de resultados'!G15</f>
        <v>4268.88</v>
      </c>
    </row>
    <row r="16" spans="2:8">
      <c r="B16" s="27" t="s">
        <v>191</v>
      </c>
      <c r="C16" s="27"/>
      <c r="D16" s="163">
        <f>+'estado de resultados'!C16</f>
        <v>51</v>
      </c>
      <c r="E16" s="163">
        <f>+'estado de resultados'!D16</f>
        <v>51</v>
      </c>
      <c r="F16" s="163">
        <f>+'estado de resultados'!E16</f>
        <v>51</v>
      </c>
      <c r="G16" s="163">
        <f>+'estado de resultados'!F16</f>
        <v>51</v>
      </c>
      <c r="H16" s="163">
        <f>+'estado de resultados'!G16</f>
        <v>51</v>
      </c>
    </row>
    <row r="17" spans="2:8">
      <c r="B17" s="27" t="s">
        <v>192</v>
      </c>
      <c r="C17" s="27"/>
      <c r="D17" s="163">
        <f>+'estado de resultados'!C12</f>
        <v>3346.248</v>
      </c>
      <c r="E17" s="163">
        <f>+'estado de resultados'!D12</f>
        <v>3346.248</v>
      </c>
      <c r="F17" s="163">
        <f>+'estado de resultados'!E12</f>
        <v>3346.248</v>
      </c>
      <c r="G17" s="163">
        <f>+'estado de resultados'!F12</f>
        <v>2846.248</v>
      </c>
      <c r="H17" s="163">
        <f>+'estado de resultados'!G12</f>
        <v>2846.248</v>
      </c>
    </row>
    <row r="18" spans="2:8">
      <c r="B18" s="27" t="s">
        <v>193</v>
      </c>
      <c r="C18" s="27"/>
      <c r="D18" s="163">
        <f>+'estado de resultados'!C13</f>
        <v>1150</v>
      </c>
      <c r="E18" s="163">
        <f>+'estado de resultados'!D13</f>
        <v>610</v>
      </c>
      <c r="F18" s="163">
        <f>+'estado de resultados'!E13</f>
        <v>610</v>
      </c>
      <c r="G18" s="163">
        <f>+'estado de resultados'!F13</f>
        <v>550</v>
      </c>
      <c r="H18" s="163">
        <f>+'estado de resultados'!G13</f>
        <v>430</v>
      </c>
    </row>
    <row r="19" spans="2:8">
      <c r="B19" s="65" t="s">
        <v>231</v>
      </c>
      <c r="C19" s="65"/>
      <c r="D19" s="164">
        <f>+SUM(D9:D18)*(1+$C$47)</f>
        <v>27527.248</v>
      </c>
      <c r="E19" s="164">
        <f t="shared" ref="E19:H19" si="0">+SUM(E9:E18)*(1+$C$47)</f>
        <v>27659.248</v>
      </c>
      <c r="F19" s="164">
        <f t="shared" si="0"/>
        <v>27827.248</v>
      </c>
      <c r="G19" s="164">
        <f t="shared" si="0"/>
        <v>29613.248</v>
      </c>
      <c r="H19" s="164">
        <f t="shared" si="0"/>
        <v>32072.048000000003</v>
      </c>
    </row>
    <row r="20" spans="2:8">
      <c r="B20" s="165" t="s">
        <v>194</v>
      </c>
      <c r="C20" s="158"/>
      <c r="D20" s="166">
        <f>+financiamiento!E26</f>
        <v>16597.320033426047</v>
      </c>
      <c r="E20" s="166">
        <f>+D20</f>
        <v>16597.320033426047</v>
      </c>
      <c r="F20" s="166">
        <f>+E20</f>
        <v>16597.320033426047</v>
      </c>
      <c r="G20" s="166">
        <f>+F20</f>
        <v>16597.320033426047</v>
      </c>
      <c r="H20" s="166">
        <f>+G20</f>
        <v>16597.320033426047</v>
      </c>
    </row>
    <row r="21" spans="2:8">
      <c r="B21" s="165" t="s">
        <v>195</v>
      </c>
      <c r="C21" s="158"/>
      <c r="D21" s="166">
        <f>+'estado de resultados'!C20</f>
        <v>6857.7929416666657</v>
      </c>
      <c r="E21" s="166">
        <f>+'estado de resultados'!D20</f>
        <v>5762.0961438437353</v>
      </c>
      <c r="F21" s="166">
        <f>+'estado de resultados'!E20</f>
        <v>4543.1334562657257</v>
      </c>
      <c r="G21" s="166">
        <f>+'estado de resultados'!F20</f>
        <v>3187.0374663351895</v>
      </c>
      <c r="H21" s="166">
        <f>+'estado de resultados'!G20</f>
        <v>1678.380677537468</v>
      </c>
    </row>
    <row r="22" spans="2:8">
      <c r="B22" s="167" t="s">
        <v>185</v>
      </c>
      <c r="C22" s="65"/>
      <c r="D22" s="164">
        <f>+D5-D6-D19-D20-D21</f>
        <v>47218.59450638877</v>
      </c>
      <c r="E22" s="164">
        <f>+E5-E6-E19-E20-E21</f>
        <v>62912.434626433926</v>
      </c>
      <c r="F22" s="164">
        <f>+F5-F6-F19-F20-F21</f>
        <v>104156.77003623414</v>
      </c>
      <c r="G22" s="164">
        <f>+G5-G6-G19-G20-G21</f>
        <v>150811.56038838695</v>
      </c>
      <c r="H22" s="164">
        <f>+H5-H6-H19-H20-H21</f>
        <v>225110.33637290692</v>
      </c>
    </row>
    <row r="23" spans="2:8">
      <c r="B23" s="168" t="s">
        <v>196</v>
      </c>
      <c r="C23" s="156"/>
      <c r="D23" s="166">
        <f>+D22*15%</f>
        <v>7082.7891759583154</v>
      </c>
      <c r="E23" s="166">
        <f>+E22*15%</f>
        <v>9436.8651939650881</v>
      </c>
      <c r="F23" s="166">
        <f>+F22*15%</f>
        <v>15623.51550543512</v>
      </c>
      <c r="G23" s="166">
        <f>+G22*15%</f>
        <v>22621.73405825804</v>
      </c>
      <c r="H23" s="166">
        <f>+H22*15%</f>
        <v>33766.550455936034</v>
      </c>
    </row>
    <row r="24" spans="2:8">
      <c r="B24" s="169" t="s">
        <v>197</v>
      </c>
      <c r="C24" s="65"/>
      <c r="D24" s="164">
        <f>+D22+D23</f>
        <v>54301.383682347085</v>
      </c>
      <c r="E24" s="164">
        <f>+E22+E23</f>
        <v>72349.299820399014</v>
      </c>
      <c r="F24" s="164">
        <f>+F22-F23</f>
        <v>88533.254530799022</v>
      </c>
      <c r="G24" s="164">
        <f>+G22-G23</f>
        <v>128189.82633012891</v>
      </c>
      <c r="H24" s="164">
        <f>+H22-H23</f>
        <v>191343.7859169709</v>
      </c>
    </row>
    <row r="25" spans="2:8">
      <c r="B25" s="170" t="s">
        <v>205</v>
      </c>
      <c r="C25" s="158"/>
      <c r="D25" s="166">
        <f>D24*25%</f>
        <v>13575.345920586771</v>
      </c>
      <c r="E25" s="166">
        <f>+E24*25%</f>
        <v>18087.324955099753</v>
      </c>
      <c r="F25" s="166">
        <f>+F24*25%</f>
        <v>22133.313632699756</v>
      </c>
      <c r="G25" s="166">
        <f>+G24*25%</f>
        <v>32047.456582532228</v>
      </c>
      <c r="H25" s="166">
        <f>+H24*25%</f>
        <v>47835.946479242724</v>
      </c>
    </row>
    <row r="26" spans="2:8">
      <c r="B26" s="169" t="s">
        <v>198</v>
      </c>
      <c r="C26" s="65"/>
      <c r="D26" s="66">
        <f>+D24+D25</f>
        <v>67876.729602933861</v>
      </c>
      <c r="E26" s="66">
        <f>+E24+E25</f>
        <v>90436.624775498771</v>
      </c>
      <c r="F26" s="66">
        <f>+F24-F25</f>
        <v>66399.940898099274</v>
      </c>
      <c r="G26" s="66">
        <f>+G24-G25</f>
        <v>96142.369747596676</v>
      </c>
      <c r="H26" s="66">
        <f>+H24-H25</f>
        <v>143507.83943772817</v>
      </c>
    </row>
    <row r="27" spans="2:8">
      <c r="B27" s="170" t="s">
        <v>203</v>
      </c>
      <c r="C27" s="158"/>
      <c r="D27" s="171">
        <f t="shared" ref="D27:H28" si="1">+D17</f>
        <v>3346.248</v>
      </c>
      <c r="E27" s="171">
        <f t="shared" si="1"/>
        <v>3346.248</v>
      </c>
      <c r="F27" s="171">
        <f t="shared" si="1"/>
        <v>3346.248</v>
      </c>
      <c r="G27" s="171">
        <f t="shared" si="1"/>
        <v>2846.248</v>
      </c>
      <c r="H27" s="171">
        <f t="shared" si="1"/>
        <v>2846.248</v>
      </c>
    </row>
    <row r="28" spans="2:8">
      <c r="B28" s="170" t="s">
        <v>202</v>
      </c>
      <c r="C28" s="158"/>
      <c r="D28" s="171">
        <f t="shared" si="1"/>
        <v>1150</v>
      </c>
      <c r="E28" s="171">
        <f t="shared" si="1"/>
        <v>610</v>
      </c>
      <c r="F28" s="171">
        <f t="shared" si="1"/>
        <v>610</v>
      </c>
      <c r="G28" s="171">
        <f t="shared" si="1"/>
        <v>550</v>
      </c>
      <c r="H28" s="171">
        <f t="shared" si="1"/>
        <v>430</v>
      </c>
    </row>
    <row r="29" spans="2:8">
      <c r="B29" s="172" t="s">
        <v>204</v>
      </c>
      <c r="C29" s="158"/>
      <c r="D29" s="171">
        <f>+D20</f>
        <v>16597.320033426047</v>
      </c>
      <c r="E29" s="171">
        <f>+E20</f>
        <v>16597.320033426047</v>
      </c>
      <c r="F29" s="171">
        <f>+F20</f>
        <v>16597.320033426047</v>
      </c>
      <c r="G29" s="171">
        <f>+G20</f>
        <v>16597.320033426047</v>
      </c>
      <c r="H29" s="171">
        <f>+H20</f>
        <v>16597.320033426047</v>
      </c>
    </row>
    <row r="30" spans="2:8">
      <c r="B30" s="173" t="s">
        <v>254</v>
      </c>
      <c r="C30" s="174"/>
      <c r="D30" s="171"/>
      <c r="E30" s="171"/>
      <c r="F30" s="171"/>
      <c r="G30" s="171"/>
      <c r="H30" s="171">
        <f>+C3</f>
        <v>121916.31896296295</v>
      </c>
    </row>
    <row r="31" spans="2:8">
      <c r="B31" s="175" t="s">
        <v>199</v>
      </c>
      <c r="C31" s="176">
        <f>-C3+C4</f>
        <v>-60958.159481481474</v>
      </c>
      <c r="D31" s="66">
        <f>+D26+D27+D28-D29</f>
        <v>55775.657569507821</v>
      </c>
      <c r="E31" s="66">
        <f>+E26+E27+E28-E29</f>
        <v>77795.55274207273</v>
      </c>
      <c r="F31" s="66">
        <f>+F26+F27+F28-F29</f>
        <v>53758.868864673233</v>
      </c>
      <c r="G31" s="66">
        <f>+G26+G27+G28-G29</f>
        <v>82941.297714170636</v>
      </c>
      <c r="H31" s="66">
        <f>+H26+H27+H28-H29+H30</f>
        <v>252103.08636726506</v>
      </c>
    </row>
    <row r="32" spans="2:8">
      <c r="B32" s="105"/>
      <c r="C32" s="104"/>
      <c r="D32" s="104"/>
      <c r="E32" s="104"/>
      <c r="F32" s="104"/>
      <c r="G32" s="104"/>
      <c r="H32" s="104"/>
    </row>
    <row r="33" spans="2:8">
      <c r="B33" s="106" t="s">
        <v>200</v>
      </c>
      <c r="C33" s="100">
        <f>+NPV(C37,D31:H31)+C31</f>
        <v>318533.5942722761</v>
      </c>
      <c r="D33" s="104"/>
      <c r="E33" s="104"/>
      <c r="F33" s="104"/>
      <c r="G33" s="104"/>
      <c r="H33" s="104"/>
    </row>
    <row r="34" spans="2:8">
      <c r="B34" s="106" t="s">
        <v>201</v>
      </c>
      <c r="C34" s="153">
        <f>+IRR(C31:H31)</f>
        <v>1.0915600125023808</v>
      </c>
      <c r="D34" s="104"/>
      <c r="E34" s="104"/>
      <c r="F34" s="104"/>
      <c r="G34" s="104"/>
      <c r="H34" s="104"/>
    </row>
    <row r="35" spans="2:8">
      <c r="B35" s="104"/>
      <c r="C35" s="104"/>
      <c r="D35" s="104"/>
      <c r="E35" s="104"/>
      <c r="F35" s="104"/>
      <c r="G35" s="104"/>
      <c r="H35" s="104"/>
    </row>
    <row r="36" spans="2:8">
      <c r="B36" s="99"/>
      <c r="D36" s="99"/>
      <c r="E36" s="99"/>
      <c r="F36" s="99"/>
      <c r="G36" s="99"/>
      <c r="H36" s="99"/>
    </row>
    <row r="37" spans="2:8">
      <c r="B37" s="102" t="s">
        <v>207</v>
      </c>
      <c r="C37" s="103">
        <v>9.1024999999999995E-2</v>
      </c>
      <c r="D37" s="99"/>
      <c r="E37" s="99"/>
      <c r="F37" s="99"/>
      <c r="G37" s="99"/>
      <c r="H37" s="99"/>
    </row>
    <row r="38" spans="2:8">
      <c r="B38" s="99"/>
      <c r="C38" s="99"/>
      <c r="D38" s="99"/>
      <c r="E38" s="99"/>
      <c r="F38" s="99"/>
      <c r="G38" s="99"/>
      <c r="H38" s="99"/>
    </row>
    <row r="39" spans="2:8" ht="15">
      <c r="B39" s="1" t="s">
        <v>232</v>
      </c>
    </row>
    <row r="40" spans="2:8" ht="15">
      <c r="B40" t="s">
        <v>250</v>
      </c>
    </row>
    <row r="41" spans="2:8" ht="15">
      <c r="B41" t="s">
        <v>248</v>
      </c>
    </row>
    <row r="42" spans="2:8" ht="15">
      <c r="B42" t="s">
        <v>249</v>
      </c>
    </row>
    <row r="43" spans="2:8" ht="15">
      <c r="B43" t="s">
        <v>253</v>
      </c>
    </row>
    <row r="44" spans="2:8" ht="15">
      <c r="B44" t="s">
        <v>251</v>
      </c>
    </row>
    <row r="45" spans="2:8" ht="15">
      <c r="B45" t="s">
        <v>252</v>
      </c>
    </row>
    <row r="47" spans="2:8">
      <c r="B47" s="98" t="s">
        <v>233</v>
      </c>
      <c r="C47" s="177"/>
      <c r="D47" s="155">
        <v>2.8988999999999998</v>
      </c>
    </row>
    <row r="48" spans="2:8">
      <c r="B48" s="98" t="s">
        <v>234</v>
      </c>
      <c r="C48" s="155"/>
    </row>
    <row r="50" spans="2:4">
      <c r="B50" s="98" t="s">
        <v>235</v>
      </c>
      <c r="C50" s="155"/>
      <c r="D50" s="155">
        <v>0.92610000000000003</v>
      </c>
    </row>
    <row r="51" spans="2:4">
      <c r="B51" s="98" t="s">
        <v>236</v>
      </c>
      <c r="C51" s="155"/>
    </row>
    <row r="53" spans="2:4">
      <c r="B53" s="98" t="s">
        <v>237</v>
      </c>
      <c r="C53" s="155"/>
      <c r="D53" s="155">
        <v>-0.35849999999999999</v>
      </c>
    </row>
    <row r="54" spans="2:4">
      <c r="B54" s="98" t="s">
        <v>238</v>
      </c>
      <c r="C54" s="155"/>
    </row>
    <row r="57" spans="2:4">
      <c r="C57" s="141"/>
    </row>
  </sheetData>
  <scenarios current="25" show="0" sqref="C33">
    <scenario name="2%" locked="1" count="1" user="juan" comment="Creado por juan el 19/02/2010_x000a_Modificado por juan el 19/02/2010">
      <inputCells r="C37" val="0.02"/>
    </scenario>
    <scenario name="4%" locked="1" count="1" user="juan" comment="Creado por juan el 19/02/2010">
      <inputCells r="C37" val="0.04"/>
    </scenario>
    <scenario name="5%" locked="1" count="1" user="juan" comment="Creado por juan el 19/02/2010">
      <inputCells r="C37" val="0.05"/>
    </scenario>
    <scenario name="7%" locked="1" count="1" user="juan" comment="Creado por juan el 19/02/2010">
      <inputCells r="C37" val="0.07"/>
    </scenario>
    <scenario name="11%" locked="1" count="1" user="juan" comment="Creado por juan el 19/02/2010">
      <inputCells r="C37" val="0.11"/>
    </scenario>
    <scenario name="13%" locked="1" count="1" user="juan" comment="Creado por juan el 19/02/2010">
      <inputCells r="C37" val="0.13"/>
    </scenario>
    <scenario name="15%" locked="1" count="1" user="juan" comment="Creado por juan el 19/02/2010">
      <inputCells r="C37" val="0.15"/>
    </scenario>
    <scenario name="17%" locked="1" count="1" user="juan" comment="Creado por juan el 19/02/2010">
      <inputCells r="C37" val="0.17"/>
    </scenario>
    <scenario name="20%" locked="1" count="1" user="juan" comment="Creado por juan el 19/02/2010">
      <inputCells r="C37" val="0.2"/>
    </scenario>
    <scenario name="22%" locked="1" count="1" user="juan" comment="Creado por juan el 19/02/2010">
      <inputCells r="C37" val="0.22"/>
    </scenario>
    <scenario name="25%" locked="1" count="1" user="juan" comment="Creado por juan el 19/02/2010">
      <inputCells r="C37" val="0.25"/>
    </scenario>
    <scenario name="30%" locked="1" count="1" user="juan" comment="Creado por juan el 19/02/2010">
      <inputCells r="C37" val="0.3"/>
    </scenario>
    <scenario name="35%" locked="1" count="1" user="juan" comment="Creado por juan el 19/02/2010">
      <inputCells r="C37" val="0.35"/>
    </scenario>
    <scenario name="40%" locked="1" count="1" user="juan" comment="Creado por juan el 19/02/2010">
      <inputCells r="C37" val="0.4"/>
    </scenario>
    <scenario name="45%" locked="1" count="1" user="juan" comment="Creado por juan el 19/02/2010">
      <inputCells r="C37" val="0.45"/>
    </scenario>
    <scenario name="50%" locked="1" count="1" user="juan" comment="Creado por juan el 19/02/2010">
      <inputCells r="C37" val="0.5"/>
    </scenario>
    <scenario name="55%" locked="1" count="1" user="juan" comment="Creado por juan el 19/02/2010">
      <inputCells r="C37" val="0.55"/>
    </scenario>
    <scenario name="60%" locked="1" count="1" user="juan" comment="Creado por juan el 19/02/2010">
      <inputCells r="C37" val="0.6"/>
    </scenario>
    <scenario name="70%" locked="1" count="1" user="juan" comment="Creado por juan el 19/02/2010">
      <inputCells r="C37" val="0.7"/>
    </scenario>
    <scenario name="80%" locked="1" count="1" user="juan" comment="Creado por juan el 19/02/2010">
      <inputCells r="C37" val="0.8"/>
    </scenario>
    <scenario name="90%" locked="1" count="1" user="juan" comment="Creado por juan el 19/02/2010">
      <inputCells r="C37" val="0.9"/>
    </scenario>
    <scenario name="100%" locked="1" count="1" user="juan" comment="Creado por juan el 19/02/2010">
      <inputCells r="C37" val="1"/>
    </scenario>
    <scenario name="120%" locked="1" count="1" user="juan" comment="Creado por juan el 19/02/2010">
      <inputCells r="C37" val="1.2"/>
    </scenario>
    <scenario name="130%" locked="1" count="1" user="juan" comment="Creado por juan el 19/02/2010">
      <inputCells r="C37" val="1.3"/>
    </scenario>
    <scenario name="9.10%" locked="1" count="1" user="Holger Cevallos" comment="Creado por Holger Cevallos el 03/03/2010">
      <inputCells r="C37" val="0.091025"/>
    </scenario>
    <scenario name="109.16%" locked="1" count="1" user="Holger Cevallos" comment="Creado por Holger Cevallos el 03/03/2010">
      <inputCells r="C37" val="1.0916"/>
    </scenario>
  </scenarios>
  <dataConsolidate/>
  <pageMargins left="0.7" right="0.7" top="0.75" bottom="0.75" header="0.3" footer="0.3"/>
  <pageSetup orientation="portrait" r:id="rId1"/>
  <ignoredErrors>
    <ignoredError sqref="D25:H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C14:I20"/>
  <sheetViews>
    <sheetView topLeftCell="A9" workbookViewId="0">
      <selection activeCell="O13" sqref="O13"/>
    </sheetView>
  </sheetViews>
  <sheetFormatPr baseColWidth="10" defaultRowHeight="15"/>
  <cols>
    <col min="3" max="3" width="6.42578125" customWidth="1"/>
    <col min="4" max="4" width="11.7109375" bestFit="1" customWidth="1"/>
    <col min="5" max="5" width="11.140625" customWidth="1"/>
    <col min="6" max="6" width="14" customWidth="1"/>
    <col min="7" max="7" width="13" customWidth="1"/>
    <col min="8" max="8" width="10.42578125" customWidth="1"/>
    <col min="9" max="9" width="8.5703125" customWidth="1"/>
  </cols>
  <sheetData>
    <row r="14" spans="3:9" ht="27" customHeight="1">
      <c r="C14" s="133" t="s">
        <v>153</v>
      </c>
      <c r="D14" s="133" t="s">
        <v>217</v>
      </c>
      <c r="E14" s="133" t="s">
        <v>211</v>
      </c>
      <c r="F14" s="133" t="s">
        <v>212</v>
      </c>
      <c r="G14" s="133" t="s">
        <v>216</v>
      </c>
      <c r="H14" s="133" t="s">
        <v>213</v>
      </c>
      <c r="I14" s="133" t="s">
        <v>214</v>
      </c>
    </row>
    <row r="15" spans="3:9">
      <c r="C15" s="134">
        <v>0</v>
      </c>
      <c r="D15" s="135">
        <f>-'flujo de caja'!C3</f>
        <v>-121916.31896296295</v>
      </c>
      <c r="E15" s="134">
        <v>0</v>
      </c>
      <c r="F15" s="134">
        <v>0</v>
      </c>
      <c r="G15" s="136">
        <f>+D15</f>
        <v>-121916.31896296295</v>
      </c>
      <c r="H15" s="137">
        <v>0</v>
      </c>
      <c r="I15" s="137">
        <v>1</v>
      </c>
    </row>
    <row r="16" spans="3:9">
      <c r="C16" s="134">
        <v>1</v>
      </c>
      <c r="D16" s="134">
        <v>0</v>
      </c>
      <c r="E16" s="138">
        <f>+'flujo de caja'!D31</f>
        <v>55775.657569507821</v>
      </c>
      <c r="F16" s="136">
        <f>+E16</f>
        <v>55775.657569507821</v>
      </c>
      <c r="G16" s="135">
        <f>+G15+E16</f>
        <v>-66140.661393455128</v>
      </c>
      <c r="H16" s="139">
        <f>+F16/-$G$15</f>
        <v>0.45749131899603984</v>
      </c>
      <c r="I16" s="154">
        <f>+I15-H16</f>
        <v>0.5425086810039601</v>
      </c>
    </row>
    <row r="17" spans="3:9">
      <c r="C17" s="134">
        <v>2</v>
      </c>
      <c r="D17" s="134">
        <v>0</v>
      </c>
      <c r="E17" s="138">
        <f>+'flujo de caja'!E31</f>
        <v>77795.55274207273</v>
      </c>
      <c r="F17" s="135">
        <f>+F16+E17</f>
        <v>133571.21031158057</v>
      </c>
      <c r="G17" s="135">
        <f>+G16+E17</f>
        <v>11654.891348617602</v>
      </c>
      <c r="H17" s="139">
        <f t="shared" ref="H17:H20" si="0">+F17/-$G$15</f>
        <v>1.0955974675724771</v>
      </c>
      <c r="I17" s="154">
        <v>0</v>
      </c>
    </row>
    <row r="18" spans="3:9">
      <c r="C18" s="134">
        <v>3</v>
      </c>
      <c r="D18" s="134">
        <v>0</v>
      </c>
      <c r="E18" s="138">
        <f>+'flujo de caja'!F31</f>
        <v>53758.868864673233</v>
      </c>
      <c r="F18" s="135">
        <f>+F17+E18</f>
        <v>187330.07917625381</v>
      </c>
      <c r="G18" s="135">
        <f>+G17+E18</f>
        <v>65413.760213290836</v>
      </c>
      <c r="H18" s="139">
        <f t="shared" si="0"/>
        <v>1.5365463850098933</v>
      </c>
      <c r="I18" s="154">
        <v>0</v>
      </c>
    </row>
    <row r="19" spans="3:9">
      <c r="C19" s="134">
        <v>4</v>
      </c>
      <c r="D19" s="134">
        <v>0</v>
      </c>
      <c r="E19" s="138">
        <f>+'flujo de caja'!G31</f>
        <v>82941.297714170636</v>
      </c>
      <c r="F19" s="135">
        <f>+F18+E19</f>
        <v>270271.37689042446</v>
      </c>
      <c r="G19" s="135">
        <f>+G18+E19</f>
        <v>148355.05792746146</v>
      </c>
      <c r="H19" s="139">
        <f t="shared" si="0"/>
        <v>2.2168597214006307</v>
      </c>
      <c r="I19" s="154">
        <v>0</v>
      </c>
    </row>
    <row r="20" spans="3:9">
      <c r="C20" s="134">
        <v>5</v>
      </c>
      <c r="D20" s="134">
        <v>0</v>
      </c>
      <c r="E20" s="138">
        <f>+'flujo de caja'!H31</f>
        <v>252103.08636726506</v>
      </c>
      <c r="F20" s="135">
        <f>+F19+E20</f>
        <v>522374.46325768949</v>
      </c>
      <c r="G20" s="135">
        <f>+G19+E20</f>
        <v>400458.14429472655</v>
      </c>
      <c r="H20" s="139">
        <f t="shared" si="0"/>
        <v>4.2846968125438734</v>
      </c>
      <c r="I20" s="154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2"/>
  <sheetViews>
    <sheetView workbookViewId="0">
      <selection activeCell="G24" sqref="G24"/>
    </sheetView>
  </sheetViews>
  <sheetFormatPr baseColWidth="10" defaultRowHeight="15"/>
  <cols>
    <col min="2" max="2" width="22.85546875" bestFit="1" customWidth="1"/>
    <col min="3" max="3" width="6" customWidth="1"/>
    <col min="4" max="4" width="12.7109375" customWidth="1"/>
    <col min="5" max="5" width="13" bestFit="1" customWidth="1"/>
    <col min="6" max="6" width="13.28515625" bestFit="1" customWidth="1"/>
  </cols>
  <sheetData>
    <row r="2" spans="2:6">
      <c r="B2" s="19" t="s">
        <v>19</v>
      </c>
      <c r="C2" s="19" t="s">
        <v>40</v>
      </c>
      <c r="D2" s="19" t="s">
        <v>20</v>
      </c>
      <c r="E2" s="19" t="s">
        <v>18</v>
      </c>
      <c r="F2" s="19" t="s">
        <v>21</v>
      </c>
    </row>
    <row r="3" spans="2:6">
      <c r="B3" s="3" t="s">
        <v>22</v>
      </c>
      <c r="C3" s="3"/>
      <c r="D3" s="7">
        <f>+gastos!H15</f>
        <v>102552.83896296295</v>
      </c>
      <c r="E3" s="17">
        <f>+D3</f>
        <v>102552.83896296295</v>
      </c>
      <c r="F3" s="18">
        <f>+E3/$E$20</f>
        <v>0.8411740104630091</v>
      </c>
    </row>
    <row r="4" spans="2:6">
      <c r="B4" s="8" t="s">
        <v>23</v>
      </c>
      <c r="C4" s="3"/>
      <c r="D4" s="3"/>
      <c r="E4" s="3"/>
      <c r="F4" s="18"/>
    </row>
    <row r="5" spans="2:6">
      <c r="B5" s="121" t="s">
        <v>27</v>
      </c>
      <c r="C5" s="122"/>
      <c r="D5" s="122"/>
      <c r="E5" s="123">
        <f>+E6+E7+E8</f>
        <v>1745.48</v>
      </c>
      <c r="F5" s="124">
        <f>+E5/E20</f>
        <v>1.4317033313073213E-2</v>
      </c>
    </row>
    <row r="6" spans="2:6">
      <c r="B6" s="3" t="s">
        <v>28</v>
      </c>
      <c r="C6" s="3">
        <v>2</v>
      </c>
      <c r="D6" s="11">
        <v>750</v>
      </c>
      <c r="E6" s="11">
        <f>+D6*C6</f>
        <v>1500</v>
      </c>
      <c r="F6" s="18"/>
    </row>
    <row r="7" spans="2:6">
      <c r="B7" s="3" t="s">
        <v>26</v>
      </c>
      <c r="C7" s="3">
        <v>1</v>
      </c>
      <c r="D7" s="11">
        <v>235.48</v>
      </c>
      <c r="E7" s="11">
        <f>+D7*C7</f>
        <v>235.48</v>
      </c>
      <c r="F7" s="18"/>
    </row>
    <row r="8" spans="2:6">
      <c r="B8" s="3" t="s">
        <v>50</v>
      </c>
      <c r="C8" s="3">
        <v>1</v>
      </c>
      <c r="D8" s="11">
        <v>10</v>
      </c>
      <c r="E8" s="11">
        <f>+D8</f>
        <v>10</v>
      </c>
      <c r="F8" s="18"/>
    </row>
    <row r="9" spans="2:6">
      <c r="B9" s="125" t="s">
        <v>25</v>
      </c>
      <c r="C9" s="122"/>
      <c r="D9" s="126"/>
      <c r="E9" s="123">
        <f>+SUM(E10:E12)</f>
        <v>217</v>
      </c>
      <c r="F9" s="124">
        <f>+E9/E20</f>
        <v>1.7799093824832637E-3</v>
      </c>
    </row>
    <row r="10" spans="2:6">
      <c r="B10" s="3" t="s">
        <v>30</v>
      </c>
      <c r="C10" s="3">
        <v>1</v>
      </c>
      <c r="D10" s="11">
        <v>160</v>
      </c>
      <c r="E10" s="11">
        <f>+D10*C10</f>
        <v>160</v>
      </c>
      <c r="F10" s="18"/>
    </row>
    <row r="11" spans="2:6">
      <c r="B11" s="3" t="s">
        <v>31</v>
      </c>
      <c r="C11" s="3">
        <v>3</v>
      </c>
      <c r="D11" s="11">
        <v>4</v>
      </c>
      <c r="E11" s="11">
        <f>+D11*C11</f>
        <v>12</v>
      </c>
      <c r="F11" s="18"/>
    </row>
    <row r="12" spans="2:6">
      <c r="B12" s="3" t="s">
        <v>32</v>
      </c>
      <c r="C12" s="3">
        <v>1</v>
      </c>
      <c r="D12" s="11">
        <v>45</v>
      </c>
      <c r="E12" s="11">
        <f>+D12</f>
        <v>45</v>
      </c>
      <c r="F12" s="18"/>
    </row>
    <row r="13" spans="2:6">
      <c r="B13" s="125" t="s">
        <v>107</v>
      </c>
      <c r="C13" s="122">
        <v>1</v>
      </c>
      <c r="D13" s="126">
        <v>14000</v>
      </c>
      <c r="E13" s="123">
        <f>+D13</f>
        <v>14000</v>
      </c>
      <c r="F13" s="124">
        <f>+E13/E20</f>
        <v>0.11483286338601702</v>
      </c>
    </row>
    <row r="14" spans="2:6">
      <c r="B14" s="127" t="s">
        <v>38</v>
      </c>
      <c r="C14" s="122"/>
      <c r="D14" s="122"/>
      <c r="E14" s="123">
        <f>+E15</f>
        <v>451</v>
      </c>
      <c r="F14" s="124">
        <f>+E14/E20</f>
        <v>3.6992586705066909E-3</v>
      </c>
    </row>
    <row r="15" spans="2:6">
      <c r="B15" s="15" t="s">
        <v>33</v>
      </c>
      <c r="C15" s="3">
        <v>1</v>
      </c>
      <c r="D15" s="11">
        <v>451</v>
      </c>
      <c r="E15" s="11">
        <f>+D15</f>
        <v>451</v>
      </c>
      <c r="F15" s="18"/>
    </row>
    <row r="16" spans="2:6">
      <c r="B16" s="6" t="s">
        <v>34</v>
      </c>
      <c r="C16" s="3"/>
      <c r="D16" s="3"/>
      <c r="E16" s="16"/>
      <c r="F16" s="18"/>
    </row>
    <row r="17" spans="2:6">
      <c r="B17" s="122" t="s">
        <v>35</v>
      </c>
      <c r="C17" s="122"/>
      <c r="D17" s="126">
        <f>+gastos!H19</f>
        <v>1650</v>
      </c>
      <c r="E17" s="123">
        <f>+D17</f>
        <v>1650</v>
      </c>
      <c r="F17" s="124">
        <f>+E17/$E$20</f>
        <v>1.3533873184780576E-2</v>
      </c>
    </row>
    <row r="18" spans="2:6">
      <c r="B18" s="122" t="s">
        <v>36</v>
      </c>
      <c r="C18" s="122"/>
      <c r="D18" s="126">
        <f>+gastos!H20</f>
        <v>100</v>
      </c>
      <c r="E18" s="123">
        <f>+D18</f>
        <v>100</v>
      </c>
      <c r="F18" s="124">
        <f>+E18/$E$20</f>
        <v>8.2023473847155017E-4</v>
      </c>
    </row>
    <row r="19" spans="2:6">
      <c r="B19" s="122" t="s">
        <v>37</v>
      </c>
      <c r="C19" s="122"/>
      <c r="D19" s="126">
        <f>+gastos!H21</f>
        <v>1200</v>
      </c>
      <c r="E19" s="123">
        <f>+D19</f>
        <v>1200</v>
      </c>
      <c r="F19" s="124">
        <f>+E19/$E$20</f>
        <v>9.8428168616586011E-3</v>
      </c>
    </row>
    <row r="20" spans="2:6">
      <c r="B20" s="186" t="s">
        <v>39</v>
      </c>
      <c r="C20" s="186"/>
      <c r="D20" s="186"/>
      <c r="E20" s="128">
        <f>+E3+E5+E9+E14+E17+E18+E19+E13</f>
        <v>121916.31896296295</v>
      </c>
      <c r="F20" s="129">
        <f>+F3+F5+F9+F14+F16+F17+F18+F19+F13</f>
        <v>1</v>
      </c>
    </row>
    <row r="22" spans="2:6">
      <c r="E22" s="53">
        <f>+E20/2</f>
        <v>60958.159481481474</v>
      </c>
    </row>
  </sheetData>
  <mergeCells count="1">
    <mergeCell ref="B20:D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1"/>
  <sheetViews>
    <sheetView topLeftCell="A17" workbookViewId="0">
      <selection activeCell="C27" sqref="C27"/>
    </sheetView>
  </sheetViews>
  <sheetFormatPr baseColWidth="10" defaultRowHeight="15"/>
  <cols>
    <col min="1" max="1" width="23.42578125" bestFit="1" customWidth="1"/>
    <col min="2" max="2" width="4.5703125" customWidth="1"/>
    <col min="3" max="3" width="14.7109375" bestFit="1" customWidth="1"/>
    <col min="4" max="4" width="15.28515625" bestFit="1" customWidth="1"/>
    <col min="5" max="5" width="14.42578125" bestFit="1" customWidth="1"/>
    <col min="6" max="6" width="15.85546875" bestFit="1" customWidth="1"/>
  </cols>
  <sheetData>
    <row r="2" spans="1:5">
      <c r="C2" s="14" t="s">
        <v>41</v>
      </c>
      <c r="D2" s="63">
        <f>+'capital de trabajo'!E22</f>
        <v>60958.159481481474</v>
      </c>
    </row>
    <row r="3" spans="1:5">
      <c r="C3" s="14" t="s">
        <v>42</v>
      </c>
      <c r="D3" s="63">
        <f>+D2</f>
        <v>60958.159481481474</v>
      </c>
    </row>
    <row r="4" spans="1:5">
      <c r="C4" s="131" t="s">
        <v>18</v>
      </c>
      <c r="D4" s="132">
        <f>+D2+D3</f>
        <v>121916.31896296295</v>
      </c>
    </row>
    <row r="7" spans="1:5">
      <c r="C7" s="20" t="s">
        <v>44</v>
      </c>
      <c r="D7" s="22" t="s">
        <v>45</v>
      </c>
      <c r="E7" s="22" t="s">
        <v>43</v>
      </c>
    </row>
    <row r="8" spans="1:5">
      <c r="C8" s="3" t="s">
        <v>46</v>
      </c>
      <c r="D8" s="11">
        <f>+$D$11*E8</f>
        <v>20317.354555177775</v>
      </c>
      <c r="E8" s="24">
        <v>0.33329999999999999</v>
      </c>
    </row>
    <row r="9" spans="1:5">
      <c r="C9" s="3" t="s">
        <v>47</v>
      </c>
      <c r="D9" s="11">
        <f>+$D$11*E9</f>
        <v>20317.354555177775</v>
      </c>
      <c r="E9" s="24">
        <v>0.33329999999999999</v>
      </c>
    </row>
    <row r="10" spans="1:5">
      <c r="C10" s="3" t="s">
        <v>48</v>
      </c>
      <c r="D10" s="11">
        <f>+$D$11*E10</f>
        <v>20317.354555177775</v>
      </c>
      <c r="E10" s="24">
        <v>0.33329999999999999</v>
      </c>
    </row>
    <row r="11" spans="1:5">
      <c r="C11" s="20" t="s">
        <v>18</v>
      </c>
      <c r="D11" s="21">
        <f>+D2</f>
        <v>60958.159481481474</v>
      </c>
      <c r="E11" s="23">
        <f>+E8+E9+E10</f>
        <v>0.99990000000000001</v>
      </c>
    </row>
    <row r="14" spans="1:5">
      <c r="A14" t="s">
        <v>257</v>
      </c>
    </row>
    <row r="16" spans="1:5">
      <c r="A16" t="s">
        <v>110</v>
      </c>
    </row>
    <row r="17" spans="1:6">
      <c r="A17" t="s">
        <v>111</v>
      </c>
      <c r="C17" s="64">
        <f>+D3</f>
        <v>60958.159481481474</v>
      </c>
    </row>
    <row r="18" spans="1:6">
      <c r="A18" t="s">
        <v>112</v>
      </c>
      <c r="B18">
        <v>5</v>
      </c>
      <c r="C18" t="s">
        <v>113</v>
      </c>
    </row>
    <row r="19" spans="1:6">
      <c r="A19" t="s">
        <v>114</v>
      </c>
      <c r="B19" s="187" t="s">
        <v>115</v>
      </c>
      <c r="C19" s="187"/>
    </row>
    <row r="20" spans="1:6">
      <c r="A20" t="s">
        <v>116</v>
      </c>
      <c r="B20" s="187" t="s">
        <v>117</v>
      </c>
      <c r="C20" s="187"/>
    </row>
    <row r="21" spans="1:6">
      <c r="A21" t="s">
        <v>118</v>
      </c>
      <c r="B21" s="188">
        <v>0.1125</v>
      </c>
      <c r="C21" s="187"/>
      <c r="D21">
        <v>0.1125</v>
      </c>
    </row>
    <row r="24" spans="1:6">
      <c r="B24" s="60" t="s">
        <v>119</v>
      </c>
      <c r="C24" s="60" t="s">
        <v>120</v>
      </c>
      <c r="D24" s="60" t="s">
        <v>121</v>
      </c>
      <c r="E24" s="60" t="s">
        <v>122</v>
      </c>
      <c r="F24" s="60" t="s">
        <v>123</v>
      </c>
    </row>
    <row r="25" spans="1:6">
      <c r="B25" s="3">
        <v>0</v>
      </c>
      <c r="C25" s="3"/>
      <c r="D25" s="3"/>
      <c r="E25" s="3"/>
      <c r="F25" s="4">
        <f>+C17</f>
        <v>60958.159481481474</v>
      </c>
    </row>
    <row r="26" spans="1:6">
      <c r="B26" s="3">
        <v>1</v>
      </c>
      <c r="C26" s="4">
        <f>+F25*$B$21</f>
        <v>6857.7929416666657</v>
      </c>
      <c r="D26" s="54">
        <f>+E26-C26</f>
        <v>9739.5270917593807</v>
      </c>
      <c r="E26" s="54">
        <f>PMT(D21,B30,-F25)</f>
        <v>16597.320033426047</v>
      </c>
      <c r="F26" s="4">
        <f>+F25-D26</f>
        <v>51218.632389722094</v>
      </c>
    </row>
    <row r="27" spans="1:6">
      <c r="B27" s="3">
        <v>2</v>
      </c>
      <c r="C27" s="4">
        <f>+F26*$B$21</f>
        <v>5762.0961438437353</v>
      </c>
      <c r="D27" s="54">
        <f>+E27-C27</f>
        <v>10835.223889582312</v>
      </c>
      <c r="E27" s="54">
        <f>+E26</f>
        <v>16597.320033426047</v>
      </c>
      <c r="F27" s="4">
        <f>+F26-D27</f>
        <v>40383.408500139783</v>
      </c>
    </row>
    <row r="28" spans="1:6">
      <c r="B28" s="3">
        <v>3</v>
      </c>
      <c r="C28" s="4">
        <f>+F27*$B$21</f>
        <v>4543.1334562657257</v>
      </c>
      <c r="D28" s="54">
        <f>+E28-C28</f>
        <v>12054.186577160322</v>
      </c>
      <c r="E28" s="54">
        <f>+E27</f>
        <v>16597.320033426047</v>
      </c>
      <c r="F28" s="4">
        <f>+F27-D28</f>
        <v>28329.221922979461</v>
      </c>
    </row>
    <row r="29" spans="1:6">
      <c r="B29" s="3">
        <v>4</v>
      </c>
      <c r="C29" s="4">
        <f>+F28*$B$21</f>
        <v>3187.0374663351895</v>
      </c>
      <c r="D29" s="54">
        <f>+E29-C29</f>
        <v>13410.282567090857</v>
      </c>
      <c r="E29" s="54">
        <f>+E28</f>
        <v>16597.320033426047</v>
      </c>
      <c r="F29" s="4">
        <f>+F28-D29</f>
        <v>14918.939355888604</v>
      </c>
    </row>
    <row r="30" spans="1:6">
      <c r="B30" s="3">
        <v>5</v>
      </c>
      <c r="C30" s="4">
        <f>+F29*$B$21</f>
        <v>1678.380677537468</v>
      </c>
      <c r="D30" s="54">
        <f>+E30-C30</f>
        <v>14918.939355888579</v>
      </c>
      <c r="E30" s="54">
        <f>+E29</f>
        <v>16597.320033426047</v>
      </c>
      <c r="F30" s="54">
        <f>+F29-D30</f>
        <v>2.5465851649641991E-11</v>
      </c>
    </row>
    <row r="31" spans="1:6">
      <c r="C31" s="58">
        <f>+SUM(C26:C30)</f>
        <v>22028.440685648784</v>
      </c>
      <c r="D31" s="57">
        <f>+SUM(D26:D30)</f>
        <v>60958.159481481445</v>
      </c>
      <c r="E31" s="57">
        <f>+SUM(E26:E30)</f>
        <v>82986.600167130237</v>
      </c>
      <c r="F31" s="59" t="s">
        <v>18</v>
      </c>
    </row>
  </sheetData>
  <mergeCells count="3">
    <mergeCell ref="B19:C19"/>
    <mergeCell ref="B20:C20"/>
    <mergeCell ref="B21:C2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I161"/>
  <sheetViews>
    <sheetView tabSelected="1" topLeftCell="A39" workbookViewId="0">
      <selection activeCell="C59" sqref="C59"/>
    </sheetView>
  </sheetViews>
  <sheetFormatPr baseColWidth="10" defaultRowHeight="11.25"/>
  <cols>
    <col min="1" max="1" width="11.42578125" style="25"/>
    <col min="2" max="2" width="52.7109375" style="25" bestFit="1" customWidth="1"/>
    <col min="3" max="3" width="11" style="25" customWidth="1"/>
    <col min="4" max="4" width="7.28515625" style="25" customWidth="1"/>
    <col min="5" max="5" width="7.5703125" style="25" customWidth="1"/>
    <col min="6" max="6" width="6" style="25" customWidth="1"/>
    <col min="7" max="7" width="9.85546875" style="25" customWidth="1"/>
    <col min="8" max="8" width="6.42578125" style="25" bestFit="1" customWidth="1"/>
    <col min="9" max="16384" width="11.42578125" style="25"/>
  </cols>
  <sheetData>
    <row r="3" spans="2:4">
      <c r="B3" s="190" t="s">
        <v>52</v>
      </c>
      <c r="C3" s="190"/>
      <c r="D3" s="190"/>
    </row>
    <row r="4" spans="2:4">
      <c r="B4" s="189" t="s">
        <v>64</v>
      </c>
      <c r="C4" s="189"/>
      <c r="D4" s="189"/>
    </row>
    <row r="5" spans="2:4">
      <c r="B5" s="189" t="s">
        <v>51</v>
      </c>
      <c r="C5" s="189"/>
      <c r="D5" s="189"/>
    </row>
    <row r="6" spans="2:4">
      <c r="B6" s="26" t="s">
        <v>71</v>
      </c>
      <c r="C6" s="26" t="s">
        <v>54</v>
      </c>
      <c r="D6" s="26" t="s">
        <v>56</v>
      </c>
    </row>
    <row r="7" spans="2:4">
      <c r="B7" s="27" t="s">
        <v>66</v>
      </c>
      <c r="C7" s="27">
        <v>1437</v>
      </c>
      <c r="D7" s="28">
        <v>1</v>
      </c>
    </row>
    <row r="8" spans="2:4">
      <c r="B8" s="27" t="s">
        <v>67</v>
      </c>
      <c r="C8" s="27">
        <v>86.03</v>
      </c>
      <c r="D8" s="28">
        <f>+C8/C7</f>
        <v>5.9867780097425195E-2</v>
      </c>
    </row>
    <row r="9" spans="2:4">
      <c r="B9" s="29" t="s">
        <v>57</v>
      </c>
      <c r="C9" s="29">
        <v>86.03</v>
      </c>
      <c r="D9" s="30">
        <f>+D8</f>
        <v>5.9867780097425195E-2</v>
      </c>
    </row>
    <row r="10" spans="2:4">
      <c r="B10" s="29"/>
      <c r="C10" s="29" t="s">
        <v>60</v>
      </c>
      <c r="D10" s="30" t="s">
        <v>56</v>
      </c>
    </row>
    <row r="11" spans="2:4">
      <c r="B11" s="27" t="s">
        <v>62</v>
      </c>
      <c r="C11" s="31">
        <f>+(C9*1000/C16)</f>
        <v>5735.333333333333</v>
      </c>
      <c r="D11" s="30"/>
    </row>
    <row r="12" spans="2:4">
      <c r="B12" s="27" t="s">
        <v>63</v>
      </c>
      <c r="C12" s="32">
        <f>+C11/12</f>
        <v>477.9444444444444</v>
      </c>
      <c r="D12" s="33"/>
    </row>
    <row r="13" spans="2:4">
      <c r="B13" s="29" t="s">
        <v>61</v>
      </c>
      <c r="C13" s="31">
        <f>+C12*D13</f>
        <v>47.794444444444444</v>
      </c>
      <c r="D13" s="34">
        <v>0.1</v>
      </c>
    </row>
    <row r="14" spans="2:4">
      <c r="B14" s="29" t="s">
        <v>59</v>
      </c>
      <c r="C14" s="31">
        <f>+C13*12</f>
        <v>573.5333333333333</v>
      </c>
      <c r="D14" s="29"/>
    </row>
    <row r="16" spans="2:4">
      <c r="B16" s="35" t="s">
        <v>58</v>
      </c>
      <c r="C16" s="36">
        <v>15</v>
      </c>
    </row>
    <row r="18" spans="2:4">
      <c r="B18" s="190" t="s">
        <v>52</v>
      </c>
      <c r="C18" s="190"/>
      <c r="D18" s="190"/>
    </row>
    <row r="19" spans="2:4">
      <c r="B19" s="189" t="s">
        <v>64</v>
      </c>
      <c r="C19" s="189"/>
      <c r="D19" s="189"/>
    </row>
    <row r="20" spans="2:4">
      <c r="B20" s="189" t="s">
        <v>65</v>
      </c>
      <c r="C20" s="189"/>
      <c r="D20" s="189"/>
    </row>
    <row r="21" spans="2:4">
      <c r="B21" s="26" t="s">
        <v>71</v>
      </c>
      <c r="C21" s="26" t="s">
        <v>54</v>
      </c>
      <c r="D21" s="26" t="s">
        <v>56</v>
      </c>
    </row>
    <row r="22" spans="2:4">
      <c r="B22" s="27" t="s">
        <v>53</v>
      </c>
      <c r="C22" s="27">
        <v>46</v>
      </c>
      <c r="D22" s="28">
        <v>1</v>
      </c>
    </row>
    <row r="23" spans="2:4">
      <c r="B23" s="27" t="s">
        <v>55</v>
      </c>
      <c r="C23" s="27">
        <v>34.909999999999997</v>
      </c>
      <c r="D23" s="28">
        <f>+C23/C22</f>
        <v>0.75891304347826083</v>
      </c>
    </row>
    <row r="24" spans="2:4">
      <c r="B24" s="29" t="s">
        <v>57</v>
      </c>
      <c r="C24" s="29">
        <f>+C23</f>
        <v>34.909999999999997</v>
      </c>
      <c r="D24" s="30">
        <f>+D23</f>
        <v>0.75891304347826083</v>
      </c>
    </row>
    <row r="25" spans="2:4">
      <c r="B25" s="29"/>
      <c r="C25" s="29" t="s">
        <v>60</v>
      </c>
      <c r="D25" s="30" t="s">
        <v>56</v>
      </c>
    </row>
    <row r="26" spans="2:4">
      <c r="B26" s="27" t="s">
        <v>62</v>
      </c>
      <c r="C26" s="31">
        <f>+(C24*1000/C31)</f>
        <v>1745.5</v>
      </c>
      <c r="D26" s="30"/>
    </row>
    <row r="27" spans="2:4">
      <c r="B27" s="27" t="s">
        <v>63</v>
      </c>
      <c r="C27" s="32">
        <f>+C26/12</f>
        <v>145.45833333333334</v>
      </c>
      <c r="D27" s="33"/>
    </row>
    <row r="28" spans="2:4">
      <c r="B28" s="29" t="s">
        <v>61</v>
      </c>
      <c r="C28" s="31">
        <f>+C27*D28</f>
        <v>14.545833333333334</v>
      </c>
      <c r="D28" s="34">
        <v>0.1</v>
      </c>
    </row>
    <row r="29" spans="2:4">
      <c r="B29" s="29" t="s">
        <v>59</v>
      </c>
      <c r="C29" s="31">
        <f>+C28*12</f>
        <v>174.55</v>
      </c>
      <c r="D29" s="29"/>
    </row>
    <row r="31" spans="2:4">
      <c r="B31" s="35" t="s">
        <v>58</v>
      </c>
      <c r="C31" s="36">
        <v>20</v>
      </c>
    </row>
    <row r="33" spans="2:4">
      <c r="B33" s="190" t="s">
        <v>52</v>
      </c>
      <c r="C33" s="190"/>
      <c r="D33" s="190"/>
    </row>
    <row r="34" spans="2:4">
      <c r="B34" s="189" t="s">
        <v>64</v>
      </c>
      <c r="C34" s="189"/>
      <c r="D34" s="189"/>
    </row>
    <row r="35" spans="2:4">
      <c r="B35" s="189" t="s">
        <v>68</v>
      </c>
      <c r="C35" s="189"/>
      <c r="D35" s="189"/>
    </row>
    <row r="36" spans="2:4">
      <c r="B36" s="26" t="s">
        <v>71</v>
      </c>
      <c r="C36" s="26" t="s">
        <v>54</v>
      </c>
      <c r="D36" s="26" t="s">
        <v>56</v>
      </c>
    </row>
    <row r="37" spans="2:4">
      <c r="B37" s="27" t="s">
        <v>53</v>
      </c>
      <c r="C37" s="27">
        <v>1485</v>
      </c>
      <c r="D37" s="28">
        <v>1</v>
      </c>
    </row>
    <row r="38" spans="2:4">
      <c r="B38" s="27" t="s">
        <v>55</v>
      </c>
      <c r="C38" s="27">
        <v>20.32</v>
      </c>
      <c r="D38" s="28">
        <f>+C38/C37</f>
        <v>1.3683501683501683E-2</v>
      </c>
    </row>
    <row r="39" spans="2:4">
      <c r="B39" s="29" t="s">
        <v>57</v>
      </c>
      <c r="C39" s="29">
        <f>+C38</f>
        <v>20.32</v>
      </c>
      <c r="D39" s="30">
        <f>+D38</f>
        <v>1.3683501683501683E-2</v>
      </c>
    </row>
    <row r="40" spans="2:4">
      <c r="B40" s="29"/>
      <c r="C40" s="29" t="s">
        <v>60</v>
      </c>
      <c r="D40" s="30" t="s">
        <v>56</v>
      </c>
    </row>
    <row r="41" spans="2:4">
      <c r="B41" s="27" t="s">
        <v>62</v>
      </c>
      <c r="C41" s="29">
        <f>+(C39*1000/C46)</f>
        <v>1016</v>
      </c>
      <c r="D41" s="30"/>
    </row>
    <row r="42" spans="2:4">
      <c r="B42" s="27" t="s">
        <v>63</v>
      </c>
      <c r="C42" s="32">
        <f>+C41/12</f>
        <v>84.666666666666671</v>
      </c>
      <c r="D42" s="33"/>
    </row>
    <row r="43" spans="2:4">
      <c r="B43" s="29" t="s">
        <v>61</v>
      </c>
      <c r="C43" s="31">
        <f>+C42*D43</f>
        <v>8.4666666666666668</v>
      </c>
      <c r="D43" s="34">
        <v>0.1</v>
      </c>
    </row>
    <row r="44" spans="2:4">
      <c r="B44" s="29" t="s">
        <v>59</v>
      </c>
      <c r="C44" s="31">
        <f>+C43*12</f>
        <v>101.6</v>
      </c>
      <c r="D44" s="29"/>
    </row>
    <row r="45" spans="2:4">
      <c r="B45" s="37"/>
      <c r="C45" s="37"/>
      <c r="D45" s="37"/>
    </row>
    <row r="46" spans="2:4">
      <c r="B46" s="35" t="s">
        <v>58</v>
      </c>
      <c r="C46" s="36">
        <v>20</v>
      </c>
    </row>
    <row r="49" spans="2:4">
      <c r="B49" s="190" t="s">
        <v>52</v>
      </c>
      <c r="C49" s="190"/>
      <c r="D49" s="190"/>
    </row>
    <row r="50" spans="2:4">
      <c r="B50" s="189" t="s">
        <v>64</v>
      </c>
      <c r="C50" s="189"/>
      <c r="D50" s="189"/>
    </row>
    <row r="51" spans="2:4">
      <c r="B51" s="189" t="s">
        <v>69</v>
      </c>
      <c r="C51" s="189"/>
      <c r="D51" s="189"/>
    </row>
    <row r="52" spans="2:4">
      <c r="B52" s="26" t="s">
        <v>71</v>
      </c>
      <c r="C52" s="26" t="s">
        <v>54</v>
      </c>
      <c r="D52" s="26" t="s">
        <v>56</v>
      </c>
    </row>
    <row r="53" spans="2:4">
      <c r="B53" s="27" t="s">
        <v>53</v>
      </c>
      <c r="C53" s="27">
        <v>46</v>
      </c>
      <c r="D53" s="28">
        <v>1</v>
      </c>
    </row>
    <row r="54" spans="2:4">
      <c r="B54" s="27" t="s">
        <v>55</v>
      </c>
      <c r="C54" s="27">
        <v>3.76</v>
      </c>
      <c r="D54" s="28">
        <f>+C54/C53</f>
        <v>8.1739130434782606E-2</v>
      </c>
    </row>
    <row r="55" spans="2:4">
      <c r="B55" s="29" t="s">
        <v>57</v>
      </c>
      <c r="C55" s="29">
        <f>+C54</f>
        <v>3.76</v>
      </c>
      <c r="D55" s="30">
        <f>+D54</f>
        <v>8.1739130434782606E-2</v>
      </c>
    </row>
    <row r="56" spans="2:4">
      <c r="B56" s="29"/>
      <c r="C56" s="29" t="s">
        <v>60</v>
      </c>
      <c r="D56" s="30" t="s">
        <v>56</v>
      </c>
    </row>
    <row r="57" spans="2:4">
      <c r="B57" s="27" t="s">
        <v>62</v>
      </c>
      <c r="C57" s="29">
        <f>+(C55*1000/C62)</f>
        <v>188</v>
      </c>
      <c r="D57" s="30"/>
    </row>
    <row r="58" spans="2:4">
      <c r="B58" s="27" t="s">
        <v>63</v>
      </c>
      <c r="C58" s="32">
        <f>+C57/12</f>
        <v>15.666666666666666</v>
      </c>
      <c r="D58" s="33"/>
    </row>
    <row r="59" spans="2:4">
      <c r="B59" s="29" t="s">
        <v>61</v>
      </c>
      <c r="C59" s="31">
        <f>+C58*D59</f>
        <v>1.5666666666666667</v>
      </c>
      <c r="D59" s="34">
        <v>0.1</v>
      </c>
    </row>
    <row r="60" spans="2:4">
      <c r="B60" s="29" t="s">
        <v>59</v>
      </c>
      <c r="C60" s="31">
        <f>+C59*12</f>
        <v>18.8</v>
      </c>
      <c r="D60" s="29"/>
    </row>
    <row r="62" spans="2:4">
      <c r="B62" s="35" t="s">
        <v>58</v>
      </c>
      <c r="C62" s="36">
        <v>20</v>
      </c>
    </row>
    <row r="64" spans="2:4">
      <c r="B64" s="190" t="s">
        <v>52</v>
      </c>
      <c r="C64" s="190"/>
      <c r="D64" s="190"/>
    </row>
    <row r="65" spans="2:4">
      <c r="B65" s="189" t="s">
        <v>72</v>
      </c>
      <c r="C65" s="189"/>
      <c r="D65" s="189"/>
    </row>
    <row r="66" spans="2:4">
      <c r="B66" s="189" t="s">
        <v>51</v>
      </c>
      <c r="C66" s="189"/>
      <c r="D66" s="189"/>
    </row>
    <row r="67" spans="2:4">
      <c r="B67" s="26" t="s">
        <v>71</v>
      </c>
      <c r="C67" s="26" t="s">
        <v>54</v>
      </c>
      <c r="D67" s="26" t="s">
        <v>56</v>
      </c>
    </row>
    <row r="68" spans="2:4">
      <c r="B68" s="27" t="s">
        <v>53</v>
      </c>
      <c r="C68" s="27">
        <v>33393.56</v>
      </c>
      <c r="D68" s="28">
        <v>1</v>
      </c>
    </row>
    <row r="69" spans="2:4">
      <c r="B69" s="27" t="s">
        <v>55</v>
      </c>
      <c r="C69" s="27">
        <v>3.76</v>
      </c>
      <c r="D69" s="28">
        <f>+C69/C68</f>
        <v>1.125965605344264E-4</v>
      </c>
    </row>
    <row r="70" spans="2:4">
      <c r="B70" s="29" t="s">
        <v>57</v>
      </c>
      <c r="C70" s="29">
        <f>+C69</f>
        <v>3.76</v>
      </c>
      <c r="D70" s="30">
        <f>+D69</f>
        <v>1.125965605344264E-4</v>
      </c>
    </row>
    <row r="71" spans="2:4">
      <c r="B71" s="29"/>
      <c r="C71" s="29" t="s">
        <v>60</v>
      </c>
      <c r="D71" s="30" t="s">
        <v>56</v>
      </c>
    </row>
    <row r="72" spans="2:4">
      <c r="B72" s="27" t="s">
        <v>62</v>
      </c>
      <c r="C72" s="31">
        <f>+(C70*1000/C77)</f>
        <v>250.66666666666666</v>
      </c>
      <c r="D72" s="30"/>
    </row>
    <row r="73" spans="2:4">
      <c r="B73" s="27" t="s">
        <v>63</v>
      </c>
      <c r="C73" s="32">
        <f>+C72/12</f>
        <v>20.888888888888889</v>
      </c>
      <c r="D73" s="33"/>
    </row>
    <row r="74" spans="2:4">
      <c r="B74" s="29" t="s">
        <v>61</v>
      </c>
      <c r="C74" s="31">
        <f>+C73*D74</f>
        <v>2.088888888888889</v>
      </c>
      <c r="D74" s="34">
        <v>0.1</v>
      </c>
    </row>
    <row r="75" spans="2:4">
      <c r="B75" s="29" t="s">
        <v>59</v>
      </c>
      <c r="C75" s="31">
        <f>+C74*12</f>
        <v>25.06666666666667</v>
      </c>
      <c r="D75" s="29"/>
    </row>
    <row r="77" spans="2:4">
      <c r="B77" s="35" t="s">
        <v>58</v>
      </c>
      <c r="C77" s="36">
        <v>15</v>
      </c>
    </row>
    <row r="79" spans="2:4">
      <c r="B79" s="190" t="s">
        <v>52</v>
      </c>
      <c r="C79" s="190"/>
      <c r="D79" s="190"/>
    </row>
    <row r="80" spans="2:4">
      <c r="B80" s="189" t="s">
        <v>72</v>
      </c>
      <c r="C80" s="189"/>
      <c r="D80" s="189"/>
    </row>
    <row r="81" spans="2:9">
      <c r="B81" s="189" t="s">
        <v>65</v>
      </c>
      <c r="C81" s="189"/>
      <c r="D81" s="189"/>
    </row>
    <row r="82" spans="2:9">
      <c r="B82" s="26" t="s">
        <v>71</v>
      </c>
      <c r="C82" s="26" t="s">
        <v>54</v>
      </c>
      <c r="D82" s="26" t="s">
        <v>56</v>
      </c>
    </row>
    <row r="83" spans="2:9">
      <c r="B83" s="27" t="s">
        <v>53</v>
      </c>
      <c r="C83" s="27">
        <v>4715.01</v>
      </c>
      <c r="D83" s="28">
        <v>1</v>
      </c>
    </row>
    <row r="84" spans="2:9">
      <c r="B84" s="27" t="s">
        <v>70</v>
      </c>
      <c r="C84" s="27">
        <v>3</v>
      </c>
      <c r="D84" s="28">
        <f>+C84/C83</f>
        <v>6.3626588278709907E-4</v>
      </c>
    </row>
    <row r="85" spans="2:9">
      <c r="B85" s="29" t="s">
        <v>57</v>
      </c>
      <c r="C85" s="29">
        <f>+C84</f>
        <v>3</v>
      </c>
      <c r="D85" s="30">
        <f>+D84</f>
        <v>6.3626588278709907E-4</v>
      </c>
    </row>
    <row r="86" spans="2:9">
      <c r="B86" s="29"/>
      <c r="C86" s="29" t="s">
        <v>60</v>
      </c>
      <c r="D86" s="30" t="s">
        <v>56</v>
      </c>
    </row>
    <row r="87" spans="2:9">
      <c r="B87" s="27" t="s">
        <v>62</v>
      </c>
      <c r="C87" s="29">
        <f>+(C85*1000/C92)</f>
        <v>150</v>
      </c>
      <c r="D87" s="30"/>
    </row>
    <row r="88" spans="2:9">
      <c r="B88" s="27" t="s">
        <v>63</v>
      </c>
      <c r="C88" s="32">
        <f>+C87/12</f>
        <v>12.5</v>
      </c>
      <c r="D88" s="33"/>
      <c r="G88" s="40" t="s">
        <v>73</v>
      </c>
      <c r="H88" s="40" t="s">
        <v>74</v>
      </c>
      <c r="I88" s="41" t="s">
        <v>104</v>
      </c>
    </row>
    <row r="89" spans="2:9">
      <c r="B89" s="29" t="s">
        <v>61</v>
      </c>
      <c r="C89" s="31">
        <f>+C88*D89</f>
        <v>1.25</v>
      </c>
      <c r="D89" s="34">
        <v>0.1</v>
      </c>
      <c r="G89" s="40" t="s">
        <v>75</v>
      </c>
      <c r="H89" s="42"/>
      <c r="I89" s="43"/>
    </row>
    <row r="90" spans="2:9">
      <c r="B90" s="29" t="s">
        <v>59</v>
      </c>
      <c r="C90" s="29">
        <f>+C89*12</f>
        <v>15</v>
      </c>
      <c r="D90" s="29"/>
      <c r="G90" s="44" t="s">
        <v>76</v>
      </c>
      <c r="H90" s="45">
        <v>3</v>
      </c>
      <c r="I90" s="46">
        <v>1.67</v>
      </c>
    </row>
    <row r="91" spans="2:9">
      <c r="G91" s="44" t="s">
        <v>77</v>
      </c>
      <c r="H91" s="45">
        <v>4</v>
      </c>
      <c r="I91" s="46">
        <v>4</v>
      </c>
    </row>
    <row r="92" spans="2:9">
      <c r="B92" s="35" t="s">
        <v>58</v>
      </c>
      <c r="C92" s="36">
        <v>20</v>
      </c>
      <c r="G92" s="44" t="s">
        <v>105</v>
      </c>
      <c r="H92" s="45">
        <v>18</v>
      </c>
      <c r="I92" s="46">
        <v>5</v>
      </c>
    </row>
    <row r="93" spans="2:9">
      <c r="G93" s="40" t="s">
        <v>78</v>
      </c>
      <c r="H93" s="45"/>
      <c r="I93" s="46"/>
    </row>
    <row r="94" spans="2:9">
      <c r="B94" s="190" t="s">
        <v>52</v>
      </c>
      <c r="C94" s="190"/>
      <c r="D94" s="190"/>
      <c r="G94" s="44" t="s">
        <v>105</v>
      </c>
      <c r="H94" s="45">
        <v>20</v>
      </c>
      <c r="I94" s="46">
        <v>8</v>
      </c>
    </row>
    <row r="95" spans="2:9">
      <c r="B95" s="189" t="s">
        <v>72</v>
      </c>
      <c r="C95" s="189"/>
      <c r="D95" s="189"/>
      <c r="G95" s="44" t="s">
        <v>79</v>
      </c>
      <c r="H95" s="45" t="s">
        <v>80</v>
      </c>
      <c r="I95" s="46">
        <v>4</v>
      </c>
    </row>
    <row r="96" spans="2:9">
      <c r="B96" s="189" t="s">
        <v>68</v>
      </c>
      <c r="C96" s="189"/>
      <c r="D96" s="189"/>
      <c r="G96" s="40" t="s">
        <v>81</v>
      </c>
      <c r="H96" s="45"/>
      <c r="I96" s="46"/>
    </row>
    <row r="97" spans="2:9">
      <c r="B97" s="26" t="s">
        <v>71</v>
      </c>
      <c r="C97" s="26" t="s">
        <v>54</v>
      </c>
      <c r="D97" s="26" t="s">
        <v>56</v>
      </c>
      <c r="G97" s="44" t="s">
        <v>105</v>
      </c>
      <c r="H97" s="45">
        <v>20</v>
      </c>
      <c r="I97" s="46">
        <v>8</v>
      </c>
    </row>
    <row r="98" spans="2:9">
      <c r="B98" s="27" t="s">
        <v>53</v>
      </c>
      <c r="C98" s="27">
        <v>5874</v>
      </c>
      <c r="D98" s="28">
        <v>1</v>
      </c>
      <c r="G98" s="40" t="s">
        <v>82</v>
      </c>
      <c r="H98" s="45"/>
      <c r="I98" s="46"/>
    </row>
    <row r="99" spans="2:9">
      <c r="B99" s="27" t="s">
        <v>70</v>
      </c>
      <c r="C99" s="27">
        <v>26</v>
      </c>
      <c r="D99" s="28">
        <f>+C99/C98</f>
        <v>4.4262853251617294E-3</v>
      </c>
      <c r="G99" s="44" t="s">
        <v>105</v>
      </c>
      <c r="H99" s="45">
        <v>20</v>
      </c>
      <c r="I99" s="46">
        <v>8</v>
      </c>
    </row>
    <row r="100" spans="2:9">
      <c r="B100" s="29" t="s">
        <v>57</v>
      </c>
      <c r="C100" s="29">
        <f>+C99</f>
        <v>26</v>
      </c>
      <c r="D100" s="30">
        <f>+D99</f>
        <v>4.4262853251617294E-3</v>
      </c>
      <c r="G100" s="40" t="s">
        <v>83</v>
      </c>
      <c r="H100" s="45"/>
      <c r="I100" s="46"/>
    </row>
    <row r="101" spans="2:9">
      <c r="B101" s="29"/>
      <c r="C101" s="29" t="s">
        <v>60</v>
      </c>
      <c r="D101" s="30" t="s">
        <v>56</v>
      </c>
      <c r="G101" s="44" t="s">
        <v>105</v>
      </c>
      <c r="H101" s="45">
        <v>20</v>
      </c>
      <c r="I101" s="46">
        <v>8</v>
      </c>
    </row>
    <row r="102" spans="2:9">
      <c r="B102" s="27" t="s">
        <v>62</v>
      </c>
      <c r="C102" s="29">
        <f>+(C100*1000/C107)</f>
        <v>1300</v>
      </c>
      <c r="D102" s="30"/>
      <c r="G102" s="40" t="s">
        <v>84</v>
      </c>
      <c r="H102" s="45"/>
      <c r="I102" s="46"/>
    </row>
    <row r="103" spans="2:9">
      <c r="B103" s="27" t="s">
        <v>63</v>
      </c>
      <c r="C103" s="32">
        <f>+C102/12</f>
        <v>108.33333333333333</v>
      </c>
      <c r="D103" s="33"/>
      <c r="G103" s="44" t="s">
        <v>105</v>
      </c>
      <c r="H103" s="45">
        <v>20</v>
      </c>
      <c r="I103" s="46">
        <v>8</v>
      </c>
    </row>
    <row r="104" spans="2:9">
      <c r="B104" s="29" t="s">
        <v>61</v>
      </c>
      <c r="C104" s="31">
        <f>+C103*D104</f>
        <v>10.833333333333334</v>
      </c>
      <c r="D104" s="34">
        <v>0.1</v>
      </c>
      <c r="G104" s="44" t="s">
        <v>85</v>
      </c>
      <c r="H104" s="45">
        <v>4</v>
      </c>
      <c r="I104" s="46">
        <v>2</v>
      </c>
    </row>
    <row r="105" spans="2:9">
      <c r="B105" s="29" t="s">
        <v>59</v>
      </c>
      <c r="C105" s="29">
        <f>+C104*12</f>
        <v>130</v>
      </c>
      <c r="D105" s="29"/>
      <c r="G105" s="44" t="s">
        <v>86</v>
      </c>
      <c r="H105" s="45">
        <v>5</v>
      </c>
      <c r="I105" s="46">
        <v>2</v>
      </c>
    </row>
    <row r="106" spans="2:9">
      <c r="G106" s="40" t="s">
        <v>87</v>
      </c>
      <c r="H106" s="45"/>
      <c r="I106" s="46"/>
    </row>
    <row r="107" spans="2:9">
      <c r="B107" s="35" t="s">
        <v>58</v>
      </c>
      <c r="C107" s="36">
        <v>20</v>
      </c>
      <c r="G107" s="44" t="s">
        <v>105</v>
      </c>
      <c r="H107" s="45">
        <v>30</v>
      </c>
      <c r="I107" s="46">
        <v>15</v>
      </c>
    </row>
    <row r="108" spans="2:9">
      <c r="G108" s="40" t="s">
        <v>89</v>
      </c>
      <c r="H108" s="45"/>
      <c r="I108" s="46"/>
    </row>
    <row r="109" spans="2:9">
      <c r="B109" s="190" t="s">
        <v>52</v>
      </c>
      <c r="C109" s="190"/>
      <c r="D109" s="190"/>
      <c r="G109" s="40" t="s">
        <v>90</v>
      </c>
      <c r="H109" s="45"/>
      <c r="I109" s="46"/>
    </row>
    <row r="110" spans="2:9">
      <c r="B110" s="189" t="s">
        <v>72</v>
      </c>
      <c r="C110" s="189"/>
      <c r="D110" s="189"/>
      <c r="G110" s="44" t="s">
        <v>91</v>
      </c>
      <c r="H110" s="45">
        <v>5</v>
      </c>
      <c r="I110" s="46">
        <v>2</v>
      </c>
    </row>
    <row r="111" spans="2:9">
      <c r="B111" s="189" t="s">
        <v>69</v>
      </c>
      <c r="C111" s="189"/>
      <c r="D111" s="189"/>
      <c r="G111" s="40" t="s">
        <v>92</v>
      </c>
      <c r="H111" s="45"/>
      <c r="I111" s="46"/>
    </row>
    <row r="112" spans="2:9">
      <c r="B112" s="26" t="s">
        <v>71</v>
      </c>
      <c r="C112" s="26" t="s">
        <v>54</v>
      </c>
      <c r="D112" s="26" t="s">
        <v>56</v>
      </c>
      <c r="G112" s="44" t="s">
        <v>93</v>
      </c>
      <c r="H112" s="45">
        <v>8</v>
      </c>
      <c r="I112" s="46">
        <v>4</v>
      </c>
    </row>
    <row r="113" spans="2:9">
      <c r="B113" s="27" t="s">
        <v>53</v>
      </c>
      <c r="C113" s="27">
        <v>7895</v>
      </c>
      <c r="D113" s="28">
        <v>1</v>
      </c>
      <c r="G113" s="40" t="s">
        <v>94</v>
      </c>
      <c r="H113" s="45"/>
      <c r="I113" s="46"/>
    </row>
    <row r="114" spans="2:9">
      <c r="B114" s="27" t="s">
        <v>70</v>
      </c>
      <c r="C114" s="27">
        <v>192</v>
      </c>
      <c r="D114" s="28">
        <f>+C114/C113</f>
        <v>2.4319189360354654E-2</v>
      </c>
      <c r="G114" s="44" t="s">
        <v>95</v>
      </c>
      <c r="H114" s="45">
        <v>5</v>
      </c>
      <c r="I114" s="46">
        <v>2</v>
      </c>
    </row>
    <row r="115" spans="2:9">
      <c r="B115" s="29" t="s">
        <v>57</v>
      </c>
      <c r="C115" s="29">
        <f>+C114</f>
        <v>192</v>
      </c>
      <c r="D115" s="30">
        <f>+D114</f>
        <v>2.4319189360354654E-2</v>
      </c>
    </row>
    <row r="116" spans="2:9">
      <c r="B116" s="29"/>
      <c r="C116" s="29" t="s">
        <v>60</v>
      </c>
      <c r="D116" s="30" t="s">
        <v>56</v>
      </c>
    </row>
    <row r="117" spans="2:9">
      <c r="B117" s="27" t="s">
        <v>62</v>
      </c>
      <c r="C117" s="29">
        <f>+(C115*1000/C122)</f>
        <v>9600</v>
      </c>
      <c r="D117" s="30"/>
    </row>
    <row r="118" spans="2:9">
      <c r="B118" s="27" t="s">
        <v>63</v>
      </c>
      <c r="C118" s="27">
        <f>+C117/12</f>
        <v>800</v>
      </c>
      <c r="D118" s="33"/>
    </row>
    <row r="119" spans="2:9">
      <c r="B119" s="29" t="s">
        <v>61</v>
      </c>
      <c r="C119" s="29">
        <f>+C118*D119</f>
        <v>80</v>
      </c>
      <c r="D119" s="34">
        <v>0.1</v>
      </c>
    </row>
    <row r="120" spans="2:9">
      <c r="B120" s="29" t="s">
        <v>59</v>
      </c>
      <c r="C120" s="29">
        <f>+C119*12</f>
        <v>960</v>
      </c>
      <c r="D120" s="29"/>
    </row>
    <row r="122" spans="2:9">
      <c r="B122" s="35" t="s">
        <v>58</v>
      </c>
      <c r="C122" s="36">
        <v>20</v>
      </c>
    </row>
    <row r="124" spans="2:9" ht="22.5">
      <c r="B124" s="107" t="s">
        <v>73</v>
      </c>
      <c r="C124" s="108" t="s">
        <v>96</v>
      </c>
      <c r="D124" s="108" t="s">
        <v>97</v>
      </c>
      <c r="E124" s="108" t="s">
        <v>98</v>
      </c>
      <c r="F124" s="108" t="s">
        <v>99</v>
      </c>
      <c r="G124" s="109" t="s">
        <v>103</v>
      </c>
    </row>
    <row r="125" spans="2:9">
      <c r="B125" s="110" t="s">
        <v>75</v>
      </c>
      <c r="C125" s="27"/>
      <c r="D125" s="27"/>
      <c r="E125" s="27"/>
      <c r="F125" s="27"/>
      <c r="G125" s="65"/>
    </row>
    <row r="126" spans="2:9">
      <c r="B126" s="111" t="s">
        <v>76</v>
      </c>
      <c r="C126" s="32">
        <v>192</v>
      </c>
      <c r="D126" s="32">
        <v>59</v>
      </c>
      <c r="E126" s="32">
        <f>+$E$129/3</f>
        <v>6.2666666666666666</v>
      </c>
      <c r="F126" s="32">
        <f>+$F$129/3</f>
        <v>33.866666666666667</v>
      </c>
      <c r="G126" s="66">
        <f>+(C126+D126+E126+F126)*I90</f>
        <v>486.19266666666664</v>
      </c>
    </row>
    <row r="127" spans="2:9">
      <c r="B127" s="111" t="s">
        <v>77</v>
      </c>
      <c r="C127" s="32">
        <f>+$C$129/3</f>
        <v>191.17777777777778</v>
      </c>
      <c r="D127" s="32">
        <f>+$D$129/3</f>
        <v>58.183333333333337</v>
      </c>
      <c r="E127" s="32">
        <v>7</v>
      </c>
      <c r="F127" s="32">
        <f>+$F$129/3</f>
        <v>33.866666666666667</v>
      </c>
      <c r="G127" s="66">
        <f>+(C127+D127+E127+F127)*I91</f>
        <v>1160.911111111111</v>
      </c>
    </row>
    <row r="128" spans="2:9">
      <c r="B128" s="111" t="s">
        <v>102</v>
      </c>
      <c r="C128" s="32">
        <f>+$C$129/3</f>
        <v>191.17777777777778</v>
      </c>
      <c r="D128" s="32">
        <f>+$D$129/3</f>
        <v>58.183333333333337</v>
      </c>
      <c r="E128" s="32">
        <f>+$E$129/3</f>
        <v>6.2666666666666666</v>
      </c>
      <c r="F128" s="32">
        <f>+$F$129/3</f>
        <v>33.866666666666667</v>
      </c>
      <c r="G128" s="66">
        <f>+(C128+D128+E128+F128)*I92</f>
        <v>1447.4722222222224</v>
      </c>
    </row>
    <row r="129" spans="2:7">
      <c r="B129" s="120" t="s">
        <v>100</v>
      </c>
      <c r="C129" s="31">
        <f>+C14</f>
        <v>573.5333333333333</v>
      </c>
      <c r="D129" s="31">
        <f>+C29</f>
        <v>174.55</v>
      </c>
      <c r="E129" s="31">
        <f>+C60</f>
        <v>18.8</v>
      </c>
      <c r="F129" s="31">
        <f>+C44</f>
        <v>101.6</v>
      </c>
      <c r="G129" s="66"/>
    </row>
    <row r="130" spans="2:7">
      <c r="B130" s="110" t="s">
        <v>78</v>
      </c>
      <c r="C130" s="27"/>
      <c r="D130" s="27"/>
      <c r="E130" s="27"/>
      <c r="F130" s="27"/>
      <c r="G130" s="66"/>
    </row>
    <row r="131" spans="2:7">
      <c r="B131" s="111" t="s">
        <v>102</v>
      </c>
      <c r="C131" s="32">
        <f>+$C$133/2</f>
        <v>103.94444444444446</v>
      </c>
      <c r="D131" s="32">
        <f>+$D$133/2</f>
        <v>34.091666666666669</v>
      </c>
      <c r="E131" s="32">
        <f>+$E$133/2</f>
        <v>323.13333333333333</v>
      </c>
      <c r="F131" s="32">
        <v>61</v>
      </c>
      <c r="G131" s="66">
        <f>+(C131+D131+E131+F131)*I94</f>
        <v>4177.3555555555558</v>
      </c>
    </row>
    <row r="132" spans="2:7">
      <c r="B132" s="111" t="s">
        <v>79</v>
      </c>
      <c r="C132" s="32">
        <f>+$C$133/2</f>
        <v>103.94444444444446</v>
      </c>
      <c r="D132" s="32">
        <f>+$D$133/2</f>
        <v>34.091666666666669</v>
      </c>
      <c r="E132" s="32">
        <f>+$E$133/2</f>
        <v>323.13333333333333</v>
      </c>
      <c r="F132" s="32">
        <f>+$F$133/2</f>
        <v>60.266666666666673</v>
      </c>
      <c r="G132" s="66">
        <f>+(C132+D132+E132+F132)*I95</f>
        <v>2085.7444444444445</v>
      </c>
    </row>
    <row r="133" spans="2:7">
      <c r="B133" s="120" t="s">
        <v>100</v>
      </c>
      <c r="C133" s="31">
        <f>+(C129+C150+C154)/3</f>
        <v>207.88888888888891</v>
      </c>
      <c r="D133" s="31">
        <f>+(D129+D150+D154)/3</f>
        <v>68.183333333333337</v>
      </c>
      <c r="E133" s="31">
        <f>+(E129+E150+E154)/3</f>
        <v>646.26666666666665</v>
      </c>
      <c r="F133" s="31">
        <f>+(F129+F150+F154)/3</f>
        <v>120.53333333333335</v>
      </c>
      <c r="G133" s="66"/>
    </row>
    <row r="134" spans="2:7">
      <c r="B134" s="110" t="s">
        <v>81</v>
      </c>
      <c r="C134" s="27"/>
      <c r="D134" s="27"/>
      <c r="E134" s="27"/>
      <c r="F134" s="27"/>
      <c r="G134" s="66"/>
    </row>
    <row r="135" spans="2:7">
      <c r="B135" s="111" t="s">
        <v>102</v>
      </c>
      <c r="C135" s="32">
        <f>+C136</f>
        <v>207.88888888888891</v>
      </c>
      <c r="D135" s="32">
        <f>+D136</f>
        <v>68.183333333333337</v>
      </c>
      <c r="E135" s="32">
        <f>+E136</f>
        <v>646.26666666666665</v>
      </c>
      <c r="F135" s="32">
        <f>+F136</f>
        <v>120.53333333333335</v>
      </c>
      <c r="G135" s="66">
        <f>+(C135+D135+E135+F135)*I97</f>
        <v>8342.9777777777781</v>
      </c>
    </row>
    <row r="136" spans="2:7">
      <c r="B136" s="120" t="s">
        <v>100</v>
      </c>
      <c r="C136" s="31">
        <f>+C133</f>
        <v>207.88888888888891</v>
      </c>
      <c r="D136" s="31">
        <f>+D133</f>
        <v>68.183333333333337</v>
      </c>
      <c r="E136" s="31">
        <f>+E133</f>
        <v>646.26666666666665</v>
      </c>
      <c r="F136" s="31">
        <f>+F133</f>
        <v>120.53333333333335</v>
      </c>
      <c r="G136" s="66"/>
    </row>
    <row r="137" spans="2:7">
      <c r="B137" s="110" t="s">
        <v>82</v>
      </c>
      <c r="C137" s="27"/>
      <c r="D137" s="27"/>
      <c r="E137" s="27"/>
      <c r="F137" s="27"/>
      <c r="G137" s="66"/>
    </row>
    <row r="138" spans="2:7">
      <c r="B138" s="111" t="s">
        <v>102</v>
      </c>
      <c r="C138" s="32">
        <f>+C139</f>
        <v>207.88888888888891</v>
      </c>
      <c r="D138" s="32">
        <f>+D139</f>
        <v>68.183333333333337</v>
      </c>
      <c r="E138" s="32">
        <f>+E139</f>
        <v>646.26666666666665</v>
      </c>
      <c r="F138" s="32">
        <f>+F139</f>
        <v>120.53333333333335</v>
      </c>
      <c r="G138" s="66">
        <f>+(C138+D138+E138+F138)*H99</f>
        <v>20857.444444444445</v>
      </c>
    </row>
    <row r="139" spans="2:7">
      <c r="B139" s="120" t="s">
        <v>100</v>
      </c>
      <c r="C139" s="31">
        <f>+C136</f>
        <v>207.88888888888891</v>
      </c>
      <c r="D139" s="31">
        <f>+D136</f>
        <v>68.183333333333337</v>
      </c>
      <c r="E139" s="31">
        <f>+E136</f>
        <v>646.26666666666665</v>
      </c>
      <c r="F139" s="31">
        <f>+F136</f>
        <v>120.53333333333335</v>
      </c>
      <c r="G139" s="66"/>
    </row>
    <row r="140" spans="2:7">
      <c r="B140" s="110" t="s">
        <v>83</v>
      </c>
      <c r="C140" s="27"/>
      <c r="D140" s="27"/>
      <c r="E140" s="27"/>
      <c r="F140" s="27"/>
      <c r="G140" s="66"/>
    </row>
    <row r="141" spans="2:7">
      <c r="B141" s="111" t="s">
        <v>102</v>
      </c>
      <c r="C141" s="32">
        <f>+C142</f>
        <v>207.88888888888891</v>
      </c>
      <c r="D141" s="32">
        <f>+D142</f>
        <v>68.183333333333337</v>
      </c>
      <c r="E141" s="32">
        <f>+E142</f>
        <v>646.26666666666665</v>
      </c>
      <c r="F141" s="32">
        <f>+F142</f>
        <v>120.53333333333335</v>
      </c>
      <c r="G141" s="66">
        <f>+(C141+D141+E141+F141)*I101</f>
        <v>8342.9777777777781</v>
      </c>
    </row>
    <row r="142" spans="2:7">
      <c r="B142" s="120" t="s">
        <v>100</v>
      </c>
      <c r="C142" s="31">
        <f>+C139</f>
        <v>207.88888888888891</v>
      </c>
      <c r="D142" s="31">
        <f>+D139</f>
        <v>68.183333333333337</v>
      </c>
      <c r="E142" s="31">
        <f>+E139</f>
        <v>646.26666666666665</v>
      </c>
      <c r="F142" s="31">
        <f>+F139</f>
        <v>120.53333333333335</v>
      </c>
      <c r="G142" s="66"/>
    </row>
    <row r="143" spans="2:7">
      <c r="B143" s="110" t="s">
        <v>84</v>
      </c>
      <c r="C143" s="27"/>
      <c r="D143" s="27"/>
      <c r="E143" s="27"/>
      <c r="F143" s="27"/>
      <c r="G143" s="66"/>
    </row>
    <row r="144" spans="2:7">
      <c r="B144" s="111" t="s">
        <v>102</v>
      </c>
      <c r="C144" s="32">
        <v>70</v>
      </c>
      <c r="D144" s="32">
        <f>+$D$147/3</f>
        <v>22.727777777777778</v>
      </c>
      <c r="E144" s="32">
        <f>+$E$147/3</f>
        <v>215.42222222222222</v>
      </c>
      <c r="F144" s="32">
        <v>41</v>
      </c>
      <c r="G144" s="66">
        <f>+(C144+D144+E144+F144)*I103</f>
        <v>2793.2</v>
      </c>
    </row>
    <row r="145" spans="2:7">
      <c r="B145" s="111" t="s">
        <v>85</v>
      </c>
      <c r="C145" s="32">
        <f>+$C$147/3</f>
        <v>69.296296296296305</v>
      </c>
      <c r="D145" s="32">
        <f>+$D$147/3</f>
        <v>22.727777777777778</v>
      </c>
      <c r="E145" s="32">
        <f>+$E$147/3</f>
        <v>215.42222222222222</v>
      </c>
      <c r="F145" s="32">
        <f>+$F$147/3</f>
        <v>40.177777777777784</v>
      </c>
      <c r="G145" s="66">
        <f>+(C145+D145+E145+F145)*I104</f>
        <v>695.24814814814818</v>
      </c>
    </row>
    <row r="146" spans="2:7">
      <c r="B146" s="111" t="s">
        <v>86</v>
      </c>
      <c r="C146" s="32">
        <f>+$C$147/3</f>
        <v>69.296296296296305</v>
      </c>
      <c r="D146" s="32">
        <v>22</v>
      </c>
      <c r="E146" s="32">
        <v>216</v>
      </c>
      <c r="F146" s="32">
        <f>+$F$147/3</f>
        <v>40.177777777777784</v>
      </c>
      <c r="G146" s="66">
        <f>+(C146+D146+E146+F146)*I105</f>
        <v>694.94814814814822</v>
      </c>
    </row>
    <row r="147" spans="2:7">
      <c r="B147" s="120" t="s">
        <v>100</v>
      </c>
      <c r="C147" s="31">
        <f>+C142</f>
        <v>207.88888888888891</v>
      </c>
      <c r="D147" s="31">
        <f>+D142</f>
        <v>68.183333333333337</v>
      </c>
      <c r="E147" s="31">
        <f>+E142</f>
        <v>646.26666666666665</v>
      </c>
      <c r="F147" s="31">
        <f>+F142</f>
        <v>120.53333333333335</v>
      </c>
      <c r="G147" s="66"/>
    </row>
    <row r="148" spans="2:7">
      <c r="B148" s="110" t="s">
        <v>87</v>
      </c>
      <c r="C148" s="27"/>
      <c r="D148" s="27"/>
      <c r="E148" s="27"/>
      <c r="F148" s="27"/>
      <c r="G148" s="66"/>
    </row>
    <row r="149" spans="2:7">
      <c r="B149" s="111" t="s">
        <v>88</v>
      </c>
      <c r="C149" s="32">
        <f>+C150</f>
        <v>25.06666666666667</v>
      </c>
      <c r="D149" s="32">
        <f>+D150</f>
        <v>15</v>
      </c>
      <c r="E149" s="27">
        <f>+E150</f>
        <v>960</v>
      </c>
      <c r="F149" s="27">
        <f>+F150</f>
        <v>130</v>
      </c>
      <c r="G149" s="66">
        <f>+(C149+D149+E149+F149)*I107</f>
        <v>16951</v>
      </c>
    </row>
    <row r="150" spans="2:7">
      <c r="B150" s="120" t="s">
        <v>100</v>
      </c>
      <c r="C150" s="31">
        <f>+C75</f>
        <v>25.06666666666667</v>
      </c>
      <c r="D150" s="31">
        <f>+C90</f>
        <v>15</v>
      </c>
      <c r="E150" s="29">
        <f>+C120</f>
        <v>960</v>
      </c>
      <c r="F150" s="29">
        <f>+C105</f>
        <v>130</v>
      </c>
      <c r="G150" s="66"/>
    </row>
    <row r="151" spans="2:7">
      <c r="B151" s="110" t="s">
        <v>89</v>
      </c>
      <c r="C151" s="27"/>
      <c r="D151" s="27"/>
      <c r="E151" s="27"/>
      <c r="F151" s="27"/>
      <c r="G151" s="66"/>
    </row>
    <row r="152" spans="2:7">
      <c r="B152" s="110" t="s">
        <v>90</v>
      </c>
      <c r="C152" s="27"/>
      <c r="D152" s="27"/>
      <c r="E152" s="27"/>
      <c r="F152" s="27"/>
      <c r="G152" s="66"/>
    </row>
    <row r="153" spans="2:7">
      <c r="B153" s="111" t="s">
        <v>91</v>
      </c>
      <c r="C153" s="32">
        <f>+C154</f>
        <v>25.06666666666667</v>
      </c>
      <c r="D153" s="32">
        <f>+D154</f>
        <v>15</v>
      </c>
      <c r="E153" s="32">
        <f>+E154</f>
        <v>960</v>
      </c>
      <c r="F153" s="32">
        <f>+F154</f>
        <v>130</v>
      </c>
      <c r="G153" s="66">
        <f>+(C153+D153+E153+F153)*I110</f>
        <v>2260.1333333333332</v>
      </c>
    </row>
    <row r="154" spans="2:7">
      <c r="B154" s="120" t="s">
        <v>100</v>
      </c>
      <c r="C154" s="31">
        <f>+C150</f>
        <v>25.06666666666667</v>
      </c>
      <c r="D154" s="31">
        <f>+D150</f>
        <v>15</v>
      </c>
      <c r="E154" s="31">
        <f>+E150</f>
        <v>960</v>
      </c>
      <c r="F154" s="31">
        <f>+F150</f>
        <v>130</v>
      </c>
      <c r="G154" s="66"/>
    </row>
    <row r="155" spans="2:7">
      <c r="B155" s="110" t="s">
        <v>92</v>
      </c>
      <c r="C155" s="27"/>
      <c r="D155" s="27"/>
      <c r="E155" s="27"/>
      <c r="F155" s="27"/>
      <c r="G155" s="66"/>
    </row>
    <row r="156" spans="2:7">
      <c r="B156" s="111" t="s">
        <v>93</v>
      </c>
      <c r="C156" s="32">
        <f>+C157</f>
        <v>207.88888888888891</v>
      </c>
      <c r="D156" s="32">
        <f>+D157</f>
        <v>68.183333333333337</v>
      </c>
      <c r="E156" s="32">
        <f>+E157</f>
        <v>646.26666666666665</v>
      </c>
      <c r="F156" s="32">
        <f>+F157</f>
        <v>120.53333333333335</v>
      </c>
      <c r="G156" s="66">
        <f>+(C156+D156+E156+F156)*I112</f>
        <v>4171.4888888888891</v>
      </c>
    </row>
    <row r="157" spans="2:7">
      <c r="B157" s="120" t="s">
        <v>100</v>
      </c>
      <c r="C157" s="31">
        <f>+C147</f>
        <v>207.88888888888891</v>
      </c>
      <c r="D157" s="31">
        <f>+D147</f>
        <v>68.183333333333337</v>
      </c>
      <c r="E157" s="31">
        <f>+E147</f>
        <v>646.26666666666665</v>
      </c>
      <c r="F157" s="31">
        <f>+F147</f>
        <v>120.53333333333335</v>
      </c>
      <c r="G157" s="66"/>
    </row>
    <row r="158" spans="2:7">
      <c r="B158" s="110" t="s">
        <v>94</v>
      </c>
      <c r="C158" s="27"/>
      <c r="D158" s="27"/>
      <c r="E158" s="27"/>
      <c r="F158" s="27"/>
      <c r="G158" s="66"/>
    </row>
    <row r="159" spans="2:7">
      <c r="B159" s="111" t="s">
        <v>95</v>
      </c>
      <c r="C159" s="32">
        <f>+C160</f>
        <v>207.88888888888891</v>
      </c>
      <c r="D159" s="32">
        <f>+D160</f>
        <v>68.183333333333337</v>
      </c>
      <c r="E159" s="32">
        <f>+E160</f>
        <v>646.26666666666665</v>
      </c>
      <c r="F159" s="32">
        <f>+F160</f>
        <v>120.53333333333335</v>
      </c>
      <c r="G159" s="66">
        <f>+(C159+D159+E159+F159)*I114</f>
        <v>2085.7444444444445</v>
      </c>
    </row>
    <row r="160" spans="2:7">
      <c r="B160" s="120" t="s">
        <v>100</v>
      </c>
      <c r="C160" s="31">
        <f>+C157</f>
        <v>207.88888888888891</v>
      </c>
      <c r="D160" s="31">
        <f>+D157</f>
        <v>68.183333333333337</v>
      </c>
      <c r="E160" s="31">
        <f>+E157</f>
        <v>646.26666666666665</v>
      </c>
      <c r="F160" s="31">
        <f>+F157</f>
        <v>120.53333333333335</v>
      </c>
      <c r="G160" s="66"/>
    </row>
    <row r="161" spans="2:8">
      <c r="B161" s="38" t="s">
        <v>101</v>
      </c>
      <c r="C161" s="39">
        <f>+C160+C157+C154+C150+C147+C142+C139+C136+C133+C129</f>
        <v>2078.8888888888891</v>
      </c>
      <c r="D161" s="39">
        <f>+D160+D157+D154+D150+D147+D142+D139+D136+D133+D129</f>
        <v>681.83333333333337</v>
      </c>
      <c r="E161" s="39">
        <f>+E160+E157+E154+E150+E147+E142+E139+E136+E133+E129</f>
        <v>6462.6666666666661</v>
      </c>
      <c r="F161" s="39">
        <f>+F160+F157+F154+F150+F147+F142+F139+F136+F133+F129</f>
        <v>1205.3333333333333</v>
      </c>
      <c r="G161" s="67">
        <f>+G131+G132+G135+G138+G141+G144+G145+G146+G149+G153+G156+G159+G126+G127+G128</f>
        <v>76552.838962962953</v>
      </c>
      <c r="H161" s="25" t="s">
        <v>106</v>
      </c>
    </row>
  </sheetData>
  <mergeCells count="24">
    <mergeCell ref="B111:D111"/>
    <mergeCell ref="B3:D3"/>
    <mergeCell ref="B4:D4"/>
    <mergeCell ref="B18:D18"/>
    <mergeCell ref="B19:D19"/>
    <mergeCell ref="B81:D81"/>
    <mergeCell ref="B94:D94"/>
    <mergeCell ref="B95:D95"/>
    <mergeCell ref="B96:D96"/>
    <mergeCell ref="B109:D109"/>
    <mergeCell ref="B110:D110"/>
    <mergeCell ref="B51:D51"/>
    <mergeCell ref="B64:D64"/>
    <mergeCell ref="B65:D65"/>
    <mergeCell ref="B66:D66"/>
    <mergeCell ref="B79:D79"/>
    <mergeCell ref="B5:D5"/>
    <mergeCell ref="B80:D80"/>
    <mergeCell ref="B20:D20"/>
    <mergeCell ref="B33:D33"/>
    <mergeCell ref="B34:D34"/>
    <mergeCell ref="B35:D35"/>
    <mergeCell ref="B49:D49"/>
    <mergeCell ref="B50:D5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I29"/>
  <sheetViews>
    <sheetView topLeftCell="A3" workbookViewId="0">
      <selection activeCell="J18" sqref="J18"/>
    </sheetView>
  </sheetViews>
  <sheetFormatPr baseColWidth="10" defaultRowHeight="15"/>
  <cols>
    <col min="2" max="2" width="19.28515625" style="55" customWidth="1"/>
    <col min="3" max="3" width="9.7109375" customWidth="1"/>
    <col min="4" max="4" width="7.7109375" customWidth="1"/>
    <col min="5" max="5" width="9.5703125" customWidth="1"/>
    <col min="6" max="6" width="7.140625" customWidth="1"/>
    <col min="7" max="7" width="9" customWidth="1"/>
    <col min="8" max="8" width="8.42578125" bestFit="1" customWidth="1"/>
    <col min="9" max="9" width="13.42578125" customWidth="1"/>
  </cols>
  <sheetData>
    <row r="2" spans="2:9" ht="21.75" customHeight="1">
      <c r="B2" s="117" t="s">
        <v>73</v>
      </c>
      <c r="C2" s="109" t="s">
        <v>96</v>
      </c>
      <c r="D2" s="118" t="s">
        <v>97</v>
      </c>
      <c r="E2" s="118" t="s">
        <v>98</v>
      </c>
      <c r="F2" s="118" t="s">
        <v>99</v>
      </c>
      <c r="G2" s="118" t="s">
        <v>129</v>
      </c>
      <c r="H2" s="119" t="s">
        <v>124</v>
      </c>
      <c r="I2" s="118" t="s">
        <v>125</v>
      </c>
    </row>
    <row r="3" spans="2:9">
      <c r="B3" s="107" t="s">
        <v>75</v>
      </c>
      <c r="C3" s="3"/>
      <c r="D3" s="3"/>
      <c r="E3" s="3"/>
      <c r="F3" s="3"/>
      <c r="G3" s="3"/>
      <c r="H3" s="3"/>
      <c r="I3" s="3"/>
    </row>
    <row r="4" spans="2:9">
      <c r="B4" s="114" t="s">
        <v>76</v>
      </c>
      <c r="C4" s="56">
        <f>+segmentacion!C126</f>
        <v>192</v>
      </c>
      <c r="D4" s="56">
        <f>+segmentacion!D126</f>
        <v>59</v>
      </c>
      <c r="E4" s="56">
        <f>+segmentacion!E126</f>
        <v>6.2666666666666666</v>
      </c>
      <c r="F4" s="56">
        <f>+segmentacion!F126</f>
        <v>33.866666666666667</v>
      </c>
      <c r="G4" s="56">
        <f>+C4+D4+E4+F4</f>
        <v>291.13333333333333</v>
      </c>
      <c r="H4" s="4">
        <v>3</v>
      </c>
      <c r="I4" s="4">
        <f>+G4*H4</f>
        <v>873.4</v>
      </c>
    </row>
    <row r="5" spans="2:9">
      <c r="B5" s="114" t="s">
        <v>77</v>
      </c>
      <c r="C5" s="56">
        <f>+segmentacion!C127</f>
        <v>191.17777777777778</v>
      </c>
      <c r="D5" s="56">
        <f>+segmentacion!D127</f>
        <v>58.183333333333337</v>
      </c>
      <c r="E5" s="56">
        <f>+segmentacion!E127</f>
        <v>7</v>
      </c>
      <c r="F5" s="56">
        <f>+segmentacion!F127</f>
        <v>33.866666666666667</v>
      </c>
      <c r="G5" s="56">
        <f>+C5+D5+E5+F5</f>
        <v>290.22777777777776</v>
      </c>
      <c r="H5" s="4">
        <v>4</v>
      </c>
      <c r="I5" s="4">
        <f t="shared" ref="I5:I28" si="0">+G5*H5</f>
        <v>1160.911111111111</v>
      </c>
    </row>
    <row r="6" spans="2:9">
      <c r="B6" s="114" t="s">
        <v>102</v>
      </c>
      <c r="C6" s="56">
        <f>+segmentacion!C128</f>
        <v>191.17777777777778</v>
      </c>
      <c r="D6" s="56">
        <f>+segmentacion!D128</f>
        <v>58.183333333333337</v>
      </c>
      <c r="E6" s="56">
        <f>+segmentacion!E128</f>
        <v>6.2666666666666666</v>
      </c>
      <c r="F6" s="56">
        <f>+segmentacion!F128</f>
        <v>33.866666666666667</v>
      </c>
      <c r="G6" s="56">
        <f>+segmentacion!G128</f>
        <v>1447.4722222222224</v>
      </c>
      <c r="H6" s="4">
        <v>18</v>
      </c>
      <c r="I6" s="4">
        <f t="shared" si="0"/>
        <v>26054.500000000004</v>
      </c>
    </row>
    <row r="7" spans="2:9">
      <c r="B7" s="107" t="s">
        <v>78</v>
      </c>
      <c r="C7" s="3"/>
      <c r="D7" s="3"/>
      <c r="E7" s="3"/>
      <c r="F7" s="3"/>
      <c r="G7" s="3"/>
      <c r="H7" s="4"/>
      <c r="I7" s="4"/>
    </row>
    <row r="8" spans="2:9">
      <c r="B8" s="114" t="s">
        <v>102</v>
      </c>
      <c r="C8" s="56">
        <f>+segmentacion!C131</f>
        <v>103.94444444444446</v>
      </c>
      <c r="D8" s="56">
        <f>+segmentacion!D131</f>
        <v>34.091666666666669</v>
      </c>
      <c r="E8" s="56">
        <f>+segmentacion!E131</f>
        <v>323.13333333333333</v>
      </c>
      <c r="F8" s="56">
        <f>+segmentacion!F131</f>
        <v>61</v>
      </c>
      <c r="G8" s="56">
        <f>+SUM(C8:F8)</f>
        <v>522.16944444444448</v>
      </c>
      <c r="H8" s="4">
        <v>20</v>
      </c>
      <c r="I8" s="4">
        <f t="shared" si="0"/>
        <v>10443.388888888891</v>
      </c>
    </row>
    <row r="9" spans="2:9">
      <c r="B9" s="114" t="s">
        <v>79</v>
      </c>
      <c r="C9" s="56">
        <f>+segmentacion!C132</f>
        <v>103.94444444444446</v>
      </c>
      <c r="D9" s="56">
        <f>+segmentacion!D132</f>
        <v>34.091666666666669</v>
      </c>
      <c r="E9" s="56">
        <f>+segmentacion!E132</f>
        <v>323.13333333333333</v>
      </c>
      <c r="F9" s="56">
        <f>+segmentacion!F132</f>
        <v>60.266666666666673</v>
      </c>
      <c r="G9" s="56">
        <f>+SUM(C9:F9)</f>
        <v>521.43611111111113</v>
      </c>
      <c r="H9" s="4">
        <v>10</v>
      </c>
      <c r="I9" s="4">
        <f t="shared" si="0"/>
        <v>5214.3611111111113</v>
      </c>
    </row>
    <row r="10" spans="2:9">
      <c r="B10" s="107" t="s">
        <v>81</v>
      </c>
      <c r="C10" s="3"/>
      <c r="D10" s="3"/>
      <c r="E10" s="3"/>
      <c r="F10" s="3"/>
      <c r="G10" s="3"/>
      <c r="H10" s="4"/>
      <c r="I10" s="4"/>
    </row>
    <row r="11" spans="2:9">
      <c r="B11" s="114" t="s">
        <v>102</v>
      </c>
      <c r="C11" s="56">
        <f>+segmentacion!C135</f>
        <v>207.88888888888891</v>
      </c>
      <c r="D11" s="56">
        <f>+segmentacion!D135</f>
        <v>68.183333333333337</v>
      </c>
      <c r="E11" s="56">
        <f>+segmentacion!E135</f>
        <v>646.26666666666665</v>
      </c>
      <c r="F11" s="56">
        <f>+segmentacion!F135</f>
        <v>120.53333333333335</v>
      </c>
      <c r="G11" s="56">
        <f>+SUM(C11:F11)</f>
        <v>1042.8722222222223</v>
      </c>
      <c r="H11" s="4">
        <v>20</v>
      </c>
      <c r="I11" s="4">
        <f t="shared" si="0"/>
        <v>20857.444444444445</v>
      </c>
    </row>
    <row r="12" spans="2:9">
      <c r="B12" s="107" t="s">
        <v>82</v>
      </c>
      <c r="C12" s="3"/>
      <c r="D12" s="3"/>
      <c r="E12" s="3"/>
      <c r="F12" s="3"/>
      <c r="G12" s="56"/>
      <c r="H12" s="4"/>
      <c r="I12" s="4"/>
    </row>
    <row r="13" spans="2:9">
      <c r="B13" s="114" t="s">
        <v>102</v>
      </c>
      <c r="C13" s="56">
        <f>+segmentacion!C141</f>
        <v>207.88888888888891</v>
      </c>
      <c r="D13" s="56">
        <f>+segmentacion!D141</f>
        <v>68.183333333333337</v>
      </c>
      <c r="E13" s="56">
        <f>+segmentacion!E141</f>
        <v>646.26666666666665</v>
      </c>
      <c r="F13" s="56">
        <f>+segmentacion!F141</f>
        <v>120.53333333333335</v>
      </c>
      <c r="G13" s="56">
        <f>+SUM(C13:F13)</f>
        <v>1042.8722222222223</v>
      </c>
      <c r="H13" s="4">
        <v>20</v>
      </c>
      <c r="I13" s="4">
        <f t="shared" si="0"/>
        <v>20857.444444444445</v>
      </c>
    </row>
    <row r="14" spans="2:9">
      <c r="B14" s="107" t="s">
        <v>83</v>
      </c>
      <c r="C14" s="3"/>
      <c r="D14" s="3"/>
      <c r="E14" s="3"/>
      <c r="F14" s="3"/>
      <c r="G14" s="3"/>
      <c r="H14" s="4"/>
      <c r="I14" s="4"/>
    </row>
    <row r="15" spans="2:9">
      <c r="B15" s="114" t="s">
        <v>102</v>
      </c>
      <c r="C15" s="56">
        <f>+segmentacion!C141</f>
        <v>207.88888888888891</v>
      </c>
      <c r="D15" s="56">
        <f>+segmentacion!D141</f>
        <v>68.183333333333337</v>
      </c>
      <c r="E15" s="56">
        <f>+segmentacion!E141</f>
        <v>646.26666666666665</v>
      </c>
      <c r="F15" s="56">
        <f>+segmentacion!F141</f>
        <v>120.53333333333335</v>
      </c>
      <c r="G15" s="56">
        <f>+SUM(C15:F15)</f>
        <v>1042.8722222222223</v>
      </c>
      <c r="H15" s="4">
        <v>20</v>
      </c>
      <c r="I15" s="4">
        <f t="shared" si="0"/>
        <v>20857.444444444445</v>
      </c>
    </row>
    <row r="16" spans="2:9">
      <c r="B16" s="107" t="s">
        <v>84</v>
      </c>
      <c r="C16" s="3"/>
      <c r="D16" s="3"/>
      <c r="E16" s="3"/>
      <c r="F16" s="3"/>
      <c r="G16" s="3"/>
      <c r="H16" s="4"/>
      <c r="I16" s="4"/>
    </row>
    <row r="17" spans="2:9">
      <c r="B17" s="114" t="s">
        <v>102</v>
      </c>
      <c r="C17" s="56">
        <f>+segmentacion!C144</f>
        <v>70</v>
      </c>
      <c r="D17" s="56">
        <f>+segmentacion!D144</f>
        <v>22.727777777777778</v>
      </c>
      <c r="E17" s="56">
        <f>+segmentacion!E144</f>
        <v>215.42222222222222</v>
      </c>
      <c r="F17" s="56">
        <f>+segmentacion!F144</f>
        <v>41</v>
      </c>
      <c r="G17" s="56">
        <f>+SUM(C17:F17)</f>
        <v>349.15</v>
      </c>
      <c r="H17" s="4">
        <v>20</v>
      </c>
      <c r="I17" s="4">
        <f t="shared" si="0"/>
        <v>6983</v>
      </c>
    </row>
    <row r="18" spans="2:9">
      <c r="B18" s="114" t="s">
        <v>85</v>
      </c>
      <c r="C18" s="56">
        <f>+segmentacion!C145</f>
        <v>69.296296296296305</v>
      </c>
      <c r="D18" s="56">
        <f>+segmentacion!D145</f>
        <v>22.727777777777778</v>
      </c>
      <c r="E18" s="56">
        <f>+segmentacion!E145</f>
        <v>215.42222222222222</v>
      </c>
      <c r="F18" s="56">
        <f>+segmentacion!F145</f>
        <v>40.177777777777784</v>
      </c>
      <c r="G18" s="56">
        <f>+SUM(C18:F18)</f>
        <v>347.62407407407409</v>
      </c>
      <c r="H18" s="4">
        <v>4</v>
      </c>
      <c r="I18" s="4">
        <f t="shared" si="0"/>
        <v>1390.4962962962964</v>
      </c>
    </row>
    <row r="19" spans="2:9">
      <c r="B19" s="114" t="s">
        <v>86</v>
      </c>
      <c r="C19" s="56">
        <f>+segmentacion!C146</f>
        <v>69.296296296296305</v>
      </c>
      <c r="D19" s="56">
        <f>+segmentacion!D146</f>
        <v>22</v>
      </c>
      <c r="E19" s="56">
        <f>+segmentacion!E146</f>
        <v>216</v>
      </c>
      <c r="F19" s="56">
        <f>+segmentacion!F146</f>
        <v>40.177777777777784</v>
      </c>
      <c r="G19" s="56">
        <f>+SUM(C19:F19)</f>
        <v>347.47407407407411</v>
      </c>
      <c r="H19" s="4">
        <v>5</v>
      </c>
      <c r="I19" s="4">
        <f t="shared" si="0"/>
        <v>1737.3703703703704</v>
      </c>
    </row>
    <row r="20" spans="2:9">
      <c r="B20" s="107" t="s">
        <v>87</v>
      </c>
      <c r="C20" s="3"/>
      <c r="D20" s="3"/>
      <c r="E20" s="3"/>
      <c r="F20" s="3"/>
      <c r="G20" s="3"/>
      <c r="H20" s="4"/>
      <c r="I20" s="4"/>
    </row>
    <row r="21" spans="2:9">
      <c r="B21" s="114" t="s">
        <v>88</v>
      </c>
      <c r="C21" s="56">
        <f>+segmentacion!C149</f>
        <v>25.06666666666667</v>
      </c>
      <c r="D21" s="56">
        <f>+segmentacion!D149</f>
        <v>15</v>
      </c>
      <c r="E21" s="56">
        <f>+segmentacion!E149</f>
        <v>960</v>
      </c>
      <c r="F21" s="56">
        <f>+segmentacion!F149</f>
        <v>130</v>
      </c>
      <c r="G21" s="56">
        <f>+SUM(C21:F21)</f>
        <v>1130.0666666666666</v>
      </c>
      <c r="H21" s="4">
        <v>30</v>
      </c>
      <c r="I21" s="4">
        <f t="shared" si="0"/>
        <v>33902</v>
      </c>
    </row>
    <row r="22" spans="2:9">
      <c r="B22" s="107" t="s">
        <v>89</v>
      </c>
      <c r="C22" s="56"/>
      <c r="D22" s="3"/>
      <c r="E22" s="3"/>
      <c r="F22" s="3"/>
      <c r="G22" s="3"/>
      <c r="H22" s="4"/>
      <c r="I22" s="4"/>
    </row>
    <row r="23" spans="2:9">
      <c r="B23" s="107" t="s">
        <v>90</v>
      </c>
      <c r="C23" s="56"/>
      <c r="D23" s="3"/>
      <c r="E23" s="3"/>
      <c r="F23" s="3"/>
      <c r="G23" s="3"/>
      <c r="H23" s="4"/>
      <c r="I23" s="4"/>
    </row>
    <row r="24" spans="2:9">
      <c r="B24" s="114" t="s">
        <v>91</v>
      </c>
      <c r="C24" s="56">
        <f>+segmentacion!C153</f>
        <v>25.06666666666667</v>
      </c>
      <c r="D24" s="56">
        <f>+segmentacion!D153</f>
        <v>15</v>
      </c>
      <c r="E24" s="56">
        <f>+segmentacion!E153</f>
        <v>960</v>
      </c>
      <c r="F24" s="56">
        <f>+segmentacion!F153</f>
        <v>130</v>
      </c>
      <c r="G24" s="56">
        <f>+SUM(C24:F24)</f>
        <v>1130.0666666666666</v>
      </c>
      <c r="H24" s="4">
        <v>5</v>
      </c>
      <c r="I24" s="4">
        <f t="shared" si="0"/>
        <v>5650.333333333333</v>
      </c>
    </row>
    <row r="25" spans="2:9">
      <c r="B25" s="107" t="s">
        <v>92</v>
      </c>
      <c r="C25" s="3"/>
      <c r="D25" s="3"/>
      <c r="E25" s="3"/>
      <c r="F25" s="3"/>
      <c r="G25" s="3"/>
      <c r="H25" s="4"/>
      <c r="I25" s="4"/>
    </row>
    <row r="26" spans="2:9">
      <c r="B26" s="114" t="s">
        <v>93</v>
      </c>
      <c r="C26" s="56">
        <f>+segmentacion!C156</f>
        <v>207.88888888888891</v>
      </c>
      <c r="D26" s="56">
        <f>+segmentacion!D156</f>
        <v>68.183333333333337</v>
      </c>
      <c r="E26" s="56">
        <f>+segmentacion!E156</f>
        <v>646.26666666666665</v>
      </c>
      <c r="F26" s="56">
        <f>+segmentacion!F156</f>
        <v>120.53333333333335</v>
      </c>
      <c r="G26" s="56">
        <f>+SUM(C26:F26)</f>
        <v>1042.8722222222223</v>
      </c>
      <c r="H26" s="4">
        <v>8</v>
      </c>
      <c r="I26" s="4">
        <f t="shared" si="0"/>
        <v>8342.9777777777781</v>
      </c>
    </row>
    <row r="27" spans="2:9">
      <c r="B27" s="107" t="s">
        <v>94</v>
      </c>
      <c r="C27" s="3"/>
      <c r="D27" s="3"/>
      <c r="E27" s="3"/>
      <c r="F27" s="3"/>
      <c r="G27" s="3"/>
      <c r="H27" s="4"/>
      <c r="I27" s="4"/>
    </row>
    <row r="28" spans="2:9">
      <c r="B28" s="114" t="s">
        <v>95</v>
      </c>
      <c r="C28" s="56">
        <f>+segmentacion!C159</f>
        <v>207.88888888888891</v>
      </c>
      <c r="D28" s="56">
        <f>+segmentacion!D159</f>
        <v>68.183333333333337</v>
      </c>
      <c r="E28" s="56">
        <f>+segmentacion!E159</f>
        <v>646.26666666666665</v>
      </c>
      <c r="F28" s="56">
        <f>+segmentacion!F159</f>
        <v>120.53333333333335</v>
      </c>
      <c r="G28" s="56">
        <f>+segmentacion!G159</f>
        <v>2085.7444444444445</v>
      </c>
      <c r="H28" s="4">
        <v>5</v>
      </c>
      <c r="I28" s="4">
        <f t="shared" si="0"/>
        <v>10428.722222222223</v>
      </c>
    </row>
    <row r="29" spans="2:9">
      <c r="B29" s="191" t="s">
        <v>210</v>
      </c>
      <c r="C29" s="191"/>
      <c r="D29" s="191"/>
      <c r="E29" s="191"/>
      <c r="F29" s="191"/>
      <c r="G29" s="191"/>
      <c r="H29" s="191"/>
      <c r="I29" s="57">
        <f>+SUM(I3:I28)</f>
        <v>174753.79444444444</v>
      </c>
    </row>
  </sheetData>
  <mergeCells count="1">
    <mergeCell ref="B29:H2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2:D29"/>
  <sheetViews>
    <sheetView workbookViewId="0">
      <selection activeCell="E25" sqref="E25"/>
    </sheetView>
  </sheetViews>
  <sheetFormatPr baseColWidth="10" defaultRowHeight="15"/>
  <cols>
    <col min="3" max="3" width="38.5703125" customWidth="1"/>
  </cols>
  <sheetData>
    <row r="2" spans="3:4">
      <c r="C2" s="112" t="s">
        <v>73</v>
      </c>
      <c r="D2" s="112" t="s">
        <v>74</v>
      </c>
    </row>
    <row r="3" spans="3:4">
      <c r="C3" s="107" t="s">
        <v>75</v>
      </c>
      <c r="D3" s="113"/>
    </row>
    <row r="4" spans="3:4">
      <c r="C4" s="114" t="s">
        <v>76</v>
      </c>
      <c r="D4" s="115">
        <v>3</v>
      </c>
    </row>
    <row r="5" spans="3:4">
      <c r="C5" s="114" t="s">
        <v>77</v>
      </c>
      <c r="D5" s="115">
        <v>4</v>
      </c>
    </row>
    <row r="6" spans="3:4">
      <c r="C6" s="114" t="s">
        <v>126</v>
      </c>
      <c r="D6" s="115">
        <v>18</v>
      </c>
    </row>
    <row r="7" spans="3:4">
      <c r="C7" s="107" t="s">
        <v>78</v>
      </c>
      <c r="D7" s="113"/>
    </row>
    <row r="8" spans="3:4">
      <c r="C8" s="114" t="s">
        <v>127</v>
      </c>
      <c r="D8" s="115">
        <v>20</v>
      </c>
    </row>
    <row r="9" spans="3:4">
      <c r="C9" s="114" t="s">
        <v>79</v>
      </c>
      <c r="D9" s="115">
        <v>10</v>
      </c>
    </row>
    <row r="10" spans="3:4">
      <c r="C10" s="107" t="s">
        <v>81</v>
      </c>
      <c r="D10" s="113"/>
    </row>
    <row r="11" spans="3:4">
      <c r="C11" s="116" t="s">
        <v>126</v>
      </c>
      <c r="D11" s="115">
        <v>20</v>
      </c>
    </row>
    <row r="12" spans="3:4">
      <c r="C12" s="107" t="s">
        <v>82</v>
      </c>
      <c r="D12" s="113"/>
    </row>
    <row r="13" spans="3:4">
      <c r="C13" s="114" t="s">
        <v>126</v>
      </c>
      <c r="D13" s="115">
        <v>20</v>
      </c>
    </row>
    <row r="14" spans="3:4">
      <c r="C14" s="107" t="s">
        <v>83</v>
      </c>
      <c r="D14" s="113"/>
    </row>
    <row r="15" spans="3:4">
      <c r="C15" s="114" t="s">
        <v>126</v>
      </c>
      <c r="D15" s="115">
        <v>20</v>
      </c>
    </row>
    <row r="16" spans="3:4">
      <c r="C16" s="107" t="s">
        <v>84</v>
      </c>
      <c r="D16" s="113"/>
    </row>
    <row r="17" spans="3:4">
      <c r="C17" s="114" t="s">
        <v>126</v>
      </c>
      <c r="D17" s="115">
        <v>20</v>
      </c>
    </row>
    <row r="18" spans="3:4">
      <c r="C18" s="114" t="s">
        <v>85</v>
      </c>
      <c r="D18" s="115">
        <v>4</v>
      </c>
    </row>
    <row r="19" spans="3:4">
      <c r="C19" s="114" t="s">
        <v>86</v>
      </c>
      <c r="D19" s="115">
        <v>5</v>
      </c>
    </row>
    <row r="20" spans="3:4">
      <c r="C20" s="107" t="s">
        <v>87</v>
      </c>
      <c r="D20" s="113"/>
    </row>
    <row r="21" spans="3:4">
      <c r="C21" s="114" t="s">
        <v>88</v>
      </c>
      <c r="D21" s="115">
        <v>30</v>
      </c>
    </row>
    <row r="22" spans="3:4">
      <c r="C22" s="107" t="s">
        <v>89</v>
      </c>
      <c r="D22" s="113"/>
    </row>
    <row r="23" spans="3:4">
      <c r="C23" s="107" t="s">
        <v>90</v>
      </c>
      <c r="D23" s="113"/>
    </row>
    <row r="24" spans="3:4">
      <c r="C24" s="114" t="s">
        <v>128</v>
      </c>
      <c r="D24" s="115">
        <v>10</v>
      </c>
    </row>
    <row r="25" spans="3:4">
      <c r="C25" s="114" t="s">
        <v>91</v>
      </c>
      <c r="D25" s="115">
        <v>5</v>
      </c>
    </row>
    <row r="26" spans="3:4">
      <c r="C26" s="107" t="s">
        <v>92</v>
      </c>
      <c r="D26" s="113"/>
    </row>
    <row r="27" spans="3:4">
      <c r="C27" s="114" t="s">
        <v>93</v>
      </c>
      <c r="D27" s="115">
        <v>8</v>
      </c>
    </row>
    <row r="28" spans="3:4">
      <c r="C28" s="107" t="s">
        <v>94</v>
      </c>
      <c r="D28" s="113"/>
    </row>
    <row r="29" spans="3:4">
      <c r="C29" s="114" t="s">
        <v>95</v>
      </c>
      <c r="D29" s="115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G29"/>
  <sheetViews>
    <sheetView topLeftCell="A6" workbookViewId="0">
      <selection activeCell="I28" sqref="I28"/>
    </sheetView>
  </sheetViews>
  <sheetFormatPr baseColWidth="10" defaultRowHeight="15"/>
  <cols>
    <col min="1" max="1" width="11.42578125" style="47"/>
    <col min="2" max="2" width="20.140625" style="47" customWidth="1"/>
    <col min="3" max="3" width="7.5703125" style="47" customWidth="1"/>
    <col min="4" max="4" width="6.42578125" style="47" customWidth="1"/>
    <col min="5" max="5" width="7.7109375" style="47" customWidth="1"/>
    <col min="6" max="6" width="5.85546875" style="47" customWidth="1"/>
    <col min="7" max="7" width="9.7109375" style="47" customWidth="1"/>
    <col min="8" max="16384" width="11.42578125" style="47"/>
  </cols>
  <sheetData>
    <row r="2" spans="2:7" ht="27" customHeight="1">
      <c r="B2" s="117" t="s">
        <v>73</v>
      </c>
      <c r="C2" s="151" t="s">
        <v>96</v>
      </c>
      <c r="D2" s="152" t="s">
        <v>97</v>
      </c>
      <c r="E2" s="152" t="s">
        <v>98</v>
      </c>
      <c r="F2" s="152" t="s">
        <v>99</v>
      </c>
      <c r="G2" s="109" t="s">
        <v>103</v>
      </c>
    </row>
    <row r="3" spans="2:7">
      <c r="B3" s="110" t="s">
        <v>75</v>
      </c>
      <c r="C3" s="27"/>
      <c r="D3" s="27"/>
      <c r="E3" s="27"/>
      <c r="F3" s="27"/>
      <c r="G3" s="66"/>
    </row>
    <row r="4" spans="2:7">
      <c r="B4" s="111" t="s">
        <v>76</v>
      </c>
      <c r="C4" s="32">
        <f>+segmentacion!C126</f>
        <v>192</v>
      </c>
      <c r="D4" s="32">
        <f>+segmentacion!D126</f>
        <v>59</v>
      </c>
      <c r="E4" s="32">
        <f>+segmentacion!E126</f>
        <v>6.2666666666666666</v>
      </c>
      <c r="F4" s="32">
        <f>+segmentacion!F126</f>
        <v>33.866666666666667</v>
      </c>
      <c r="G4" s="66">
        <f>+segmentacion!G126</f>
        <v>486.19266666666664</v>
      </c>
    </row>
    <row r="5" spans="2:7">
      <c r="B5" s="111" t="s">
        <v>77</v>
      </c>
      <c r="C5" s="32">
        <f>+segmentacion!C127</f>
        <v>191.17777777777778</v>
      </c>
      <c r="D5" s="32">
        <f>+segmentacion!D127</f>
        <v>58.183333333333337</v>
      </c>
      <c r="E5" s="32">
        <f>+segmentacion!E127</f>
        <v>7</v>
      </c>
      <c r="F5" s="32">
        <f>+segmentacion!F127</f>
        <v>33.866666666666667</v>
      </c>
      <c r="G5" s="66">
        <f>+segmentacion!G127</f>
        <v>1160.911111111111</v>
      </c>
    </row>
    <row r="6" spans="2:7">
      <c r="B6" s="111" t="s">
        <v>102</v>
      </c>
      <c r="C6" s="32">
        <f>+segmentacion!C128</f>
        <v>191.17777777777778</v>
      </c>
      <c r="D6" s="32">
        <f>+segmentacion!D128</f>
        <v>58.183333333333337</v>
      </c>
      <c r="E6" s="32">
        <f>+segmentacion!E128</f>
        <v>6.2666666666666666</v>
      </c>
      <c r="F6" s="32">
        <f>+segmentacion!F128</f>
        <v>33.866666666666667</v>
      </c>
      <c r="G6" s="66">
        <f>+segmentacion!G128</f>
        <v>1447.4722222222224</v>
      </c>
    </row>
    <row r="7" spans="2:7">
      <c r="B7" s="110" t="s">
        <v>78</v>
      </c>
      <c r="C7" s="27"/>
      <c r="D7" s="27"/>
      <c r="E7" s="27"/>
      <c r="F7" s="27"/>
      <c r="G7" s="66"/>
    </row>
    <row r="8" spans="2:7">
      <c r="B8" s="111" t="s">
        <v>102</v>
      </c>
      <c r="C8" s="32">
        <f>+segmentacion!C131</f>
        <v>103.94444444444446</v>
      </c>
      <c r="D8" s="32">
        <f>+segmentacion!D131</f>
        <v>34.091666666666669</v>
      </c>
      <c r="E8" s="32">
        <f>+segmentacion!E131</f>
        <v>323.13333333333333</v>
      </c>
      <c r="F8" s="32">
        <f>+segmentacion!F131</f>
        <v>61</v>
      </c>
      <c r="G8" s="66">
        <f>+segmentacion!G131</f>
        <v>4177.3555555555558</v>
      </c>
    </row>
    <row r="9" spans="2:7">
      <c r="B9" s="111" t="s">
        <v>79</v>
      </c>
      <c r="C9" s="32">
        <f>+segmentacion!C132</f>
        <v>103.94444444444446</v>
      </c>
      <c r="D9" s="32">
        <f>+segmentacion!D132</f>
        <v>34.091666666666669</v>
      </c>
      <c r="E9" s="32">
        <f>+segmentacion!E132</f>
        <v>323.13333333333333</v>
      </c>
      <c r="F9" s="32">
        <f>+segmentacion!F132</f>
        <v>60.266666666666673</v>
      </c>
      <c r="G9" s="66">
        <f>+segmentacion!G132</f>
        <v>2085.7444444444445</v>
      </c>
    </row>
    <row r="10" spans="2:7">
      <c r="B10" s="110" t="s">
        <v>81</v>
      </c>
      <c r="C10" s="27"/>
      <c r="D10" s="27"/>
      <c r="E10" s="27"/>
      <c r="F10" s="27"/>
      <c r="G10" s="66"/>
    </row>
    <row r="11" spans="2:7">
      <c r="B11" s="111" t="s">
        <v>102</v>
      </c>
      <c r="C11" s="32">
        <f>+segmentacion!C135</f>
        <v>207.88888888888891</v>
      </c>
      <c r="D11" s="32">
        <f>+segmentacion!D135</f>
        <v>68.183333333333337</v>
      </c>
      <c r="E11" s="32">
        <f>+segmentacion!E135</f>
        <v>646.26666666666665</v>
      </c>
      <c r="F11" s="32">
        <f>+segmentacion!F135</f>
        <v>120.53333333333335</v>
      </c>
      <c r="G11" s="66">
        <f>+segmentacion!G135</f>
        <v>8342.9777777777781</v>
      </c>
    </row>
    <row r="12" spans="2:7">
      <c r="B12" s="110" t="s">
        <v>82</v>
      </c>
      <c r="C12" s="27"/>
      <c r="D12" s="27"/>
      <c r="E12" s="27"/>
      <c r="F12" s="27"/>
      <c r="G12" s="66"/>
    </row>
    <row r="13" spans="2:7">
      <c r="B13" s="111" t="s">
        <v>102</v>
      </c>
      <c r="C13" s="32">
        <f>+segmentacion!C138</f>
        <v>207.88888888888891</v>
      </c>
      <c r="D13" s="32">
        <f>+segmentacion!D138</f>
        <v>68.183333333333337</v>
      </c>
      <c r="E13" s="32">
        <f>+segmentacion!E138</f>
        <v>646.26666666666665</v>
      </c>
      <c r="F13" s="32">
        <f>+segmentacion!F138</f>
        <v>120.53333333333335</v>
      </c>
      <c r="G13" s="66">
        <f>+segmentacion!G138</f>
        <v>20857.444444444445</v>
      </c>
    </row>
    <row r="14" spans="2:7">
      <c r="B14" s="110" t="s">
        <v>83</v>
      </c>
      <c r="C14" s="27"/>
      <c r="D14" s="27"/>
      <c r="E14" s="27"/>
      <c r="F14" s="27"/>
      <c r="G14" s="66"/>
    </row>
    <row r="15" spans="2:7">
      <c r="B15" s="111" t="s">
        <v>102</v>
      </c>
      <c r="C15" s="32">
        <f>+segmentacion!C141</f>
        <v>207.88888888888891</v>
      </c>
      <c r="D15" s="32">
        <f>+segmentacion!D141</f>
        <v>68.183333333333337</v>
      </c>
      <c r="E15" s="32">
        <f>+segmentacion!E141</f>
        <v>646.26666666666665</v>
      </c>
      <c r="F15" s="32">
        <f>+segmentacion!F141</f>
        <v>120.53333333333335</v>
      </c>
      <c r="G15" s="66">
        <f>+segmentacion!G141</f>
        <v>8342.9777777777781</v>
      </c>
    </row>
    <row r="16" spans="2:7">
      <c r="B16" s="110" t="s">
        <v>84</v>
      </c>
      <c r="C16" s="27"/>
      <c r="D16" s="27"/>
      <c r="E16" s="27"/>
      <c r="F16" s="27"/>
      <c r="G16" s="66"/>
    </row>
    <row r="17" spans="2:7" s="61" customFormat="1">
      <c r="B17" s="111" t="s">
        <v>102</v>
      </c>
      <c r="C17" s="32">
        <f>+segmentacion!C144</f>
        <v>70</v>
      </c>
      <c r="D17" s="32">
        <f>+segmentacion!D144</f>
        <v>22.727777777777778</v>
      </c>
      <c r="E17" s="32">
        <f>+segmentacion!E144</f>
        <v>215.42222222222222</v>
      </c>
      <c r="F17" s="32">
        <f>+segmentacion!F144</f>
        <v>41</v>
      </c>
      <c r="G17" s="66">
        <f>+segmentacion!G144</f>
        <v>2793.2</v>
      </c>
    </row>
    <row r="18" spans="2:7">
      <c r="B18" s="111" t="s">
        <v>85</v>
      </c>
      <c r="C18" s="32">
        <f>+segmentacion!C145</f>
        <v>69.296296296296305</v>
      </c>
      <c r="D18" s="32">
        <f>+segmentacion!D145</f>
        <v>22.727777777777778</v>
      </c>
      <c r="E18" s="32">
        <f>+segmentacion!E145</f>
        <v>215.42222222222222</v>
      </c>
      <c r="F18" s="32">
        <f>+segmentacion!F145</f>
        <v>40.177777777777784</v>
      </c>
      <c r="G18" s="66">
        <f>+segmentacion!G145</f>
        <v>695.24814814814818</v>
      </c>
    </row>
    <row r="19" spans="2:7">
      <c r="B19" s="111" t="s">
        <v>86</v>
      </c>
      <c r="C19" s="32">
        <f>+segmentacion!C146</f>
        <v>69.296296296296305</v>
      </c>
      <c r="D19" s="32">
        <f>+segmentacion!D146</f>
        <v>22</v>
      </c>
      <c r="E19" s="32">
        <f>+segmentacion!E146</f>
        <v>216</v>
      </c>
      <c r="F19" s="32">
        <f>+segmentacion!F146</f>
        <v>40.177777777777784</v>
      </c>
      <c r="G19" s="66">
        <f>+segmentacion!G146</f>
        <v>694.94814814814822</v>
      </c>
    </row>
    <row r="20" spans="2:7">
      <c r="B20" s="110" t="s">
        <v>87</v>
      </c>
      <c r="C20" s="27"/>
      <c r="D20" s="27"/>
      <c r="E20" s="27"/>
      <c r="F20" s="27"/>
      <c r="G20" s="66"/>
    </row>
    <row r="21" spans="2:7">
      <c r="B21" s="111" t="s">
        <v>88</v>
      </c>
      <c r="C21" s="32">
        <f>+segmentacion!C149</f>
        <v>25.06666666666667</v>
      </c>
      <c r="D21" s="32">
        <f>+segmentacion!D149</f>
        <v>15</v>
      </c>
      <c r="E21" s="32">
        <f>+segmentacion!E149</f>
        <v>960</v>
      </c>
      <c r="F21" s="32">
        <f>+segmentacion!F149</f>
        <v>130</v>
      </c>
      <c r="G21" s="66">
        <f>+segmentacion!G149</f>
        <v>16951</v>
      </c>
    </row>
    <row r="22" spans="2:7">
      <c r="B22" s="110" t="s">
        <v>89</v>
      </c>
      <c r="C22" s="27"/>
      <c r="D22" s="27"/>
      <c r="E22" s="27"/>
      <c r="F22" s="27"/>
      <c r="G22" s="66"/>
    </row>
    <row r="23" spans="2:7">
      <c r="B23" s="110" t="s">
        <v>90</v>
      </c>
      <c r="C23" s="27"/>
      <c r="D23" s="27"/>
      <c r="E23" s="27"/>
      <c r="F23" s="27"/>
      <c r="G23" s="66"/>
    </row>
    <row r="24" spans="2:7">
      <c r="B24" s="111" t="s">
        <v>91</v>
      </c>
      <c r="C24" s="32">
        <f>+segmentacion!C153</f>
        <v>25.06666666666667</v>
      </c>
      <c r="D24" s="32">
        <f>+segmentacion!D153</f>
        <v>15</v>
      </c>
      <c r="E24" s="32">
        <f>+segmentacion!E153</f>
        <v>960</v>
      </c>
      <c r="F24" s="32">
        <f>+segmentacion!F153</f>
        <v>130</v>
      </c>
      <c r="G24" s="66">
        <f>+segmentacion!G153</f>
        <v>2260.1333333333332</v>
      </c>
    </row>
    <row r="25" spans="2:7">
      <c r="B25" s="110" t="s">
        <v>92</v>
      </c>
      <c r="C25" s="27"/>
      <c r="D25" s="27"/>
      <c r="E25" s="27"/>
      <c r="F25" s="27"/>
      <c r="G25" s="66"/>
    </row>
    <row r="26" spans="2:7">
      <c r="B26" s="111" t="s">
        <v>93</v>
      </c>
      <c r="C26" s="32">
        <f>+segmentacion!C156</f>
        <v>207.88888888888891</v>
      </c>
      <c r="D26" s="32">
        <f>+segmentacion!D156</f>
        <v>68.183333333333337</v>
      </c>
      <c r="E26" s="32">
        <f>+segmentacion!E156</f>
        <v>646.26666666666665</v>
      </c>
      <c r="F26" s="32">
        <f>+segmentacion!F156</f>
        <v>120.53333333333335</v>
      </c>
      <c r="G26" s="66">
        <f>+segmentacion!G156</f>
        <v>4171.4888888888891</v>
      </c>
    </row>
    <row r="27" spans="2:7">
      <c r="B27" s="110" t="s">
        <v>94</v>
      </c>
      <c r="C27" s="27"/>
      <c r="D27" s="27"/>
      <c r="E27" s="27"/>
      <c r="F27" s="27"/>
      <c r="G27" s="66"/>
    </row>
    <row r="28" spans="2:7">
      <c r="B28" s="111" t="s">
        <v>95</v>
      </c>
      <c r="C28" s="32">
        <f>+segmentacion!C159</f>
        <v>207.88888888888891</v>
      </c>
      <c r="D28" s="32">
        <f>+segmentacion!D159</f>
        <v>68.183333333333337</v>
      </c>
      <c r="E28" s="32">
        <f>+segmentacion!E159</f>
        <v>646.26666666666665</v>
      </c>
      <c r="F28" s="32">
        <f>+segmentacion!F159</f>
        <v>120.53333333333335</v>
      </c>
      <c r="G28" s="66">
        <f>+segmentacion!G159</f>
        <v>2085.7444444444445</v>
      </c>
    </row>
    <row r="29" spans="2:7">
      <c r="B29" s="192" t="s">
        <v>206</v>
      </c>
      <c r="C29" s="193"/>
      <c r="D29" s="193"/>
      <c r="E29" s="193"/>
      <c r="F29" s="194"/>
      <c r="G29" s="101">
        <f>+SUM(G3:G28)</f>
        <v>76552.838962962953</v>
      </c>
    </row>
  </sheetData>
  <mergeCells count="1">
    <mergeCell ref="B29:F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J16"/>
  <sheetViews>
    <sheetView workbookViewId="0">
      <selection activeCell="G24" sqref="G24"/>
    </sheetView>
  </sheetViews>
  <sheetFormatPr baseColWidth="10" defaultRowHeight="15"/>
  <cols>
    <col min="2" max="2" width="14.85546875" bestFit="1" customWidth="1"/>
    <col min="3" max="3" width="12" bestFit="1" customWidth="1"/>
    <col min="5" max="5" width="18" bestFit="1" customWidth="1"/>
    <col min="8" max="8" width="16.42578125" bestFit="1" customWidth="1"/>
  </cols>
  <sheetData>
    <row r="2" spans="2:10">
      <c r="B2" s="6" t="s">
        <v>142</v>
      </c>
      <c r="E2" s="6" t="s">
        <v>146</v>
      </c>
      <c r="H2" s="6" t="s">
        <v>151</v>
      </c>
    </row>
    <row r="3" spans="2:10">
      <c r="B3" s="3" t="s">
        <v>143</v>
      </c>
      <c r="C3" s="4">
        <f>+'capital de trabajo'!E6</f>
        <v>1500</v>
      </c>
      <c r="E3" s="5" t="s">
        <v>147</v>
      </c>
      <c r="F3" s="4">
        <f>+'capital de trabajo'!E10</f>
        <v>160</v>
      </c>
      <c r="H3" s="3" t="s">
        <v>26</v>
      </c>
      <c r="I3" s="11">
        <f>+'capital de trabajo'!E7</f>
        <v>235.48</v>
      </c>
    </row>
    <row r="4" spans="2:10">
      <c r="B4" s="3" t="s">
        <v>150</v>
      </c>
      <c r="C4" s="4">
        <v>0</v>
      </c>
      <c r="E4" s="5" t="s">
        <v>148</v>
      </c>
      <c r="F4" s="4">
        <f>+'capital de trabajo'!E11</f>
        <v>12</v>
      </c>
      <c r="H4" s="3" t="s">
        <v>50</v>
      </c>
      <c r="I4" s="11">
        <f>+'capital de trabajo'!E8</f>
        <v>10</v>
      </c>
    </row>
    <row r="5" spans="2:10">
      <c r="B5" s="3" t="s">
        <v>144</v>
      </c>
      <c r="C5" s="82">
        <v>3</v>
      </c>
      <c r="E5" s="5" t="s">
        <v>149</v>
      </c>
      <c r="F5" s="4">
        <f>+'capital de trabajo'!E12</f>
        <v>45</v>
      </c>
      <c r="H5" s="81" t="s">
        <v>143</v>
      </c>
      <c r="I5" s="7">
        <f>+SUM(I2:I4)</f>
        <v>245.48</v>
      </c>
    </row>
    <row r="6" spans="2:10">
      <c r="B6" s="58" t="s">
        <v>145</v>
      </c>
      <c r="C6" s="80">
        <f>+C3/C5</f>
        <v>500</v>
      </c>
      <c r="E6" s="81" t="s">
        <v>143</v>
      </c>
      <c r="F6" s="7">
        <f>+SUM(F3:F5)</f>
        <v>217</v>
      </c>
      <c r="H6" s="3" t="s">
        <v>150</v>
      </c>
      <c r="I6" s="3">
        <v>0</v>
      </c>
    </row>
    <row r="7" spans="2:10">
      <c r="E7" s="3" t="s">
        <v>150</v>
      </c>
      <c r="F7" s="4">
        <v>0</v>
      </c>
      <c r="H7" s="3" t="s">
        <v>144</v>
      </c>
      <c r="I7" s="3">
        <v>10</v>
      </c>
    </row>
    <row r="8" spans="2:10">
      <c r="E8" s="3" t="s">
        <v>144</v>
      </c>
      <c r="F8" s="3">
        <v>10</v>
      </c>
      <c r="H8" s="58" t="s">
        <v>145</v>
      </c>
      <c r="I8" s="4">
        <f>+I5/I7</f>
        <v>24.547999999999998</v>
      </c>
    </row>
    <row r="9" spans="2:10">
      <c r="E9" s="58" t="s">
        <v>145</v>
      </c>
      <c r="F9" s="4">
        <f>+F6/F8</f>
        <v>21.7</v>
      </c>
    </row>
    <row r="11" spans="2:10" ht="30">
      <c r="E11" s="83" t="s">
        <v>152</v>
      </c>
      <c r="F11" s="79">
        <f>+C6+F9+I8+C16</f>
        <v>3346.248</v>
      </c>
    </row>
    <row r="12" spans="2:10">
      <c r="B12" s="1" t="s">
        <v>107</v>
      </c>
    </row>
    <row r="13" spans="2:10">
      <c r="B13" s="3" t="s">
        <v>143</v>
      </c>
      <c r="C13" s="4">
        <f>+'capital de trabajo'!E13</f>
        <v>14000</v>
      </c>
      <c r="F13" t="s">
        <v>176</v>
      </c>
    </row>
    <row r="14" spans="2:10">
      <c r="B14" s="3" t="s">
        <v>150</v>
      </c>
      <c r="C14" s="4">
        <v>0</v>
      </c>
      <c r="F14" s="62">
        <v>1</v>
      </c>
      <c r="G14" s="62">
        <v>2</v>
      </c>
      <c r="H14" s="62">
        <v>3</v>
      </c>
      <c r="I14" s="62">
        <v>4</v>
      </c>
      <c r="J14" s="62">
        <v>5</v>
      </c>
    </row>
    <row r="15" spans="2:10">
      <c r="B15" s="3" t="s">
        <v>144</v>
      </c>
      <c r="C15" s="82">
        <v>5</v>
      </c>
      <c r="F15" s="53">
        <f>+$C$6+$F$9+$I$8+$C$16</f>
        <v>3346.248</v>
      </c>
      <c r="G15" s="53">
        <f>+$C$6+$F$9+$I$8+$C$16</f>
        <v>3346.248</v>
      </c>
      <c r="H15" s="53">
        <f>+$C$6+$F$9+$I$8+$C$16</f>
        <v>3346.248</v>
      </c>
      <c r="I15" s="53">
        <f>+$F$9+$I$8+$C$16</f>
        <v>2846.248</v>
      </c>
      <c r="J15" s="53">
        <f>+$F$9+$I$8+$C$16</f>
        <v>2846.248</v>
      </c>
    </row>
    <row r="16" spans="2:10">
      <c r="B16" s="58" t="s">
        <v>145</v>
      </c>
      <c r="C16" s="4">
        <f>+C13/C15</f>
        <v>2800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C1:H5"/>
  <sheetViews>
    <sheetView workbookViewId="0">
      <selection activeCell="C9" sqref="C9"/>
    </sheetView>
  </sheetViews>
  <sheetFormatPr baseColWidth="10" defaultRowHeight="15"/>
  <cols>
    <col min="3" max="3" width="21.42578125" bestFit="1" customWidth="1"/>
  </cols>
  <sheetData>
    <row r="1" spans="3:8">
      <c r="C1" s="8" t="s">
        <v>153</v>
      </c>
      <c r="D1" s="59">
        <v>1</v>
      </c>
      <c r="E1" s="59">
        <v>2</v>
      </c>
      <c r="F1" s="59">
        <v>3</v>
      </c>
      <c r="G1" s="59">
        <v>4</v>
      </c>
      <c r="H1" s="59">
        <v>5</v>
      </c>
    </row>
    <row r="2" spans="3:8">
      <c r="C2" s="14" t="s">
        <v>35</v>
      </c>
      <c r="D2" s="4">
        <f>+'capital de trabajo'!E17*20%</f>
        <v>330</v>
      </c>
      <c r="E2" s="4">
        <f t="shared" ref="E2:H3" si="0">+D2</f>
        <v>330</v>
      </c>
      <c r="F2" s="4">
        <f t="shared" si="0"/>
        <v>330</v>
      </c>
      <c r="G2" s="4">
        <f t="shared" si="0"/>
        <v>330</v>
      </c>
      <c r="H2" s="4">
        <f t="shared" si="0"/>
        <v>330</v>
      </c>
    </row>
    <row r="3" spans="3:8">
      <c r="C3" s="14" t="s">
        <v>36</v>
      </c>
      <c r="D3" s="4">
        <f>+'capital de trabajo'!E18</f>
        <v>100</v>
      </c>
      <c r="E3" s="4">
        <f t="shared" si="0"/>
        <v>100</v>
      </c>
      <c r="F3" s="4">
        <f t="shared" si="0"/>
        <v>100</v>
      </c>
      <c r="G3" s="4">
        <f t="shared" si="0"/>
        <v>100</v>
      </c>
      <c r="H3" s="4">
        <f t="shared" si="0"/>
        <v>100</v>
      </c>
    </row>
    <row r="4" spans="3:8">
      <c r="C4" s="14" t="s">
        <v>37</v>
      </c>
      <c r="D4" s="4">
        <f>+'capital de trabajo'!E19*60%</f>
        <v>720</v>
      </c>
      <c r="E4" s="4">
        <f>+'capital de trabajo'!E19*15%</f>
        <v>180</v>
      </c>
      <c r="F4" s="4">
        <f>+'capital de trabajo'!E19*15%</f>
        <v>180</v>
      </c>
      <c r="G4" s="4">
        <f>+'capital de trabajo'!E19*10%</f>
        <v>120</v>
      </c>
      <c r="H4" s="4">
        <v>0</v>
      </c>
    </row>
    <row r="5" spans="3:8">
      <c r="C5" s="59" t="s">
        <v>18</v>
      </c>
      <c r="D5" s="80">
        <f>+SUM(D2:D4)</f>
        <v>1150</v>
      </c>
      <c r="E5" s="80">
        <f>+SUM(E2:E4)</f>
        <v>610</v>
      </c>
      <c r="F5" s="80">
        <f>+SUM(F2:F4)</f>
        <v>610</v>
      </c>
      <c r="G5" s="80">
        <f>+SUM(G2:G4)</f>
        <v>550</v>
      </c>
      <c r="H5" s="80">
        <f>+SUM(H2:H4)</f>
        <v>430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gastos</vt:lpstr>
      <vt:lpstr>capital de trabajo</vt:lpstr>
      <vt:lpstr>financiamiento</vt:lpstr>
      <vt:lpstr>segmentacion</vt:lpstr>
      <vt:lpstr>ingresos 1 año</vt:lpstr>
      <vt:lpstr>precios</vt:lpstr>
      <vt:lpstr>costos</vt:lpstr>
      <vt:lpstr>depreciacion</vt:lpstr>
      <vt:lpstr>amortizacion</vt:lpstr>
      <vt:lpstr>estado de resultados</vt:lpstr>
      <vt:lpstr>VAN vs TMAR</vt:lpstr>
      <vt:lpstr>flujo de caja</vt:lpstr>
      <vt:lpstr>payback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 Santana</dc:creator>
  <cp:lastModifiedBy>Holger Cevallos</cp:lastModifiedBy>
  <dcterms:created xsi:type="dcterms:W3CDTF">2010-02-07T17:28:05Z</dcterms:created>
  <dcterms:modified xsi:type="dcterms:W3CDTF">2010-03-05T03:43:13Z</dcterms:modified>
</cp:coreProperties>
</file>