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activeTab="0"/>
  </bookViews>
  <sheets>
    <sheet name="SUPUESTOS" sheetId="1" r:id="rId1"/>
    <sheet name="DEMANDA" sheetId="2" r:id="rId2"/>
    <sheet name="INVERSION" sheetId="3" r:id="rId3"/>
    <sheet name="CAP. DE TRABAJO" sheetId="4" r:id="rId4"/>
    <sheet name="FLUJO DE CAJA" sheetId="5" r:id="rId5"/>
    <sheet name="DEPRECIACION" sheetId="6" r:id="rId6"/>
    <sheet name="AMORTIZACION" sheetId="7" r:id="rId7"/>
    <sheet name="PRESTAMO" sheetId="8" r:id="rId8"/>
    <sheet name="Hoja1" sheetId="9" r:id="rId9"/>
  </sheets>
  <definedNames/>
  <calcPr fullCalcOnLoad="1"/>
</workbook>
</file>

<file path=xl/sharedStrings.xml><?xml version="1.0" encoding="utf-8"?>
<sst xmlns="http://schemas.openxmlformats.org/spreadsheetml/2006/main" count="313" uniqueCount="216">
  <si>
    <t>DEMANDA</t>
  </si>
  <si>
    <t>INGRESO MENSUAL</t>
  </si>
  <si>
    <t>SUPUESTOS DE DEMANDA</t>
  </si>
  <si>
    <t>% DE ACEPTACION</t>
  </si>
  <si>
    <t>POB. OBJETIVO</t>
  </si>
  <si>
    <t>FAMILIAS DEL SECTOR</t>
  </si>
  <si>
    <t>CROSS TAB DE ACEPTACION</t>
  </si>
  <si>
    <t>% DE PENETRACION AL MERCADO</t>
  </si>
  <si>
    <t>DEMANDA PROBABLE</t>
  </si>
  <si>
    <t>ANUAL</t>
  </si>
  <si>
    <t>MENSUAL</t>
  </si>
  <si>
    <t>TOTAL</t>
  </si>
  <si>
    <t>INGRESO ESPERADO</t>
  </si>
  <si>
    <t>AÑOS</t>
  </si>
  <si>
    <t>INGRESO</t>
  </si>
  <si>
    <t>COSTOS OPERACIONALES</t>
  </si>
  <si>
    <t>INVERSIONES</t>
  </si>
  <si>
    <t>COMPUTADORAS</t>
  </si>
  <si>
    <t>AIRE ACONDICIONADO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</si>
  <si>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</si>
  <si>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</si>
  <si>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</si>
  <si>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</si>
  <si>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</si>
  <si>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</si>
  <si>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</si>
  <si>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</si>
  <si>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</si>
  <si>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</si>
  <si>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</si>
  <si>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</si>
  <si>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INVERSION</t>
  </si>
  <si>
    <t>SUPUESTOS MAQUINARIAS</t>
  </si>
  <si>
    <t>SUPUESTOS EQ. DE COMPUTACION</t>
  </si>
  <si>
    <t>SUPUESTOS MUEBLES Y ENSERES</t>
  </si>
  <si>
    <t>ESCRITORIOS</t>
  </si>
  <si>
    <t>SILLAS</t>
  </si>
  <si>
    <t>SUPUESTOS DE VEHICULOS</t>
  </si>
  <si>
    <t>DEPRECIACION</t>
  </si>
  <si>
    <t>UTILIDAD ANTES DE IMPUESTO</t>
  </si>
  <si>
    <t>UTILIDAD TRABAJAD (15%)</t>
  </si>
  <si>
    <t>UTILIDAD DESPUES PARTICIP</t>
  </si>
  <si>
    <t>IMPUESTOS (25%)</t>
  </si>
  <si>
    <t>UTILIDAD NETA</t>
  </si>
  <si>
    <t>CAPITAL DE TRABAJO</t>
  </si>
  <si>
    <t>FLUJO DE CAJA</t>
  </si>
  <si>
    <t>COSTO ACUMUL</t>
  </si>
  <si>
    <t>VAN</t>
  </si>
  <si>
    <t>TIR</t>
  </si>
  <si>
    <t>Nº</t>
  </si>
  <si>
    <t>MATERIALES</t>
  </si>
  <si>
    <t>VALOR</t>
  </si>
  <si>
    <t>UNITARIO</t>
  </si>
  <si>
    <t>Acero inoxidable</t>
  </si>
  <si>
    <t>Hierro negro</t>
  </si>
  <si>
    <t>Bronce Fosfórico</t>
  </si>
  <si>
    <t>Rodamientos</t>
  </si>
  <si>
    <t>$ 800.00</t>
  </si>
  <si>
    <t>Chumaceras</t>
  </si>
  <si>
    <t>Motores</t>
  </si>
  <si>
    <t>Piñones</t>
  </si>
  <si>
    <t>Cadenas</t>
  </si>
  <si>
    <t>Planchas</t>
  </si>
  <si>
    <t>Bigas</t>
  </si>
  <si>
    <t>Angulos</t>
  </si>
  <si>
    <t>Platinas</t>
  </si>
  <si>
    <t>Soldaduras</t>
  </si>
  <si>
    <t>Pernos</t>
  </si>
  <si>
    <t>Pasadores</t>
  </si>
  <si>
    <t>Electro-imanes</t>
  </si>
  <si>
    <t>TOTAL MATERIA PRIMA</t>
  </si>
  <si>
    <t>SERVICIOS BASICOS</t>
  </si>
  <si>
    <t>Mensuales</t>
  </si>
  <si>
    <t>Anuales</t>
  </si>
  <si>
    <t>Energia eléctrica</t>
  </si>
  <si>
    <t>Agua</t>
  </si>
  <si>
    <t>Teléfono</t>
  </si>
  <si>
    <t>PROFESIONALES</t>
  </si>
  <si>
    <t>EMPLEADOS</t>
  </si>
  <si>
    <t>SALARIOS</t>
  </si>
  <si>
    <t>Ing. Mecánico</t>
  </si>
  <si>
    <t>Ing. Químico</t>
  </si>
  <si>
    <t>Ing. Electrónico</t>
  </si>
  <si>
    <t>Ing. Hidráulico</t>
  </si>
  <si>
    <t>Ing. Industrial</t>
  </si>
  <si>
    <t xml:space="preserve">Ing. Proyectos </t>
  </si>
  <si>
    <t>Ing. Civil</t>
  </si>
  <si>
    <t xml:space="preserve">TOTAL </t>
  </si>
  <si>
    <t>MECANICOS</t>
  </si>
  <si>
    <t>Tornero</t>
  </si>
  <si>
    <t>Fresador</t>
  </si>
  <si>
    <t>$ 1,600.00</t>
  </si>
  <si>
    <t>$ 19,200.00</t>
  </si>
  <si>
    <t>Banco</t>
  </si>
  <si>
    <t>Armador</t>
  </si>
  <si>
    <t>Soldador</t>
  </si>
  <si>
    <t>Electricista</t>
  </si>
  <si>
    <t>OTROS</t>
  </si>
  <si>
    <t>Jefes de Departamento</t>
  </si>
  <si>
    <t>Pintores</t>
  </si>
  <si>
    <t>CONTROL</t>
  </si>
  <si>
    <t>CARGO</t>
  </si>
  <si>
    <t>Gerente General</t>
  </si>
  <si>
    <t>Gerente de Planta</t>
  </si>
  <si>
    <t>Director Técnico</t>
  </si>
  <si>
    <t>Ing. Control de calidad</t>
  </si>
  <si>
    <t>Director de Calidad</t>
  </si>
  <si>
    <t>MANTENIMIENTO</t>
  </si>
  <si>
    <t>Mecánicos</t>
  </si>
  <si>
    <t>Electricistas</t>
  </si>
  <si>
    <t>Ayudantes</t>
  </si>
  <si>
    <t>$ 9,600.00</t>
  </si>
  <si>
    <t>Operarios</t>
  </si>
  <si>
    <t>$ 18,000.00</t>
  </si>
  <si>
    <t>$ 216,000.00</t>
  </si>
  <si>
    <t>TOTAL DE SUELDOS</t>
  </si>
  <si>
    <t>TOTAL DE MATERIA PRIMA</t>
  </si>
  <si>
    <t xml:space="preserve">TOTAL SERVICIOS BASICOS </t>
  </si>
  <si>
    <t xml:space="preserve">COSTOS FIJOS </t>
  </si>
  <si>
    <t xml:space="preserve">TOTAL COSTOS </t>
  </si>
  <si>
    <t>Supuestos de salario</t>
  </si>
  <si>
    <t>SUPUESTOS DE MATERIALES</t>
  </si>
  <si>
    <t>FRESADORA</t>
  </si>
  <si>
    <t>TORNOS</t>
  </si>
  <si>
    <t>CEPILLO</t>
  </si>
  <si>
    <t>SOLDADORAS</t>
  </si>
  <si>
    <t>TALADROS</t>
  </si>
  <si>
    <t>IMPRESORAS</t>
  </si>
  <si>
    <t>ARCHIVADORES</t>
  </si>
  <si>
    <t>CAMIONES</t>
  </si>
  <si>
    <t>AUTOS</t>
  </si>
  <si>
    <t>SUPUESTOS MANTENIMIENTO</t>
  </si>
  <si>
    <t>TOTAL MUEBLES Y ENSERES</t>
  </si>
  <si>
    <t>TOTAL EQ. COMPUTACION</t>
  </si>
  <si>
    <t>TOTAL VEHICULOS</t>
  </si>
  <si>
    <t>TOTAL DE INVERSION</t>
  </si>
  <si>
    <t>TOTAL MAQUINARIAS</t>
  </si>
  <si>
    <t>TERRENOS</t>
  </si>
  <si>
    <t>$ 300,405.00</t>
  </si>
  <si>
    <t xml:space="preserve"> 162,000.00 € </t>
  </si>
  <si>
    <t>$ 777,600.00</t>
  </si>
  <si>
    <t>COSTOS TOTALES DE INVERSION</t>
  </si>
  <si>
    <t>$ 1,078,005.00</t>
  </si>
  <si>
    <t xml:space="preserve">TOTAL DE SUELDOS </t>
  </si>
  <si>
    <t>$ 546,000.00</t>
  </si>
  <si>
    <t>COSTOS DE INVERSION</t>
  </si>
  <si>
    <t>1.078.005.00</t>
  </si>
  <si>
    <t>COSTOS MANTEN. Y CONTROL</t>
  </si>
  <si>
    <t>1.624.005.00</t>
  </si>
  <si>
    <t>TELEFONOS - FAX</t>
  </si>
  <si>
    <t xml:space="preserve">COSTOS VARIALES </t>
  </si>
  <si>
    <t>PLANTA</t>
  </si>
  <si>
    <t>Inversion Planta</t>
  </si>
  <si>
    <t>InversionTerrenos</t>
  </si>
  <si>
    <t>InversionEquipos</t>
  </si>
  <si>
    <t>Inversion Vehiculos</t>
  </si>
  <si>
    <t>RECOLECTORES</t>
  </si>
  <si>
    <t>COSTOS FINANCIEROS</t>
  </si>
  <si>
    <t>COSTOS NO OPERACIONALES (FINANCIEROS)</t>
  </si>
  <si>
    <t>TASA DE DSCTO</t>
  </si>
  <si>
    <t>Capital Inicial</t>
  </si>
  <si>
    <t>Periodo de Pago</t>
  </si>
  <si>
    <t>Numero Total de Cuotas</t>
  </si>
  <si>
    <t>Carencia Parcial</t>
  </si>
  <si>
    <t>Comisión de Estudio</t>
  </si>
  <si>
    <t>Comisión de Apertura</t>
  </si>
  <si>
    <t>Interés del Préstamo</t>
  </si>
  <si>
    <t>PERIODO</t>
  </si>
  <si>
    <t>CUOTA</t>
  </si>
  <si>
    <t>INTERÉS</t>
  </si>
  <si>
    <t>AMORTIZACION</t>
  </si>
  <si>
    <t>CAPITAL AMORTIZADO</t>
  </si>
  <si>
    <t>CAPITAL VIVO</t>
  </si>
  <si>
    <t>TIR trimestral</t>
  </si>
  <si>
    <t>PRESTAMO</t>
  </si>
  <si>
    <t>Fijo</t>
  </si>
  <si>
    <t>Mensual</t>
  </si>
  <si>
    <t>Anual</t>
  </si>
  <si>
    <t>Demanda</t>
  </si>
  <si>
    <t>Precio</t>
  </si>
  <si>
    <t>Incremento porcentual</t>
  </si>
  <si>
    <t>Unidades</t>
  </si>
  <si>
    <t>Cost. Unitario</t>
  </si>
  <si>
    <t>Total</t>
  </si>
  <si>
    <t>Total de maquinaria</t>
  </si>
  <si>
    <t>Total materia prima</t>
  </si>
  <si>
    <t>Total de Eq. De computacion</t>
  </si>
  <si>
    <t>Total muebles y enseres</t>
  </si>
  <si>
    <t xml:space="preserve">Cap. De trabajo </t>
  </si>
  <si>
    <t>% DEP.</t>
  </si>
  <si>
    <t xml:space="preserve">FLUJO DE CAJA </t>
  </si>
  <si>
    <t>Calculo de la TMAR</t>
  </si>
  <si>
    <t>RF</t>
  </si>
  <si>
    <t>Rf</t>
  </si>
  <si>
    <t>B</t>
  </si>
  <si>
    <t>RM</t>
  </si>
  <si>
    <t>Ke</t>
  </si>
  <si>
    <t>A</t>
  </si>
  <si>
    <t>analisis de sensibilidad</t>
  </si>
  <si>
    <t>Prob</t>
  </si>
  <si>
    <t>Pesim</t>
  </si>
  <si>
    <t>Optim</t>
  </si>
  <si>
    <t>Ingreso mensual de 12 pagos</t>
  </si>
  <si>
    <t>% Frecuencia anual</t>
  </si>
  <si>
    <t>Costos Operacionales</t>
  </si>
  <si>
    <t>Costos no Op</t>
  </si>
  <si>
    <t>empleados</t>
  </si>
  <si>
    <t>fijo</t>
  </si>
  <si>
    <t>mensual</t>
  </si>
  <si>
    <t>anual</t>
  </si>
  <si>
    <t>secretarias</t>
  </si>
  <si>
    <t>suministros</t>
  </si>
  <si>
    <t>asistentes</t>
  </si>
  <si>
    <t>contador</t>
  </si>
  <si>
    <t>total mensual</t>
  </si>
  <si>
    <t>$ 384,000.00+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</si>
</sst>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300A]dddd\,\ dd&quot; de &quot;mmmm&quot; de &quot;yyyy"/>
    <numFmt numFmtId="174" formatCode="&quot;$&quot;\ #,##0.00"/>
    <numFmt numFmtId="175" formatCode="&quot;$&quot;\ #,##0.0"/>
    <numFmt numFmtId="176" formatCode="&quot;$&quot;\ #,##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\ _€"/>
    <numFmt numFmtId="188" formatCode="[$$-300A]\ #,##0.00"/>
    <numFmt numFmtId="189" formatCode="[$-C0A]dddd\,\ dd&quot; de &quot;mmmm&quot; de &quot;yyyy"/>
    <numFmt numFmtId="190" formatCode="0.000000000"/>
    <numFmt numFmtId="191" formatCode="0.0000000000"/>
    <numFmt numFmtId="192" formatCode="0.00000000"/>
    <numFmt numFmtId="193" formatCode="_(* #,##0_);_(* \(#,##0\);_(* &quot;-&quot;??_);_(@_)"/>
    <numFmt numFmtId="194" formatCode="0.0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9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8" fontId="5" fillId="0" borderId="14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8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188" fontId="6" fillId="35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7" fillId="0" borderId="0" xfId="0" applyFont="1" applyFill="1" applyAlignment="1">
      <alignment horizontal="right"/>
    </xf>
    <xf numFmtId="188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188" fontId="5" fillId="0" borderId="0" xfId="0" applyNumberFormat="1" applyFont="1" applyFill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188" fontId="7" fillId="35" borderId="15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88" fontId="5" fillId="0" borderId="16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4" fontId="5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/>
    </xf>
    <xf numFmtId="174" fontId="6" fillId="35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horizontal="right"/>
    </xf>
    <xf numFmtId="188" fontId="6" fillId="0" borderId="0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/>
    </xf>
    <xf numFmtId="175" fontId="6" fillId="0" borderId="17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82" fontId="6" fillId="0" borderId="2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/>
    </xf>
    <xf numFmtId="188" fontId="6" fillId="0" borderId="17" xfId="0" applyNumberFormat="1" applyFont="1" applyBorder="1" applyAlignment="1">
      <alignment horizontal="right"/>
    </xf>
    <xf numFmtId="188" fontId="6" fillId="0" borderId="18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5" fillId="0" borderId="13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0" fontId="6" fillId="35" borderId="15" xfId="0" applyFont="1" applyFill="1" applyBorder="1" applyAlignment="1">
      <alignment horizontal="right"/>
    </xf>
    <xf numFmtId="174" fontId="7" fillId="35" borderId="16" xfId="0" applyNumberFormat="1" applyFont="1" applyFill="1" applyBorder="1" applyAlignment="1">
      <alignment/>
    </xf>
    <xf numFmtId="188" fontId="6" fillId="35" borderId="1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4" fontId="6" fillId="0" borderId="22" xfId="0" applyNumberFormat="1" applyFont="1" applyBorder="1" applyAlignment="1">
      <alignment/>
    </xf>
    <xf numFmtId="174" fontId="6" fillId="35" borderId="16" xfId="0" applyNumberFormat="1" applyFont="1" applyFill="1" applyBorder="1" applyAlignment="1">
      <alignment/>
    </xf>
    <xf numFmtId="174" fontId="6" fillId="0" borderId="22" xfId="0" applyNumberFormat="1" applyFont="1" applyFill="1" applyBorder="1" applyAlignment="1">
      <alignment/>
    </xf>
    <xf numFmtId="174" fontId="6" fillId="0" borderId="0" xfId="0" applyNumberFormat="1" applyFont="1" applyAlignment="1">
      <alignment/>
    </xf>
    <xf numFmtId="188" fontId="7" fillId="35" borderId="15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74" fontId="1" fillId="0" borderId="2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17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74" fontId="2" fillId="35" borderId="16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8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" fillId="35" borderId="29" xfId="0" applyFont="1" applyFill="1" applyBorder="1" applyAlignment="1">
      <alignment/>
    </xf>
    <xf numFmtId="188" fontId="0" fillId="35" borderId="16" xfId="0" applyNumberFormat="1" applyFill="1" applyBorder="1" applyAlignment="1">
      <alignment/>
    </xf>
    <xf numFmtId="188" fontId="0" fillId="0" borderId="14" xfId="0" applyNumberForma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8" fillId="35" borderId="16" xfId="0" applyNumberFormat="1" applyFont="1" applyFill="1" applyBorder="1" applyAlignment="1">
      <alignment/>
    </xf>
    <xf numFmtId="174" fontId="5" fillId="0" borderId="26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6" fillId="0" borderId="25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0" fontId="6" fillId="35" borderId="29" xfId="0" applyFont="1" applyFill="1" applyBorder="1" applyAlignment="1">
      <alignment/>
    </xf>
    <xf numFmtId="188" fontId="5" fillId="35" borderId="16" xfId="0" applyNumberFormat="1" applyFont="1" applyFill="1" applyBorder="1" applyAlignment="1">
      <alignment/>
    </xf>
    <xf numFmtId="188" fontId="5" fillId="35" borderId="18" xfId="0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3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188" fontId="5" fillId="37" borderId="0" xfId="0" applyNumberFormat="1" applyFont="1" applyFill="1" applyBorder="1" applyAlignment="1">
      <alignment/>
    </xf>
    <xf numFmtId="188" fontId="5" fillId="37" borderId="17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188" fontId="5" fillId="37" borderId="13" xfId="0" applyNumberFormat="1" applyFont="1" applyFill="1" applyBorder="1" applyAlignment="1">
      <alignment/>
    </xf>
    <xf numFmtId="0" fontId="5" fillId="37" borderId="13" xfId="0" applyFont="1" applyFill="1" applyBorder="1" applyAlignment="1">
      <alignment/>
    </xf>
    <xf numFmtId="188" fontId="5" fillId="37" borderId="22" xfId="0" applyNumberFormat="1" applyFont="1" applyFill="1" applyBorder="1" applyAlignment="1">
      <alignment/>
    </xf>
    <xf numFmtId="0" fontId="6" fillId="37" borderId="27" xfId="0" applyFont="1" applyFill="1" applyBorder="1" applyAlignment="1">
      <alignment/>
    </xf>
    <xf numFmtId="9" fontId="6" fillId="33" borderId="27" xfId="0" applyNumberFormat="1" applyFont="1" applyFill="1" applyBorder="1" applyAlignment="1">
      <alignment/>
    </xf>
    <xf numFmtId="0" fontId="13" fillId="0" borderId="0" xfId="0" applyFont="1" applyAlignment="1">
      <alignment/>
    </xf>
    <xf numFmtId="10" fontId="13" fillId="0" borderId="0" xfId="55" applyNumberFormat="1" applyFont="1" applyAlignment="1">
      <alignment horizontal="center"/>
    </xf>
    <xf numFmtId="0" fontId="13" fillId="36" borderId="30" xfId="0" applyFont="1" applyFill="1" applyBorder="1" applyAlignment="1">
      <alignment horizontal="center"/>
    </xf>
    <xf numFmtId="3" fontId="13" fillId="36" borderId="31" xfId="0" applyNumberFormat="1" applyFont="1" applyFill="1" applyBorder="1" applyAlignment="1">
      <alignment/>
    </xf>
    <xf numFmtId="3" fontId="13" fillId="36" borderId="31" xfId="0" applyNumberFormat="1" applyFont="1" applyFill="1" applyBorder="1" applyAlignment="1">
      <alignment horizontal="right"/>
    </xf>
    <xf numFmtId="3" fontId="13" fillId="36" borderId="3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36" borderId="33" xfId="0" applyFont="1" applyFill="1" applyBorder="1" applyAlignment="1">
      <alignment horizontal="center"/>
    </xf>
    <xf numFmtId="3" fontId="13" fillId="36" borderId="34" xfId="0" applyNumberFormat="1" applyFont="1" applyFill="1" applyBorder="1" applyAlignment="1">
      <alignment/>
    </xf>
    <xf numFmtId="3" fontId="13" fillId="36" borderId="34" xfId="0" applyNumberFormat="1" applyFont="1" applyFill="1" applyBorder="1" applyAlignment="1">
      <alignment horizontal="right"/>
    </xf>
    <xf numFmtId="3" fontId="13" fillId="36" borderId="35" xfId="0" applyNumberFormat="1" applyFont="1" applyFill="1" applyBorder="1" applyAlignment="1">
      <alignment/>
    </xf>
    <xf numFmtId="0" fontId="13" fillId="36" borderId="36" xfId="0" applyFont="1" applyFill="1" applyBorder="1" applyAlignment="1">
      <alignment horizontal="center"/>
    </xf>
    <xf numFmtId="3" fontId="13" fillId="36" borderId="37" xfId="0" applyNumberFormat="1" applyFont="1" applyFill="1" applyBorder="1" applyAlignment="1">
      <alignment/>
    </xf>
    <xf numFmtId="3" fontId="13" fillId="36" borderId="37" xfId="0" applyNumberFormat="1" applyFont="1" applyFill="1" applyBorder="1" applyAlignment="1">
      <alignment horizontal="right"/>
    </xf>
    <xf numFmtId="3" fontId="13" fillId="36" borderId="38" xfId="0" applyNumberFormat="1" applyFont="1" applyFill="1" applyBorder="1" applyAlignment="1">
      <alignment/>
    </xf>
    <xf numFmtId="9" fontId="13" fillId="0" borderId="0" xfId="0" applyNumberFormat="1" applyFont="1" applyAlignment="1">
      <alignment/>
    </xf>
    <xf numFmtId="194" fontId="13" fillId="37" borderId="34" xfId="0" applyNumberFormat="1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3" fontId="15" fillId="0" borderId="0" xfId="50" applyNumberFormat="1" applyFont="1" applyAlignment="1">
      <alignment/>
    </xf>
    <xf numFmtId="10" fontId="15" fillId="0" borderId="0" xfId="55" applyNumberFormat="1" applyFont="1" applyAlignment="1">
      <alignment horizontal="center"/>
    </xf>
    <xf numFmtId="9" fontId="15" fillId="0" borderId="0" xfId="55" applyNumberFormat="1" applyFont="1" applyAlignment="1">
      <alignment horizontal="center"/>
    </xf>
    <xf numFmtId="0" fontId="6" fillId="36" borderId="20" xfId="0" applyFont="1" applyFill="1" applyBorder="1" applyAlignment="1">
      <alignment/>
    </xf>
    <xf numFmtId="0" fontId="6" fillId="36" borderId="28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188" fontId="2" fillId="35" borderId="4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8" fontId="7" fillId="35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5" fillId="36" borderId="27" xfId="0" applyFont="1" applyFill="1" applyBorder="1" applyAlignment="1">
      <alignment/>
    </xf>
    <xf numFmtId="188" fontId="5" fillId="37" borderId="20" xfId="0" applyNumberFormat="1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5" fillId="37" borderId="28" xfId="0" applyFont="1" applyFill="1" applyBorder="1" applyAlignment="1">
      <alignment/>
    </xf>
    <xf numFmtId="188" fontId="5" fillId="35" borderId="28" xfId="0" applyNumberFormat="1" applyFont="1" applyFill="1" applyBorder="1" applyAlignment="1">
      <alignment/>
    </xf>
    <xf numFmtId="0" fontId="7" fillId="38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37" borderId="10" xfId="0" applyFont="1" applyFill="1" applyBorder="1" applyAlignment="1">
      <alignment/>
    </xf>
    <xf numFmtId="0" fontId="54" fillId="37" borderId="23" xfId="0" applyFont="1" applyFill="1" applyBorder="1" applyAlignment="1">
      <alignment/>
    </xf>
    <xf numFmtId="0" fontId="54" fillId="37" borderId="24" xfId="0" applyFont="1" applyFill="1" applyBorder="1" applyAlignment="1">
      <alignment/>
    </xf>
    <xf numFmtId="0" fontId="17" fillId="36" borderId="43" xfId="0" applyFont="1" applyFill="1" applyBorder="1" applyAlignment="1">
      <alignment/>
    </xf>
    <xf numFmtId="188" fontId="54" fillId="36" borderId="44" xfId="0" applyNumberFormat="1" applyFont="1" applyFill="1" applyBorder="1" applyAlignment="1">
      <alignment/>
    </xf>
    <xf numFmtId="188" fontId="54" fillId="36" borderId="45" xfId="0" applyNumberFormat="1" applyFont="1" applyFill="1" applyBorder="1" applyAlignment="1">
      <alignment/>
    </xf>
    <xf numFmtId="0" fontId="17" fillId="36" borderId="46" xfId="0" applyFont="1" applyFill="1" applyBorder="1" applyAlignment="1">
      <alignment/>
    </xf>
    <xf numFmtId="188" fontId="54" fillId="36" borderId="47" xfId="0" applyNumberFormat="1" applyFont="1" applyFill="1" applyBorder="1" applyAlignment="1">
      <alignment/>
    </xf>
    <xf numFmtId="188" fontId="54" fillId="36" borderId="48" xfId="0" applyNumberFormat="1" applyFont="1" applyFill="1" applyBorder="1" applyAlignment="1">
      <alignment/>
    </xf>
    <xf numFmtId="188" fontId="54" fillId="36" borderId="46" xfId="0" applyNumberFormat="1" applyFont="1" applyFill="1" applyBorder="1" applyAlignment="1">
      <alignment/>
    </xf>
    <xf numFmtId="0" fontId="54" fillId="36" borderId="47" xfId="0" applyFont="1" applyFill="1" applyBorder="1" applyAlignment="1">
      <alignment/>
    </xf>
    <xf numFmtId="0" fontId="54" fillId="36" borderId="48" xfId="0" applyFont="1" applyFill="1" applyBorder="1" applyAlignment="1">
      <alignment/>
    </xf>
    <xf numFmtId="3" fontId="54" fillId="36" borderId="47" xfId="0" applyNumberFormat="1" applyFont="1" applyFill="1" applyBorder="1" applyAlignment="1">
      <alignment/>
    </xf>
    <xf numFmtId="188" fontId="17" fillId="35" borderId="49" xfId="0" applyNumberFormat="1" applyFont="1" applyFill="1" applyBorder="1" applyAlignment="1">
      <alignment/>
    </xf>
    <xf numFmtId="188" fontId="17" fillId="35" borderId="42" xfId="0" applyNumberFormat="1" applyFont="1" applyFill="1" applyBorder="1" applyAlignment="1">
      <alignment/>
    </xf>
    <xf numFmtId="188" fontId="17" fillId="35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9" fontId="17" fillId="0" borderId="0" xfId="0" applyNumberFormat="1" applyFont="1" applyAlignment="1">
      <alignment/>
    </xf>
    <xf numFmtId="188" fontId="54" fillId="0" borderId="0" xfId="0" applyNumberFormat="1" applyFont="1" applyAlignment="1">
      <alignment/>
    </xf>
    <xf numFmtId="9" fontId="54" fillId="0" borderId="0" xfId="0" applyNumberFormat="1" applyFont="1" applyAlignment="1">
      <alignment/>
    </xf>
    <xf numFmtId="9" fontId="17" fillId="33" borderId="27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Proyectos I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6"/>
          <c:y val="0.031"/>
          <c:w val="0.7345"/>
          <c:h val="0.82275"/>
        </c:manualLayout>
      </c:layout>
      <c:line3DChart>
        <c:grouping val="standard"/>
        <c:varyColors val="0"/>
        <c:ser>
          <c:idx val="0"/>
          <c:order val="0"/>
          <c:tx>
            <c:v>A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ANALÍSIS DE SENSIBILIDAD</c:v>
              </c:pt>
            </c:strLit>
          </c:cat>
          <c:val>
            <c:numRef>
              <c:f>Hoja1!$B$17:$B$19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ANALÍSIS DE SENSIBILIDAD</c:v>
              </c:pt>
            </c:strLit>
          </c:cat>
          <c:val>
            <c:numRef>
              <c:f>Hoja1!$D$17:$D$19</c:f>
              <c:numCache/>
            </c:numRef>
          </c:val>
          <c:smooth val="0"/>
        </c:ser>
        <c:axId val="61775672"/>
        <c:axId val="19110137"/>
        <c:axId val="37773506"/>
      </c:line3DChart>
      <c:catAx>
        <c:axId val="61775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At val="1"/>
        <c:crossBetween val="between"/>
        <c:dispUnits/>
      </c:valAx>
      <c:ser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137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75"/>
          <c:y val="0.4085"/>
          <c:w val="0.06575"/>
          <c:h val="0.168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</xdr:row>
      <xdr:rowOff>114300</xdr:rowOff>
    </xdr:from>
    <xdr:to>
      <xdr:col>13</xdr:col>
      <xdr:colOff>114300</xdr:colOff>
      <xdr:row>19</xdr:row>
      <xdr:rowOff>152400</xdr:rowOff>
    </xdr:to>
    <xdr:graphicFrame>
      <xdr:nvGraphicFramePr>
        <xdr:cNvPr id="1" name="1 Gráfico"/>
        <xdr:cNvGraphicFramePr/>
      </xdr:nvGraphicFramePr>
      <xdr:xfrm>
        <a:off x="6315075" y="1066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tabSelected="1" zoomScale="90" zoomScaleNormal="90" zoomScalePageLayoutView="0" workbookViewId="0" topLeftCell="A98">
      <selection activeCell="F102" sqref="F102"/>
    </sheetView>
  </sheetViews>
  <sheetFormatPr defaultColWidth="11.00390625" defaultRowHeight="15"/>
  <cols>
    <col min="1" max="1" width="3.7109375" style="13" bestFit="1" customWidth="1"/>
    <col min="2" max="2" width="42.00390625" style="13" bestFit="1" customWidth="1"/>
    <col min="3" max="3" width="16.8515625" style="13" bestFit="1" customWidth="1"/>
    <col min="4" max="4" width="15.57421875" style="13" bestFit="1" customWidth="1"/>
    <col min="5" max="5" width="36.140625" style="13" bestFit="1" customWidth="1"/>
    <col min="6" max="6" width="17.140625" style="13" customWidth="1"/>
    <col min="7" max="7" width="13.8515625" style="13" customWidth="1"/>
    <col min="8" max="8" width="17.57421875" style="13" customWidth="1"/>
    <col min="9" max="11" width="11.00390625" style="13" customWidth="1"/>
    <col min="12" max="12" width="28.8515625" style="13" bestFit="1" customWidth="1"/>
    <col min="13" max="14" width="11.00390625" style="13" customWidth="1"/>
    <col min="15" max="15" width="26.7109375" style="13" bestFit="1" customWidth="1"/>
    <col min="16" max="16384" width="11.00390625" style="13" customWidth="1"/>
  </cols>
  <sheetData>
    <row r="1" ht="15.75">
      <c r="B1" s="27"/>
    </row>
    <row r="2" spans="1:7" s="28" customFormat="1" ht="15.75">
      <c r="A2" s="230" t="s">
        <v>15</v>
      </c>
      <c r="B2" s="230"/>
      <c r="C2" s="230"/>
      <c r="D2" s="230"/>
      <c r="E2" s="230"/>
      <c r="F2" s="230"/>
      <c r="G2" s="230"/>
    </row>
    <row r="3" s="30" customFormat="1" ht="16.5" thickBot="1">
      <c r="A3" s="29"/>
    </row>
    <row r="4" spans="2:4" s="30" customFormat="1" ht="16.5" thickBot="1">
      <c r="B4" s="231" t="s">
        <v>71</v>
      </c>
      <c r="C4" s="232"/>
      <c r="D4" s="233"/>
    </row>
    <row r="5" spans="2:8" s="30" customFormat="1" ht="16.5" thickBot="1">
      <c r="B5" s="31"/>
      <c r="C5" s="32" t="s">
        <v>72</v>
      </c>
      <c r="D5" s="53" t="s">
        <v>73</v>
      </c>
      <c r="F5" s="251"/>
      <c r="G5" s="251"/>
      <c r="H5" s="251"/>
    </row>
    <row r="6" spans="2:8" s="30" customFormat="1" ht="15.75">
      <c r="B6" s="13" t="s">
        <v>74</v>
      </c>
      <c r="C6" s="35">
        <v>25000</v>
      </c>
      <c r="D6" s="76">
        <f>C6*12</f>
        <v>300000</v>
      </c>
      <c r="F6" s="36"/>
      <c r="G6" s="36"/>
      <c r="H6" s="37"/>
    </row>
    <row r="7" spans="2:8" s="30" customFormat="1" ht="15.75">
      <c r="B7" s="13" t="s">
        <v>75</v>
      </c>
      <c r="C7" s="38">
        <v>5000</v>
      </c>
      <c r="D7" s="76">
        <f>C7*12</f>
        <v>60000</v>
      </c>
      <c r="F7" s="39"/>
      <c r="G7" s="39"/>
      <c r="H7" s="39"/>
    </row>
    <row r="8" spans="2:8" ht="15.75">
      <c r="B8" s="13" t="s">
        <v>76</v>
      </c>
      <c r="C8" s="38">
        <v>1800</v>
      </c>
      <c r="D8" s="76">
        <f>C8*12</f>
        <v>21600</v>
      </c>
      <c r="F8" s="39"/>
      <c r="G8" s="39"/>
      <c r="H8" s="39"/>
    </row>
    <row r="9" spans="1:8" ht="16.5" thickBot="1">
      <c r="A9" s="29"/>
      <c r="B9" s="20" t="s">
        <v>11</v>
      </c>
      <c r="C9" s="40">
        <f>SUM(C6:C8)</f>
        <v>31800</v>
      </c>
      <c r="D9" s="40">
        <f>SUM(D6:D8)</f>
        <v>381600</v>
      </c>
      <c r="F9" s="39"/>
      <c r="G9" s="39"/>
      <c r="H9" s="39"/>
    </row>
    <row r="10" spans="1:8" ht="16.5" thickTop="1">
      <c r="A10" s="30"/>
      <c r="B10" s="30"/>
      <c r="C10" s="30"/>
      <c r="D10" s="30"/>
      <c r="E10" s="30"/>
      <c r="F10" s="39"/>
      <c r="G10" s="41"/>
      <c r="H10" s="41"/>
    </row>
    <row r="12" spans="1:7" s="28" customFormat="1" ht="15.75">
      <c r="A12" s="230" t="s">
        <v>158</v>
      </c>
      <c r="B12" s="230"/>
      <c r="C12" s="230"/>
      <c r="D12" s="230"/>
      <c r="E12" s="230"/>
      <c r="F12" s="230"/>
      <c r="G12" s="230"/>
    </row>
    <row r="13" spans="1:24" s="28" customFormat="1" ht="15.75">
      <c r="A13" s="42"/>
      <c r="B13" s="42"/>
      <c r="C13" s="42"/>
      <c r="D13" s="42"/>
      <c r="E13" s="42"/>
      <c r="F13" s="42"/>
      <c r="G13" s="4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5" ht="15.75">
      <c r="A14" s="247" t="s">
        <v>120</v>
      </c>
      <c r="B14" s="247"/>
      <c r="C14" s="247"/>
      <c r="D14" s="247"/>
      <c r="E14" s="247"/>
    </row>
    <row r="15" spans="1:5" ht="16.5" thickBot="1">
      <c r="A15" s="86"/>
      <c r="B15" s="86"/>
      <c r="C15" s="86"/>
      <c r="D15" s="86"/>
      <c r="E15" s="86"/>
    </row>
    <row r="16" spans="1:5" ht="16.5" thickBot="1">
      <c r="A16" s="231" t="s">
        <v>88</v>
      </c>
      <c r="B16" s="232"/>
      <c r="C16" s="232"/>
      <c r="D16" s="232"/>
      <c r="E16" s="233"/>
    </row>
    <row r="17" spans="1:11" ht="16.5" thickBot="1">
      <c r="A17" s="234" t="s">
        <v>49</v>
      </c>
      <c r="B17" s="234" t="s">
        <v>78</v>
      </c>
      <c r="C17" s="238" t="s">
        <v>79</v>
      </c>
      <c r="D17" s="239"/>
      <c r="E17" s="240"/>
      <c r="G17" s="251"/>
      <c r="H17" s="251"/>
      <c r="I17" s="251"/>
      <c r="J17" s="251"/>
      <c r="K17" s="251"/>
    </row>
    <row r="18" spans="1:11" ht="16.5" thickBot="1">
      <c r="A18" s="241"/>
      <c r="B18" s="241"/>
      <c r="C18" s="81" t="s">
        <v>175</v>
      </c>
      <c r="D18" s="32" t="s">
        <v>176</v>
      </c>
      <c r="E18" s="82" t="s">
        <v>177</v>
      </c>
      <c r="G18" s="250"/>
      <c r="H18" s="250"/>
      <c r="I18" s="250"/>
      <c r="J18" s="250"/>
      <c r="K18" s="250"/>
    </row>
    <row r="19" spans="1:11" ht="15.75">
      <c r="A19" s="44">
        <v>3</v>
      </c>
      <c r="B19" s="45" t="s">
        <v>89</v>
      </c>
      <c r="C19" s="38">
        <v>500</v>
      </c>
      <c r="D19" s="38">
        <f aca="true" t="shared" si="0" ref="D19:D24">A19*C19</f>
        <v>1500</v>
      </c>
      <c r="E19" s="75">
        <f aca="true" t="shared" si="1" ref="E19:E24">D19*12</f>
        <v>18000</v>
      </c>
      <c r="G19" s="250"/>
      <c r="H19" s="250"/>
      <c r="I19" s="37"/>
      <c r="J19" s="37"/>
      <c r="K19" s="37"/>
    </row>
    <row r="20" spans="1:11" ht="15.75">
      <c r="A20" s="46">
        <v>2</v>
      </c>
      <c r="B20" s="13" t="s">
        <v>90</v>
      </c>
      <c r="C20" s="38">
        <v>500</v>
      </c>
      <c r="D20" s="38">
        <f t="shared" si="0"/>
        <v>1000</v>
      </c>
      <c r="E20" s="75">
        <f t="shared" si="1"/>
        <v>12000</v>
      </c>
      <c r="G20" s="47"/>
      <c r="H20" s="39"/>
      <c r="I20" s="47"/>
      <c r="J20" s="47"/>
      <c r="K20" s="47"/>
    </row>
    <row r="21" spans="1:11" ht="15.75">
      <c r="A21" s="46">
        <v>4</v>
      </c>
      <c r="B21" s="13" t="s">
        <v>93</v>
      </c>
      <c r="C21" s="38">
        <v>500</v>
      </c>
      <c r="D21" s="38">
        <f t="shared" si="0"/>
        <v>2000</v>
      </c>
      <c r="E21" s="75">
        <f t="shared" si="1"/>
        <v>24000</v>
      </c>
      <c r="G21" s="251"/>
      <c r="H21" s="251"/>
      <c r="I21" s="251"/>
      <c r="J21" s="251"/>
      <c r="K21" s="251"/>
    </row>
    <row r="22" spans="1:11" ht="15.75">
      <c r="A22" s="46">
        <v>3</v>
      </c>
      <c r="B22" s="13" t="s">
        <v>94</v>
      </c>
      <c r="C22" s="38">
        <v>500</v>
      </c>
      <c r="D22" s="38">
        <f t="shared" si="0"/>
        <v>1500</v>
      </c>
      <c r="E22" s="75">
        <f t="shared" si="1"/>
        <v>18000</v>
      </c>
      <c r="G22" s="250"/>
      <c r="H22" s="250"/>
      <c r="I22" s="250"/>
      <c r="J22" s="250"/>
      <c r="K22" s="250"/>
    </row>
    <row r="23" spans="1:11" ht="15.75">
      <c r="A23" s="46">
        <v>4</v>
      </c>
      <c r="B23" s="13" t="s">
        <v>95</v>
      </c>
      <c r="C23" s="38">
        <v>500</v>
      </c>
      <c r="D23" s="38">
        <f t="shared" si="0"/>
        <v>2000</v>
      </c>
      <c r="E23" s="75">
        <f t="shared" si="1"/>
        <v>24000</v>
      </c>
      <c r="G23" s="250"/>
      <c r="H23" s="250"/>
      <c r="I23" s="37"/>
      <c r="J23" s="37"/>
      <c r="K23" s="37"/>
    </row>
    <row r="24" spans="1:11" ht="16.5" thickBot="1">
      <c r="A24" s="48">
        <v>2</v>
      </c>
      <c r="B24" s="49" t="s">
        <v>96</v>
      </c>
      <c r="C24" s="38">
        <v>500</v>
      </c>
      <c r="D24" s="38">
        <f t="shared" si="0"/>
        <v>1000</v>
      </c>
      <c r="E24" s="75">
        <f t="shared" si="1"/>
        <v>12000</v>
      </c>
      <c r="G24" s="47"/>
      <c r="H24" s="39"/>
      <c r="I24" s="47"/>
      <c r="J24" s="47"/>
      <c r="K24" s="47"/>
    </row>
    <row r="25" spans="4:11" ht="17.25" thickBot="1" thickTop="1">
      <c r="D25" s="20" t="s">
        <v>11</v>
      </c>
      <c r="E25" s="40">
        <f>SUM(E19:E24)</f>
        <v>108000</v>
      </c>
      <c r="G25" s="47"/>
      <c r="H25" s="39"/>
      <c r="I25" s="47"/>
      <c r="J25" s="47"/>
      <c r="K25" s="47"/>
    </row>
    <row r="26" spans="4:11" ht="17.25" thickBot="1" thickTop="1">
      <c r="D26" s="31"/>
      <c r="E26" s="50"/>
      <c r="G26" s="47"/>
      <c r="H26" s="39"/>
      <c r="I26" s="47"/>
      <c r="J26" s="47"/>
      <c r="K26" s="47"/>
    </row>
    <row r="27" spans="1:11" ht="16.5" thickBot="1">
      <c r="A27" s="231" t="s">
        <v>77</v>
      </c>
      <c r="B27" s="232"/>
      <c r="C27" s="232"/>
      <c r="D27" s="232"/>
      <c r="E27" s="248"/>
      <c r="G27" s="47"/>
      <c r="H27" s="39"/>
      <c r="I27" s="47"/>
      <c r="J27" s="47"/>
      <c r="K27" s="47"/>
    </row>
    <row r="28" spans="1:11" ht="16.5" thickBot="1">
      <c r="A28" s="234" t="s">
        <v>49</v>
      </c>
      <c r="B28" s="234" t="s">
        <v>78</v>
      </c>
      <c r="C28" s="238" t="s">
        <v>79</v>
      </c>
      <c r="D28" s="239"/>
      <c r="E28" s="240"/>
      <c r="G28" s="47"/>
      <c r="H28" s="39"/>
      <c r="I28" s="47"/>
      <c r="J28" s="47"/>
      <c r="K28" s="47"/>
    </row>
    <row r="29" spans="1:11" ht="16.5" thickBot="1">
      <c r="A29" s="241"/>
      <c r="B29" s="241"/>
      <c r="G29" s="47"/>
      <c r="H29" s="39"/>
      <c r="I29" s="47"/>
      <c r="J29" s="47"/>
      <c r="K29" s="47"/>
    </row>
    <row r="30" spans="1:11" ht="15.75">
      <c r="A30" s="44">
        <v>2</v>
      </c>
      <c r="B30" s="45" t="s">
        <v>80</v>
      </c>
      <c r="C30" s="55">
        <v>2000</v>
      </c>
      <c r="D30" s="55">
        <f>C30*A30</f>
        <v>4000</v>
      </c>
      <c r="E30" s="51">
        <f>D30*12</f>
        <v>48000</v>
      </c>
      <c r="G30" s="39"/>
      <c r="H30" s="39"/>
      <c r="I30" s="39"/>
      <c r="J30" s="36"/>
      <c r="K30" s="52"/>
    </row>
    <row r="31" spans="1:5" ht="15.75">
      <c r="A31" s="46">
        <v>1</v>
      </c>
      <c r="B31" s="13" t="s">
        <v>81</v>
      </c>
      <c r="C31" s="55">
        <v>2000</v>
      </c>
      <c r="D31" s="55">
        <f aca="true" t="shared" si="2" ref="D31:D36">C31*A31</f>
        <v>2000</v>
      </c>
      <c r="E31" s="51">
        <f aca="true" t="shared" si="3" ref="E31:E36">D31*12</f>
        <v>24000</v>
      </c>
    </row>
    <row r="32" spans="1:5" ht="15.75">
      <c r="A32" s="46">
        <v>2</v>
      </c>
      <c r="B32" s="13" t="s">
        <v>82</v>
      </c>
      <c r="C32" s="55">
        <v>2000</v>
      </c>
      <c r="D32" s="55">
        <f t="shared" si="2"/>
        <v>4000</v>
      </c>
      <c r="E32" s="51">
        <f t="shared" si="3"/>
        <v>48000</v>
      </c>
    </row>
    <row r="33" spans="1:5" ht="15.75">
      <c r="A33" s="46">
        <v>2</v>
      </c>
      <c r="B33" s="13" t="s">
        <v>83</v>
      </c>
      <c r="C33" s="55">
        <v>2000</v>
      </c>
      <c r="D33" s="55">
        <f t="shared" si="2"/>
        <v>4000</v>
      </c>
      <c r="E33" s="51">
        <f t="shared" si="3"/>
        <v>48000</v>
      </c>
    </row>
    <row r="34" spans="1:5" ht="15.75">
      <c r="A34" s="46">
        <v>1</v>
      </c>
      <c r="B34" s="13" t="s">
        <v>84</v>
      </c>
      <c r="C34" s="55">
        <v>2000</v>
      </c>
      <c r="D34" s="55">
        <f t="shared" si="2"/>
        <v>2000</v>
      </c>
      <c r="E34" s="51">
        <f t="shared" si="3"/>
        <v>24000</v>
      </c>
    </row>
    <row r="35" spans="1:5" ht="15.75">
      <c r="A35" s="46">
        <v>2</v>
      </c>
      <c r="B35" s="13" t="s">
        <v>85</v>
      </c>
      <c r="C35" s="55">
        <v>2000</v>
      </c>
      <c r="D35" s="55">
        <f t="shared" si="2"/>
        <v>4000</v>
      </c>
      <c r="E35" s="51">
        <f t="shared" si="3"/>
        <v>48000</v>
      </c>
    </row>
    <row r="36" spans="1:5" ht="16.5" thickBot="1">
      <c r="A36" s="48">
        <v>1</v>
      </c>
      <c r="B36" s="49" t="s">
        <v>86</v>
      </c>
      <c r="C36" s="55">
        <v>2000</v>
      </c>
      <c r="D36" s="55">
        <f t="shared" si="2"/>
        <v>2000</v>
      </c>
      <c r="E36" s="51">
        <f t="shared" si="3"/>
        <v>24000</v>
      </c>
    </row>
    <row r="37" spans="3:5" ht="17.25" thickBot="1" thickTop="1">
      <c r="C37" s="20"/>
      <c r="D37" s="31" t="s">
        <v>87</v>
      </c>
      <c r="E37" s="40">
        <f>SUM(E30:E36)</f>
        <v>264000</v>
      </c>
    </row>
    <row r="38" spans="3:5" ht="17.25" thickBot="1" thickTop="1">
      <c r="C38" s="20"/>
      <c r="D38" s="31"/>
      <c r="E38" s="50"/>
    </row>
    <row r="39" spans="1:6" ht="16.5" thickBot="1">
      <c r="A39" s="231" t="s">
        <v>100</v>
      </c>
      <c r="B39" s="232"/>
      <c r="C39" s="232"/>
      <c r="D39" s="232"/>
      <c r="E39" s="232"/>
      <c r="F39" s="233"/>
    </row>
    <row r="40" spans="1:13" ht="16.5" thickBot="1">
      <c r="A40" s="234" t="s">
        <v>49</v>
      </c>
      <c r="B40" s="234" t="s">
        <v>78</v>
      </c>
      <c r="C40" s="236" t="s">
        <v>101</v>
      </c>
      <c r="D40" s="238" t="s">
        <v>79</v>
      </c>
      <c r="E40" s="239"/>
      <c r="F40" s="240"/>
      <c r="H40" s="251"/>
      <c r="I40" s="251"/>
      <c r="J40" s="251"/>
      <c r="K40" s="251"/>
      <c r="L40" s="251"/>
      <c r="M40" s="251"/>
    </row>
    <row r="41" spans="1:13" ht="16.5" thickBot="1">
      <c r="A41" s="235"/>
      <c r="B41" s="235"/>
      <c r="C41" s="237"/>
      <c r="D41" s="84" t="s">
        <v>175</v>
      </c>
      <c r="E41" s="83" t="s">
        <v>176</v>
      </c>
      <c r="F41" s="85" t="s">
        <v>177</v>
      </c>
      <c r="H41" s="250"/>
      <c r="I41" s="250"/>
      <c r="J41" s="250"/>
      <c r="K41" s="250"/>
      <c r="L41" s="250"/>
      <c r="M41" s="250"/>
    </row>
    <row r="42" spans="1:13" ht="15.75">
      <c r="A42" s="46">
        <v>1</v>
      </c>
      <c r="B42" s="13" t="s">
        <v>80</v>
      </c>
      <c r="C42" s="54" t="s">
        <v>102</v>
      </c>
      <c r="D42" s="55">
        <v>2200</v>
      </c>
      <c r="E42" s="55">
        <f>D42*A42</f>
        <v>2200</v>
      </c>
      <c r="F42" s="51">
        <f>E42*12</f>
        <v>26400</v>
      </c>
      <c r="H42" s="250"/>
      <c r="I42" s="250"/>
      <c r="J42" s="250"/>
      <c r="K42" s="37"/>
      <c r="L42" s="37"/>
      <c r="M42" s="37"/>
    </row>
    <row r="43" spans="1:13" ht="15.75">
      <c r="A43" s="46">
        <v>1</v>
      </c>
      <c r="B43" s="13" t="s">
        <v>80</v>
      </c>
      <c r="C43" s="54" t="s">
        <v>103</v>
      </c>
      <c r="D43" s="55">
        <v>2200</v>
      </c>
      <c r="E43" s="55">
        <f>D43*A43</f>
        <v>2200</v>
      </c>
      <c r="F43" s="51">
        <f>E43*12</f>
        <v>26400</v>
      </c>
      <c r="H43" s="47"/>
      <c r="I43" s="39"/>
      <c r="J43" s="39"/>
      <c r="K43" s="47"/>
      <c r="L43" s="47"/>
      <c r="M43" s="47"/>
    </row>
    <row r="44" spans="1:13" ht="15.75">
      <c r="A44" s="46">
        <v>1</v>
      </c>
      <c r="B44" s="13" t="s">
        <v>80</v>
      </c>
      <c r="C44" s="54" t="s">
        <v>104</v>
      </c>
      <c r="D44" s="55">
        <v>2200</v>
      </c>
      <c r="E44" s="55">
        <f>D44*A44</f>
        <v>2200</v>
      </c>
      <c r="F44" s="51">
        <f>E44*12</f>
        <v>26400</v>
      </c>
      <c r="H44" s="47"/>
      <c r="I44" s="39"/>
      <c r="J44" s="39"/>
      <c r="K44" s="47"/>
      <c r="L44" s="47"/>
      <c r="M44" s="47"/>
    </row>
    <row r="45" spans="1:13" ht="16.5" thickBot="1">
      <c r="A45" s="48">
        <v>1</v>
      </c>
      <c r="B45" s="49" t="s">
        <v>105</v>
      </c>
      <c r="C45" s="56" t="s">
        <v>106</v>
      </c>
      <c r="D45" s="55">
        <v>2200</v>
      </c>
      <c r="E45" s="55">
        <f>D45*A45</f>
        <v>2200</v>
      </c>
      <c r="F45" s="51">
        <f>E45*12</f>
        <v>26400</v>
      </c>
      <c r="H45" s="47"/>
      <c r="I45" s="39"/>
      <c r="J45" s="39"/>
      <c r="K45" s="47"/>
      <c r="L45" s="47"/>
      <c r="M45" s="47"/>
    </row>
    <row r="46" spans="4:13" ht="17.25" thickBot="1" thickTop="1">
      <c r="D46" s="51"/>
      <c r="E46" s="31" t="s">
        <v>87</v>
      </c>
      <c r="F46" s="40">
        <f>SUM(F42:F45)</f>
        <v>105600</v>
      </c>
      <c r="H46" s="47"/>
      <c r="I46" s="39"/>
      <c r="J46" s="39"/>
      <c r="K46" s="47"/>
      <c r="L46" s="47"/>
      <c r="M46" s="47"/>
    </row>
    <row r="47" spans="3:13" ht="16.5" thickTop="1">
      <c r="C47" s="20"/>
      <c r="D47" s="31"/>
      <c r="E47" s="50"/>
      <c r="H47" s="39"/>
      <c r="I47" s="39"/>
      <c r="J47" s="39"/>
      <c r="K47" s="41"/>
      <c r="L47" s="36"/>
      <c r="M47" s="47"/>
    </row>
    <row r="48" spans="1:4" ht="16.5" thickBot="1">
      <c r="A48" s="30"/>
      <c r="B48" s="43"/>
      <c r="C48" s="43"/>
      <c r="D48" s="43"/>
    </row>
    <row r="49" spans="1:11" ht="16.5" thickBot="1">
      <c r="A49" s="231" t="s">
        <v>97</v>
      </c>
      <c r="B49" s="232"/>
      <c r="C49" s="232"/>
      <c r="D49" s="232"/>
      <c r="E49" s="248"/>
      <c r="G49" s="247"/>
      <c r="H49" s="247"/>
      <c r="I49" s="247"/>
      <c r="J49" s="247"/>
      <c r="K49" s="247"/>
    </row>
    <row r="50" spans="1:11" ht="16.5" thickBot="1">
      <c r="A50" s="234" t="s">
        <v>49</v>
      </c>
      <c r="B50" s="234" t="s">
        <v>78</v>
      </c>
      <c r="C50" s="239" t="s">
        <v>79</v>
      </c>
      <c r="D50" s="239"/>
      <c r="E50" s="239"/>
      <c r="G50" s="249"/>
      <c r="H50" s="249"/>
      <c r="I50" s="249"/>
      <c r="J50" s="249"/>
      <c r="K50" s="249"/>
    </row>
    <row r="51" spans="1:11" ht="16.5" thickBot="1">
      <c r="A51" s="241"/>
      <c r="B51" s="241"/>
      <c r="C51" s="84" t="s">
        <v>175</v>
      </c>
      <c r="D51" s="83" t="s">
        <v>176</v>
      </c>
      <c r="E51" s="85" t="s">
        <v>177</v>
      </c>
      <c r="G51" s="249"/>
      <c r="H51" s="249"/>
      <c r="I51" s="33"/>
      <c r="J51" s="33"/>
      <c r="K51" s="33"/>
    </row>
    <row r="52" spans="1:11" ht="15.75">
      <c r="A52" s="44">
        <v>8</v>
      </c>
      <c r="B52" s="45" t="s">
        <v>98</v>
      </c>
      <c r="C52" s="55">
        <v>600</v>
      </c>
      <c r="D52" s="55">
        <f>A52*C52</f>
        <v>4800</v>
      </c>
      <c r="E52" s="51">
        <f>D52*12</f>
        <v>57600</v>
      </c>
      <c r="G52" s="57"/>
      <c r="H52" s="58"/>
      <c r="I52" s="57"/>
      <c r="J52" s="57"/>
      <c r="K52" s="57"/>
    </row>
    <row r="53" spans="1:11" ht="16.5" thickBot="1">
      <c r="A53" s="48">
        <v>3</v>
      </c>
      <c r="B53" s="49" t="s">
        <v>99</v>
      </c>
      <c r="C53" s="55">
        <v>350</v>
      </c>
      <c r="D53" s="55">
        <f>A53*C53</f>
        <v>1050</v>
      </c>
      <c r="E53" s="51">
        <f>D53*12</f>
        <v>12600</v>
      </c>
      <c r="G53" s="58"/>
      <c r="H53" s="58"/>
      <c r="I53" s="58"/>
      <c r="J53" s="58"/>
      <c r="K53" s="58"/>
    </row>
    <row r="54" spans="4:11" ht="17.25" thickBot="1" thickTop="1">
      <c r="D54" s="31" t="s">
        <v>11</v>
      </c>
      <c r="E54" s="40">
        <f>E52+E53</f>
        <v>70200</v>
      </c>
      <c r="G54" s="58"/>
      <c r="H54" s="58"/>
      <c r="I54" s="58"/>
      <c r="J54" s="58"/>
      <c r="K54" s="58"/>
    </row>
    <row r="55" spans="4:5" ht="16.5" thickTop="1">
      <c r="D55" s="31"/>
      <c r="E55" s="50"/>
    </row>
    <row r="56" spans="2:5" ht="15.75">
      <c r="B56" s="59"/>
      <c r="C56" s="60"/>
      <c r="D56" s="31"/>
      <c r="E56" s="50"/>
    </row>
    <row r="57" spans="1:5" ht="15.75">
      <c r="A57" s="246" t="s">
        <v>131</v>
      </c>
      <c r="B57" s="246"/>
      <c r="C57" s="246"/>
      <c r="D57" s="246"/>
      <c r="E57" s="246"/>
    </row>
    <row r="58" ht="16.5" thickBot="1"/>
    <row r="59" spans="1:5" ht="16.5" thickBot="1">
      <c r="A59" s="231" t="s">
        <v>107</v>
      </c>
      <c r="B59" s="232"/>
      <c r="C59" s="232"/>
      <c r="D59" s="232"/>
      <c r="E59" s="233"/>
    </row>
    <row r="60" spans="1:5" ht="16.5" thickBot="1">
      <c r="A60" s="234" t="s">
        <v>49</v>
      </c>
      <c r="B60" s="236" t="s">
        <v>78</v>
      </c>
      <c r="C60" s="53" t="s">
        <v>79</v>
      </c>
      <c r="D60" s="53"/>
      <c r="E60" s="53"/>
    </row>
    <row r="61" spans="1:5" ht="16.5" thickBot="1">
      <c r="A61" s="235"/>
      <c r="B61" s="237"/>
      <c r="C61" s="84" t="s">
        <v>175</v>
      </c>
      <c r="D61" s="83" t="s">
        <v>176</v>
      </c>
      <c r="E61" s="85" t="s">
        <v>177</v>
      </c>
    </row>
    <row r="62" spans="1:5" ht="15.75">
      <c r="A62" s="46">
        <v>2</v>
      </c>
      <c r="B62" s="13" t="s">
        <v>108</v>
      </c>
      <c r="C62" s="38">
        <v>550</v>
      </c>
      <c r="D62" s="46" t="s">
        <v>91</v>
      </c>
      <c r="E62" s="105" t="s">
        <v>92</v>
      </c>
    </row>
    <row r="63" spans="1:5" ht="15.75">
      <c r="A63" s="46">
        <v>2</v>
      </c>
      <c r="B63" s="13" t="s">
        <v>109</v>
      </c>
      <c r="C63" s="38">
        <v>550</v>
      </c>
      <c r="D63" s="46" t="s">
        <v>91</v>
      </c>
      <c r="E63" s="105" t="s">
        <v>92</v>
      </c>
    </row>
    <row r="64" spans="1:5" ht="15.75">
      <c r="A64" s="46">
        <v>2</v>
      </c>
      <c r="B64" s="13" t="s">
        <v>110</v>
      </c>
      <c r="C64" s="38">
        <v>300</v>
      </c>
      <c r="D64" s="46" t="s">
        <v>57</v>
      </c>
      <c r="E64" s="105" t="s">
        <v>111</v>
      </c>
    </row>
    <row r="65" spans="1:5" ht="16.5" thickBot="1">
      <c r="A65" s="48">
        <v>20</v>
      </c>
      <c r="B65" s="49" t="s">
        <v>112</v>
      </c>
      <c r="C65" s="38">
        <v>350</v>
      </c>
      <c r="D65" s="48" t="s">
        <v>113</v>
      </c>
      <c r="E65" s="106" t="s">
        <v>114</v>
      </c>
    </row>
    <row r="66" spans="4:5" ht="17.25" thickBot="1" thickTop="1">
      <c r="D66" s="20" t="s">
        <v>11</v>
      </c>
      <c r="E66" s="61">
        <v>264000</v>
      </c>
    </row>
    <row r="67" spans="4:5" ht="17.25" thickBot="1" thickTop="1">
      <c r="D67" s="20"/>
      <c r="E67" s="200"/>
    </row>
    <row r="68" spans="1:5" ht="16.5" thickBot="1">
      <c r="A68" s="198"/>
      <c r="B68" s="199" t="s">
        <v>206</v>
      </c>
      <c r="C68" s="53" t="s">
        <v>207</v>
      </c>
      <c r="D68" s="53" t="s">
        <v>208</v>
      </c>
      <c r="E68" s="53" t="s">
        <v>209</v>
      </c>
    </row>
    <row r="69" spans="1:5" ht="15.75">
      <c r="A69" s="13">
        <v>1</v>
      </c>
      <c r="B69" s="13" t="s">
        <v>210</v>
      </c>
      <c r="C69" s="13">
        <v>300</v>
      </c>
      <c r="D69" s="20">
        <f>A69*C69</f>
        <v>300</v>
      </c>
      <c r="E69" s="200">
        <f>D69*12</f>
        <v>3600</v>
      </c>
    </row>
    <row r="70" spans="1:5" ht="15.75">
      <c r="A70" s="13">
        <v>4</v>
      </c>
      <c r="B70" s="13" t="s">
        <v>212</v>
      </c>
      <c r="C70" s="13">
        <v>240</v>
      </c>
      <c r="D70" s="20">
        <f>C70*A70</f>
        <v>960</v>
      </c>
      <c r="E70" s="200">
        <f>D70*12</f>
        <v>11520</v>
      </c>
    </row>
    <row r="71" spans="1:5" ht="15.75">
      <c r="A71" s="13">
        <v>1</v>
      </c>
      <c r="B71" s="13" t="s">
        <v>213</v>
      </c>
      <c r="C71" s="13">
        <v>800</v>
      </c>
      <c r="D71" s="20">
        <f>C71</f>
        <v>800</v>
      </c>
      <c r="E71" s="200">
        <f>D71*12</f>
        <v>9600</v>
      </c>
    </row>
    <row r="72" spans="2:5" ht="15.75">
      <c r="B72" s="13" t="s">
        <v>211</v>
      </c>
      <c r="C72" s="13">
        <v>200</v>
      </c>
      <c r="D72" s="20">
        <v>200</v>
      </c>
      <c r="E72" s="200">
        <f>D72*12</f>
        <v>2400</v>
      </c>
    </row>
    <row r="73" spans="2:5" ht="15.75">
      <c r="B73" s="59"/>
      <c r="C73" s="60"/>
      <c r="D73" s="31"/>
      <c r="E73" s="201">
        <f>E69+E72</f>
        <v>6000</v>
      </c>
    </row>
    <row r="74" spans="4:5" ht="15.75">
      <c r="D74" s="31"/>
      <c r="E74" s="50"/>
    </row>
    <row r="75" spans="1:7" s="28" customFormat="1" ht="15.75">
      <c r="A75" s="230" t="s">
        <v>31</v>
      </c>
      <c r="B75" s="230"/>
      <c r="C75" s="230"/>
      <c r="D75" s="230"/>
      <c r="E75" s="230"/>
      <c r="F75" s="230"/>
      <c r="G75" s="230"/>
    </row>
    <row r="77" spans="1:4" ht="16.5" thickBot="1">
      <c r="A77" s="245" t="s">
        <v>121</v>
      </c>
      <c r="B77" s="245"/>
      <c r="C77" s="245"/>
      <c r="D77" s="245"/>
    </row>
    <row r="78" spans="1:4" ht="15.75">
      <c r="A78" s="242" t="s">
        <v>49</v>
      </c>
      <c r="B78" s="244" t="s">
        <v>50</v>
      </c>
      <c r="C78" s="87" t="s">
        <v>51</v>
      </c>
      <c r="D78" s="88" t="s">
        <v>51</v>
      </c>
    </row>
    <row r="79" spans="1:4" ht="16.5" thickBot="1">
      <c r="A79" s="243"/>
      <c r="B79" s="245"/>
      <c r="C79" s="89" t="s">
        <v>52</v>
      </c>
      <c r="D79" s="90" t="s">
        <v>11</v>
      </c>
    </row>
    <row r="80" spans="1:9" ht="15.75">
      <c r="A80" s="62"/>
      <c r="B80" s="45" t="s">
        <v>53</v>
      </c>
      <c r="C80" s="34">
        <v>2000000</v>
      </c>
      <c r="D80" s="91">
        <f>C80</f>
        <v>2000000</v>
      </c>
      <c r="F80" s="250"/>
      <c r="G80" s="250"/>
      <c r="H80" s="63"/>
      <c r="I80" s="63"/>
    </row>
    <row r="81" spans="1:9" ht="15.75">
      <c r="A81" s="64"/>
      <c r="B81" s="58" t="s">
        <v>54</v>
      </c>
      <c r="C81" s="35">
        <v>600000</v>
      </c>
      <c r="D81" s="92">
        <f>C81</f>
        <v>600000</v>
      </c>
      <c r="F81" s="250"/>
      <c r="G81" s="250"/>
      <c r="H81" s="63"/>
      <c r="I81" s="63"/>
    </row>
    <row r="82" spans="1:9" ht="15.75">
      <c r="A82" s="64"/>
      <c r="B82" s="58" t="s">
        <v>55</v>
      </c>
      <c r="C82" s="35">
        <v>500000</v>
      </c>
      <c r="D82" s="92">
        <f>C82</f>
        <v>500000</v>
      </c>
      <c r="F82" s="39"/>
      <c r="G82" s="39"/>
      <c r="H82" s="47"/>
      <c r="I82" s="47"/>
    </row>
    <row r="83" spans="1:9" ht="15.75">
      <c r="A83" s="65">
        <v>15</v>
      </c>
      <c r="B83" s="58" t="s">
        <v>56</v>
      </c>
      <c r="C83" s="35">
        <v>1500</v>
      </c>
      <c r="D83" s="92">
        <f aca="true" t="shared" si="4" ref="D83:D95">C83*A83</f>
        <v>22500</v>
      </c>
      <c r="F83" s="39"/>
      <c r="G83" s="39"/>
      <c r="H83" s="47"/>
      <c r="I83" s="47"/>
    </row>
    <row r="84" spans="1:9" ht="15.75">
      <c r="A84" s="65">
        <v>10</v>
      </c>
      <c r="B84" s="58" t="s">
        <v>58</v>
      </c>
      <c r="C84" s="35">
        <v>800</v>
      </c>
      <c r="D84" s="92">
        <v>6000</v>
      </c>
      <c r="F84" s="39"/>
      <c r="G84" s="39"/>
      <c r="H84" s="47"/>
      <c r="I84" s="47"/>
    </row>
    <row r="85" spans="1:9" ht="15.75">
      <c r="A85" s="65">
        <v>8</v>
      </c>
      <c r="B85" s="58" t="s">
        <v>59</v>
      </c>
      <c r="C85" s="35">
        <v>10000</v>
      </c>
      <c r="D85" s="92">
        <f t="shared" si="4"/>
        <v>80000</v>
      </c>
      <c r="F85" s="47"/>
      <c r="G85" s="39"/>
      <c r="H85" s="47"/>
      <c r="I85" s="47"/>
    </row>
    <row r="86" spans="1:9" ht="15.75">
      <c r="A86" s="65">
        <v>12</v>
      </c>
      <c r="B86" s="58" t="s">
        <v>60</v>
      </c>
      <c r="C86" s="35">
        <v>500</v>
      </c>
      <c r="D86" s="92">
        <f t="shared" si="4"/>
        <v>6000</v>
      </c>
      <c r="F86" s="47"/>
      <c r="G86" s="39"/>
      <c r="H86" s="47"/>
      <c r="I86" s="47"/>
    </row>
    <row r="87" spans="1:9" ht="15.75">
      <c r="A87" s="65">
        <v>17</v>
      </c>
      <c r="B87" s="58" t="s">
        <v>61</v>
      </c>
      <c r="C87" s="35">
        <v>200</v>
      </c>
      <c r="D87" s="92">
        <f t="shared" si="4"/>
        <v>3400</v>
      </c>
      <c r="F87" s="47"/>
      <c r="G87" s="39"/>
      <c r="H87" s="47"/>
      <c r="I87" s="47"/>
    </row>
    <row r="88" spans="1:9" ht="15.75">
      <c r="A88" s="65">
        <v>6</v>
      </c>
      <c r="B88" s="58" t="s">
        <v>62</v>
      </c>
      <c r="C88" s="35">
        <v>700</v>
      </c>
      <c r="D88" s="92">
        <f t="shared" si="4"/>
        <v>4200</v>
      </c>
      <c r="F88" s="47"/>
      <c r="G88" s="39"/>
      <c r="H88" s="47"/>
      <c r="I88" s="47"/>
    </row>
    <row r="89" spans="1:9" ht="15.75">
      <c r="A89" s="65">
        <v>14</v>
      </c>
      <c r="B89" s="58" t="s">
        <v>63</v>
      </c>
      <c r="C89" s="35">
        <v>200</v>
      </c>
      <c r="D89" s="92">
        <f t="shared" si="4"/>
        <v>2800</v>
      </c>
      <c r="F89" s="47"/>
      <c r="G89" s="39"/>
      <c r="H89" s="47"/>
      <c r="I89" s="47"/>
    </row>
    <row r="90" spans="1:9" ht="15.75">
      <c r="A90" s="65">
        <v>8</v>
      </c>
      <c r="B90" s="58" t="s">
        <v>64</v>
      </c>
      <c r="C90" s="35">
        <v>120</v>
      </c>
      <c r="D90" s="92">
        <f t="shared" si="4"/>
        <v>960</v>
      </c>
      <c r="F90" s="47"/>
      <c r="G90" s="39"/>
      <c r="H90" s="47"/>
      <c r="I90" s="47"/>
    </row>
    <row r="91" spans="1:9" ht="15.75">
      <c r="A91" s="65">
        <v>8</v>
      </c>
      <c r="B91" s="58" t="s">
        <v>65</v>
      </c>
      <c r="C91" s="35">
        <v>300</v>
      </c>
      <c r="D91" s="92">
        <f t="shared" si="4"/>
        <v>2400</v>
      </c>
      <c r="F91" s="47"/>
      <c r="G91" s="39"/>
      <c r="H91" s="47"/>
      <c r="I91" s="47"/>
    </row>
    <row r="92" spans="1:9" ht="15.75">
      <c r="A92" s="65">
        <v>6</v>
      </c>
      <c r="B92" s="58" t="s">
        <v>66</v>
      </c>
      <c r="C92" s="35">
        <v>400</v>
      </c>
      <c r="D92" s="92">
        <f t="shared" si="4"/>
        <v>2400</v>
      </c>
      <c r="F92" s="47"/>
      <c r="G92" s="39"/>
      <c r="H92" s="47"/>
      <c r="I92" s="47"/>
    </row>
    <row r="93" spans="1:9" ht="15.75">
      <c r="A93" s="65">
        <v>10</v>
      </c>
      <c r="B93" s="58" t="s">
        <v>67</v>
      </c>
      <c r="C93" s="35">
        <v>80</v>
      </c>
      <c r="D93" s="92">
        <f t="shared" si="4"/>
        <v>800</v>
      </c>
      <c r="F93" s="47"/>
      <c r="G93" s="39"/>
      <c r="H93" s="47"/>
      <c r="I93" s="47"/>
    </row>
    <row r="94" spans="1:9" ht="15.75">
      <c r="A94" s="65">
        <v>7</v>
      </c>
      <c r="B94" s="58" t="s">
        <v>68</v>
      </c>
      <c r="C94" s="35">
        <v>65</v>
      </c>
      <c r="D94" s="92">
        <f t="shared" si="4"/>
        <v>455</v>
      </c>
      <c r="F94" s="47"/>
      <c r="G94" s="39"/>
      <c r="H94" s="47"/>
      <c r="I94" s="47"/>
    </row>
    <row r="95" spans="1:9" ht="16.5" thickBot="1">
      <c r="A95" s="66">
        <v>15</v>
      </c>
      <c r="B95" s="49" t="s">
        <v>69</v>
      </c>
      <c r="C95" s="67">
        <v>600</v>
      </c>
      <c r="D95" s="93">
        <f t="shared" si="4"/>
        <v>9000</v>
      </c>
      <c r="F95" s="47"/>
      <c r="G95" s="39"/>
      <c r="H95" s="47"/>
      <c r="I95" s="47"/>
    </row>
    <row r="96" spans="1:9" ht="17.25" thickBot="1" thickTop="1">
      <c r="A96" s="247" t="s">
        <v>70</v>
      </c>
      <c r="B96" s="247"/>
      <c r="C96" s="247"/>
      <c r="D96" s="104">
        <f>SUM(D80:D95)</f>
        <v>3240915</v>
      </c>
      <c r="F96" s="47"/>
      <c r="G96" s="39"/>
      <c r="H96" s="47"/>
      <c r="I96" s="47"/>
    </row>
    <row r="97" spans="1:9" ht="16.5" thickTop="1">
      <c r="A97" s="30"/>
      <c r="B97" s="30"/>
      <c r="C97" s="43"/>
      <c r="D97" s="43"/>
      <c r="F97" s="47"/>
      <c r="G97" s="39"/>
      <c r="H97" s="47"/>
      <c r="I97" s="47"/>
    </row>
    <row r="98" spans="1:9" ht="15.75">
      <c r="A98" s="30"/>
      <c r="B98" s="30"/>
      <c r="C98" s="30"/>
      <c r="D98" s="43"/>
      <c r="F98" s="251"/>
      <c r="G98" s="251"/>
      <c r="H98" s="251"/>
      <c r="I98" s="68"/>
    </row>
    <row r="99" spans="6:9" ht="16.5" thickBot="1">
      <c r="F99" s="39"/>
      <c r="G99" s="39"/>
      <c r="H99" s="39"/>
      <c r="I99" s="39"/>
    </row>
    <row r="100" spans="2:5" ht="16.5" thickBot="1">
      <c r="B100" s="98" t="s">
        <v>32</v>
      </c>
      <c r="C100" s="83" t="s">
        <v>181</v>
      </c>
      <c r="D100" s="83" t="s">
        <v>182</v>
      </c>
      <c r="E100" s="85" t="s">
        <v>183</v>
      </c>
    </row>
    <row r="101" spans="2:5" ht="15.75">
      <c r="B101" s="24" t="s">
        <v>122</v>
      </c>
      <c r="C101" s="58">
        <v>4</v>
      </c>
      <c r="D101" s="95">
        <v>17000</v>
      </c>
      <c r="E101" s="79">
        <f>C101*D101</f>
        <v>68000</v>
      </c>
    </row>
    <row r="102" spans="2:5" ht="15.75">
      <c r="B102" s="24" t="s">
        <v>123</v>
      </c>
      <c r="C102" s="58">
        <v>4</v>
      </c>
      <c r="D102" s="95">
        <v>12000</v>
      </c>
      <c r="E102" s="79">
        <f>C102*D102</f>
        <v>48000</v>
      </c>
    </row>
    <row r="103" spans="2:5" ht="15.75">
      <c r="B103" s="24" t="s">
        <v>124</v>
      </c>
      <c r="C103" s="58">
        <v>3</v>
      </c>
      <c r="D103" s="70">
        <v>10000</v>
      </c>
      <c r="E103" s="79">
        <f>C103*D103</f>
        <v>30000</v>
      </c>
    </row>
    <row r="104" spans="2:5" ht="15.75">
      <c r="B104" s="24" t="s">
        <v>126</v>
      </c>
      <c r="C104" s="58">
        <v>4</v>
      </c>
      <c r="D104" s="70">
        <v>7000</v>
      </c>
      <c r="E104" s="79">
        <f>C104*D104</f>
        <v>28000</v>
      </c>
    </row>
    <row r="105" spans="2:5" ht="16.5" thickBot="1">
      <c r="B105" s="26" t="s">
        <v>125</v>
      </c>
      <c r="C105" s="96">
        <v>7</v>
      </c>
      <c r="D105" s="97">
        <v>3000</v>
      </c>
      <c r="E105" s="107">
        <f>C105*D105</f>
        <v>21000</v>
      </c>
    </row>
    <row r="106" spans="4:5" ht="16.5" thickBot="1">
      <c r="D106" s="20" t="s">
        <v>11</v>
      </c>
      <c r="E106" s="108">
        <f>SUM(E101:E105)</f>
        <v>195000</v>
      </c>
    </row>
    <row r="107" ht="16.5" thickTop="1"/>
    <row r="108" ht="16.5" thickBot="1"/>
    <row r="109" spans="2:5" ht="16.5" thickBot="1">
      <c r="B109" s="98" t="s">
        <v>33</v>
      </c>
      <c r="C109" s="83" t="s">
        <v>181</v>
      </c>
      <c r="D109" s="83" t="s">
        <v>182</v>
      </c>
      <c r="E109" s="85" t="s">
        <v>183</v>
      </c>
    </row>
    <row r="110" spans="2:5" ht="15.75">
      <c r="B110" s="24" t="s">
        <v>17</v>
      </c>
      <c r="C110" s="99">
        <v>10</v>
      </c>
      <c r="D110" s="95">
        <v>780</v>
      </c>
      <c r="E110" s="79">
        <f>C110*D110</f>
        <v>7800</v>
      </c>
    </row>
    <row r="111" spans="2:5" ht="15.75">
      <c r="B111" s="24" t="s">
        <v>127</v>
      </c>
      <c r="C111" s="99">
        <v>5</v>
      </c>
      <c r="D111" s="95">
        <v>200</v>
      </c>
      <c r="E111" s="79">
        <f>C111*D111</f>
        <v>1000</v>
      </c>
    </row>
    <row r="112" spans="2:5" ht="15.75">
      <c r="B112" s="24" t="s">
        <v>149</v>
      </c>
      <c r="C112" s="99">
        <v>5</v>
      </c>
      <c r="D112" s="95">
        <v>90</v>
      </c>
      <c r="E112" s="79">
        <f>C112*D112</f>
        <v>450</v>
      </c>
    </row>
    <row r="113" spans="2:5" ht="16.5" thickBot="1">
      <c r="B113" s="26" t="s">
        <v>18</v>
      </c>
      <c r="C113" s="100">
        <v>4</v>
      </c>
      <c r="D113" s="101">
        <v>900</v>
      </c>
      <c r="E113" s="109">
        <f>C113*D113</f>
        <v>3600</v>
      </c>
    </row>
    <row r="114" spans="3:5" ht="16.5" thickBot="1">
      <c r="C114" s="69"/>
      <c r="D114" s="20" t="s">
        <v>11</v>
      </c>
      <c r="E114" s="108">
        <f>SUM(E110:E113)</f>
        <v>12850</v>
      </c>
    </row>
    <row r="115" spans="3:5" ht="16.5" thickTop="1">
      <c r="C115" s="69"/>
      <c r="D115" s="20"/>
      <c r="E115" s="70"/>
    </row>
    <row r="116" ht="16.5" thickBot="1"/>
    <row r="117" spans="2:5" ht="16.5" thickBot="1">
      <c r="B117" s="98" t="s">
        <v>34</v>
      </c>
      <c r="C117" s="83" t="s">
        <v>181</v>
      </c>
      <c r="D117" s="83" t="s">
        <v>182</v>
      </c>
      <c r="E117" s="85" t="s">
        <v>183</v>
      </c>
    </row>
    <row r="118" spans="2:5" ht="15.75">
      <c r="B118" s="13" t="s">
        <v>35</v>
      </c>
      <c r="C118" s="13">
        <v>15</v>
      </c>
      <c r="D118" s="69">
        <v>300</v>
      </c>
      <c r="E118" s="110">
        <f>C118*D118</f>
        <v>4500</v>
      </c>
    </row>
    <row r="119" spans="2:5" ht="15.75">
      <c r="B119" s="13" t="s">
        <v>36</v>
      </c>
      <c r="C119" s="13">
        <v>24</v>
      </c>
      <c r="D119" s="69">
        <v>75</v>
      </c>
      <c r="E119" s="110">
        <f>C119*D119</f>
        <v>1800</v>
      </c>
    </row>
    <row r="120" spans="2:5" ht="15.75">
      <c r="B120" s="13" t="s">
        <v>128</v>
      </c>
      <c r="C120" s="13">
        <v>7</v>
      </c>
      <c r="D120" s="69">
        <v>160</v>
      </c>
      <c r="E120" s="110">
        <f>C120*D120</f>
        <v>1120</v>
      </c>
    </row>
    <row r="121" spans="4:5" ht="16.5" thickBot="1">
      <c r="D121" s="20" t="s">
        <v>11</v>
      </c>
      <c r="E121" s="74">
        <f>SUM(E118:E120)</f>
        <v>7420</v>
      </c>
    </row>
    <row r="122" spans="4:5" ht="16.5" thickTop="1">
      <c r="D122" s="20"/>
      <c r="E122" s="70"/>
    </row>
    <row r="123" ht="16.5" thickBot="1"/>
    <row r="124" spans="2:5" ht="16.5" thickBot="1">
      <c r="B124" s="98" t="s">
        <v>37</v>
      </c>
      <c r="C124" s="83" t="s">
        <v>181</v>
      </c>
      <c r="D124" s="83" t="s">
        <v>182</v>
      </c>
      <c r="E124" s="85" t="s">
        <v>183</v>
      </c>
    </row>
    <row r="125" spans="2:5" ht="15.75">
      <c r="B125" s="13" t="s">
        <v>129</v>
      </c>
      <c r="C125" s="25">
        <v>3</v>
      </c>
      <c r="D125" s="69">
        <v>120000</v>
      </c>
      <c r="E125" s="110">
        <f>C125*D125</f>
        <v>360000</v>
      </c>
    </row>
    <row r="126" spans="2:5" ht="15.75">
      <c r="B126" s="13" t="s">
        <v>156</v>
      </c>
      <c r="C126" s="25">
        <v>15</v>
      </c>
      <c r="D126" s="69">
        <v>350000</v>
      </c>
      <c r="E126" s="110">
        <f>C126*D126</f>
        <v>5250000</v>
      </c>
    </row>
    <row r="127" spans="2:5" ht="15.75">
      <c r="B127" s="13" t="s">
        <v>130</v>
      </c>
      <c r="C127" s="25">
        <v>4</v>
      </c>
      <c r="D127" s="69">
        <v>22000</v>
      </c>
      <c r="E127" s="110">
        <f>C127*D127</f>
        <v>88000</v>
      </c>
    </row>
    <row r="128" spans="3:5" ht="16.5" thickBot="1">
      <c r="C128" s="25"/>
      <c r="D128" s="20" t="s">
        <v>11</v>
      </c>
      <c r="E128" s="74">
        <f>SUM(E125:E127)</f>
        <v>5698000</v>
      </c>
    </row>
    <row r="129" spans="3:5" ht="16.5" thickTop="1">
      <c r="C129" s="25"/>
      <c r="D129" s="69"/>
      <c r="E129" s="69"/>
    </row>
    <row r="132" spans="2:6" ht="15.75">
      <c r="B132" s="18" t="s">
        <v>115</v>
      </c>
      <c r="C132" s="71">
        <f>E66+F46</f>
        <v>369600</v>
      </c>
      <c r="E132" s="18" t="s">
        <v>115</v>
      </c>
      <c r="F132" s="46" t="s">
        <v>140</v>
      </c>
    </row>
    <row r="133" spans="2:6" ht="15.75">
      <c r="B133" s="18" t="s">
        <v>136</v>
      </c>
      <c r="C133" s="71">
        <f>E106</f>
        <v>195000</v>
      </c>
      <c r="E133" s="18" t="s">
        <v>116</v>
      </c>
      <c r="F133" s="46" t="s">
        <v>138</v>
      </c>
    </row>
    <row r="134" spans="2:6" ht="16.5" thickBot="1">
      <c r="B134" s="18" t="s">
        <v>117</v>
      </c>
      <c r="C134" s="71">
        <f>D9</f>
        <v>381600</v>
      </c>
      <c r="E134" s="124" t="s">
        <v>141</v>
      </c>
      <c r="F134" s="102" t="s">
        <v>142</v>
      </c>
    </row>
    <row r="135" spans="2:5" ht="17.25" thickBot="1" thickTop="1">
      <c r="B135" s="124" t="s">
        <v>118</v>
      </c>
      <c r="C135" s="40">
        <f>SUM(C132:C134)</f>
        <v>946200</v>
      </c>
      <c r="E135" s="19"/>
    </row>
    <row r="136" spans="2:5" ht="16.5" thickTop="1">
      <c r="B136" s="124"/>
      <c r="C136" s="51"/>
      <c r="E136" s="19"/>
    </row>
    <row r="137" spans="2:6" ht="15.75">
      <c r="B137" s="18" t="s">
        <v>115</v>
      </c>
      <c r="C137" s="71">
        <f>E54+E37+E25</f>
        <v>442200</v>
      </c>
      <c r="E137" s="18" t="s">
        <v>143</v>
      </c>
      <c r="F137" s="46" t="s">
        <v>215</v>
      </c>
    </row>
    <row r="138" spans="2:6" ht="15.75">
      <c r="B138" s="18" t="s">
        <v>116</v>
      </c>
      <c r="C138" s="38">
        <f>D96</f>
        <v>3240915</v>
      </c>
      <c r="E138" s="18" t="s">
        <v>117</v>
      </c>
      <c r="F138" s="58" t="s">
        <v>139</v>
      </c>
    </row>
    <row r="139" spans="2:6" ht="16.5" thickBot="1">
      <c r="B139" s="124" t="s">
        <v>141</v>
      </c>
      <c r="C139" s="40">
        <f>C137+C138</f>
        <v>3683115</v>
      </c>
      <c r="D139" s="71"/>
      <c r="E139" s="124" t="s">
        <v>118</v>
      </c>
      <c r="F139" s="102" t="s">
        <v>144</v>
      </c>
    </row>
    <row r="140" spans="2:5" ht="16.5" thickTop="1">
      <c r="B140" s="124"/>
      <c r="E140" s="19"/>
    </row>
    <row r="141" spans="2:6" ht="15.75">
      <c r="B141" s="124" t="s">
        <v>132</v>
      </c>
      <c r="C141" s="69">
        <f>E121</f>
        <v>7420</v>
      </c>
      <c r="E141" s="18" t="s">
        <v>145</v>
      </c>
      <c r="F141" s="15" t="s">
        <v>146</v>
      </c>
    </row>
    <row r="142" spans="2:6" ht="15.75">
      <c r="B142" s="124" t="s">
        <v>133</v>
      </c>
      <c r="C142" s="69">
        <f>E114</f>
        <v>12850</v>
      </c>
      <c r="E142" s="18" t="s">
        <v>147</v>
      </c>
      <c r="F142" s="57" t="s">
        <v>144</v>
      </c>
    </row>
    <row r="143" spans="2:6" ht="16.5" thickBot="1">
      <c r="B143" s="124" t="s">
        <v>11</v>
      </c>
      <c r="C143" s="72">
        <f>SUM(C141:C142)</f>
        <v>20270</v>
      </c>
      <c r="E143" s="124" t="s">
        <v>119</v>
      </c>
      <c r="F143" s="73" t="s">
        <v>148</v>
      </c>
    </row>
    <row r="144" spans="2:3" ht="17.25" thickBot="1" thickTop="1">
      <c r="B144" s="124" t="s">
        <v>134</v>
      </c>
      <c r="C144" s="74">
        <f>E128</f>
        <v>5698000</v>
      </c>
    </row>
    <row r="145" ht="16.5" thickTop="1">
      <c r="B145" s="124"/>
    </row>
    <row r="146" spans="2:6" ht="16.5" thickBot="1">
      <c r="B146" s="124" t="s">
        <v>119</v>
      </c>
      <c r="C146" s="61">
        <f>SUM(C135+C139+C143+C144)</f>
        <v>10347585</v>
      </c>
      <c r="F146" s="111">
        <v>12000000</v>
      </c>
    </row>
    <row r="147" ht="16.5" thickTop="1">
      <c r="E147" s="197">
        <f>C148/F146</f>
        <v>0.30692625</v>
      </c>
    </row>
    <row r="148" spans="2:3" ht="16.5" thickBot="1">
      <c r="B148" s="59" t="s">
        <v>150</v>
      </c>
      <c r="C148" s="111">
        <f>C146-C135-C144-C142-C141</f>
        <v>3683115</v>
      </c>
    </row>
    <row r="149" ht="16.5" thickTop="1"/>
    <row r="150" ht="16.5" thickBot="1">
      <c r="C150" s="111">
        <f>C148*0.9+C148</f>
        <v>6997918.5</v>
      </c>
    </row>
    <row r="151" ht="16.5" thickTop="1"/>
    <row r="155" ht="15.75">
      <c r="C155" s="71"/>
    </row>
  </sheetData>
  <sheetProtection/>
  <mergeCells count="51">
    <mergeCell ref="F80:F81"/>
    <mergeCell ref="G80:G81"/>
    <mergeCell ref="F98:H98"/>
    <mergeCell ref="F5:H5"/>
    <mergeCell ref="A12:G12"/>
    <mergeCell ref="A77:D77"/>
    <mergeCell ref="G21:K21"/>
    <mergeCell ref="G22:G23"/>
    <mergeCell ref="H22:H23"/>
    <mergeCell ref="I22:K22"/>
    <mergeCell ref="G17:K17"/>
    <mergeCell ref="G18:G19"/>
    <mergeCell ref="H18:H19"/>
    <mergeCell ref="A14:E14"/>
    <mergeCell ref="I18:K18"/>
    <mergeCell ref="G49:K49"/>
    <mergeCell ref="H40:M40"/>
    <mergeCell ref="A49:E49"/>
    <mergeCell ref="G50:G51"/>
    <mergeCell ref="H50:H51"/>
    <mergeCell ref="I41:I42"/>
    <mergeCell ref="J41:J42"/>
    <mergeCell ref="K41:M41"/>
    <mergeCell ref="I50:K50"/>
    <mergeCell ref="H41:H42"/>
    <mergeCell ref="C50:E50"/>
    <mergeCell ref="A96:C96"/>
    <mergeCell ref="B4:D4"/>
    <mergeCell ref="A27:E27"/>
    <mergeCell ref="A28:A29"/>
    <mergeCell ref="B28:B29"/>
    <mergeCell ref="C28:E28"/>
    <mergeCell ref="A50:A51"/>
    <mergeCell ref="B50:B51"/>
    <mergeCell ref="A59:E59"/>
    <mergeCell ref="A78:A79"/>
    <mergeCell ref="B78:B79"/>
    <mergeCell ref="A57:E57"/>
    <mergeCell ref="A60:A61"/>
    <mergeCell ref="B60:B61"/>
    <mergeCell ref="A75:G75"/>
    <mergeCell ref="A2:G2"/>
    <mergeCell ref="A39:F39"/>
    <mergeCell ref="A40:A41"/>
    <mergeCell ref="B40:B41"/>
    <mergeCell ref="C40:C41"/>
    <mergeCell ref="D40:F40"/>
    <mergeCell ref="A16:E16"/>
    <mergeCell ref="A17:A18"/>
    <mergeCell ref="B17:B18"/>
    <mergeCell ref="C17:E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32.28125" style="0" bestFit="1" customWidth="1"/>
    <col min="2" max="2" width="17.8515625" style="0" customWidth="1"/>
    <col min="7" max="7" width="26.57421875" style="0" bestFit="1" customWidth="1"/>
  </cols>
  <sheetData>
    <row r="1" ht="15.75" thickBot="1"/>
    <row r="2" spans="1:2" ht="16.5" thickBot="1">
      <c r="A2" s="252" t="s">
        <v>2</v>
      </c>
      <c r="B2" s="253"/>
    </row>
    <row r="3" spans="1:2" ht="15.75">
      <c r="A3" s="24" t="s">
        <v>178</v>
      </c>
      <c r="B3" s="77">
        <v>200</v>
      </c>
    </row>
    <row r="4" spans="1:2" ht="15.75">
      <c r="A4" s="24" t="s">
        <v>203</v>
      </c>
      <c r="B4" s="77">
        <v>1</v>
      </c>
    </row>
    <row r="5" spans="1:2" ht="15.75">
      <c r="A5" s="24" t="s">
        <v>202</v>
      </c>
      <c r="B5" s="78">
        <f>SUPUESTOS!C150*1.5/12</f>
        <v>874739.8125</v>
      </c>
    </row>
    <row r="6" spans="1:2" ht="15.75">
      <c r="A6" s="24" t="s">
        <v>179</v>
      </c>
      <c r="B6" s="79">
        <f>B5*12</f>
        <v>10496877.75</v>
      </c>
    </row>
    <row r="7" spans="1:2" ht="16.5" thickBot="1">
      <c r="A7" s="26" t="s">
        <v>180</v>
      </c>
      <c r="B7" s="80">
        <v>0.1</v>
      </c>
    </row>
    <row r="13" ht="15">
      <c r="A13" s="1" t="s">
        <v>0</v>
      </c>
    </row>
    <row r="14" spans="1:2" ht="15">
      <c r="A14" t="s">
        <v>3</v>
      </c>
      <c r="B14" s="2">
        <v>0.922</v>
      </c>
    </row>
    <row r="15" spans="1:2" ht="15">
      <c r="A15" t="s">
        <v>4</v>
      </c>
      <c r="B15">
        <f>B12*B14</f>
        <v>0</v>
      </c>
    </row>
    <row r="16" spans="1:2" ht="15">
      <c r="A16" t="s">
        <v>5</v>
      </c>
      <c r="B16">
        <v>200</v>
      </c>
    </row>
    <row r="17" spans="1:4" ht="15">
      <c r="A17" t="s">
        <v>6</v>
      </c>
      <c r="B17" s="2">
        <v>0.811</v>
      </c>
      <c r="D17" s="2"/>
    </row>
    <row r="18" spans="1:2" ht="15">
      <c r="A18" t="s">
        <v>7</v>
      </c>
      <c r="B18" s="2">
        <v>0.61</v>
      </c>
    </row>
    <row r="19" spans="1:2" ht="15">
      <c r="A19" t="s">
        <v>8</v>
      </c>
      <c r="B19" s="3">
        <f>B16*B17*B18</f>
        <v>98.94200000000001</v>
      </c>
    </row>
    <row r="20" ht="15" hidden="1"/>
    <row r="21" ht="15" hidden="1">
      <c r="A21" s="1" t="s">
        <v>12</v>
      </c>
    </row>
    <row r="22" spans="1:5" ht="15" hidden="1">
      <c r="A22" s="4">
        <v>2</v>
      </c>
      <c r="B22" s="10">
        <v>0.567</v>
      </c>
      <c r="C22" s="3">
        <f>B22*83</f>
        <v>47.06099999999999</v>
      </c>
      <c r="D22">
        <f>C22/$C$26</f>
        <v>0.5670000000000001</v>
      </c>
      <c r="E22" s="4">
        <f>A22*D22</f>
        <v>1.1340000000000001</v>
      </c>
    </row>
    <row r="23" spans="1:5" ht="15" hidden="1">
      <c r="A23" s="4">
        <v>2.5</v>
      </c>
      <c r="B23" s="10">
        <v>0.1</v>
      </c>
      <c r="C23" s="3">
        <f>B23*83</f>
        <v>8.3</v>
      </c>
      <c r="D23">
        <f>C23/$C$26</f>
        <v>0.10000000000000002</v>
      </c>
      <c r="E23" s="4">
        <f>A23*D23</f>
        <v>0.25000000000000006</v>
      </c>
    </row>
    <row r="24" spans="1:5" ht="15" hidden="1">
      <c r="A24" s="4">
        <v>3</v>
      </c>
      <c r="B24" s="10">
        <v>0.233</v>
      </c>
      <c r="C24" s="3">
        <f>B24*83</f>
        <v>19.339000000000002</v>
      </c>
      <c r="D24">
        <f>C24/$C$26</f>
        <v>0.23300000000000007</v>
      </c>
      <c r="E24" s="4">
        <f>A24*D24</f>
        <v>0.6990000000000002</v>
      </c>
    </row>
    <row r="25" spans="1:5" ht="15" hidden="1">
      <c r="A25" s="4">
        <v>4</v>
      </c>
      <c r="B25" s="10">
        <v>0.1</v>
      </c>
      <c r="C25" s="3">
        <f>B25*83</f>
        <v>8.3</v>
      </c>
      <c r="D25">
        <f>C25/$C$26</f>
        <v>0.10000000000000002</v>
      </c>
      <c r="E25" s="4">
        <f>A25*D25</f>
        <v>0.4000000000000001</v>
      </c>
    </row>
    <row r="26" spans="2:5" ht="15" hidden="1">
      <c r="B26" s="2"/>
      <c r="C26" s="3">
        <f>SUM(C22:C25)</f>
        <v>82.99999999999999</v>
      </c>
      <c r="E26" s="4">
        <f>SUM(E22:E25)</f>
        <v>2.483</v>
      </c>
    </row>
    <row r="27" ht="15" hidden="1"/>
  </sheetData>
  <sheetProtection/>
  <mergeCells count="1">
    <mergeCell ref="A2:B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30.140625" style="0" bestFit="1" customWidth="1"/>
    <col min="2" max="2" width="14.8515625" style="0" customWidth="1"/>
    <col min="3" max="4" width="14.140625" style="0" bestFit="1" customWidth="1"/>
  </cols>
  <sheetData>
    <row r="1" spans="1:5" ht="15">
      <c r="A1" s="6" t="s">
        <v>31</v>
      </c>
      <c r="B1" s="5"/>
      <c r="C1" s="5"/>
      <c r="D1" s="5"/>
      <c r="E1" s="5"/>
    </row>
    <row r="2" ht="15.75" thickBot="1"/>
    <row r="3" spans="1:3" ht="15.75">
      <c r="A3" s="121" t="s">
        <v>152</v>
      </c>
      <c r="B3" s="112"/>
      <c r="C3" s="113">
        <v>800000</v>
      </c>
    </row>
    <row r="4" spans="1:3" ht="15.75">
      <c r="A4" s="122" t="s">
        <v>153</v>
      </c>
      <c r="B4" s="114"/>
      <c r="C4" s="115">
        <v>150000</v>
      </c>
    </row>
    <row r="5" spans="1:3" ht="15.75">
      <c r="A5" s="122" t="s">
        <v>155</v>
      </c>
      <c r="B5" s="116"/>
      <c r="C5" s="115">
        <f>SUPUESTOS!E128</f>
        <v>5698000</v>
      </c>
    </row>
    <row r="6" spans="1:3" ht="15.75">
      <c r="A6" s="122" t="s">
        <v>154</v>
      </c>
      <c r="B6" s="114"/>
      <c r="C6" s="115">
        <f>SUM(B7:B10)</f>
        <v>3454375</v>
      </c>
    </row>
    <row r="7" spans="1:3" ht="15.75">
      <c r="A7" s="122" t="s">
        <v>185</v>
      </c>
      <c r="B7" s="116">
        <f>SUPUESTOS!D96</f>
        <v>3240915</v>
      </c>
      <c r="C7" s="117"/>
    </row>
    <row r="8" spans="1:3" ht="15.75">
      <c r="A8" s="122" t="s">
        <v>184</v>
      </c>
      <c r="B8" s="116">
        <f>SUPUESTOS!E106</f>
        <v>195000</v>
      </c>
      <c r="C8" s="117"/>
    </row>
    <row r="9" spans="1:4" ht="15.75">
      <c r="A9" s="122" t="s">
        <v>186</v>
      </c>
      <c r="B9" s="116">
        <v>11040</v>
      </c>
      <c r="C9" s="117"/>
      <c r="D9" s="1"/>
    </row>
    <row r="10" spans="1:4" ht="16.5" thickBot="1">
      <c r="A10" s="123" t="s">
        <v>187</v>
      </c>
      <c r="B10" s="119">
        <v>7420</v>
      </c>
      <c r="C10" s="120"/>
      <c r="D10" s="1"/>
    </row>
    <row r="11" spans="1:4" ht="16.5" thickBot="1">
      <c r="A11" s="20" t="s">
        <v>135</v>
      </c>
      <c r="C11" s="118">
        <f>C3+C4+C5+C6</f>
        <v>10102375</v>
      </c>
      <c r="D11" s="4"/>
    </row>
    <row r="12" spans="3:4" ht="15.75" thickTop="1">
      <c r="C12" s="4"/>
      <c r="D12" s="4"/>
    </row>
    <row r="13" spans="3:4" ht="15.75" thickBot="1">
      <c r="C13" s="118">
        <v>8000000</v>
      </c>
      <c r="D13" s="118">
        <v>12000000</v>
      </c>
    </row>
    <row r="14" spans="3:4" ht="15.75" thickTop="1">
      <c r="C14" s="4"/>
      <c r="D14" s="196">
        <f>C13/D13</f>
        <v>0.6666666666666666</v>
      </c>
    </row>
    <row r="16" spans="3:5" ht="15">
      <c r="C16" s="1"/>
      <c r="D16" s="1"/>
      <c r="E16" s="1"/>
    </row>
    <row r="17" spans="4:5" ht="15">
      <c r="D17" s="4"/>
      <c r="E17" s="4"/>
    </row>
    <row r="18" spans="4:5" ht="15">
      <c r="D18" s="4"/>
      <c r="E18" s="4"/>
    </row>
    <row r="19" spans="4:5" ht="15">
      <c r="D19" s="4"/>
      <c r="E19" s="4"/>
    </row>
    <row r="22" spans="2:4" ht="15">
      <c r="B22" s="1"/>
      <c r="C22" s="1"/>
      <c r="D22" s="1"/>
    </row>
    <row r="23" spans="3:4" ht="15">
      <c r="C23" s="4"/>
      <c r="D23" s="4"/>
    </row>
    <row r="24" spans="3:4" ht="15">
      <c r="C24" s="4"/>
      <c r="D24" s="4"/>
    </row>
    <row r="25" ht="15">
      <c r="C25" s="4"/>
    </row>
    <row r="26" spans="3:4" ht="15">
      <c r="C26" s="4"/>
      <c r="D26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E1">
      <selection activeCell="G14" sqref="G14"/>
    </sheetView>
  </sheetViews>
  <sheetFormatPr defaultColWidth="11.421875" defaultRowHeight="15"/>
  <cols>
    <col min="1" max="1" width="21.140625" style="0" customWidth="1"/>
    <col min="2" max="2" width="14.140625" style="0" bestFit="1" customWidth="1"/>
    <col min="3" max="3" width="13.8515625" style="0" bestFit="1" customWidth="1"/>
    <col min="4" max="9" width="14.8515625" style="0" bestFit="1" customWidth="1"/>
    <col min="10" max="10" width="14.421875" style="0" bestFit="1" customWidth="1"/>
    <col min="11" max="11" width="13.8515625" style="0" bestFit="1" customWidth="1"/>
    <col min="12" max="12" width="15.8515625" style="0" bestFit="1" customWidth="1"/>
    <col min="13" max="13" width="15.00390625" style="0" bestFit="1" customWidth="1"/>
  </cols>
  <sheetData>
    <row r="2" spans="1:13" ht="15">
      <c r="A2" s="254" t="s">
        <v>188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ht="15.75" thickBot="1"/>
    <row r="4" spans="1:13" s="1" customFormat="1" ht="16.5" thickBot="1">
      <c r="A4" s="23"/>
      <c r="B4" s="83" t="s">
        <v>19</v>
      </c>
      <c r="C4" s="83" t="s">
        <v>20</v>
      </c>
      <c r="D4" s="83" t="s">
        <v>21</v>
      </c>
      <c r="E4" s="83" t="s">
        <v>22</v>
      </c>
      <c r="F4" s="83" t="s">
        <v>23</v>
      </c>
      <c r="G4" s="83" t="s">
        <v>24</v>
      </c>
      <c r="H4" s="83" t="s">
        <v>25</v>
      </c>
      <c r="I4" s="83" t="s">
        <v>26</v>
      </c>
      <c r="J4" s="83" t="s">
        <v>27</v>
      </c>
      <c r="K4" s="83" t="s">
        <v>28</v>
      </c>
      <c r="L4" s="83" t="s">
        <v>29</v>
      </c>
      <c r="M4" s="85" t="s">
        <v>30</v>
      </c>
    </row>
    <row r="5" spans="1:13" s="1" customFormat="1" ht="15.75">
      <c r="A5" s="94"/>
      <c r="B5" s="13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5.75">
      <c r="A6" s="132" t="s">
        <v>205</v>
      </c>
      <c r="B6" s="127">
        <f>(SUPUESTOS!D9+SUPUESTOS!E114+'CAP. DE TRABAJO'!E71+'CAP. DE TRABAJO'!F46)/12</f>
        <v>32870.833333333336</v>
      </c>
      <c r="C6" s="127">
        <f>B6</f>
        <v>32870.833333333336</v>
      </c>
      <c r="D6" s="127">
        <f>C6</f>
        <v>32870.833333333336</v>
      </c>
      <c r="E6" s="127">
        <f aca="true" t="shared" si="0" ref="E6:M6">D6</f>
        <v>32870.833333333336</v>
      </c>
      <c r="F6" s="127">
        <f t="shared" si="0"/>
        <v>32870.833333333336</v>
      </c>
      <c r="G6" s="127">
        <f t="shared" si="0"/>
        <v>32870.833333333336</v>
      </c>
      <c r="H6" s="127">
        <f t="shared" si="0"/>
        <v>32870.833333333336</v>
      </c>
      <c r="I6" s="127">
        <f t="shared" si="0"/>
        <v>32870.833333333336</v>
      </c>
      <c r="J6" s="127">
        <f t="shared" si="0"/>
        <v>32870.833333333336</v>
      </c>
      <c r="K6" s="127">
        <f t="shared" si="0"/>
        <v>32870.833333333336</v>
      </c>
      <c r="L6" s="127">
        <f t="shared" si="0"/>
        <v>32870.833333333336</v>
      </c>
      <c r="M6" s="127">
        <f t="shared" si="0"/>
        <v>32870.833333333336</v>
      </c>
    </row>
    <row r="7" spans="1:13" ht="15.75">
      <c r="A7" s="132" t="s">
        <v>204</v>
      </c>
      <c r="B7" s="127">
        <f>(SUPUESTOS!E25+SUPUESTOS!E37+SUPUESTOS!E54+SUPUESTOS!E66+SUPUESTOS!D96/12)</f>
        <v>976276.25</v>
      </c>
      <c r="C7" s="127">
        <f>B7</f>
        <v>976276.25</v>
      </c>
      <c r="D7" s="127">
        <f aca="true" t="shared" si="1" ref="D7:M7">C7</f>
        <v>976276.25</v>
      </c>
      <c r="E7" s="127">
        <f t="shared" si="1"/>
        <v>976276.25</v>
      </c>
      <c r="F7" s="127">
        <f t="shared" si="1"/>
        <v>976276.25</v>
      </c>
      <c r="G7" s="127">
        <f t="shared" si="1"/>
        <v>976276.25</v>
      </c>
      <c r="H7" s="127">
        <f t="shared" si="1"/>
        <v>976276.25</v>
      </c>
      <c r="I7" s="127">
        <f t="shared" si="1"/>
        <v>976276.25</v>
      </c>
      <c r="J7" s="127">
        <f t="shared" si="1"/>
        <v>976276.25</v>
      </c>
      <c r="K7" s="127">
        <f t="shared" si="1"/>
        <v>976276.25</v>
      </c>
      <c r="L7" s="127">
        <f t="shared" si="1"/>
        <v>976276.25</v>
      </c>
      <c r="M7" s="127">
        <f t="shared" si="1"/>
        <v>976276.25</v>
      </c>
    </row>
    <row r="8" spans="1:13" ht="16.5" thickBot="1">
      <c r="A8" s="132" t="s">
        <v>214</v>
      </c>
      <c r="B8" s="127">
        <f>+B6+B7</f>
        <v>1009147.0833333334</v>
      </c>
      <c r="C8" s="127">
        <f aca="true" t="shared" si="2" ref="C8:M8">C6+C7</f>
        <v>1009147.0833333334</v>
      </c>
      <c r="D8" s="127">
        <f t="shared" si="2"/>
        <v>1009147.0833333334</v>
      </c>
      <c r="E8" s="127">
        <f t="shared" si="2"/>
        <v>1009147.0833333334</v>
      </c>
      <c r="F8" s="127">
        <f t="shared" si="2"/>
        <v>1009147.0833333334</v>
      </c>
      <c r="G8" s="127">
        <f t="shared" si="2"/>
        <v>1009147.0833333334</v>
      </c>
      <c r="H8" s="127">
        <f t="shared" si="2"/>
        <v>1009147.0833333334</v>
      </c>
      <c r="I8" s="127">
        <f t="shared" si="2"/>
        <v>1009147.0833333334</v>
      </c>
      <c r="J8" s="128">
        <f t="shared" si="2"/>
        <v>1009147.0833333334</v>
      </c>
      <c r="K8" s="128">
        <f t="shared" si="2"/>
        <v>1009147.0833333334</v>
      </c>
      <c r="L8" s="128">
        <f t="shared" si="2"/>
        <v>1009147.0833333334</v>
      </c>
      <c r="M8" s="128">
        <f t="shared" si="2"/>
        <v>1009147.0833333334</v>
      </c>
    </row>
    <row r="9" spans="1:13" ht="16.5" thickBot="1">
      <c r="A9" s="133" t="s">
        <v>46</v>
      </c>
      <c r="B9" s="128"/>
      <c r="C9" s="128">
        <f>B10-B8</f>
        <v>-134407.27083333337</v>
      </c>
      <c r="D9" s="128">
        <f>C10-C8+C9</f>
        <v>-268814.54166666674</v>
      </c>
      <c r="E9" s="128">
        <f aca="true" t="shared" si="3" ref="E9:M9">D10-D8+D9</f>
        <v>-403221.8125000001</v>
      </c>
      <c r="F9" s="128">
        <f t="shared" si="3"/>
        <v>-537629.0833333335</v>
      </c>
      <c r="G9" s="128">
        <f t="shared" si="3"/>
        <v>-672036.3541666669</v>
      </c>
      <c r="H9" s="128">
        <f t="shared" si="3"/>
        <v>-806443.6250000002</v>
      </c>
      <c r="I9" s="128">
        <f>H10-H8+H9</f>
        <v>-940850.8958333336</v>
      </c>
      <c r="J9" s="128">
        <f t="shared" si="3"/>
        <v>-1075258.166666667</v>
      </c>
      <c r="K9" s="128">
        <f t="shared" si="3"/>
        <v>-1209665.4375000005</v>
      </c>
      <c r="L9" s="128">
        <f t="shared" si="3"/>
        <v>-1344072.708333334</v>
      </c>
      <c r="M9" s="128">
        <f t="shared" si="3"/>
        <v>-1478479.9791666674</v>
      </c>
    </row>
    <row r="10" spans="1:13" ht="15.75" thickBot="1">
      <c r="A10" s="129" t="s">
        <v>1</v>
      </c>
      <c r="B10" s="130">
        <f>DEMANDA!B5</f>
        <v>874739.8125</v>
      </c>
      <c r="C10" s="130">
        <f aca="true" t="shared" si="4" ref="C10:M10">B10</f>
        <v>874739.8125</v>
      </c>
      <c r="D10" s="130">
        <f t="shared" si="4"/>
        <v>874739.8125</v>
      </c>
      <c r="E10" s="130">
        <f t="shared" si="4"/>
        <v>874739.8125</v>
      </c>
      <c r="F10" s="130">
        <f t="shared" si="4"/>
        <v>874739.8125</v>
      </c>
      <c r="G10" s="130">
        <f t="shared" si="4"/>
        <v>874739.8125</v>
      </c>
      <c r="H10" s="130">
        <f t="shared" si="4"/>
        <v>874739.8125</v>
      </c>
      <c r="I10" s="130">
        <f t="shared" si="4"/>
        <v>874739.8125</v>
      </c>
      <c r="J10" s="130">
        <f t="shared" si="4"/>
        <v>874739.8125</v>
      </c>
      <c r="K10" s="130">
        <f t="shared" si="4"/>
        <v>874739.8125</v>
      </c>
      <c r="L10" s="130">
        <f t="shared" si="4"/>
        <v>874739.8125</v>
      </c>
      <c r="M10" s="130">
        <f t="shared" si="4"/>
        <v>874739.8125</v>
      </c>
    </row>
    <row r="11" ht="15.75" thickTop="1"/>
    <row r="15" ht="15">
      <c r="C15" s="11"/>
    </row>
  </sheetData>
  <sheetProtection/>
  <mergeCells count="1">
    <mergeCell ref="A2:M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3"/>
  <sheetViews>
    <sheetView zoomScale="80" zoomScaleNormal="80" zoomScalePageLayoutView="0" workbookViewId="0" topLeftCell="A1">
      <selection activeCell="E23" sqref="E23"/>
    </sheetView>
  </sheetViews>
  <sheetFormatPr defaultColWidth="11.421875" defaultRowHeight="15"/>
  <cols>
    <col min="2" max="2" width="37.00390625" style="0" bestFit="1" customWidth="1"/>
    <col min="3" max="4" width="16.8515625" style="0" bestFit="1" customWidth="1"/>
    <col min="5" max="5" width="15.8515625" style="0" customWidth="1"/>
    <col min="6" max="13" width="16.421875" style="0" bestFit="1" customWidth="1"/>
  </cols>
  <sheetData>
    <row r="1" ht="15.75" thickBot="1"/>
    <row r="2" spans="2:13" ht="16.5" thickBot="1">
      <c r="B2" s="255" t="s">
        <v>190</v>
      </c>
      <c r="C2" s="256"/>
      <c r="D2" s="256"/>
      <c r="E2" s="256"/>
      <c r="F2" s="256"/>
      <c r="G2" s="256"/>
      <c r="H2" s="257"/>
      <c r="I2" s="207"/>
      <c r="J2" s="207"/>
      <c r="K2" s="207"/>
      <c r="L2" s="207"/>
      <c r="M2" s="207"/>
    </row>
    <row r="3" ht="15.75" thickBot="1"/>
    <row r="4" spans="2:13" ht="16.5" thickBot="1">
      <c r="B4" s="164" t="s">
        <v>13</v>
      </c>
      <c r="C4" s="152">
        <v>0</v>
      </c>
      <c r="D4" s="153">
        <v>1</v>
      </c>
      <c r="E4" s="153">
        <v>2</v>
      </c>
      <c r="F4" s="153">
        <v>3</v>
      </c>
      <c r="G4" s="154">
        <v>4</v>
      </c>
      <c r="H4" s="154">
        <v>5</v>
      </c>
      <c r="I4" s="202">
        <v>6</v>
      </c>
      <c r="J4" s="154">
        <v>7</v>
      </c>
      <c r="K4" s="154">
        <v>8</v>
      </c>
      <c r="L4" s="154">
        <v>9</v>
      </c>
      <c r="M4" s="155">
        <v>10</v>
      </c>
    </row>
    <row r="5" spans="2:13" ht="15.75">
      <c r="B5" s="191" t="s">
        <v>14</v>
      </c>
      <c r="C5" s="156"/>
      <c r="D5" s="157">
        <f>DEMANDA!B6</f>
        <v>10496877.75</v>
      </c>
      <c r="E5" s="157">
        <f>D5*(1+DEMANDA!B7)</f>
        <v>11546565.525</v>
      </c>
      <c r="F5" s="157">
        <f>E5*(1+DEMANDA!B7)</f>
        <v>12701222.0775</v>
      </c>
      <c r="G5" s="157">
        <f>F5*(1+DEMANDA!B7)</f>
        <v>13971344.285250003</v>
      </c>
      <c r="H5" s="157">
        <f>G5*(1+DEMANDA!B7)</f>
        <v>15368478.713775003</v>
      </c>
      <c r="I5" s="203">
        <f>H5*(1+DEMANDA!B7)</f>
        <v>16905326.585152507</v>
      </c>
      <c r="J5" s="157">
        <f>I5*(1+DEMANDA!B7)</f>
        <v>18595859.24366776</v>
      </c>
      <c r="K5" s="157">
        <f>J5*(1+DEMANDA!$B$7)</f>
        <v>20455445.168034535</v>
      </c>
      <c r="L5" s="157">
        <f>K5*(1+DEMANDA!$B$7)</f>
        <v>22500989.68483799</v>
      </c>
      <c r="M5" s="158">
        <f>L5*(1+DEMANDA!$B$7)</f>
        <v>24751088.65332179</v>
      </c>
    </row>
    <row r="6" spans="2:13" ht="15.75">
      <c r="B6" s="191" t="s">
        <v>15</v>
      </c>
      <c r="C6" s="156"/>
      <c r="D6" s="157">
        <f>'CAP. DE TRABAJO'!B7*12</f>
        <v>11715315</v>
      </c>
      <c r="E6" s="157">
        <f>D6*1.025</f>
        <v>12008197.874999998</v>
      </c>
      <c r="F6" s="157">
        <f aca="true" t="shared" si="0" ref="F6:M6">E6*1.025</f>
        <v>12308402.821874997</v>
      </c>
      <c r="G6" s="157">
        <f t="shared" si="0"/>
        <v>12616112.89242187</v>
      </c>
      <c r="H6" s="157">
        <f t="shared" si="0"/>
        <v>12931515.714732416</v>
      </c>
      <c r="I6" s="203">
        <f t="shared" si="0"/>
        <v>13254803.607600724</v>
      </c>
      <c r="J6" s="157">
        <f t="shared" si="0"/>
        <v>13586173.697790742</v>
      </c>
      <c r="K6" s="157">
        <f t="shared" si="0"/>
        <v>13925828.04023551</v>
      </c>
      <c r="L6" s="157">
        <f t="shared" si="0"/>
        <v>14273973.741241397</v>
      </c>
      <c r="M6" s="158">
        <f t="shared" si="0"/>
        <v>14630823.08477243</v>
      </c>
    </row>
    <row r="7" spans="2:13" ht="15.75">
      <c r="B7" s="191" t="s">
        <v>157</v>
      </c>
      <c r="C7" s="156"/>
      <c r="D7" s="157">
        <f>'CAP. DE TRABAJO'!B6*12</f>
        <v>394450</v>
      </c>
      <c r="E7" s="157">
        <f aca="true" t="shared" si="1" ref="E7:M8">D7</f>
        <v>394450</v>
      </c>
      <c r="F7" s="157">
        <f t="shared" si="1"/>
        <v>394450</v>
      </c>
      <c r="G7" s="157">
        <f t="shared" si="1"/>
        <v>394450</v>
      </c>
      <c r="H7" s="157">
        <f t="shared" si="1"/>
        <v>394450</v>
      </c>
      <c r="I7" s="203">
        <f t="shared" si="1"/>
        <v>394450</v>
      </c>
      <c r="J7" s="157">
        <f t="shared" si="1"/>
        <v>394450</v>
      </c>
      <c r="K7" s="157">
        <f t="shared" si="1"/>
        <v>394450</v>
      </c>
      <c r="L7" s="157">
        <f t="shared" si="1"/>
        <v>394450</v>
      </c>
      <c r="M7" s="158">
        <f t="shared" si="1"/>
        <v>394450</v>
      </c>
    </row>
    <row r="8" spans="2:13" ht="15.75">
      <c r="B8" s="191" t="s">
        <v>38</v>
      </c>
      <c r="C8" s="156"/>
      <c r="D8" s="157">
        <f>D14</f>
        <v>820735.3333333334</v>
      </c>
      <c r="E8" s="157">
        <f>D8</f>
        <v>820735.3333333334</v>
      </c>
      <c r="F8" s="157">
        <f>E8</f>
        <v>820735.3333333334</v>
      </c>
      <c r="G8" s="157">
        <f>F8-DEPRECIACION!C9</f>
        <v>820715.3333333334</v>
      </c>
      <c r="H8" s="157">
        <f>G8</f>
        <v>820715.3333333334</v>
      </c>
      <c r="I8" s="203">
        <f>H8-DEPRECIACION!C12</f>
        <v>820712.3333333334</v>
      </c>
      <c r="J8" s="157">
        <f>I8</f>
        <v>820712.3333333334</v>
      </c>
      <c r="K8" s="157">
        <f t="shared" si="1"/>
        <v>820712.3333333334</v>
      </c>
      <c r="L8" s="157">
        <f t="shared" si="1"/>
        <v>820712.3333333334</v>
      </c>
      <c r="M8" s="158">
        <f t="shared" si="1"/>
        <v>820712.3333333334</v>
      </c>
    </row>
    <row r="9" spans="2:13" ht="15.75">
      <c r="B9" s="191" t="s">
        <v>39</v>
      </c>
      <c r="C9" s="156"/>
      <c r="D9" s="157">
        <f aca="true" t="shared" si="2" ref="D9:M9">D5-D6-D7-D8</f>
        <v>-2433622.5833333335</v>
      </c>
      <c r="E9" s="157">
        <f t="shared" si="2"/>
        <v>-1676817.6833333313</v>
      </c>
      <c r="F9" s="157">
        <f t="shared" si="2"/>
        <v>-822366.0777083294</v>
      </c>
      <c r="G9" s="157">
        <f t="shared" si="2"/>
        <v>140066.05949479959</v>
      </c>
      <c r="H9" s="157">
        <f t="shared" si="2"/>
        <v>1221797.6657092539</v>
      </c>
      <c r="I9" s="203">
        <f t="shared" si="2"/>
        <v>2435360.644218449</v>
      </c>
      <c r="J9" s="157">
        <f t="shared" si="2"/>
        <v>3794523.2125436836</v>
      </c>
      <c r="K9" s="157">
        <f t="shared" si="2"/>
        <v>5314454.794465692</v>
      </c>
      <c r="L9" s="157">
        <f t="shared" si="2"/>
        <v>7011853.610263259</v>
      </c>
      <c r="M9" s="158">
        <f t="shared" si="2"/>
        <v>8905103.235216027</v>
      </c>
    </row>
    <row r="10" spans="2:13" ht="15.75">
      <c r="B10" s="191" t="s">
        <v>40</v>
      </c>
      <c r="C10" s="156"/>
      <c r="D10" s="157">
        <f>D9*15%</f>
        <v>-365043.3875</v>
      </c>
      <c r="E10" s="157">
        <f aca="true" t="shared" si="3" ref="E10:M10">E9*15%</f>
        <v>-251522.65249999968</v>
      </c>
      <c r="F10" s="157">
        <f t="shared" si="3"/>
        <v>-123354.9116562494</v>
      </c>
      <c r="G10" s="157">
        <f t="shared" si="3"/>
        <v>21009.908924219937</v>
      </c>
      <c r="H10" s="157">
        <f t="shared" si="3"/>
        <v>183269.64985638807</v>
      </c>
      <c r="I10" s="203">
        <f t="shared" si="3"/>
        <v>365304.09663276735</v>
      </c>
      <c r="J10" s="157">
        <f t="shared" si="3"/>
        <v>569178.4818815525</v>
      </c>
      <c r="K10" s="157">
        <f t="shared" si="3"/>
        <v>797168.2191698537</v>
      </c>
      <c r="L10" s="157">
        <f t="shared" si="3"/>
        <v>1051778.0415394888</v>
      </c>
      <c r="M10" s="158">
        <f t="shared" si="3"/>
        <v>1335765.485282404</v>
      </c>
    </row>
    <row r="11" spans="2:13" ht="15.75">
      <c r="B11" s="191" t="s">
        <v>41</v>
      </c>
      <c r="C11" s="156"/>
      <c r="D11" s="157">
        <f>D9-D10</f>
        <v>-2068579.1958333335</v>
      </c>
      <c r="E11" s="157">
        <f aca="true" t="shared" si="4" ref="E11:M11">E9-E10</f>
        <v>-1425295.0308333316</v>
      </c>
      <c r="F11" s="157">
        <f t="shared" si="4"/>
        <v>-699011.16605208</v>
      </c>
      <c r="G11" s="157">
        <f t="shared" si="4"/>
        <v>119056.15057057964</v>
      </c>
      <c r="H11" s="157">
        <f t="shared" si="4"/>
        <v>1038528.0158528658</v>
      </c>
      <c r="I11" s="203">
        <f t="shared" si="4"/>
        <v>2070056.5475856815</v>
      </c>
      <c r="J11" s="157">
        <f t="shared" si="4"/>
        <v>3225344.730662131</v>
      </c>
      <c r="K11" s="157">
        <f t="shared" si="4"/>
        <v>4517286.575295838</v>
      </c>
      <c r="L11" s="157">
        <f t="shared" si="4"/>
        <v>5960075.56872377</v>
      </c>
      <c r="M11" s="158">
        <f t="shared" si="4"/>
        <v>7569337.749933623</v>
      </c>
    </row>
    <row r="12" spans="2:13" ht="15.75">
      <c r="B12" s="191" t="s">
        <v>42</v>
      </c>
      <c r="C12" s="156"/>
      <c r="D12" s="157">
        <f>D11*25%</f>
        <v>-517144.7989583334</v>
      </c>
      <c r="E12" s="157">
        <f aca="true" t="shared" si="5" ref="E12:M12">E11*25%</f>
        <v>-356323.7577083329</v>
      </c>
      <c r="F12" s="157">
        <f t="shared" si="5"/>
        <v>-174752.79151302</v>
      </c>
      <c r="G12" s="157">
        <f t="shared" si="5"/>
        <v>29764.03764264491</v>
      </c>
      <c r="H12" s="157">
        <f t="shared" si="5"/>
        <v>259632.00396321644</v>
      </c>
      <c r="I12" s="203">
        <f t="shared" si="5"/>
        <v>517514.1368964204</v>
      </c>
      <c r="J12" s="157">
        <f t="shared" si="5"/>
        <v>806336.1826655328</v>
      </c>
      <c r="K12" s="157">
        <f t="shared" si="5"/>
        <v>1129321.6438239594</v>
      </c>
      <c r="L12" s="157">
        <f t="shared" si="5"/>
        <v>1490018.8921809425</v>
      </c>
      <c r="M12" s="158">
        <f t="shared" si="5"/>
        <v>1892334.4374834057</v>
      </c>
    </row>
    <row r="13" spans="2:13" ht="15.75">
      <c r="B13" s="191" t="s">
        <v>43</v>
      </c>
      <c r="C13" s="156"/>
      <c r="D13" s="157">
        <f>D11-D12</f>
        <v>-1551434.396875</v>
      </c>
      <c r="E13" s="157">
        <f aca="true" t="shared" si="6" ref="E13:M13">E11-E12</f>
        <v>-1068971.2731249987</v>
      </c>
      <c r="F13" s="157">
        <f t="shared" si="6"/>
        <v>-524258.37453906</v>
      </c>
      <c r="G13" s="157">
        <f t="shared" si="6"/>
        <v>89292.11292793474</v>
      </c>
      <c r="H13" s="157">
        <f t="shared" si="6"/>
        <v>778896.0118896493</v>
      </c>
      <c r="I13" s="203">
        <f t="shared" si="6"/>
        <v>1552542.4106892613</v>
      </c>
      <c r="J13" s="157">
        <f t="shared" si="6"/>
        <v>2419008.5479965983</v>
      </c>
      <c r="K13" s="157">
        <f t="shared" si="6"/>
        <v>3387964.931471878</v>
      </c>
      <c r="L13" s="157">
        <f t="shared" si="6"/>
        <v>4470056.676542828</v>
      </c>
      <c r="M13" s="158">
        <f t="shared" si="6"/>
        <v>5677003.312450217</v>
      </c>
    </row>
    <row r="14" spans="2:13" ht="15.75">
      <c r="B14" s="191" t="s">
        <v>38</v>
      </c>
      <c r="C14" s="156"/>
      <c r="D14" s="157">
        <f>DEPRECIACION!E21</f>
        <v>820735.3333333334</v>
      </c>
      <c r="E14" s="157">
        <f>D14</f>
        <v>820735.3333333334</v>
      </c>
      <c r="F14" s="157">
        <f>E14</f>
        <v>820735.3333333334</v>
      </c>
      <c r="G14" s="157">
        <f>F14-DEPRECIACION!C9</f>
        <v>820715.3333333334</v>
      </c>
      <c r="H14" s="157">
        <f>G14</f>
        <v>820715.3333333334</v>
      </c>
      <c r="I14" s="203">
        <f>H14-DEPRECIACION!C12</f>
        <v>820712.3333333334</v>
      </c>
      <c r="J14" s="157">
        <f>I14</f>
        <v>820712.3333333334</v>
      </c>
      <c r="K14" s="157">
        <f>J14</f>
        <v>820712.3333333334</v>
      </c>
      <c r="L14" s="157">
        <f>K14</f>
        <v>820712.3333333334</v>
      </c>
      <c r="M14" s="158">
        <f>L14</f>
        <v>820712.3333333334</v>
      </c>
    </row>
    <row r="15" spans="2:13" ht="15.75">
      <c r="B15" s="191" t="s">
        <v>16</v>
      </c>
      <c r="C15" s="157">
        <f>INVERSION!C11</f>
        <v>10102375</v>
      </c>
      <c r="D15" s="159"/>
      <c r="E15" s="159"/>
      <c r="F15" s="159"/>
      <c r="G15" s="159"/>
      <c r="H15" s="159"/>
      <c r="I15" s="204"/>
      <c r="J15" s="159"/>
      <c r="K15" s="159"/>
      <c r="L15" s="159"/>
      <c r="M15" s="160"/>
    </row>
    <row r="16" spans="2:13" ht="16.5" thickBot="1">
      <c r="B16" s="192" t="s">
        <v>44</v>
      </c>
      <c r="C16" s="161">
        <f>'CAP. DE TRABAJO'!B8</f>
        <v>1009147.0833333334</v>
      </c>
      <c r="D16" s="162"/>
      <c r="E16" s="162"/>
      <c r="F16" s="162"/>
      <c r="G16" s="162"/>
      <c r="H16" s="162"/>
      <c r="I16" s="205"/>
      <c r="J16" s="162"/>
      <c r="K16" s="162"/>
      <c r="L16" s="162"/>
      <c r="M16" s="163">
        <f>C16</f>
        <v>1009147.0833333334</v>
      </c>
    </row>
    <row r="17" spans="2:13" ht="16.5" thickBot="1">
      <c r="B17" s="148" t="s">
        <v>45</v>
      </c>
      <c r="C17" s="149">
        <f>-C15-C16</f>
        <v>-11111522.083333334</v>
      </c>
      <c r="D17" s="149">
        <f>D13+D14</f>
        <v>-730699.0635416667</v>
      </c>
      <c r="E17" s="149">
        <f aca="true" t="shared" si="7" ref="E17:L17">E13+E14</f>
        <v>-248235.9397916653</v>
      </c>
      <c r="F17" s="149">
        <f t="shared" si="7"/>
        <v>296476.9587942734</v>
      </c>
      <c r="G17" s="149">
        <f t="shared" si="7"/>
        <v>910007.4462612681</v>
      </c>
      <c r="H17" s="149">
        <f t="shared" si="7"/>
        <v>1599611.3452229826</v>
      </c>
      <c r="I17" s="206">
        <f t="shared" si="7"/>
        <v>2373254.7440225948</v>
      </c>
      <c r="J17" s="149">
        <f t="shared" si="7"/>
        <v>3239720.881329932</v>
      </c>
      <c r="K17" s="149">
        <f t="shared" si="7"/>
        <v>4208677.264805212</v>
      </c>
      <c r="L17" s="149">
        <f t="shared" si="7"/>
        <v>5290769.009876161</v>
      </c>
      <c r="M17" s="150">
        <f>M13+M14+M16</f>
        <v>7506862.729116883</v>
      </c>
    </row>
    <row r="18" spans="2:13" ht="16.5" thickTop="1">
      <c r="B18" s="13"/>
      <c r="C18" s="21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15.75">
      <c r="B19" s="21" t="s">
        <v>159</v>
      </c>
      <c r="C19" s="147">
        <v>0.05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16.5" thickBot="1">
      <c r="B20" s="21" t="s">
        <v>47</v>
      </c>
      <c r="C20" s="151">
        <f>NPV(C19,D17:M17)+C17</f>
        <v>5166533.608559018</v>
      </c>
      <c r="D20" s="13"/>
      <c r="E20" s="27"/>
      <c r="F20" s="15"/>
      <c r="G20" s="13"/>
      <c r="H20" s="13"/>
      <c r="I20" s="13"/>
      <c r="J20" s="13"/>
      <c r="K20" s="13"/>
      <c r="L20" s="13"/>
      <c r="M20" s="13"/>
    </row>
    <row r="21" spans="2:13" ht="16.5" thickBot="1">
      <c r="B21" s="21" t="s">
        <v>48</v>
      </c>
      <c r="C21" s="165">
        <f>IRR(C17:M17)</f>
        <v>0.09952177691083955</v>
      </c>
      <c r="D21" s="13"/>
      <c r="F21" s="2"/>
      <c r="H21" s="13"/>
      <c r="I21" s="13"/>
      <c r="J21" s="13"/>
      <c r="K21" s="13"/>
      <c r="L21" s="13"/>
      <c r="M21" s="13"/>
    </row>
    <row r="22" spans="2:13" ht="15.75">
      <c r="B22" s="13"/>
      <c r="C22" s="13"/>
      <c r="D22" s="13"/>
      <c r="F22" s="4"/>
      <c r="G22" s="2"/>
      <c r="H22" s="13"/>
      <c r="I22" s="13"/>
      <c r="J22" s="13"/>
      <c r="K22" s="13"/>
      <c r="L22" s="13"/>
      <c r="M22" s="13"/>
    </row>
    <row r="23" spans="6:7" ht="15.75">
      <c r="F23" s="27"/>
      <c r="G23" s="2"/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24.140625" style="0" customWidth="1"/>
    <col min="2" max="2" width="15.8515625" style="0" bestFit="1" customWidth="1"/>
    <col min="3" max="3" width="6.421875" style="0" bestFit="1" customWidth="1"/>
    <col min="4" max="4" width="7.421875" style="0" bestFit="1" customWidth="1"/>
    <col min="5" max="5" width="13.8515625" style="0" bestFit="1" customWidth="1"/>
    <col min="6" max="6" width="12.57421875" style="0" customWidth="1"/>
  </cols>
  <sheetData>
    <row r="2" spans="1:6" ht="15.75">
      <c r="A2" s="258" t="s">
        <v>38</v>
      </c>
      <c r="B2" s="258"/>
      <c r="C2" s="258"/>
      <c r="D2" s="258"/>
      <c r="E2" s="258"/>
      <c r="F2" s="258"/>
    </row>
    <row r="3" ht="15.75" thickBot="1"/>
    <row r="4" spans="1:6" ht="16.5" thickBot="1">
      <c r="A4" s="98" t="s">
        <v>38</v>
      </c>
      <c r="B4" s="134" t="s">
        <v>51</v>
      </c>
      <c r="C4" s="134" t="s">
        <v>13</v>
      </c>
      <c r="D4" s="134" t="s">
        <v>189</v>
      </c>
      <c r="E4" s="83" t="s">
        <v>9</v>
      </c>
      <c r="F4" s="135" t="s">
        <v>10</v>
      </c>
    </row>
    <row r="5" spans="1:6" ht="15.75">
      <c r="A5" s="138" t="s">
        <v>151</v>
      </c>
      <c r="B5" s="141">
        <v>10000000</v>
      </c>
      <c r="C5" s="45">
        <v>20</v>
      </c>
      <c r="D5" s="142">
        <v>0.05</v>
      </c>
      <c r="E5" s="143">
        <f>B5/C5</f>
        <v>500000</v>
      </c>
      <c r="F5" s="144">
        <f>E5*12</f>
        <v>6000000</v>
      </c>
    </row>
    <row r="6" spans="1:6" ht="15.75">
      <c r="A6" s="138" t="s">
        <v>137</v>
      </c>
      <c r="B6" s="145">
        <v>350000</v>
      </c>
      <c r="C6" s="58">
        <v>20</v>
      </c>
      <c r="D6" s="136">
        <v>0.05</v>
      </c>
      <c r="E6" s="95">
        <f>B6/C6</f>
        <v>17500</v>
      </c>
      <c r="F6" s="79">
        <f>E6/12</f>
        <v>1458.3333333333333</v>
      </c>
    </row>
    <row r="7" spans="1:6" ht="15.75">
      <c r="A7" s="138" t="s">
        <v>122</v>
      </c>
      <c r="B7" s="145">
        <f>SUPUESTOS!E101</f>
        <v>68000</v>
      </c>
      <c r="C7" s="99">
        <v>20</v>
      </c>
      <c r="D7" s="136">
        <v>0.05</v>
      </c>
      <c r="E7" s="95">
        <f>B7/C7</f>
        <v>3400</v>
      </c>
      <c r="F7" s="79">
        <f>E7/12</f>
        <v>283.3333333333333</v>
      </c>
    </row>
    <row r="8" spans="1:6" ht="15.75">
      <c r="A8" s="138" t="s">
        <v>123</v>
      </c>
      <c r="B8" s="145">
        <f>SUPUESTOS!E102</f>
        <v>48000</v>
      </c>
      <c r="C8" s="99">
        <v>20</v>
      </c>
      <c r="D8" s="136">
        <v>0.05</v>
      </c>
      <c r="E8" s="95">
        <f aca="true" t="shared" si="0" ref="E8:E20">B8/C8</f>
        <v>2400</v>
      </c>
      <c r="F8" s="79">
        <f aca="true" t="shared" si="1" ref="F8:F21">E8/12</f>
        <v>200</v>
      </c>
    </row>
    <row r="9" spans="1:6" ht="15.75">
      <c r="A9" s="138" t="s">
        <v>124</v>
      </c>
      <c r="B9" s="145">
        <f>SUPUESTOS!E103</f>
        <v>30000</v>
      </c>
      <c r="C9" s="99">
        <v>20</v>
      </c>
      <c r="D9" s="136">
        <v>0.05</v>
      </c>
      <c r="E9" s="95">
        <f t="shared" si="0"/>
        <v>1500</v>
      </c>
      <c r="F9" s="79">
        <f t="shared" si="1"/>
        <v>125</v>
      </c>
    </row>
    <row r="10" spans="1:6" ht="15.75">
      <c r="A10" s="138" t="s">
        <v>126</v>
      </c>
      <c r="B10" s="145">
        <f>SUPUESTOS!E104</f>
        <v>28000</v>
      </c>
      <c r="C10" s="99">
        <v>20</v>
      </c>
      <c r="D10" s="136">
        <v>0.05</v>
      </c>
      <c r="E10" s="95">
        <f t="shared" si="0"/>
        <v>1400</v>
      </c>
      <c r="F10" s="79">
        <f t="shared" si="1"/>
        <v>116.66666666666667</v>
      </c>
    </row>
    <row r="11" spans="1:6" ht="15.75">
      <c r="A11" s="138" t="s">
        <v>125</v>
      </c>
      <c r="B11" s="145">
        <f>SUPUESTOS!E105</f>
        <v>21000</v>
      </c>
      <c r="C11" s="99">
        <v>20</v>
      </c>
      <c r="D11" s="136">
        <v>0.05</v>
      </c>
      <c r="E11" s="95">
        <f t="shared" si="0"/>
        <v>1050</v>
      </c>
      <c r="F11" s="79">
        <f t="shared" si="1"/>
        <v>87.5</v>
      </c>
    </row>
    <row r="12" spans="1:6" ht="15.75">
      <c r="A12" s="138" t="s">
        <v>17</v>
      </c>
      <c r="B12" s="145">
        <f>SUPUESTOS!E110</f>
        <v>7800</v>
      </c>
      <c r="C12" s="99">
        <v>3</v>
      </c>
      <c r="D12" s="136">
        <v>0.33</v>
      </c>
      <c r="E12" s="95">
        <f t="shared" si="0"/>
        <v>2600</v>
      </c>
      <c r="F12" s="79">
        <f t="shared" si="1"/>
        <v>216.66666666666666</v>
      </c>
    </row>
    <row r="13" spans="1:6" ht="15.75">
      <c r="A13" s="138" t="s">
        <v>127</v>
      </c>
      <c r="B13" s="145">
        <f>SUPUESTOS!E111</f>
        <v>1000</v>
      </c>
      <c r="C13" s="99">
        <v>3</v>
      </c>
      <c r="D13" s="136">
        <v>0.33</v>
      </c>
      <c r="E13" s="95">
        <f t="shared" si="0"/>
        <v>333.3333333333333</v>
      </c>
      <c r="F13" s="79">
        <f t="shared" si="1"/>
        <v>27.777777777777775</v>
      </c>
    </row>
    <row r="14" spans="1:6" ht="15.75">
      <c r="A14" s="138" t="s">
        <v>149</v>
      </c>
      <c r="B14" s="145">
        <f>SUPUESTOS!E112</f>
        <v>450</v>
      </c>
      <c r="C14" s="99">
        <v>3</v>
      </c>
      <c r="D14" s="136">
        <v>0.33</v>
      </c>
      <c r="E14" s="95">
        <f t="shared" si="0"/>
        <v>150</v>
      </c>
      <c r="F14" s="79">
        <f t="shared" si="1"/>
        <v>12.5</v>
      </c>
    </row>
    <row r="15" spans="1:6" ht="15.75">
      <c r="A15" s="138" t="s">
        <v>18</v>
      </c>
      <c r="B15" s="145">
        <f>SUPUESTOS!E113</f>
        <v>3600</v>
      </c>
      <c r="C15" s="99">
        <v>10</v>
      </c>
      <c r="D15" s="136">
        <v>0.1</v>
      </c>
      <c r="E15" s="95">
        <f t="shared" si="0"/>
        <v>360</v>
      </c>
      <c r="F15" s="79">
        <f t="shared" si="1"/>
        <v>30</v>
      </c>
    </row>
    <row r="16" spans="1:6" ht="15.75">
      <c r="A16" s="138" t="s">
        <v>35</v>
      </c>
      <c r="B16" s="145">
        <f>SUPUESTOS!E118</f>
        <v>4500</v>
      </c>
      <c r="C16" s="99">
        <v>10</v>
      </c>
      <c r="D16" s="136">
        <v>0.1</v>
      </c>
      <c r="E16" s="95">
        <f t="shared" si="0"/>
        <v>450</v>
      </c>
      <c r="F16" s="79">
        <f t="shared" si="1"/>
        <v>37.5</v>
      </c>
    </row>
    <row r="17" spans="1:9" ht="15.75">
      <c r="A17" s="138" t="s">
        <v>36</v>
      </c>
      <c r="B17" s="145">
        <f>SUPUESTOS!E119</f>
        <v>1800</v>
      </c>
      <c r="C17" s="99">
        <v>10</v>
      </c>
      <c r="D17" s="136">
        <v>0.1</v>
      </c>
      <c r="E17" s="95">
        <f t="shared" si="0"/>
        <v>180</v>
      </c>
      <c r="F17" s="79">
        <f t="shared" si="1"/>
        <v>15</v>
      </c>
      <c r="G17" s="8"/>
      <c r="H17" s="8"/>
      <c r="I17" s="9"/>
    </row>
    <row r="18" spans="1:6" ht="15.75">
      <c r="A18" s="138" t="s">
        <v>128</v>
      </c>
      <c r="B18" s="145">
        <f>SUPUESTOS!E120</f>
        <v>1120</v>
      </c>
      <c r="C18" s="99">
        <v>10</v>
      </c>
      <c r="D18" s="136">
        <v>0.1</v>
      </c>
      <c r="E18" s="95">
        <f t="shared" si="0"/>
        <v>112</v>
      </c>
      <c r="F18" s="79">
        <f t="shared" si="1"/>
        <v>9.333333333333334</v>
      </c>
    </row>
    <row r="19" spans="1:10" ht="15.75">
      <c r="A19" s="138" t="s">
        <v>129</v>
      </c>
      <c r="B19" s="145">
        <f>SUPUESTOS!E128</f>
        <v>5698000</v>
      </c>
      <c r="C19" s="99">
        <v>20</v>
      </c>
      <c r="D19" s="136">
        <v>0.05</v>
      </c>
      <c r="E19" s="95">
        <f t="shared" si="0"/>
        <v>284900</v>
      </c>
      <c r="F19" s="79">
        <f t="shared" si="1"/>
        <v>23741.666666666668</v>
      </c>
      <c r="G19" s="1"/>
      <c r="H19" s="1"/>
      <c r="I19" s="1"/>
      <c r="J19" s="1"/>
    </row>
    <row r="20" spans="1:10" ht="16.5" thickBot="1">
      <c r="A20" s="138" t="s">
        <v>130</v>
      </c>
      <c r="B20" s="146">
        <f>SUPUESTOS!E127</f>
        <v>88000</v>
      </c>
      <c r="C20" s="100">
        <v>20</v>
      </c>
      <c r="D20" s="137">
        <v>0.05</v>
      </c>
      <c r="E20" s="101">
        <f t="shared" si="0"/>
        <v>4400</v>
      </c>
      <c r="F20" s="107">
        <f t="shared" si="1"/>
        <v>366.6666666666667</v>
      </c>
      <c r="I20" s="4"/>
      <c r="J20" s="4"/>
    </row>
    <row r="21" spans="1:10" ht="16.5" thickBot="1">
      <c r="A21" s="139" t="s">
        <v>11</v>
      </c>
      <c r="B21" s="103">
        <f>SUM(B6:B20)</f>
        <v>6351270</v>
      </c>
      <c r="C21" s="140"/>
      <c r="D21" s="140"/>
      <c r="E21" s="103">
        <f>SUM(E5:E20)</f>
        <v>820735.3333333334</v>
      </c>
      <c r="F21" s="103">
        <f t="shared" si="1"/>
        <v>68394.61111111111</v>
      </c>
      <c r="I21" s="4"/>
      <c r="J21" s="4"/>
    </row>
    <row r="22" spans="9:10" ht="15.75" thickTop="1">
      <c r="I22" s="9"/>
      <c r="J22" s="4"/>
    </row>
    <row r="23" spans="9:10" ht="15">
      <c r="I23" s="9"/>
      <c r="J23" s="4"/>
    </row>
    <row r="24" spans="1:10" ht="15">
      <c r="A24" s="7"/>
      <c r="B24" s="7"/>
      <c r="C24" s="7"/>
      <c r="D24" s="7"/>
      <c r="I24" s="9"/>
      <c r="J24" s="4"/>
    </row>
    <row r="25" spans="1:10" ht="15">
      <c r="A25" s="8"/>
      <c r="B25" s="8"/>
      <c r="C25" s="9"/>
      <c r="D25" s="9"/>
      <c r="I25" s="4"/>
      <c r="J25" s="9"/>
    </row>
    <row r="26" spans="1:4" ht="15">
      <c r="A26" s="8"/>
      <c r="B26" s="8"/>
      <c r="C26" s="9"/>
      <c r="D26" s="9"/>
    </row>
    <row r="27" spans="1:4" ht="15">
      <c r="A27" s="8"/>
      <c r="B27" s="8"/>
      <c r="C27" s="9"/>
      <c r="D27" s="9"/>
    </row>
    <row r="28" spans="1:4" ht="15">
      <c r="A28" s="8"/>
      <c r="B28" s="8"/>
      <c r="C28" s="9"/>
      <c r="D28" s="9"/>
    </row>
    <row r="29" spans="1:4" ht="15">
      <c r="A29" s="8"/>
      <c r="B29" s="8"/>
      <c r="C29" s="9"/>
      <c r="D29" s="9"/>
    </row>
    <row r="30" spans="1:4" ht="15">
      <c r="A30" s="8"/>
      <c r="B30" s="8"/>
      <c r="C30" s="9"/>
      <c r="D30" s="9"/>
    </row>
    <row r="32" spans="1:6" ht="15">
      <c r="A32" s="14"/>
      <c r="B32" s="14"/>
      <c r="C32" s="14"/>
      <c r="D32" s="14"/>
      <c r="E32" s="14"/>
      <c r="F32" s="14"/>
    </row>
    <row r="33" spans="1:6" ht="15">
      <c r="A33" s="16"/>
      <c r="B33" s="16"/>
      <c r="C33" s="16"/>
      <c r="D33" s="16"/>
      <c r="E33" s="14"/>
      <c r="F33" s="14"/>
    </row>
    <row r="34" spans="1:6" ht="15">
      <c r="A34" s="14"/>
      <c r="B34" s="17"/>
      <c r="C34" s="12"/>
      <c r="D34" s="12"/>
      <c r="E34" s="14"/>
      <c r="F34" s="14"/>
    </row>
    <row r="35" spans="1:6" ht="15">
      <c r="A35" s="14"/>
      <c r="B35" s="17"/>
      <c r="C35" s="12"/>
      <c r="D35" s="12"/>
      <c r="E35" s="14"/>
      <c r="F35" s="14"/>
    </row>
    <row r="36" spans="1:6" ht="15">
      <c r="A36" s="14"/>
      <c r="B36" s="17"/>
      <c r="C36" s="12"/>
      <c r="D36" s="12"/>
      <c r="E36" s="14"/>
      <c r="F36" s="14"/>
    </row>
    <row r="37" spans="1:6" ht="15">
      <c r="A37" s="14"/>
      <c r="B37" s="17"/>
      <c r="C37" s="12"/>
      <c r="D37" s="12"/>
      <c r="E37" s="14"/>
      <c r="F37" s="14"/>
    </row>
    <row r="38" spans="1:6" ht="15">
      <c r="A38" s="14"/>
      <c r="B38" s="12"/>
      <c r="C38" s="12"/>
      <c r="D38" s="12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A40" s="16"/>
      <c r="B40" s="14"/>
      <c r="C40" s="16"/>
      <c r="D40" s="16"/>
      <c r="E40" s="16"/>
      <c r="F40" s="14"/>
    </row>
    <row r="41" spans="1:6" ht="15">
      <c r="A41" s="14"/>
      <c r="B41" s="12"/>
      <c r="C41" s="14"/>
      <c r="D41" s="12"/>
      <c r="E41" s="12"/>
      <c r="F41" s="14"/>
    </row>
    <row r="42" spans="1:6" ht="15">
      <c r="A42" s="14"/>
      <c r="B42" s="12"/>
      <c r="C42" s="14"/>
      <c r="D42" s="12"/>
      <c r="E42" s="12"/>
      <c r="F42" s="14"/>
    </row>
    <row r="43" spans="1:6" ht="15">
      <c r="A43" s="14"/>
      <c r="B43" s="12"/>
      <c r="C43" s="14"/>
      <c r="D43" s="12"/>
      <c r="E43" s="12"/>
      <c r="F43" s="14"/>
    </row>
    <row r="44" spans="1:6" ht="15">
      <c r="A44" s="14"/>
      <c r="B44" s="12"/>
      <c r="C44" s="14"/>
      <c r="D44" s="14"/>
      <c r="E44" s="12"/>
      <c r="F44" s="14"/>
    </row>
    <row r="45" spans="1:6" ht="15">
      <c r="A45" s="14"/>
      <c r="B45" s="14"/>
      <c r="C45" s="14"/>
      <c r="D45" s="14"/>
      <c r="E45" s="14"/>
      <c r="F45" s="14"/>
    </row>
    <row r="46" spans="1:6" ht="15">
      <c r="A46" s="16"/>
      <c r="B46" s="16"/>
      <c r="C46" s="16"/>
      <c r="D46" s="16"/>
      <c r="E46" s="14"/>
      <c r="F46" s="14"/>
    </row>
    <row r="47" spans="1:6" ht="15">
      <c r="A47" s="14"/>
      <c r="B47" s="17"/>
      <c r="C47" s="12"/>
      <c r="D47" s="12"/>
      <c r="E47" s="14"/>
      <c r="F47" s="14"/>
    </row>
    <row r="48" spans="1:6" ht="15">
      <c r="A48" s="14"/>
      <c r="B48" s="17"/>
      <c r="C48" s="12"/>
      <c r="D48" s="12"/>
      <c r="E48" s="14"/>
      <c r="F48" s="14"/>
    </row>
    <row r="49" spans="1:6" ht="15">
      <c r="A49" s="14"/>
      <c r="B49" s="17"/>
      <c r="C49" s="12"/>
      <c r="D49" s="12"/>
      <c r="E49" s="14"/>
      <c r="F49" s="14"/>
    </row>
    <row r="50" spans="1:6" ht="15">
      <c r="A50" s="14"/>
      <c r="B50" s="17"/>
      <c r="C50" s="12"/>
      <c r="D50" s="12"/>
      <c r="E50" s="14"/>
      <c r="F50" s="14"/>
    </row>
    <row r="51" spans="1:6" ht="15">
      <c r="A51" s="14"/>
      <c r="B51" s="14"/>
      <c r="C51" s="14"/>
      <c r="D51" s="14"/>
      <c r="E51" s="14"/>
      <c r="F51" s="14"/>
    </row>
    <row r="52" spans="1:6" ht="15">
      <c r="A52" s="14"/>
      <c r="B52" s="14"/>
      <c r="C52" s="14"/>
      <c r="D52" s="14"/>
      <c r="E52" s="14"/>
      <c r="F52" s="14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C1">
      <selection activeCell="E24" sqref="E24"/>
    </sheetView>
  </sheetViews>
  <sheetFormatPr defaultColWidth="11.421875" defaultRowHeight="15"/>
  <cols>
    <col min="1" max="1" width="19.8515625" style="0" bestFit="1" customWidth="1"/>
    <col min="2" max="2" width="11.28125" style="0" bestFit="1" customWidth="1"/>
    <col min="3" max="3" width="13.57421875" style="0" bestFit="1" customWidth="1"/>
    <col min="4" max="4" width="17.00390625" style="0" bestFit="1" customWidth="1"/>
    <col min="5" max="5" width="18.7109375" style="0" customWidth="1"/>
    <col min="6" max="6" width="14.421875" style="0" bestFit="1" customWidth="1"/>
  </cols>
  <sheetData>
    <row r="2" spans="1:12" ht="15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.75">
      <c r="A3" s="187" t="s">
        <v>160</v>
      </c>
      <c r="B3" s="187"/>
      <c r="C3" s="188">
        <f>PRESTAMO!C16</f>
        <v>8000000</v>
      </c>
      <c r="D3" s="187"/>
      <c r="E3" s="166"/>
      <c r="F3" s="166"/>
      <c r="G3" s="166"/>
      <c r="H3" s="166"/>
      <c r="I3" s="166"/>
      <c r="J3" s="166"/>
      <c r="K3" s="166"/>
      <c r="L3" s="166"/>
    </row>
    <row r="4" spans="1:12" ht="15.75">
      <c r="A4" s="187" t="s">
        <v>161</v>
      </c>
      <c r="B4" s="187"/>
      <c r="C4" s="187">
        <v>4</v>
      </c>
      <c r="D4" s="187"/>
      <c r="E4" s="166"/>
      <c r="F4" s="166"/>
      <c r="G4" s="166"/>
      <c r="H4" s="166"/>
      <c r="I4" s="166"/>
      <c r="J4" s="166"/>
      <c r="K4" s="166"/>
      <c r="L4" s="166"/>
    </row>
    <row r="5" spans="1:12" ht="15.75">
      <c r="A5" s="187" t="s">
        <v>162</v>
      </c>
      <c r="B5" s="187"/>
      <c r="C5" s="187">
        <v>4</v>
      </c>
      <c r="D5" s="187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187" t="s">
        <v>163</v>
      </c>
      <c r="B6" s="187"/>
      <c r="C6" s="187"/>
      <c r="D6" s="187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87" t="s">
        <v>164</v>
      </c>
      <c r="B7" s="187"/>
      <c r="C7" s="189"/>
      <c r="D7" s="187">
        <f>+C3*C7</f>
        <v>0</v>
      </c>
      <c r="E7" s="166"/>
      <c r="F7" s="166"/>
      <c r="G7" s="166"/>
      <c r="H7" s="166"/>
      <c r="I7" s="166"/>
      <c r="J7" s="166"/>
      <c r="K7" s="166"/>
      <c r="L7" s="166"/>
    </row>
    <row r="8" spans="1:12" ht="15.75">
      <c r="A8" s="187" t="s">
        <v>165</v>
      </c>
      <c r="B8" s="187"/>
      <c r="C8" s="189"/>
      <c r="D8" s="187">
        <f>+C3*C8</f>
        <v>0</v>
      </c>
      <c r="E8" s="166"/>
      <c r="F8" s="166"/>
      <c r="G8" s="166"/>
      <c r="H8" s="166"/>
      <c r="I8" s="166"/>
      <c r="J8" s="166"/>
      <c r="K8" s="166"/>
      <c r="L8" s="166"/>
    </row>
    <row r="9" spans="1:12" ht="15.75">
      <c r="A9" s="187"/>
      <c r="B9" s="187"/>
      <c r="C9" s="189"/>
      <c r="D9" s="187"/>
      <c r="E9" s="166"/>
      <c r="F9" s="166"/>
      <c r="G9" s="166"/>
      <c r="H9" s="166"/>
      <c r="I9" s="166"/>
      <c r="J9" s="166"/>
      <c r="K9" s="166"/>
      <c r="L9" s="166"/>
    </row>
    <row r="10" spans="1:12" ht="15.75">
      <c r="A10" s="187" t="s">
        <v>166</v>
      </c>
      <c r="B10" s="187"/>
      <c r="C10" s="190">
        <v>0.18</v>
      </c>
      <c r="D10" s="187"/>
      <c r="E10" s="166"/>
      <c r="F10" s="166"/>
      <c r="G10" s="166"/>
      <c r="H10" s="166"/>
      <c r="I10" s="166"/>
      <c r="J10" s="166"/>
      <c r="K10" s="166"/>
      <c r="L10" s="166"/>
    </row>
    <row r="11" spans="1:12" ht="15.7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ht="16.5" thickBo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35.25" customHeight="1" thickBot="1" thickTop="1">
      <c r="A13" s="184" t="s">
        <v>167</v>
      </c>
      <c r="B13" s="185" t="s">
        <v>168</v>
      </c>
      <c r="C13" s="185" t="s">
        <v>169</v>
      </c>
      <c r="D13" s="185" t="s">
        <v>170</v>
      </c>
      <c r="E13" s="185" t="s">
        <v>171</v>
      </c>
      <c r="F13" s="186" t="s">
        <v>172</v>
      </c>
      <c r="G13" s="166"/>
      <c r="H13" s="166"/>
      <c r="I13" s="166"/>
      <c r="J13" s="166"/>
      <c r="K13" s="166"/>
      <c r="L13" s="166"/>
    </row>
    <row r="14" spans="1:12" ht="16.5" thickTop="1">
      <c r="A14" s="168">
        <v>0</v>
      </c>
      <c r="B14" s="169">
        <v>0</v>
      </c>
      <c r="C14" s="169">
        <v>0</v>
      </c>
      <c r="D14" s="170">
        <v>0</v>
      </c>
      <c r="E14" s="170">
        <v>0</v>
      </c>
      <c r="F14" s="171">
        <f>+C3</f>
        <v>8000000</v>
      </c>
      <c r="G14" s="166"/>
      <c r="H14" s="166"/>
      <c r="I14" s="166"/>
      <c r="J14" s="172">
        <f>C3-D7-D8</f>
        <v>8000000</v>
      </c>
      <c r="K14" s="166"/>
      <c r="L14" s="166"/>
    </row>
    <row r="15" spans="1:12" ht="15.75">
      <c r="A15" s="173">
        <v>1</v>
      </c>
      <c r="B15" s="174">
        <f>PMT(C10,C5-C6,-C3)</f>
        <v>2973909.3674311163</v>
      </c>
      <c r="C15" s="174">
        <f>F14*$C$10</f>
        <v>1440000</v>
      </c>
      <c r="D15" s="174">
        <f>+B15-C15</f>
        <v>1533909.3674311163</v>
      </c>
      <c r="E15" s="175">
        <f>+D15+E14</f>
        <v>1533909.3674311163</v>
      </c>
      <c r="F15" s="176">
        <f>+F14-D15</f>
        <v>6466090.632568884</v>
      </c>
      <c r="G15" s="166"/>
      <c r="H15" s="167">
        <f aca="true" t="shared" si="0" ref="H15:I18">C15/$B$16</f>
        <v>0.48421112484805884</v>
      </c>
      <c r="I15" s="167">
        <f t="shared" si="0"/>
        <v>0.5157888751519412</v>
      </c>
      <c r="J15" s="172">
        <f>-B15</f>
        <v>-2973909.3674311163</v>
      </c>
      <c r="K15" s="166"/>
      <c r="L15" s="166"/>
    </row>
    <row r="16" spans="1:12" ht="15.75">
      <c r="A16" s="173">
        <v>2</v>
      </c>
      <c r="B16" s="174">
        <f>+B15</f>
        <v>2973909.3674311163</v>
      </c>
      <c r="C16" s="174">
        <f>F15*$C$10</f>
        <v>1163896.313862399</v>
      </c>
      <c r="D16" s="174">
        <f>+B16-C16</f>
        <v>1810013.0535687173</v>
      </c>
      <c r="E16" s="175">
        <f>+D16+E15</f>
        <v>3343922.4209998334</v>
      </c>
      <c r="F16" s="176">
        <f>+F15-D16</f>
        <v>4656077.579000167</v>
      </c>
      <c r="G16" s="166"/>
      <c r="H16" s="167">
        <f t="shared" si="0"/>
        <v>0.39136912732070944</v>
      </c>
      <c r="I16" s="167">
        <f t="shared" si="0"/>
        <v>0.6086308726792906</v>
      </c>
      <c r="J16" s="172">
        <f>-B16</f>
        <v>-2973909.3674311163</v>
      </c>
      <c r="K16" s="166"/>
      <c r="L16" s="166"/>
    </row>
    <row r="17" spans="1:12" ht="15.75">
      <c r="A17" s="173">
        <v>3</v>
      </c>
      <c r="B17" s="174">
        <f>+B16</f>
        <v>2973909.3674311163</v>
      </c>
      <c r="C17" s="174">
        <f>F16*$C$10</f>
        <v>838093.96422003</v>
      </c>
      <c r="D17" s="174">
        <f>+B17-C17</f>
        <v>2135815.403211086</v>
      </c>
      <c r="E17" s="175">
        <f>+D17+E16</f>
        <v>5479737.824210919</v>
      </c>
      <c r="F17" s="176">
        <f>+F16-D17</f>
        <v>2520262.1757890806</v>
      </c>
      <c r="G17" s="166"/>
      <c r="H17" s="167">
        <f t="shared" si="0"/>
        <v>0.2818155702384372</v>
      </c>
      <c r="I17" s="167">
        <f t="shared" si="0"/>
        <v>0.7181844297615627</v>
      </c>
      <c r="J17" s="172">
        <f>-B17</f>
        <v>-2973909.3674311163</v>
      </c>
      <c r="K17" s="166"/>
      <c r="L17" s="166"/>
    </row>
    <row r="18" spans="1:12" ht="16.5" thickBot="1">
      <c r="A18" s="177">
        <v>4</v>
      </c>
      <c r="B18" s="178">
        <f>+B17</f>
        <v>2973909.3674311163</v>
      </c>
      <c r="C18" s="174">
        <f>F17*$C$10</f>
        <v>453647.1916420345</v>
      </c>
      <c r="D18" s="178">
        <f>+B18-C18</f>
        <v>2520262.175789082</v>
      </c>
      <c r="E18" s="179">
        <f>+D18+E17</f>
        <v>8000000.000000002</v>
      </c>
      <c r="F18" s="180">
        <f>+F17-D18</f>
        <v>0</v>
      </c>
      <c r="G18" s="166"/>
      <c r="H18" s="167">
        <f t="shared" si="0"/>
        <v>0.15254237288135586</v>
      </c>
      <c r="I18" s="167">
        <f t="shared" si="0"/>
        <v>0.8474576271186441</v>
      </c>
      <c r="J18" s="172">
        <f>-B18</f>
        <v>-2973909.3674311163</v>
      </c>
      <c r="K18" s="166"/>
      <c r="L18" s="166"/>
    </row>
    <row r="19" spans="1:12" ht="16.5" thickTop="1">
      <c r="A19" s="166"/>
      <c r="B19" s="172">
        <f>SUM(B14:B18)</f>
        <v>11895637.469724465</v>
      </c>
      <c r="C19" s="172"/>
      <c r="D19" s="172"/>
      <c r="E19" s="172"/>
      <c r="F19" s="172"/>
      <c r="G19" s="166"/>
      <c r="H19" s="166"/>
      <c r="I19" s="166"/>
      <c r="J19" s="166"/>
      <c r="K19" s="166"/>
      <c r="L19" s="166"/>
    </row>
    <row r="20" spans="1:12" ht="15.75">
      <c r="A20" s="166"/>
      <c r="B20" s="166"/>
      <c r="C20" s="166">
        <f>132/121</f>
        <v>1.0909090909090908</v>
      </c>
      <c r="D20" s="166"/>
      <c r="E20" s="166"/>
      <c r="F20" s="181"/>
      <c r="G20" s="166"/>
      <c r="H20" s="166"/>
      <c r="I20" s="166"/>
      <c r="J20" s="182">
        <f>IRR(J14:J18)</f>
        <v>0.18000000000000013</v>
      </c>
      <c r="K20" s="183" t="s">
        <v>173</v>
      </c>
      <c r="L20" s="166"/>
    </row>
    <row r="21" spans="1:12" ht="15.75">
      <c r="A21" s="166"/>
      <c r="B21" s="166"/>
      <c r="C21" s="166">
        <f>+C20*B16</f>
        <v>3244264.7644703086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7"/>
  <sheetViews>
    <sheetView zoomScale="80" zoomScaleNormal="80" zoomScalePageLayoutView="0" workbookViewId="0" topLeftCell="A1">
      <selection activeCell="F25" sqref="F25"/>
    </sheetView>
  </sheetViews>
  <sheetFormatPr defaultColWidth="11.421875" defaultRowHeight="15"/>
  <cols>
    <col min="2" max="2" width="37.00390625" style="0" bestFit="1" customWidth="1"/>
    <col min="3" max="3" width="18.00390625" style="0" bestFit="1" customWidth="1"/>
    <col min="4" max="5" width="17.140625" style="0" bestFit="1" customWidth="1"/>
    <col min="6" max="6" width="16.8515625" style="0" customWidth="1"/>
    <col min="7" max="9" width="17.140625" style="0" bestFit="1" customWidth="1"/>
    <col min="10" max="13" width="16.421875" style="0" bestFit="1" customWidth="1"/>
  </cols>
  <sheetData>
    <row r="1" ht="15.75" thickBot="1"/>
    <row r="2" spans="2:13" ht="16.5" thickBot="1">
      <c r="B2" s="255" t="s">
        <v>190</v>
      </c>
      <c r="C2" s="256"/>
      <c r="D2" s="256"/>
      <c r="E2" s="256"/>
      <c r="F2" s="256"/>
      <c r="G2" s="256"/>
      <c r="H2" s="257"/>
      <c r="I2" s="208"/>
      <c r="J2" s="208"/>
      <c r="K2" s="208"/>
      <c r="L2" s="208"/>
      <c r="M2" s="208"/>
    </row>
    <row r="3" spans="9:13" ht="16.5" thickBot="1">
      <c r="I3" s="208"/>
      <c r="J3" s="208"/>
      <c r="K3" s="208"/>
      <c r="L3" s="208"/>
      <c r="M3" s="208"/>
    </row>
    <row r="4" spans="2:13" ht="16.5" thickBot="1">
      <c r="B4" s="164" t="s">
        <v>13</v>
      </c>
      <c r="C4" s="209">
        <v>0</v>
      </c>
      <c r="D4" s="210">
        <v>1</v>
      </c>
      <c r="E4" s="210">
        <v>2</v>
      </c>
      <c r="F4" s="210">
        <v>3</v>
      </c>
      <c r="G4" s="210">
        <v>4</v>
      </c>
      <c r="H4" s="210">
        <v>5</v>
      </c>
      <c r="I4" s="210">
        <v>6</v>
      </c>
      <c r="J4" s="210">
        <v>7</v>
      </c>
      <c r="K4" s="210">
        <v>8</v>
      </c>
      <c r="L4" s="210">
        <v>9</v>
      </c>
      <c r="M4" s="211">
        <v>10</v>
      </c>
    </row>
    <row r="5" spans="2:13" ht="15.75">
      <c r="B5" s="191" t="s">
        <v>14</v>
      </c>
      <c r="C5" s="212"/>
      <c r="D5" s="213">
        <f>'FLUJO DE CAJA'!D5</f>
        <v>10496877.75</v>
      </c>
      <c r="E5" s="213">
        <f>'FLUJO DE CAJA'!E5</f>
        <v>11546565.525</v>
      </c>
      <c r="F5" s="213">
        <f>'FLUJO DE CAJA'!F5</f>
        <v>12701222.0775</v>
      </c>
      <c r="G5" s="213">
        <f>'FLUJO DE CAJA'!G5</f>
        <v>13971344.285250003</v>
      </c>
      <c r="H5" s="213">
        <f>'FLUJO DE CAJA'!H5</f>
        <v>15368478.713775003</v>
      </c>
      <c r="I5" s="213">
        <f>'FLUJO DE CAJA'!I5</f>
        <v>16905326.585152507</v>
      </c>
      <c r="J5" s="213">
        <f>'FLUJO DE CAJA'!J5</f>
        <v>18595859.24366776</v>
      </c>
      <c r="K5" s="213">
        <f>'FLUJO DE CAJA'!K5</f>
        <v>20455445.168034535</v>
      </c>
      <c r="L5" s="213">
        <f>'FLUJO DE CAJA'!L5</f>
        <v>22500989.68483799</v>
      </c>
      <c r="M5" s="214">
        <f>'FLUJO DE CAJA'!M5</f>
        <v>24751088.65332179</v>
      </c>
    </row>
    <row r="6" spans="2:13" ht="15.75">
      <c r="B6" s="191" t="s">
        <v>15</v>
      </c>
      <c r="C6" s="215"/>
      <c r="D6" s="216">
        <f>'CAP. DE TRABAJO'!B7*12</f>
        <v>11715315</v>
      </c>
      <c r="E6" s="216">
        <f aca="true" t="shared" si="0" ref="E6:M6">D6*1.025</f>
        <v>12008197.874999998</v>
      </c>
      <c r="F6" s="216">
        <f t="shared" si="0"/>
        <v>12308402.821874997</v>
      </c>
      <c r="G6" s="216">
        <f t="shared" si="0"/>
        <v>12616112.89242187</v>
      </c>
      <c r="H6" s="216">
        <f t="shared" si="0"/>
        <v>12931515.714732416</v>
      </c>
      <c r="I6" s="216">
        <f t="shared" si="0"/>
        <v>13254803.607600724</v>
      </c>
      <c r="J6" s="216">
        <f t="shared" si="0"/>
        <v>13586173.697790742</v>
      </c>
      <c r="K6" s="216">
        <f t="shared" si="0"/>
        <v>13925828.04023551</v>
      </c>
      <c r="L6" s="216">
        <f t="shared" si="0"/>
        <v>14273973.741241397</v>
      </c>
      <c r="M6" s="217">
        <f t="shared" si="0"/>
        <v>14630823.08477243</v>
      </c>
    </row>
    <row r="7" spans="2:13" ht="15.75">
      <c r="B7" s="191" t="s">
        <v>157</v>
      </c>
      <c r="C7" s="215"/>
      <c r="D7" s="216">
        <f>'CAP. DE TRABAJO'!B6*12</f>
        <v>394450</v>
      </c>
      <c r="E7" s="216">
        <f aca="true" t="shared" si="1" ref="E7:M7">D7</f>
        <v>394450</v>
      </c>
      <c r="F7" s="216">
        <f t="shared" si="1"/>
        <v>394450</v>
      </c>
      <c r="G7" s="216">
        <f t="shared" si="1"/>
        <v>394450</v>
      </c>
      <c r="H7" s="216">
        <f t="shared" si="1"/>
        <v>394450</v>
      </c>
      <c r="I7" s="216">
        <f t="shared" si="1"/>
        <v>394450</v>
      </c>
      <c r="J7" s="216">
        <f t="shared" si="1"/>
        <v>394450</v>
      </c>
      <c r="K7" s="216">
        <f t="shared" si="1"/>
        <v>394450</v>
      </c>
      <c r="L7" s="216">
        <f t="shared" si="1"/>
        <v>394450</v>
      </c>
      <c r="M7" s="217">
        <f t="shared" si="1"/>
        <v>394450</v>
      </c>
    </row>
    <row r="8" spans="2:13" ht="15.75">
      <c r="B8" s="191" t="s">
        <v>38</v>
      </c>
      <c r="C8" s="215"/>
      <c r="D8" s="216">
        <f>D14</f>
        <v>820735.3333333334</v>
      </c>
      <c r="E8" s="216">
        <f>D8</f>
        <v>820735.3333333334</v>
      </c>
      <c r="F8" s="216">
        <f>E8</f>
        <v>820735.3333333334</v>
      </c>
      <c r="G8" s="216">
        <f>F8-DEPRECIACION!C9</f>
        <v>820715.3333333334</v>
      </c>
      <c r="H8" s="216">
        <f>G8</f>
        <v>820715.3333333334</v>
      </c>
      <c r="I8" s="216">
        <f>H8-DEPRECIACION!C12</f>
        <v>820712.3333333334</v>
      </c>
      <c r="J8" s="216">
        <f>I8</f>
        <v>820712.3333333334</v>
      </c>
      <c r="K8" s="216">
        <f>J8</f>
        <v>820712.3333333334</v>
      </c>
      <c r="L8" s="216">
        <f>K8</f>
        <v>820712.3333333334</v>
      </c>
      <c r="M8" s="217">
        <f>L8</f>
        <v>820712.3333333334</v>
      </c>
    </row>
    <row r="9" spans="2:13" ht="15.75">
      <c r="B9" s="191" t="s">
        <v>39</v>
      </c>
      <c r="C9" s="215"/>
      <c r="D9" s="216">
        <f aca="true" t="shared" si="2" ref="D9:M9">D5-D6-D7-D8</f>
        <v>-2433622.5833333335</v>
      </c>
      <c r="E9" s="216">
        <f t="shared" si="2"/>
        <v>-1676817.6833333313</v>
      </c>
      <c r="F9" s="216">
        <f t="shared" si="2"/>
        <v>-822366.0777083294</v>
      </c>
      <c r="G9" s="216">
        <f t="shared" si="2"/>
        <v>140066.05949479959</v>
      </c>
      <c r="H9" s="216">
        <f t="shared" si="2"/>
        <v>1221797.6657092539</v>
      </c>
      <c r="I9" s="216">
        <f t="shared" si="2"/>
        <v>2435360.644218449</v>
      </c>
      <c r="J9" s="216">
        <f t="shared" si="2"/>
        <v>3794523.2125436836</v>
      </c>
      <c r="K9" s="216">
        <f t="shared" si="2"/>
        <v>5314454.794465692</v>
      </c>
      <c r="L9" s="216">
        <f t="shared" si="2"/>
        <v>7011853.610263259</v>
      </c>
      <c r="M9" s="217">
        <f t="shared" si="2"/>
        <v>8905103.235216027</v>
      </c>
    </row>
    <row r="10" spans="2:13" ht="15.75">
      <c r="B10" s="191" t="s">
        <v>40</v>
      </c>
      <c r="C10" s="215"/>
      <c r="D10" s="216">
        <f aca="true" t="shared" si="3" ref="D10:M10">D9*15%</f>
        <v>-365043.3875</v>
      </c>
      <c r="E10" s="216">
        <f t="shared" si="3"/>
        <v>-251522.65249999968</v>
      </c>
      <c r="F10" s="216">
        <f t="shared" si="3"/>
        <v>-123354.9116562494</v>
      </c>
      <c r="G10" s="216">
        <f t="shared" si="3"/>
        <v>21009.908924219937</v>
      </c>
      <c r="H10" s="216">
        <f t="shared" si="3"/>
        <v>183269.64985638807</v>
      </c>
      <c r="I10" s="216">
        <f t="shared" si="3"/>
        <v>365304.09663276735</v>
      </c>
      <c r="J10" s="216">
        <f t="shared" si="3"/>
        <v>569178.4818815525</v>
      </c>
      <c r="K10" s="216">
        <f t="shared" si="3"/>
        <v>797168.2191698537</v>
      </c>
      <c r="L10" s="216">
        <f t="shared" si="3"/>
        <v>1051778.0415394888</v>
      </c>
      <c r="M10" s="217">
        <f t="shared" si="3"/>
        <v>1335765.485282404</v>
      </c>
    </row>
    <row r="11" spans="2:13" ht="15.75">
      <c r="B11" s="191" t="s">
        <v>41</v>
      </c>
      <c r="C11" s="215"/>
      <c r="D11" s="216">
        <f aca="true" t="shared" si="4" ref="D11:M11">D9-D10</f>
        <v>-2068579.1958333335</v>
      </c>
      <c r="E11" s="216">
        <f t="shared" si="4"/>
        <v>-1425295.0308333316</v>
      </c>
      <c r="F11" s="216">
        <f t="shared" si="4"/>
        <v>-699011.16605208</v>
      </c>
      <c r="G11" s="216">
        <f t="shared" si="4"/>
        <v>119056.15057057964</v>
      </c>
      <c r="H11" s="216">
        <f t="shared" si="4"/>
        <v>1038528.0158528658</v>
      </c>
      <c r="I11" s="216">
        <f t="shared" si="4"/>
        <v>2070056.5475856815</v>
      </c>
      <c r="J11" s="216">
        <f t="shared" si="4"/>
        <v>3225344.730662131</v>
      </c>
      <c r="K11" s="216">
        <f t="shared" si="4"/>
        <v>4517286.575295838</v>
      </c>
      <c r="L11" s="216">
        <f t="shared" si="4"/>
        <v>5960075.56872377</v>
      </c>
      <c r="M11" s="217">
        <f t="shared" si="4"/>
        <v>7569337.749933623</v>
      </c>
    </row>
    <row r="12" spans="2:13" ht="15.75">
      <c r="B12" s="191" t="s">
        <v>42</v>
      </c>
      <c r="C12" s="215"/>
      <c r="D12" s="216">
        <f aca="true" t="shared" si="5" ref="D12:M12">D11*25%</f>
        <v>-517144.7989583334</v>
      </c>
      <c r="E12" s="216">
        <f t="shared" si="5"/>
        <v>-356323.7577083329</v>
      </c>
      <c r="F12" s="216">
        <f t="shared" si="5"/>
        <v>-174752.79151302</v>
      </c>
      <c r="G12" s="216">
        <f t="shared" si="5"/>
        <v>29764.03764264491</v>
      </c>
      <c r="H12" s="216">
        <f t="shared" si="5"/>
        <v>259632.00396321644</v>
      </c>
      <c r="I12" s="216">
        <f t="shared" si="5"/>
        <v>517514.1368964204</v>
      </c>
      <c r="J12" s="216">
        <f t="shared" si="5"/>
        <v>806336.1826655328</v>
      </c>
      <c r="K12" s="216">
        <f t="shared" si="5"/>
        <v>1129321.6438239594</v>
      </c>
      <c r="L12" s="216">
        <f t="shared" si="5"/>
        <v>1490018.8921809425</v>
      </c>
      <c r="M12" s="217">
        <f t="shared" si="5"/>
        <v>1892334.4374834057</v>
      </c>
    </row>
    <row r="13" spans="2:13" ht="15.75">
      <c r="B13" s="191" t="s">
        <v>43</v>
      </c>
      <c r="C13" s="215"/>
      <c r="D13" s="216">
        <f aca="true" t="shared" si="6" ref="D13:M13">D11-D12</f>
        <v>-1551434.396875</v>
      </c>
      <c r="E13" s="216">
        <f t="shared" si="6"/>
        <v>-1068971.2731249987</v>
      </c>
      <c r="F13" s="216">
        <f t="shared" si="6"/>
        <v>-524258.37453906</v>
      </c>
      <c r="G13" s="216">
        <f t="shared" si="6"/>
        <v>89292.11292793474</v>
      </c>
      <c r="H13" s="216">
        <f t="shared" si="6"/>
        <v>778896.0118896493</v>
      </c>
      <c r="I13" s="216">
        <f t="shared" si="6"/>
        <v>1552542.4106892613</v>
      </c>
      <c r="J13" s="216">
        <f t="shared" si="6"/>
        <v>2419008.5479965983</v>
      </c>
      <c r="K13" s="216">
        <f t="shared" si="6"/>
        <v>3387964.931471878</v>
      </c>
      <c r="L13" s="216">
        <f t="shared" si="6"/>
        <v>4470056.676542828</v>
      </c>
      <c r="M13" s="217">
        <f t="shared" si="6"/>
        <v>5677003.312450217</v>
      </c>
    </row>
    <row r="14" spans="2:13" ht="15.75">
      <c r="B14" s="191" t="s">
        <v>38</v>
      </c>
      <c r="C14" s="215"/>
      <c r="D14" s="216">
        <f>DEPRECIACION!E21</f>
        <v>820735.3333333334</v>
      </c>
      <c r="E14" s="216">
        <f>D14</f>
        <v>820735.3333333334</v>
      </c>
      <c r="F14" s="216">
        <f>E14</f>
        <v>820735.3333333334</v>
      </c>
      <c r="G14" s="216">
        <f>F14-DEPRECIACION!C9</f>
        <v>820715.3333333334</v>
      </c>
      <c r="H14" s="216">
        <f>G14</f>
        <v>820715.3333333334</v>
      </c>
      <c r="I14" s="216">
        <f>H14-DEPRECIACION!C12</f>
        <v>820712.3333333334</v>
      </c>
      <c r="J14" s="216">
        <f>I14</f>
        <v>820712.3333333334</v>
      </c>
      <c r="K14" s="216">
        <f>J14</f>
        <v>820712.3333333334</v>
      </c>
      <c r="L14" s="216">
        <f>K14</f>
        <v>820712.3333333334</v>
      </c>
      <c r="M14" s="217">
        <f>L14</f>
        <v>820712.3333333334</v>
      </c>
    </row>
    <row r="15" spans="2:13" ht="15.75">
      <c r="B15" s="191" t="s">
        <v>16</v>
      </c>
      <c r="C15" s="218">
        <f>INVERSION!C11</f>
        <v>10102375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20"/>
    </row>
    <row r="16" spans="2:13" ht="15.75">
      <c r="B16" s="191" t="s">
        <v>174</v>
      </c>
      <c r="C16" s="218">
        <v>8000000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20"/>
    </row>
    <row r="17" spans="2:13" ht="15.75">
      <c r="B17" s="191" t="s">
        <v>170</v>
      </c>
      <c r="C17" s="218"/>
      <c r="D17" s="221">
        <f>AMORTIZACION!D15</f>
        <v>1533909.3674311163</v>
      </c>
      <c r="E17" s="221">
        <f>AMORTIZACION!D16</f>
        <v>1810013.0535687173</v>
      </c>
      <c r="F17" s="221">
        <f>AMORTIZACION!D17</f>
        <v>2135815.403211086</v>
      </c>
      <c r="G17" s="221">
        <f>AMORTIZACION!D18</f>
        <v>2520262.175789082</v>
      </c>
      <c r="H17" s="219"/>
      <c r="I17" s="219"/>
      <c r="J17" s="219"/>
      <c r="K17" s="219"/>
      <c r="L17" s="219"/>
      <c r="M17" s="220"/>
    </row>
    <row r="18" spans="2:13" ht="16.5" thickBot="1">
      <c r="B18" s="191" t="s">
        <v>44</v>
      </c>
      <c r="C18" s="218">
        <f>'CAP. DE TRABAJO'!B10</f>
        <v>874739.8125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7">
        <f>C18</f>
        <v>874739.8125</v>
      </c>
    </row>
    <row r="19" spans="2:13" ht="16.5" thickBot="1">
      <c r="B19" s="193" t="s">
        <v>45</v>
      </c>
      <c r="C19" s="222">
        <f>-C15-C18</f>
        <v>-10977114.8125</v>
      </c>
      <c r="D19" s="223">
        <f>D13+D14-D17</f>
        <v>-2264608.430972783</v>
      </c>
      <c r="E19" s="223">
        <f aca="true" t="shared" si="7" ref="E19:L19">E13+E14</f>
        <v>-248235.9397916653</v>
      </c>
      <c r="F19" s="223">
        <f t="shared" si="7"/>
        <v>296476.9587942734</v>
      </c>
      <c r="G19" s="223">
        <f t="shared" si="7"/>
        <v>910007.4462612681</v>
      </c>
      <c r="H19" s="223">
        <f t="shared" si="7"/>
        <v>1599611.3452229826</v>
      </c>
      <c r="I19" s="223">
        <f t="shared" si="7"/>
        <v>2373254.7440225948</v>
      </c>
      <c r="J19" s="223">
        <f t="shared" si="7"/>
        <v>3239720.881329932</v>
      </c>
      <c r="K19" s="223">
        <f t="shared" si="7"/>
        <v>4208677.264805212</v>
      </c>
      <c r="L19" s="223">
        <f t="shared" si="7"/>
        <v>5290769.009876161</v>
      </c>
      <c r="M19" s="224">
        <f>M13+M14+M18</f>
        <v>7372455.45828355</v>
      </c>
    </row>
    <row r="20" spans="2:13" ht="15.75">
      <c r="B20" s="208"/>
      <c r="C20" s="225"/>
      <c r="D20" s="208"/>
      <c r="E20" s="208"/>
      <c r="F20" s="208"/>
      <c r="G20" s="208"/>
      <c r="H20" s="208"/>
      <c r="I20" s="208"/>
      <c r="J20" s="208"/>
      <c r="K20" s="208"/>
      <c r="L20" s="208"/>
      <c r="M20" s="208"/>
    </row>
    <row r="21" spans="2:13" ht="15.75">
      <c r="B21" s="225" t="s">
        <v>159</v>
      </c>
      <c r="C21" s="226">
        <v>0.05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</row>
    <row r="22" spans="2:13" ht="16.5" thickBot="1">
      <c r="B22" s="225" t="s">
        <v>47</v>
      </c>
      <c r="C22" s="227">
        <f>NPV(C21,D19:M19)+C19</f>
        <v>3757560.410235418</v>
      </c>
      <c r="D22" s="208"/>
      <c r="E22" s="228"/>
      <c r="F22" s="208"/>
      <c r="G22" s="208"/>
      <c r="H22" s="208"/>
      <c r="I22" s="208"/>
      <c r="J22" s="208"/>
      <c r="K22" s="208"/>
      <c r="L22" s="208"/>
      <c r="M22" s="208"/>
    </row>
    <row r="23" spans="2:13" ht="16.5" thickBot="1">
      <c r="B23" s="225" t="s">
        <v>48</v>
      </c>
      <c r="C23" s="229">
        <f>IRR(C19:M19)</f>
        <v>0.08449729984756187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</row>
    <row r="24" spans="7:8" ht="15">
      <c r="G24" s="4"/>
      <c r="H24" s="2"/>
    </row>
    <row r="25" spans="7:8" ht="15">
      <c r="G25" s="4"/>
      <c r="H25" s="2"/>
    </row>
    <row r="27" ht="15.75">
      <c r="E27" s="208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E14" sqref="E13:E14"/>
    </sheetView>
  </sheetViews>
  <sheetFormatPr defaultColWidth="11.421875" defaultRowHeight="15"/>
  <cols>
    <col min="2" max="2" width="21.7109375" style="0" bestFit="1" customWidth="1"/>
    <col min="4" max="4" width="14.140625" style="0" bestFit="1" customWidth="1"/>
  </cols>
  <sheetData>
    <row r="4" ht="15">
      <c r="B4" t="s">
        <v>191</v>
      </c>
    </row>
    <row r="6" spans="2:3" ht="15">
      <c r="B6" t="s">
        <v>192</v>
      </c>
      <c r="C6" s="196">
        <v>0.0304</v>
      </c>
    </row>
    <row r="7" spans="2:3" ht="15">
      <c r="B7" t="s">
        <v>193</v>
      </c>
      <c r="C7" s="196">
        <v>0.051</v>
      </c>
    </row>
    <row r="8" spans="2:3" ht="15">
      <c r="B8" t="s">
        <v>194</v>
      </c>
      <c r="C8">
        <v>1.17</v>
      </c>
    </row>
    <row r="9" spans="2:3" ht="15">
      <c r="B9" t="s">
        <v>195</v>
      </c>
      <c r="C9" s="196">
        <v>0.0642</v>
      </c>
    </row>
    <row r="10" ht="15">
      <c r="C10" s="2"/>
    </row>
    <row r="12" spans="3:7" ht="15">
      <c r="C12" t="s">
        <v>196</v>
      </c>
      <c r="D12" s="2">
        <f>((C6+C8*(C9-C7)+C10))</f>
        <v>0.045843999999999996</v>
      </c>
      <c r="G12" s="195">
        <f>(C9-C7)</f>
        <v>0.013199999999999996</v>
      </c>
    </row>
    <row r="14" ht="15">
      <c r="B14" t="s">
        <v>198</v>
      </c>
    </row>
    <row r="16" spans="2:4" ht="15.75" thickBot="1">
      <c r="B16" t="s">
        <v>197</v>
      </c>
      <c r="D16" t="s">
        <v>194</v>
      </c>
    </row>
    <row r="17" spans="1:4" ht="15.75" thickBot="1">
      <c r="A17" t="s">
        <v>199</v>
      </c>
      <c r="B17" s="194">
        <f>'FLUJO DE CAJA'!F21</f>
        <v>0</v>
      </c>
      <c r="D17" s="194">
        <f>PRESTAMO!G23</f>
        <v>0</v>
      </c>
    </row>
    <row r="18" spans="1:4" ht="15.75" thickBot="1">
      <c r="A18" t="s">
        <v>200</v>
      </c>
      <c r="B18" s="194">
        <f>'FLUJO DE CAJA'!F22</f>
        <v>0</v>
      </c>
      <c r="D18" s="194">
        <f>PRESTAMO!G24</f>
        <v>0</v>
      </c>
    </row>
    <row r="19" spans="1:4" ht="15.75" thickBot="1">
      <c r="A19" t="s">
        <v>201</v>
      </c>
      <c r="B19" s="194">
        <f>'FLUJO DE CAJA'!F23</f>
        <v>0</v>
      </c>
      <c r="D19" s="194">
        <f>PRESTAMO!G25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jovalve</dc:creator>
  <cp:keywords/>
  <dc:description/>
  <cp:lastModifiedBy>..</cp:lastModifiedBy>
  <dcterms:created xsi:type="dcterms:W3CDTF">2009-08-05T13:21:41Z</dcterms:created>
  <dcterms:modified xsi:type="dcterms:W3CDTF">2010-03-02T19:07:50Z</dcterms:modified>
  <cp:category/>
  <cp:version/>
  <cp:contentType/>
  <cp:contentStatus/>
</cp:coreProperties>
</file>