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65" yWindow="-75" windowWidth="10890" windowHeight="8280" firstSheet="4" activeTab="6"/>
  </bookViews>
  <sheets>
    <sheet name="CÁLCULO DEL CAPM" sheetId="7" r:id="rId1"/>
    <sheet name="AMORTIZACIÓN DE LA DEUDA" sheetId="11" r:id="rId2"/>
    <sheet name="CB_DATA_" sheetId="22" state="veryHidden" r:id="rId3"/>
    <sheet name="DEPRECIACIONES" sheetId="6" r:id="rId4"/>
    <sheet name="MAQUINARIA,EQUIPO,SUMINISTR Y S" sheetId="1" r:id="rId5"/>
    <sheet name="SUELDOS Y SALARIOS" sheetId="3" r:id="rId6"/>
    <sheet name="INVERSIONES" sheetId="12" r:id="rId7"/>
    <sheet name="GASTOS PREOPERACIONALES" sheetId="2" r:id="rId8"/>
    <sheet name="punto de equilibrio" sheetId="19" r:id="rId9"/>
    <sheet name="FLUJO DE CAJA,PAYBACK" sheetId="4" r:id="rId10"/>
    <sheet name="ANÁLISIS DE SENSIBILIDAD" sheetId="38" r:id="rId11"/>
    <sheet name="SENSIBILIDAD TMAR VS VAN" sheetId="31" r:id="rId12"/>
    <sheet name="COSTOS DE PRODUCCIÓN" sheetId="5" r:id="rId13"/>
  </sheets>
  <externalReferences>
    <externalReference r:id="rId14"/>
  </externalReferences>
  <definedNames>
    <definedName name="CB_2df43db7e017401f8824553d119a7090" localSheetId="12" hidden="1">'COSTOS DE PRODUCCIÓN'!$G$4</definedName>
    <definedName name="CB_9a41d536fb4541ffab2c9c41a833f50f" localSheetId="6" hidden="1">INVERSIONES!$AR$18</definedName>
    <definedName name="CB_Block_00000000000000000000000000000000" localSheetId="12" hidden="1">"'7.0.0.0"</definedName>
    <definedName name="CB_Block_00000000000000000000000000000000" localSheetId="9" hidden="1">"'7.0.0.0"</definedName>
    <definedName name="CB_Block_00000000000000000000000000000000" localSheetId="6" hidden="1">"'7.0.0.0"</definedName>
    <definedName name="CB_Block_00000000000000000000000000000001" localSheetId="2" hidden="1">"'634081188440000000"</definedName>
    <definedName name="CB_Block_00000000000000000000000000000001" localSheetId="12" hidden="1">"'634081188936875000"</definedName>
    <definedName name="CB_Block_00000000000000000000000000000001" localSheetId="9" hidden="1">"'634081189120156250"</definedName>
    <definedName name="CB_Block_00000000000000000000000000000001" localSheetId="6" hidden="1">"'634081188517812500"</definedName>
    <definedName name="CB_Block_00000000000000000000000000000003" localSheetId="12" hidden="1">"'11.1.63.0"</definedName>
    <definedName name="CB_Block_00000000000000000000000000000003" localSheetId="9" hidden="1">"'11.1.63.0"</definedName>
    <definedName name="CB_Block_00000000000000000000000000000003" localSheetId="6" hidden="1">"'11.1.63.0"</definedName>
    <definedName name="CB_BlockExt_00000000000000000000000000000003" localSheetId="12" hidden="1">"'11.1.1.0.00"</definedName>
    <definedName name="CB_BlockExt_00000000000000000000000000000003" localSheetId="9" hidden="1">"'11.1.1.0.00"</definedName>
    <definedName name="CB_BlockExt_00000000000000000000000000000003" localSheetId="6" hidden="1">"'11.1.1.0.00"</definedName>
    <definedName name="CB_e7486f0c19e746c0a12af4f73bbe6101" localSheetId="9" hidden="1">'SENSIBILIDAD TMAR VS VAN'!$C$220</definedName>
    <definedName name="CBCR_bc1acffb9e48433d9ffe5c2ce11f9545" localSheetId="9" hidden="1">'SENSIBILIDAD TMAR VS VAN'!$C$220</definedName>
    <definedName name="CBWorkbookPriority" localSheetId="2" hidden="1">-943542776</definedName>
    <definedName name="CBx_215a8a94f3e4422092bd86f2384cd7b4" localSheetId="2" hidden="1">"'FLUJO DE CAJA,PAYBACK (3)'!$A$1"</definedName>
    <definedName name="CBx_4ac68b979c05477798e372357ac8bfe7" localSheetId="2" hidden="1">"'FLUJO DE CAJA,PAYBACK'!$A$1"</definedName>
    <definedName name="CBx_560458f39d7442379948fa012ac7af14" localSheetId="2" hidden="1">"'CB_DATA_'!$A$1"</definedName>
    <definedName name="CBx_ae22bd65e20e4b0d9e9d295d207297d1" localSheetId="2" hidden="1">"'COSTO DE PRODUCCIÓN'!$A$1"</definedName>
    <definedName name="CBx_eaab113c5f804d4982d5cbf75ddb0e8c" localSheetId="2" hidden="1">"'INVERSIONES'!$A$1"</definedName>
    <definedName name="CBx_f4210923b3174d66930862096686c36e" localSheetId="2" hidden="1">"'FLUJO DE CAJA,PAYBACK (4)'!$A$1"</definedName>
    <definedName name="CBx_Sheet_Guid" localSheetId="2" hidden="1">"'560458f3-9d74-4237-9948-fa012ac7af14"</definedName>
    <definedName name="CBx_Sheet_Guid" localSheetId="12" hidden="1">"'ae22bd65-e20e-4b0d-9e9d-295d207297d1"</definedName>
    <definedName name="CBx_Sheet_Guid" localSheetId="9" hidden="1">"'4ac68b97-9c05-4777-98e3-72357ac8bfe7"</definedName>
    <definedName name="CBx_Sheet_Guid" localSheetId="6" hidden="1">"'eaab113c-5f80-4d49-82d5-cbf75ddb0e8c"</definedName>
    <definedName name="CBx_SheetRef" localSheetId="2" hidden="1">CB_DATA_!$A$14</definedName>
    <definedName name="CBx_SheetRef" localSheetId="12" hidden="1">CB_DATA_!$B$14</definedName>
    <definedName name="CBx_SheetRef" localSheetId="9" hidden="1">CB_DATA_!$D$14</definedName>
    <definedName name="CBx_SheetRef" localSheetId="6" hidden="1">CB_DATA_!$C$14</definedName>
    <definedName name="CBx_StorageType" localSheetId="2" hidden="1">2</definedName>
    <definedName name="CBx_StorageType" localSheetId="12" hidden="1">2</definedName>
    <definedName name="CBx_StorageType" localSheetId="9" hidden="1">2</definedName>
    <definedName name="CBx_StorageType" localSheetId="6" hidden="1">2</definedName>
  </definedNames>
  <calcPr calcId="124519"/>
</workbook>
</file>

<file path=xl/calcChain.xml><?xml version="1.0" encoding="utf-8"?>
<calcChain xmlns="http://schemas.openxmlformats.org/spreadsheetml/2006/main">
  <c r="C228" i="31"/>
  <c r="C227"/>
  <c r="C225"/>
  <c r="C224"/>
  <c r="C17" i="12" l="1"/>
  <c r="F27" i="3"/>
  <c r="D10"/>
  <c r="E10"/>
  <c r="D8" i="31"/>
  <c r="D10"/>
  <c r="D13"/>
  <c r="D14"/>
  <c r="D15"/>
  <c r="B6" i="1"/>
  <c r="B5"/>
  <c r="B3"/>
  <c r="B8"/>
  <c r="B7"/>
  <c r="L11" i="22"/>
  <c r="K11"/>
  <c r="D9" i="38"/>
  <c r="D7"/>
  <c r="C229" i="31"/>
  <c r="C18" i="1"/>
  <c r="D6" i="38"/>
  <c r="D10"/>
  <c r="D11"/>
  <c r="D16"/>
  <c r="D15" s="1"/>
  <c r="D18"/>
  <c r="D19" s="1"/>
  <c r="D23"/>
  <c r="D24"/>
  <c r="D26"/>
  <c r="D27"/>
  <c r="D12" i="31" l="1"/>
  <c r="D16" i="3"/>
  <c r="C10"/>
  <c r="D31"/>
  <c r="D32"/>
  <c r="D23"/>
  <c r="D41"/>
  <c r="C68" i="1"/>
  <c r="B49"/>
  <c r="C45"/>
  <c r="D40"/>
  <c r="D35"/>
  <c r="B4" s="1"/>
  <c r="F81" i="5"/>
  <c r="D55" s="1"/>
  <c r="E55" s="1"/>
  <c r="F80"/>
  <c r="B29" i="7"/>
  <c r="D11" i="22"/>
  <c r="C11"/>
  <c r="B11"/>
  <c r="A11"/>
  <c r="P2"/>
  <c r="E32" i="3" l="1"/>
  <c r="D33"/>
  <c r="C46" i="12" s="1"/>
  <c r="D46" s="1"/>
  <c r="E46" s="1"/>
  <c r="F46" s="1"/>
  <c r="G46" s="1"/>
  <c r="H46" s="1"/>
  <c r="I46" s="1"/>
  <c r="J46" s="1"/>
  <c r="K46" s="1"/>
  <c r="L46" s="1"/>
  <c r="M46" s="1"/>
  <c r="N46" s="1"/>
  <c r="C47"/>
  <c r="D47" s="1"/>
  <c r="E47" s="1"/>
  <c r="F47" s="1"/>
  <c r="G47" s="1"/>
  <c r="H47" s="1"/>
  <c r="I47" s="1"/>
  <c r="J47" s="1"/>
  <c r="K47" s="1"/>
  <c r="L47" s="1"/>
  <c r="M47" s="1"/>
  <c r="N47" s="1"/>
  <c r="C49" i="1"/>
  <c r="F45"/>
  <c r="G45"/>
  <c r="E38" i="3"/>
  <c r="E15"/>
  <c r="E16" s="1"/>
  <c r="E4"/>
  <c r="E22"/>
  <c r="E21"/>
  <c r="C59" i="5"/>
  <c r="C22"/>
  <c r="C23" s="1"/>
  <c r="C26" s="1"/>
  <c r="C28" s="1"/>
  <c r="B34" s="1"/>
  <c r="D34" s="1"/>
  <c r="S18" i="12"/>
  <c r="T7"/>
  <c r="B84" i="1"/>
  <c r="C83"/>
  <c r="C84" s="1"/>
  <c r="C11" i="12" s="1"/>
  <c r="E76" i="1"/>
  <c r="E75"/>
  <c r="C8" i="12"/>
  <c r="G35" i="1"/>
  <c r="C123" i="5"/>
  <c r="C111"/>
  <c r="D95"/>
  <c r="D56" s="1"/>
  <c r="G90"/>
  <c r="E85" s="1"/>
  <c r="D85" s="1"/>
  <c r="D57" s="1"/>
  <c r="E57" s="1"/>
  <c r="C58"/>
  <c r="B18" i="7"/>
  <c r="D120" i="1"/>
  <c r="C116"/>
  <c r="D116"/>
  <c r="C111"/>
  <c r="D111" s="1"/>
  <c r="D110"/>
  <c r="D99"/>
  <c r="D100"/>
  <c r="D101"/>
  <c r="D102"/>
  <c r="D103"/>
  <c r="D104"/>
  <c r="D105"/>
  <c r="D106"/>
  <c r="D107"/>
  <c r="D98"/>
  <c r="D90"/>
  <c r="D91"/>
  <c r="D92"/>
  <c r="D69" i="2"/>
  <c r="D145" i="5"/>
  <c r="N54" i="12"/>
  <c r="M54"/>
  <c r="L54"/>
  <c r="K54"/>
  <c r="J54"/>
  <c r="I54"/>
  <c r="H54"/>
  <c r="G54"/>
  <c r="F54"/>
  <c r="E54"/>
  <c r="D54"/>
  <c r="C54"/>
  <c r="E9" i="3"/>
  <c r="E8"/>
  <c r="E7"/>
  <c r="E6"/>
  <c r="E5"/>
  <c r="E31"/>
  <c r="E39"/>
  <c r="E72" i="1"/>
  <c r="E73"/>
  <c r="E40" i="3"/>
  <c r="T18" i="12"/>
  <c r="T16"/>
  <c r="T14"/>
  <c r="T12"/>
  <c r="T10"/>
  <c r="T8"/>
  <c r="T6"/>
  <c r="T17"/>
  <c r="T15"/>
  <c r="T13"/>
  <c r="T11"/>
  <c r="T9"/>
  <c r="C137" i="5"/>
  <c r="C108"/>
  <c r="C126"/>
  <c r="D123" s="1"/>
  <c r="D108"/>
  <c r="G81"/>
  <c r="G80"/>
  <c r="B16" i="7"/>
  <c r="B17"/>
  <c r="E146" i="5"/>
  <c r="D58"/>
  <c r="E58" s="1"/>
  <c r="E108"/>
  <c r="E56"/>
  <c r="C12" i="12"/>
  <c r="E6" i="6"/>
  <c r="G6" s="1"/>
  <c r="H6" s="1"/>
  <c r="D144" i="5"/>
  <c r="D143"/>
  <c r="C112" i="1"/>
  <c r="C113"/>
  <c r="D113" s="1"/>
  <c r="C114"/>
  <c r="D114" s="1"/>
  <c r="C115"/>
  <c r="D115" s="1"/>
  <c r="B117"/>
  <c r="B119" s="1"/>
  <c r="C108"/>
  <c r="E74"/>
  <c r="E77"/>
  <c r="E78"/>
  <c r="D55" i="2"/>
  <c r="D63" s="1"/>
  <c r="D48"/>
  <c r="C5" s="1"/>
  <c r="C18" i="12" s="1"/>
  <c r="D25" i="2"/>
  <c r="C4" s="1"/>
  <c r="D65" i="1"/>
  <c r="D66"/>
  <c r="D67"/>
  <c r="E55"/>
  <c r="E56"/>
  <c r="E57"/>
  <c r="E58"/>
  <c r="E54"/>
  <c r="E60" s="1"/>
  <c r="C117"/>
  <c r="C119" s="1"/>
  <c r="C121" s="1"/>
  <c r="C89" s="1"/>
  <c r="D108"/>
  <c r="D112"/>
  <c r="C7" i="2"/>
  <c r="C16" i="12" l="1"/>
  <c r="C15" s="1"/>
  <c r="C8" i="2"/>
  <c r="B9" i="1"/>
  <c r="E95" i="5"/>
  <c r="D89" i="1"/>
  <c r="D93" s="1"/>
  <c r="C93"/>
  <c r="D68"/>
  <c r="C7" i="6" s="1"/>
  <c r="E7" s="1"/>
  <c r="G7" s="1"/>
  <c r="H7" s="1"/>
  <c r="E79" i="1"/>
  <c r="E33" i="3"/>
  <c r="D10" i="4" s="1"/>
  <c r="E10" s="1"/>
  <c r="F10" s="1"/>
  <c r="G10" s="1"/>
  <c r="H10" s="1"/>
  <c r="I10" s="1"/>
  <c r="J10" s="1"/>
  <c r="K10" s="1"/>
  <c r="L10" s="1"/>
  <c r="M10" s="1"/>
  <c r="D82" i="31"/>
  <c r="E82" s="1"/>
  <c r="F82" s="1"/>
  <c r="G82" s="1"/>
  <c r="H82" s="1"/>
  <c r="I82" s="1"/>
  <c r="J82" s="1"/>
  <c r="K82" s="1"/>
  <c r="L82" s="1"/>
  <c r="M82" s="1"/>
  <c r="D45"/>
  <c r="E45" s="1"/>
  <c r="F45" s="1"/>
  <c r="G45" s="1"/>
  <c r="H45" s="1"/>
  <c r="I45" s="1"/>
  <c r="J45" s="1"/>
  <c r="K45" s="1"/>
  <c r="L45" s="1"/>
  <c r="M45" s="1"/>
  <c r="D192"/>
  <c r="E192" s="1"/>
  <c r="F192" s="1"/>
  <c r="G192" s="1"/>
  <c r="H192" s="1"/>
  <c r="I192" s="1"/>
  <c r="J192" s="1"/>
  <c r="K192" s="1"/>
  <c r="L192" s="1"/>
  <c r="M192" s="1"/>
  <c r="D119"/>
  <c r="E119" s="1"/>
  <c r="F119" s="1"/>
  <c r="G119" s="1"/>
  <c r="H119" s="1"/>
  <c r="I119" s="1"/>
  <c r="J119" s="1"/>
  <c r="K119" s="1"/>
  <c r="L119" s="1"/>
  <c r="M119" s="1"/>
  <c r="E8"/>
  <c r="F8" s="1"/>
  <c r="G8" s="1"/>
  <c r="H8" s="1"/>
  <c r="I8" s="1"/>
  <c r="J8" s="1"/>
  <c r="K8" s="1"/>
  <c r="L8" s="1"/>
  <c r="M8" s="1"/>
  <c r="E23" i="3"/>
  <c r="E41"/>
  <c r="D12" i="4" s="1"/>
  <c r="E12" s="1"/>
  <c r="F12" s="1"/>
  <c r="G12" s="1"/>
  <c r="H12" s="1"/>
  <c r="I12" s="1"/>
  <c r="J12" s="1"/>
  <c r="K12" s="1"/>
  <c r="L12" s="1"/>
  <c r="M12" s="1"/>
  <c r="C50" i="12"/>
  <c r="F46" i="1"/>
  <c r="E123" i="5"/>
  <c r="D59"/>
  <c r="E59" s="1"/>
  <c r="D117" i="1"/>
  <c r="D119" s="1"/>
  <c r="D121" s="1"/>
  <c r="C10" i="12"/>
  <c r="C14"/>
  <c r="C5" i="6"/>
  <c r="E5" s="1"/>
  <c r="C6" i="2"/>
  <c r="C13" i="12"/>
  <c r="C29" i="5"/>
  <c r="E60"/>
  <c r="C8" i="6"/>
  <c r="D15" i="4" l="1"/>
  <c r="E15" s="1"/>
  <c r="D87" i="31"/>
  <c r="E87" s="1"/>
  <c r="D197"/>
  <c r="E197" s="1"/>
  <c r="D161"/>
  <c r="E161" s="1"/>
  <c r="D124"/>
  <c r="E124" s="1"/>
  <c r="D50"/>
  <c r="E50" s="1"/>
  <c r="E13"/>
  <c r="C9" i="6"/>
  <c r="C9" i="12"/>
  <c r="D16" i="4"/>
  <c r="E16" s="1"/>
  <c r="D156" i="31"/>
  <c r="E156" s="1"/>
  <c r="F156" s="1"/>
  <c r="G156" s="1"/>
  <c r="H156" s="1"/>
  <c r="I156" s="1"/>
  <c r="J156" s="1"/>
  <c r="K156" s="1"/>
  <c r="L156" s="1"/>
  <c r="M156" s="1"/>
  <c r="D84"/>
  <c r="E84" s="1"/>
  <c r="F84" s="1"/>
  <c r="G84" s="1"/>
  <c r="H84" s="1"/>
  <c r="I84" s="1"/>
  <c r="J84" s="1"/>
  <c r="K84" s="1"/>
  <c r="L84" s="1"/>
  <c r="M84" s="1"/>
  <c r="D194"/>
  <c r="E194" s="1"/>
  <c r="F194" s="1"/>
  <c r="G194" s="1"/>
  <c r="H194" s="1"/>
  <c r="I194" s="1"/>
  <c r="J194" s="1"/>
  <c r="K194" s="1"/>
  <c r="L194" s="1"/>
  <c r="M194" s="1"/>
  <c r="D121"/>
  <c r="E121" s="1"/>
  <c r="F121" s="1"/>
  <c r="G121" s="1"/>
  <c r="H121" s="1"/>
  <c r="I121" s="1"/>
  <c r="J121" s="1"/>
  <c r="K121" s="1"/>
  <c r="L121" s="1"/>
  <c r="M121" s="1"/>
  <c r="E10"/>
  <c r="F10" s="1"/>
  <c r="G10" s="1"/>
  <c r="H10" s="1"/>
  <c r="I10" s="1"/>
  <c r="J10" s="1"/>
  <c r="K10" s="1"/>
  <c r="L10" s="1"/>
  <c r="M10" s="1"/>
  <c r="D158"/>
  <c r="E158" s="1"/>
  <c r="F158" s="1"/>
  <c r="G158" s="1"/>
  <c r="H158" s="1"/>
  <c r="I158" s="1"/>
  <c r="J158" s="1"/>
  <c r="K158" s="1"/>
  <c r="L158" s="1"/>
  <c r="M158" s="1"/>
  <c r="D47"/>
  <c r="E47" s="1"/>
  <c r="F47" s="1"/>
  <c r="G47" s="1"/>
  <c r="H47" s="1"/>
  <c r="I47" s="1"/>
  <c r="J47" s="1"/>
  <c r="K47" s="1"/>
  <c r="L47" s="1"/>
  <c r="M47" s="1"/>
  <c r="D51"/>
  <c r="D162"/>
  <c r="D125"/>
  <c r="D198"/>
  <c r="D88"/>
  <c r="C10" i="6"/>
  <c r="C7" i="12"/>
  <c r="C22" s="1"/>
  <c r="C31" i="4" s="1"/>
  <c r="G46" i="1"/>
  <c r="F47"/>
  <c r="E9" i="6"/>
  <c r="C12" i="5"/>
  <c r="H6" i="12"/>
  <c r="D41" i="5"/>
  <c r="D42" s="1"/>
  <c r="G5" i="6"/>
  <c r="H5" s="1"/>
  <c r="E8"/>
  <c r="G8" s="1"/>
  <c r="H8" s="1"/>
  <c r="C37" i="5" l="1"/>
  <c r="F50" i="31"/>
  <c r="G50"/>
  <c r="H50" s="1"/>
  <c r="I50" s="1"/>
  <c r="F161"/>
  <c r="G161"/>
  <c r="H161" s="1"/>
  <c r="I161" s="1"/>
  <c r="G87"/>
  <c r="H87" s="1"/>
  <c r="I87" s="1"/>
  <c r="J87" s="1"/>
  <c r="F87"/>
  <c r="G15" i="4"/>
  <c r="H15" s="1"/>
  <c r="I15" s="1"/>
  <c r="J15" s="1"/>
  <c r="F15"/>
  <c r="G13" i="31"/>
  <c r="H13" s="1"/>
  <c r="I13" s="1"/>
  <c r="J13" s="1"/>
  <c r="F13"/>
  <c r="F124"/>
  <c r="G124"/>
  <c r="H124" s="1"/>
  <c r="I124" s="1"/>
  <c r="F197"/>
  <c r="G197"/>
  <c r="H197" s="1"/>
  <c r="I197" s="1"/>
  <c r="G16" i="4"/>
  <c r="F16"/>
  <c r="K15"/>
  <c r="E198" i="31"/>
  <c r="E14"/>
  <c r="E51"/>
  <c r="E88"/>
  <c r="E125"/>
  <c r="E162"/>
  <c r="C103"/>
  <c r="C213"/>
  <c r="C177"/>
  <c r="C140"/>
  <c r="C66"/>
  <c r="C29"/>
  <c r="K87"/>
  <c r="J197"/>
  <c r="J161"/>
  <c r="J124"/>
  <c r="J50"/>
  <c r="E10" i="6"/>
  <c r="G47" i="1"/>
  <c r="C51" i="12"/>
  <c r="G9" i="6"/>
  <c r="H9" s="1"/>
  <c r="H10" s="1"/>
  <c r="M34" i="4" s="1"/>
  <c r="H7" i="12"/>
  <c r="H8" s="1"/>
  <c r="H9" s="1"/>
  <c r="H10" s="1"/>
  <c r="H11" s="1"/>
  <c r="H12" s="1"/>
  <c r="H13" s="1"/>
  <c r="H14" s="1"/>
  <c r="H15" s="1"/>
  <c r="H16" s="1"/>
  <c r="H17" s="1"/>
  <c r="C48" i="5"/>
  <c r="D48" s="1"/>
  <c r="C7" s="1"/>
  <c r="C6"/>
  <c r="C46"/>
  <c r="D46" s="1"/>
  <c r="C47"/>
  <c r="D47" s="1"/>
  <c r="D20" i="4" l="1"/>
  <c r="E20" s="1"/>
  <c r="F20" s="1"/>
  <c r="G20" s="1"/>
  <c r="H20" s="1"/>
  <c r="I20" s="1"/>
  <c r="D18" i="31"/>
  <c r="E18" s="1"/>
  <c r="F18" s="1"/>
  <c r="G18" s="1"/>
  <c r="H18" s="1"/>
  <c r="I18" s="1"/>
  <c r="F4" i="5"/>
  <c r="F6"/>
  <c r="D17" i="4"/>
  <c r="D89" i="31"/>
  <c r="D199"/>
  <c r="D163"/>
  <c r="D126"/>
  <c r="D52"/>
  <c r="D37" i="5"/>
  <c r="H16" i="4"/>
  <c r="I28"/>
  <c r="J20"/>
  <c r="L15"/>
  <c r="G51" i="31"/>
  <c r="F51"/>
  <c r="G14"/>
  <c r="F14"/>
  <c r="F198"/>
  <c r="G198"/>
  <c r="G162"/>
  <c r="F162"/>
  <c r="G125"/>
  <c r="F125"/>
  <c r="F88"/>
  <c r="G88"/>
  <c r="D92"/>
  <c r="E92" s="1"/>
  <c r="F92" s="1"/>
  <c r="G92" s="1"/>
  <c r="H92" s="1"/>
  <c r="I92" s="1"/>
  <c r="D202"/>
  <c r="E202" s="1"/>
  <c r="F202" s="1"/>
  <c r="G202" s="1"/>
  <c r="H202" s="1"/>
  <c r="I202" s="1"/>
  <c r="D166"/>
  <c r="E166" s="1"/>
  <c r="F166" s="1"/>
  <c r="G166" s="1"/>
  <c r="H166" s="1"/>
  <c r="I166" s="1"/>
  <c r="D129"/>
  <c r="E129" s="1"/>
  <c r="F129" s="1"/>
  <c r="G129" s="1"/>
  <c r="H129" s="1"/>
  <c r="I129" s="1"/>
  <c r="D55"/>
  <c r="E55" s="1"/>
  <c r="F55" s="1"/>
  <c r="G55" s="1"/>
  <c r="H55" s="1"/>
  <c r="I55" s="1"/>
  <c r="M106"/>
  <c r="M32"/>
  <c r="M216"/>
  <c r="M180"/>
  <c r="M143"/>
  <c r="M69"/>
  <c r="L87"/>
  <c r="K197"/>
  <c r="K161"/>
  <c r="K124"/>
  <c r="K50"/>
  <c r="K13"/>
  <c r="D51" i="12"/>
  <c r="E51" s="1"/>
  <c r="F51" s="1"/>
  <c r="G51" s="1"/>
  <c r="H51" s="1"/>
  <c r="I51" s="1"/>
  <c r="J51" s="1"/>
  <c r="K51" s="1"/>
  <c r="L51" s="1"/>
  <c r="M51" s="1"/>
  <c r="N51" s="1"/>
  <c r="H18"/>
  <c r="U8" s="1"/>
  <c r="I17"/>
  <c r="I7"/>
  <c r="I9"/>
  <c r="I11"/>
  <c r="I13"/>
  <c r="I15"/>
  <c r="I6"/>
  <c r="I8"/>
  <c r="I10"/>
  <c r="I12"/>
  <c r="I14"/>
  <c r="I16"/>
  <c r="E52" i="31" l="1"/>
  <c r="D49"/>
  <c r="E163"/>
  <c r="D160"/>
  <c r="E15"/>
  <c r="E126"/>
  <c r="D123"/>
  <c r="E199"/>
  <c r="D196"/>
  <c r="E89"/>
  <c r="D86"/>
  <c r="E17" i="4"/>
  <c r="D14"/>
  <c r="I16"/>
  <c r="J28"/>
  <c r="K20"/>
  <c r="M15"/>
  <c r="H88" i="31"/>
  <c r="H162"/>
  <c r="H198"/>
  <c r="H51"/>
  <c r="H125"/>
  <c r="H14"/>
  <c r="I137"/>
  <c r="J129"/>
  <c r="I210"/>
  <c r="J202"/>
  <c r="I63"/>
  <c r="J55"/>
  <c r="I174"/>
  <c r="J166"/>
  <c r="J18"/>
  <c r="I26"/>
  <c r="I100"/>
  <c r="J92"/>
  <c r="M87"/>
  <c r="L197"/>
  <c r="L161"/>
  <c r="L124"/>
  <c r="L50"/>
  <c r="L13"/>
  <c r="U7" i="12"/>
  <c r="AF7" s="1"/>
  <c r="D30" s="1"/>
  <c r="D48" s="1"/>
  <c r="U6"/>
  <c r="AF6" s="1"/>
  <c r="C30" s="1"/>
  <c r="U17"/>
  <c r="AF17" s="1"/>
  <c r="U15"/>
  <c r="AF15" s="1"/>
  <c r="L30" s="1"/>
  <c r="L49" s="1"/>
  <c r="U16"/>
  <c r="AF16" s="1"/>
  <c r="U13"/>
  <c r="AF13" s="1"/>
  <c r="J30" s="1"/>
  <c r="J49" s="1"/>
  <c r="U9"/>
  <c r="AF9" s="1"/>
  <c r="U14"/>
  <c r="AF14" s="1"/>
  <c r="K30" s="1"/>
  <c r="K49" s="1"/>
  <c r="U10"/>
  <c r="AF10" s="1"/>
  <c r="AF8"/>
  <c r="E30" s="1"/>
  <c r="E49" s="1"/>
  <c r="U12"/>
  <c r="AF12" s="1"/>
  <c r="U11"/>
  <c r="AF11" s="1"/>
  <c r="H30" s="1"/>
  <c r="H49" s="1"/>
  <c r="G23"/>
  <c r="C29"/>
  <c r="C32" s="1"/>
  <c r="C19" i="19"/>
  <c r="C9"/>
  <c r="J7" i="12"/>
  <c r="J9"/>
  <c r="J11"/>
  <c r="J13"/>
  <c r="J15"/>
  <c r="J17"/>
  <c r="J6"/>
  <c r="J8"/>
  <c r="J10"/>
  <c r="J12"/>
  <c r="J14"/>
  <c r="J16"/>
  <c r="L48"/>
  <c r="J48"/>
  <c r="I18"/>
  <c r="E48" l="1"/>
  <c r="D49"/>
  <c r="G17" i="4"/>
  <c r="F17"/>
  <c r="F14" s="1"/>
  <c r="E14"/>
  <c r="G89" i="31"/>
  <c r="F89"/>
  <c r="F86" s="1"/>
  <c r="E86"/>
  <c r="F199"/>
  <c r="F196" s="1"/>
  <c r="G199"/>
  <c r="E196"/>
  <c r="F126"/>
  <c r="F123" s="1"/>
  <c r="G126"/>
  <c r="E123"/>
  <c r="G15"/>
  <c r="F15"/>
  <c r="F12" s="1"/>
  <c r="E12"/>
  <c r="F163"/>
  <c r="F160" s="1"/>
  <c r="G163"/>
  <c r="E160"/>
  <c r="F52"/>
  <c r="F49" s="1"/>
  <c r="G52"/>
  <c r="E49"/>
  <c r="J16" i="4"/>
  <c r="K48" i="12"/>
  <c r="K28" i="4"/>
  <c r="L20"/>
  <c r="I14" i="31"/>
  <c r="I125"/>
  <c r="I51"/>
  <c r="I198"/>
  <c r="I162"/>
  <c r="I88"/>
  <c r="K18"/>
  <c r="J26"/>
  <c r="H48" i="12"/>
  <c r="J100" i="31"/>
  <c r="K92"/>
  <c r="K166"/>
  <c r="J174"/>
  <c r="K55"/>
  <c r="J63"/>
  <c r="K202"/>
  <c r="J210"/>
  <c r="K129"/>
  <c r="J137"/>
  <c r="M197"/>
  <c r="M161"/>
  <c r="M124"/>
  <c r="M50"/>
  <c r="M13"/>
  <c r="U18" i="12"/>
  <c r="AF18" s="1"/>
  <c r="H23" s="1"/>
  <c r="D9" i="19"/>
  <c r="O9"/>
  <c r="I30" i="12"/>
  <c r="I49" s="1"/>
  <c r="G30"/>
  <c r="G49" s="1"/>
  <c r="F30"/>
  <c r="F49" s="1"/>
  <c r="M30"/>
  <c r="M49" s="1"/>
  <c r="N30"/>
  <c r="N49" s="1"/>
  <c r="C48"/>
  <c r="C49"/>
  <c r="V9"/>
  <c r="AG9" s="1"/>
  <c r="V13"/>
  <c r="AG13" s="1"/>
  <c r="V17"/>
  <c r="AG17" s="1"/>
  <c r="V7"/>
  <c r="AG7" s="1"/>
  <c r="V11"/>
  <c r="AG11" s="1"/>
  <c r="V15"/>
  <c r="AG15" s="1"/>
  <c r="V6"/>
  <c r="V8"/>
  <c r="AG8" s="1"/>
  <c r="V12"/>
  <c r="AG12" s="1"/>
  <c r="V16"/>
  <c r="AG16" s="1"/>
  <c r="V10"/>
  <c r="AG10" s="1"/>
  <c r="V14"/>
  <c r="AG14" s="1"/>
  <c r="K17"/>
  <c r="K7"/>
  <c r="K9"/>
  <c r="K11"/>
  <c r="K13"/>
  <c r="K15"/>
  <c r="K6"/>
  <c r="K8"/>
  <c r="K10"/>
  <c r="K12"/>
  <c r="K14"/>
  <c r="K16"/>
  <c r="C44"/>
  <c r="C55" s="1"/>
  <c r="D29"/>
  <c r="J18"/>
  <c r="D9" i="31" l="1"/>
  <c r="D11"/>
  <c r="H52"/>
  <c r="G49"/>
  <c r="H126"/>
  <c r="G123"/>
  <c r="H17" i="4"/>
  <c r="G14"/>
  <c r="H163" i="31"/>
  <c r="G160"/>
  <c r="H15"/>
  <c r="G12"/>
  <c r="H199"/>
  <c r="G196"/>
  <c r="H89"/>
  <c r="G86"/>
  <c r="K16" i="4"/>
  <c r="D11"/>
  <c r="D7"/>
  <c r="D5" i="31" s="1"/>
  <c r="D13" i="4"/>
  <c r="L28"/>
  <c r="M20"/>
  <c r="M28" s="1"/>
  <c r="J88" i="31"/>
  <c r="J162"/>
  <c r="J198"/>
  <c r="J51"/>
  <c r="J125"/>
  <c r="J14"/>
  <c r="L92"/>
  <c r="K100"/>
  <c r="L18"/>
  <c r="K26"/>
  <c r="D85"/>
  <c r="D83"/>
  <c r="D195"/>
  <c r="D159"/>
  <c r="D122"/>
  <c r="D48"/>
  <c r="D193"/>
  <c r="D157"/>
  <c r="D155" s="1"/>
  <c r="D120"/>
  <c r="D46"/>
  <c r="D44" s="1"/>
  <c r="D153"/>
  <c r="D42"/>
  <c r="D189"/>
  <c r="C56" i="19" s="1"/>
  <c r="D79" i="31"/>
  <c r="D116"/>
  <c r="K137"/>
  <c r="L129"/>
  <c r="L202"/>
  <c r="K210"/>
  <c r="K63"/>
  <c r="L55"/>
  <c r="L166"/>
  <c r="K174"/>
  <c r="E61" i="5"/>
  <c r="E9" i="19"/>
  <c r="P9"/>
  <c r="C52" i="12"/>
  <c r="C56" s="1"/>
  <c r="N48"/>
  <c r="M48"/>
  <c r="F48"/>
  <c r="G48"/>
  <c r="I48"/>
  <c r="E29"/>
  <c r="D32"/>
  <c r="D44" s="1"/>
  <c r="D55" s="1"/>
  <c r="W8"/>
  <c r="AH8" s="1"/>
  <c r="W12"/>
  <c r="AH12" s="1"/>
  <c r="W16"/>
  <c r="AH16" s="1"/>
  <c r="W10"/>
  <c r="AH10" s="1"/>
  <c r="W14"/>
  <c r="AH14" s="1"/>
  <c r="W9"/>
  <c r="AH9" s="1"/>
  <c r="W13"/>
  <c r="AH13" s="1"/>
  <c r="W17"/>
  <c r="AH17" s="1"/>
  <c r="W7"/>
  <c r="AH7" s="1"/>
  <c r="W11"/>
  <c r="AH11" s="1"/>
  <c r="W15"/>
  <c r="AH15" s="1"/>
  <c r="W6"/>
  <c r="L7"/>
  <c r="L9"/>
  <c r="L11"/>
  <c r="L13"/>
  <c r="L15"/>
  <c r="L17"/>
  <c r="L6"/>
  <c r="L8"/>
  <c r="L10"/>
  <c r="L12"/>
  <c r="L14"/>
  <c r="L16"/>
  <c r="V18"/>
  <c r="AG18" s="1"/>
  <c r="I23" s="1"/>
  <c r="AG6"/>
  <c r="K18"/>
  <c r="D7" i="31" l="1"/>
  <c r="D6" s="1"/>
  <c r="D16" s="1"/>
  <c r="E5"/>
  <c r="I89"/>
  <c r="H86"/>
  <c r="I199"/>
  <c r="H196"/>
  <c r="I15"/>
  <c r="H12"/>
  <c r="I163"/>
  <c r="H160"/>
  <c r="I17" i="4"/>
  <c r="H14"/>
  <c r="I126" i="31"/>
  <c r="H123"/>
  <c r="I52"/>
  <c r="H49"/>
  <c r="D81"/>
  <c r="D80" s="1"/>
  <c r="D90" s="1"/>
  <c r="L16" i="4"/>
  <c r="E7"/>
  <c r="E13"/>
  <c r="E11"/>
  <c r="D9"/>
  <c r="K14" i="31"/>
  <c r="K125"/>
  <c r="K51"/>
  <c r="K198"/>
  <c r="K162"/>
  <c r="K88"/>
  <c r="E83"/>
  <c r="E85"/>
  <c r="E193"/>
  <c r="E157"/>
  <c r="E120"/>
  <c r="E46"/>
  <c r="E11"/>
  <c r="E195"/>
  <c r="E159"/>
  <c r="E122"/>
  <c r="E48"/>
  <c r="E9"/>
  <c r="E79"/>
  <c r="E116"/>
  <c r="E189"/>
  <c r="D56" i="19" s="1"/>
  <c r="E153" i="31"/>
  <c r="E42"/>
  <c r="M166"/>
  <c r="M174" s="1"/>
  <c r="L174"/>
  <c r="M202"/>
  <c r="M210" s="1"/>
  <c r="L210"/>
  <c r="M18"/>
  <c r="M26" s="1"/>
  <c r="L26"/>
  <c r="L100"/>
  <c r="M92"/>
  <c r="M100" s="1"/>
  <c r="D118"/>
  <c r="D191"/>
  <c r="C10" i="19" s="1"/>
  <c r="L63" i="31"/>
  <c r="M55"/>
  <c r="M63" s="1"/>
  <c r="L137"/>
  <c r="M129"/>
  <c r="M137" s="1"/>
  <c r="E44"/>
  <c r="D43"/>
  <c r="D53" s="1"/>
  <c r="E155"/>
  <c r="D154"/>
  <c r="D164" s="1"/>
  <c r="E7"/>
  <c r="E81"/>
  <c r="F9" i="19"/>
  <c r="Q9"/>
  <c r="X9" i="12"/>
  <c r="AI9" s="1"/>
  <c r="X13"/>
  <c r="AI13" s="1"/>
  <c r="X17"/>
  <c r="AI17" s="1"/>
  <c r="X7"/>
  <c r="AI7" s="1"/>
  <c r="X11"/>
  <c r="AI11" s="1"/>
  <c r="X15"/>
  <c r="AI15" s="1"/>
  <c r="X6"/>
  <c r="X8"/>
  <c r="AI8" s="1"/>
  <c r="X12"/>
  <c r="AI12" s="1"/>
  <c r="X16"/>
  <c r="AI16" s="1"/>
  <c r="X10"/>
  <c r="AI10" s="1"/>
  <c r="X14"/>
  <c r="AI14" s="1"/>
  <c r="F29"/>
  <c r="E32"/>
  <c r="E44" s="1"/>
  <c r="E55" s="1"/>
  <c r="M17"/>
  <c r="M7"/>
  <c r="M9"/>
  <c r="M11"/>
  <c r="M13"/>
  <c r="M15"/>
  <c r="M6"/>
  <c r="M8"/>
  <c r="M10"/>
  <c r="M12"/>
  <c r="M14"/>
  <c r="M16"/>
  <c r="W18"/>
  <c r="AH18" s="1"/>
  <c r="J23" s="1"/>
  <c r="AH6"/>
  <c r="L18"/>
  <c r="F5" i="31" l="1"/>
  <c r="J52"/>
  <c r="I49"/>
  <c r="J126"/>
  <c r="I123"/>
  <c r="J17" i="4"/>
  <c r="I14"/>
  <c r="J163" i="31"/>
  <c r="I160"/>
  <c r="J15"/>
  <c r="I12"/>
  <c r="J199"/>
  <c r="I196"/>
  <c r="H8" i="19" s="1"/>
  <c r="T8" s="1"/>
  <c r="J89" i="31"/>
  <c r="I86"/>
  <c r="M16" i="4"/>
  <c r="F11"/>
  <c r="F7"/>
  <c r="F13"/>
  <c r="E9"/>
  <c r="D8"/>
  <c r="D18" s="1"/>
  <c r="L88" i="31"/>
  <c r="L162"/>
  <c r="L198"/>
  <c r="L51"/>
  <c r="L125"/>
  <c r="L14"/>
  <c r="D190"/>
  <c r="E191"/>
  <c r="F85"/>
  <c r="F83"/>
  <c r="F195"/>
  <c r="F159"/>
  <c r="F122"/>
  <c r="F48"/>
  <c r="F9"/>
  <c r="F193"/>
  <c r="F157"/>
  <c r="F120"/>
  <c r="F46"/>
  <c r="F11"/>
  <c r="F79"/>
  <c r="F116"/>
  <c r="F153"/>
  <c r="F42"/>
  <c r="F189"/>
  <c r="E56" i="19" s="1"/>
  <c r="E80" i="31"/>
  <c r="E90" s="1"/>
  <c r="F81"/>
  <c r="F7"/>
  <c r="E6"/>
  <c r="E16" s="1"/>
  <c r="F155"/>
  <c r="E154"/>
  <c r="E164" s="1"/>
  <c r="F44"/>
  <c r="E43"/>
  <c r="E53" s="1"/>
  <c r="D117"/>
  <c r="D127" s="1"/>
  <c r="E118"/>
  <c r="G9" i="19"/>
  <c r="R9"/>
  <c r="C20"/>
  <c r="C18" s="1"/>
  <c r="C28" s="1"/>
  <c r="O10"/>
  <c r="O11" s="1"/>
  <c r="X18" i="12"/>
  <c r="AI18" s="1"/>
  <c r="K23" s="1"/>
  <c r="AI6"/>
  <c r="Y8"/>
  <c r="AJ8" s="1"/>
  <c r="Y12"/>
  <c r="AJ12" s="1"/>
  <c r="Y16"/>
  <c r="AJ16" s="1"/>
  <c r="Y10"/>
  <c r="AJ10" s="1"/>
  <c r="Y14"/>
  <c r="AJ14" s="1"/>
  <c r="Y9"/>
  <c r="AJ9" s="1"/>
  <c r="Y13"/>
  <c r="AJ13" s="1"/>
  <c r="Y17"/>
  <c r="AJ17" s="1"/>
  <c r="Y7"/>
  <c r="AJ7" s="1"/>
  <c r="Y11"/>
  <c r="AJ11" s="1"/>
  <c r="Y15"/>
  <c r="AJ15" s="1"/>
  <c r="Y6"/>
  <c r="N7"/>
  <c r="N9"/>
  <c r="N11"/>
  <c r="N13"/>
  <c r="N15"/>
  <c r="N17"/>
  <c r="N6"/>
  <c r="N8"/>
  <c r="N10"/>
  <c r="N12"/>
  <c r="N14"/>
  <c r="N16"/>
  <c r="G29"/>
  <c r="F32"/>
  <c r="F44" s="1"/>
  <c r="F55" s="1"/>
  <c r="M18"/>
  <c r="D200" i="31" l="1"/>
  <c r="G5"/>
  <c r="K89"/>
  <c r="J86"/>
  <c r="K199"/>
  <c r="J196"/>
  <c r="I8" i="19" s="1"/>
  <c r="U8" s="1"/>
  <c r="K15" i="31"/>
  <c r="J12"/>
  <c r="K163"/>
  <c r="J160"/>
  <c r="K17" i="4"/>
  <c r="J14"/>
  <c r="K126" i="31"/>
  <c r="J123"/>
  <c r="K52"/>
  <c r="J49"/>
  <c r="G7" i="4"/>
  <c r="G13"/>
  <c r="G11"/>
  <c r="F9"/>
  <c r="E8"/>
  <c r="E18" s="1"/>
  <c r="M14" i="31"/>
  <c r="M125"/>
  <c r="M51"/>
  <c r="M198"/>
  <c r="M162"/>
  <c r="M88"/>
  <c r="G83"/>
  <c r="G85"/>
  <c r="G193"/>
  <c r="G157"/>
  <c r="G120"/>
  <c r="G46"/>
  <c r="G11"/>
  <c r="G195"/>
  <c r="G159"/>
  <c r="G122"/>
  <c r="G48"/>
  <c r="G9"/>
  <c r="G189"/>
  <c r="F56" i="19" s="1"/>
  <c r="G153" i="31"/>
  <c r="G42"/>
  <c r="G79"/>
  <c r="G116"/>
  <c r="F118"/>
  <c r="E117"/>
  <c r="E127" s="1"/>
  <c r="F80"/>
  <c r="F90" s="1"/>
  <c r="G81"/>
  <c r="F43"/>
  <c r="F53" s="1"/>
  <c r="G44"/>
  <c r="F154"/>
  <c r="F164" s="1"/>
  <c r="G155"/>
  <c r="G7"/>
  <c r="F6"/>
  <c r="F16" s="1"/>
  <c r="F191"/>
  <c r="E190"/>
  <c r="D10" i="19"/>
  <c r="P10" s="1"/>
  <c r="P11" s="1"/>
  <c r="H9"/>
  <c r="S9"/>
  <c r="O17" i="12"/>
  <c r="O6"/>
  <c r="O8"/>
  <c r="O10"/>
  <c r="O12"/>
  <c r="O14"/>
  <c r="O16"/>
  <c r="O7"/>
  <c r="O9"/>
  <c r="O11"/>
  <c r="O13"/>
  <c r="O15"/>
  <c r="Z9"/>
  <c r="AK9" s="1"/>
  <c r="Z13"/>
  <c r="AK13" s="1"/>
  <c r="Z17"/>
  <c r="AK17" s="1"/>
  <c r="Z7"/>
  <c r="AK7" s="1"/>
  <c r="Z11"/>
  <c r="AK11" s="1"/>
  <c r="Z15"/>
  <c r="AK15" s="1"/>
  <c r="Z6"/>
  <c r="Z8"/>
  <c r="AK8" s="1"/>
  <c r="Z12"/>
  <c r="AK12" s="1"/>
  <c r="Z16"/>
  <c r="AK16" s="1"/>
  <c r="Z10"/>
  <c r="AK10" s="1"/>
  <c r="Z14"/>
  <c r="AK14" s="1"/>
  <c r="H29"/>
  <c r="G32"/>
  <c r="G44" s="1"/>
  <c r="G55" s="1"/>
  <c r="Y18"/>
  <c r="AJ18" s="1"/>
  <c r="L23" s="1"/>
  <c r="AJ6"/>
  <c r="N18"/>
  <c r="E200" i="31" l="1"/>
  <c r="H5"/>
  <c r="L52"/>
  <c r="K49"/>
  <c r="L126"/>
  <c r="K123"/>
  <c r="L17" i="4"/>
  <c r="K14"/>
  <c r="L163" i="31"/>
  <c r="K160"/>
  <c r="L15"/>
  <c r="K12"/>
  <c r="L199"/>
  <c r="K196"/>
  <c r="J8" i="19" s="1"/>
  <c r="V8" s="1"/>
  <c r="L89" i="31"/>
  <c r="K86"/>
  <c r="H11" i="4"/>
  <c r="H7"/>
  <c r="H13"/>
  <c r="F8"/>
  <c r="F18" s="1"/>
  <c r="G9"/>
  <c r="H85" i="31"/>
  <c r="H83"/>
  <c r="H195"/>
  <c r="H159"/>
  <c r="H122"/>
  <c r="H48"/>
  <c r="H9"/>
  <c r="H193"/>
  <c r="H157"/>
  <c r="H120"/>
  <c r="H46"/>
  <c r="H11"/>
  <c r="H153"/>
  <c r="H42"/>
  <c r="H189"/>
  <c r="G56" i="19" s="1"/>
  <c r="H79" i="31"/>
  <c r="H116"/>
  <c r="F190"/>
  <c r="G191"/>
  <c r="E10" i="19"/>
  <c r="Q10" s="1"/>
  <c r="Q11" s="1"/>
  <c r="H7" i="31"/>
  <c r="G6"/>
  <c r="G16" s="1"/>
  <c r="F117"/>
  <c r="F127" s="1"/>
  <c r="G118"/>
  <c r="G154"/>
  <c r="G164" s="1"/>
  <c r="H155"/>
  <c r="G43"/>
  <c r="G53" s="1"/>
  <c r="H44"/>
  <c r="H81"/>
  <c r="G80"/>
  <c r="G90" s="1"/>
  <c r="I9" i="19"/>
  <c r="T9"/>
  <c r="AA8" i="12"/>
  <c r="AL8" s="1"/>
  <c r="AA12"/>
  <c r="AL12" s="1"/>
  <c r="AA16"/>
  <c r="AL16" s="1"/>
  <c r="AA10"/>
  <c r="AL10" s="1"/>
  <c r="AA14"/>
  <c r="AL14" s="1"/>
  <c r="AA9"/>
  <c r="AL9" s="1"/>
  <c r="AA13"/>
  <c r="AL13" s="1"/>
  <c r="AA17"/>
  <c r="AL17" s="1"/>
  <c r="AA7"/>
  <c r="AL7" s="1"/>
  <c r="AA11"/>
  <c r="AL11" s="1"/>
  <c r="AA15"/>
  <c r="AL15" s="1"/>
  <c r="AA6"/>
  <c r="I29"/>
  <c r="H32"/>
  <c r="H44" s="1"/>
  <c r="H55" s="1"/>
  <c r="Z18"/>
  <c r="AK18" s="1"/>
  <c r="M23" s="1"/>
  <c r="AK6"/>
  <c r="P7"/>
  <c r="P9"/>
  <c r="P11"/>
  <c r="P13"/>
  <c r="P15"/>
  <c r="P17"/>
  <c r="P6"/>
  <c r="P8"/>
  <c r="P10"/>
  <c r="P12"/>
  <c r="P14"/>
  <c r="P16"/>
  <c r="O18"/>
  <c r="F200" i="31" l="1"/>
  <c r="I5"/>
  <c r="M89"/>
  <c r="M86" s="1"/>
  <c r="L86"/>
  <c r="M199"/>
  <c r="M196" s="1"/>
  <c r="L8" i="19" s="1"/>
  <c r="X8" s="1"/>
  <c r="L196" i="31"/>
  <c r="K8" i="19" s="1"/>
  <c r="W8" s="1"/>
  <c r="M15" i="31"/>
  <c r="M12" s="1"/>
  <c r="L12"/>
  <c r="M163"/>
  <c r="M160" s="1"/>
  <c r="L160"/>
  <c r="M17" i="4"/>
  <c r="M14" s="1"/>
  <c r="L14"/>
  <c r="M126" i="31"/>
  <c r="M123" s="1"/>
  <c r="L123"/>
  <c r="M52"/>
  <c r="M49" s="1"/>
  <c r="L49"/>
  <c r="I7" i="4"/>
  <c r="I13"/>
  <c r="I11"/>
  <c r="H9"/>
  <c r="G8"/>
  <c r="G18" s="1"/>
  <c r="I81" i="31"/>
  <c r="H80"/>
  <c r="H90" s="1"/>
  <c r="G117"/>
  <c r="G127" s="1"/>
  <c r="H118"/>
  <c r="I83"/>
  <c r="I85"/>
  <c r="I193"/>
  <c r="I157"/>
  <c r="I120"/>
  <c r="I46"/>
  <c r="I11"/>
  <c r="I195"/>
  <c r="I159"/>
  <c r="I122"/>
  <c r="I48"/>
  <c r="I9"/>
  <c r="I79"/>
  <c r="I116"/>
  <c r="I189"/>
  <c r="H56" i="19" s="1"/>
  <c r="I153" i="31"/>
  <c r="I42"/>
  <c r="I44"/>
  <c r="H43"/>
  <c r="H53" s="1"/>
  <c r="H154"/>
  <c r="I155"/>
  <c r="I7"/>
  <c r="H6"/>
  <c r="H16" s="1"/>
  <c r="G190"/>
  <c r="H191"/>
  <c r="F10" i="19"/>
  <c r="R10" s="1"/>
  <c r="R11" s="1"/>
  <c r="H164" i="31"/>
  <c r="J9" i="19"/>
  <c r="U9"/>
  <c r="AB7" i="12"/>
  <c r="AM7" s="1"/>
  <c r="AB8"/>
  <c r="AM8" s="1"/>
  <c r="AB12"/>
  <c r="AM12" s="1"/>
  <c r="AB16"/>
  <c r="AM16" s="1"/>
  <c r="AB11"/>
  <c r="AM11" s="1"/>
  <c r="AB15"/>
  <c r="AM15" s="1"/>
  <c r="AB6"/>
  <c r="AB10"/>
  <c r="AM10" s="1"/>
  <c r="AB14"/>
  <c r="AM14" s="1"/>
  <c r="AB9"/>
  <c r="AM9" s="1"/>
  <c r="AB13"/>
  <c r="AM13" s="1"/>
  <c r="AB17"/>
  <c r="AM17" s="1"/>
  <c r="Q6"/>
  <c r="Q8"/>
  <c r="Q10"/>
  <c r="Q12"/>
  <c r="Q14"/>
  <c r="Q16"/>
  <c r="Q7"/>
  <c r="Q9"/>
  <c r="Q11"/>
  <c r="Q13"/>
  <c r="Q15"/>
  <c r="Q17"/>
  <c r="J29"/>
  <c r="I32"/>
  <c r="I44" s="1"/>
  <c r="I55" s="1"/>
  <c r="AA18"/>
  <c r="AL18" s="1"/>
  <c r="N23" s="1"/>
  <c r="AL6"/>
  <c r="P18"/>
  <c r="G200" i="31" l="1"/>
  <c r="J5"/>
  <c r="J11" i="4"/>
  <c r="J7"/>
  <c r="J13"/>
  <c r="H8"/>
  <c r="H18" s="1"/>
  <c r="I9"/>
  <c r="J85" i="31"/>
  <c r="J83"/>
  <c r="J195"/>
  <c r="J159"/>
  <c r="J122"/>
  <c r="J48"/>
  <c r="J9"/>
  <c r="J193"/>
  <c r="J157"/>
  <c r="J120"/>
  <c r="J46"/>
  <c r="J11"/>
  <c r="J79"/>
  <c r="J116"/>
  <c r="J153"/>
  <c r="J42"/>
  <c r="J189"/>
  <c r="I56" i="19" s="1"/>
  <c r="I191" i="31"/>
  <c r="H190"/>
  <c r="G10" i="19"/>
  <c r="S10" s="1"/>
  <c r="S11" s="1"/>
  <c r="I154" i="31"/>
  <c r="J155"/>
  <c r="J81"/>
  <c r="I80"/>
  <c r="I90" s="1"/>
  <c r="I93" s="1"/>
  <c r="I95" s="1"/>
  <c r="I96" s="1"/>
  <c r="I97" s="1"/>
  <c r="I98" s="1"/>
  <c r="I99" s="1"/>
  <c r="I107" s="1"/>
  <c r="J7"/>
  <c r="I6"/>
  <c r="J44"/>
  <c r="I43"/>
  <c r="I53" s="1"/>
  <c r="I56" s="1"/>
  <c r="I58" s="1"/>
  <c r="I59" s="1"/>
  <c r="I60" s="1"/>
  <c r="I61" s="1"/>
  <c r="I62" s="1"/>
  <c r="I70" s="1"/>
  <c r="H117"/>
  <c r="H127" s="1"/>
  <c r="I118"/>
  <c r="I164"/>
  <c r="I167" s="1"/>
  <c r="I169" s="1"/>
  <c r="I170" s="1"/>
  <c r="I171" s="1"/>
  <c r="I172" s="1"/>
  <c r="I173" s="1"/>
  <c r="I181" s="1"/>
  <c r="I16"/>
  <c r="I19" s="1"/>
  <c r="I21" s="1"/>
  <c r="I22" s="1"/>
  <c r="I23" s="1"/>
  <c r="I24" s="1"/>
  <c r="I25" s="1"/>
  <c r="I33" s="1"/>
  <c r="K9" i="19"/>
  <c r="V9"/>
  <c r="AC9" i="12"/>
  <c r="AN9" s="1"/>
  <c r="AC13"/>
  <c r="AN13" s="1"/>
  <c r="AC17"/>
  <c r="AN17" s="1"/>
  <c r="AC7"/>
  <c r="AN7" s="1"/>
  <c r="AC11"/>
  <c r="AN11" s="1"/>
  <c r="AC15"/>
  <c r="AN15" s="1"/>
  <c r="AC6"/>
  <c r="AC8"/>
  <c r="AN8" s="1"/>
  <c r="AC12"/>
  <c r="AN12" s="1"/>
  <c r="AC16"/>
  <c r="AN16" s="1"/>
  <c r="AC10"/>
  <c r="AN10" s="1"/>
  <c r="AC14"/>
  <c r="AN14" s="1"/>
  <c r="AM6"/>
  <c r="AM18" s="1"/>
  <c r="O23" s="1"/>
  <c r="AB18"/>
  <c r="K29"/>
  <c r="J32"/>
  <c r="J44" s="1"/>
  <c r="J55" s="1"/>
  <c r="Q18"/>
  <c r="H200" i="31" l="1"/>
  <c r="K5"/>
  <c r="J9" i="4"/>
  <c r="I8"/>
  <c r="I18" s="1"/>
  <c r="I21" s="1"/>
  <c r="I23" s="1"/>
  <c r="I24" s="1"/>
  <c r="I25" s="1"/>
  <c r="I26" s="1"/>
  <c r="I27" s="1"/>
  <c r="I35" s="1"/>
  <c r="K7"/>
  <c r="K13"/>
  <c r="K11"/>
  <c r="J43" i="31"/>
  <c r="J53" s="1"/>
  <c r="J56" s="1"/>
  <c r="J58" s="1"/>
  <c r="J59" s="1"/>
  <c r="J60" s="1"/>
  <c r="J61" s="1"/>
  <c r="J62" s="1"/>
  <c r="J70" s="1"/>
  <c r="K44"/>
  <c r="J118"/>
  <c r="I117"/>
  <c r="I127" s="1"/>
  <c r="I130" s="1"/>
  <c r="I132" s="1"/>
  <c r="I133" s="1"/>
  <c r="I134" s="1"/>
  <c r="I135" s="1"/>
  <c r="I136" s="1"/>
  <c r="I144" s="1"/>
  <c r="K81"/>
  <c r="J80"/>
  <c r="J90" s="1"/>
  <c r="J93" s="1"/>
  <c r="J95" s="1"/>
  <c r="J96" s="1"/>
  <c r="J97" s="1"/>
  <c r="J98" s="1"/>
  <c r="J99" s="1"/>
  <c r="J107" s="1"/>
  <c r="K155"/>
  <c r="J154"/>
  <c r="J164" s="1"/>
  <c r="J167" s="1"/>
  <c r="J169" s="1"/>
  <c r="J170" s="1"/>
  <c r="J171" s="1"/>
  <c r="J172" s="1"/>
  <c r="J173" s="1"/>
  <c r="J181" s="1"/>
  <c r="I190"/>
  <c r="H57" i="19" s="1"/>
  <c r="J191" i="31"/>
  <c r="H10" i="19"/>
  <c r="K83" i="31"/>
  <c r="K85"/>
  <c r="K193"/>
  <c r="K157"/>
  <c r="K120"/>
  <c r="K46"/>
  <c r="K11"/>
  <c r="K195"/>
  <c r="K159"/>
  <c r="K122"/>
  <c r="K48"/>
  <c r="K9"/>
  <c r="K189"/>
  <c r="J56" i="19" s="1"/>
  <c r="K153" i="31"/>
  <c r="K42"/>
  <c r="K79"/>
  <c r="K116"/>
  <c r="J6"/>
  <c r="J16" s="1"/>
  <c r="J19" s="1"/>
  <c r="J21" s="1"/>
  <c r="J22" s="1"/>
  <c r="J23" s="1"/>
  <c r="J24" s="1"/>
  <c r="J25" s="1"/>
  <c r="J33" s="1"/>
  <c r="K7"/>
  <c r="L9" i="19"/>
  <c r="X9" s="1"/>
  <c r="W9"/>
  <c r="AD8" i="12"/>
  <c r="AO8" s="1"/>
  <c r="AD12"/>
  <c r="AO12" s="1"/>
  <c r="AD16"/>
  <c r="AO16" s="1"/>
  <c r="AD10"/>
  <c r="AO10" s="1"/>
  <c r="AD14"/>
  <c r="AO14" s="1"/>
  <c r="AD9"/>
  <c r="AO9" s="1"/>
  <c r="AD13"/>
  <c r="AO13" s="1"/>
  <c r="AD17"/>
  <c r="AO17" s="1"/>
  <c r="AD7"/>
  <c r="AO7" s="1"/>
  <c r="AD11"/>
  <c r="AO11" s="1"/>
  <c r="AD15"/>
  <c r="AO15" s="1"/>
  <c r="AD6"/>
  <c r="L29"/>
  <c r="K32"/>
  <c r="K44" s="1"/>
  <c r="K55" s="1"/>
  <c r="AC18"/>
  <c r="AN18" s="1"/>
  <c r="P23" s="1"/>
  <c r="AN6"/>
  <c r="L5" i="31" l="1"/>
  <c r="L11" i="4"/>
  <c r="L7"/>
  <c r="L13"/>
  <c r="J8"/>
  <c r="J18" s="1"/>
  <c r="J21" s="1"/>
  <c r="J23" s="1"/>
  <c r="K9"/>
  <c r="L85" i="31"/>
  <c r="L83"/>
  <c r="L195"/>
  <c r="L159"/>
  <c r="L122"/>
  <c r="L48"/>
  <c r="L9"/>
  <c r="L193"/>
  <c r="L157"/>
  <c r="L120"/>
  <c r="L46"/>
  <c r="L11"/>
  <c r="L153"/>
  <c r="L42"/>
  <c r="L189"/>
  <c r="K56" i="19" s="1"/>
  <c r="L79" i="31"/>
  <c r="L116"/>
  <c r="J190"/>
  <c r="I57" i="19" s="1"/>
  <c r="K191" i="31"/>
  <c r="I10" i="19"/>
  <c r="K6" i="31"/>
  <c r="K16" s="1"/>
  <c r="K19" s="1"/>
  <c r="K21" s="1"/>
  <c r="K22" s="1"/>
  <c r="K23" s="1"/>
  <c r="K24" s="1"/>
  <c r="K25" s="1"/>
  <c r="K33" s="1"/>
  <c r="L7"/>
  <c r="H6" i="19"/>
  <c r="T10"/>
  <c r="T11" s="1"/>
  <c r="T6" s="1"/>
  <c r="I200" i="31"/>
  <c r="I203" s="1"/>
  <c r="I205" s="1"/>
  <c r="I206" s="1"/>
  <c r="I207" s="1"/>
  <c r="I208" s="1"/>
  <c r="I209" s="1"/>
  <c r="I217" s="1"/>
  <c r="D53" i="4" s="1"/>
  <c r="L155" i="31"/>
  <c r="K154"/>
  <c r="K164" s="1"/>
  <c r="K167" s="1"/>
  <c r="K169" s="1"/>
  <c r="K170" s="1"/>
  <c r="K171" s="1"/>
  <c r="K172" s="1"/>
  <c r="K173" s="1"/>
  <c r="K181" s="1"/>
  <c r="K80"/>
  <c r="K90" s="1"/>
  <c r="K93" s="1"/>
  <c r="K95" s="1"/>
  <c r="K96" s="1"/>
  <c r="K97" s="1"/>
  <c r="K98" s="1"/>
  <c r="K99" s="1"/>
  <c r="K107" s="1"/>
  <c r="L81"/>
  <c r="K118"/>
  <c r="J117"/>
  <c r="J127" s="1"/>
  <c r="J130" s="1"/>
  <c r="J132" s="1"/>
  <c r="J133" s="1"/>
  <c r="J134" s="1"/>
  <c r="J135" s="1"/>
  <c r="J136" s="1"/>
  <c r="J144" s="1"/>
  <c r="L44"/>
  <c r="K43"/>
  <c r="K53" s="1"/>
  <c r="K56" s="1"/>
  <c r="K58" s="1"/>
  <c r="K59" s="1"/>
  <c r="K60" s="1"/>
  <c r="K61" s="1"/>
  <c r="K62" s="1"/>
  <c r="K70" s="1"/>
  <c r="M29" i="12"/>
  <c r="L32"/>
  <c r="L44" s="1"/>
  <c r="L55" s="1"/>
  <c r="AD18"/>
  <c r="AO18" s="1"/>
  <c r="Q23" s="1"/>
  <c r="AO6"/>
  <c r="M5" i="31" l="1"/>
  <c r="AQ18" i="12"/>
  <c r="M7" i="4"/>
  <c r="N7" s="1"/>
  <c r="M13"/>
  <c r="M11"/>
  <c r="K8"/>
  <c r="K18" s="1"/>
  <c r="K21" s="1"/>
  <c r="K23" s="1"/>
  <c r="K24" s="1"/>
  <c r="K25" s="1"/>
  <c r="K26" s="1"/>
  <c r="K27" s="1"/>
  <c r="K35" s="1"/>
  <c r="L9"/>
  <c r="J24"/>
  <c r="J25" s="1"/>
  <c r="O46"/>
  <c r="M44" i="31"/>
  <c r="M43" s="1"/>
  <c r="L43"/>
  <c r="L53" s="1"/>
  <c r="L56" s="1"/>
  <c r="L58" s="1"/>
  <c r="L59" s="1"/>
  <c r="L60" s="1"/>
  <c r="L61" s="1"/>
  <c r="L62" s="1"/>
  <c r="L70" s="1"/>
  <c r="M81"/>
  <c r="M80" s="1"/>
  <c r="L80"/>
  <c r="L90" s="1"/>
  <c r="L93" s="1"/>
  <c r="L95" s="1"/>
  <c r="L96" s="1"/>
  <c r="L97" s="1"/>
  <c r="L98" s="1"/>
  <c r="L99" s="1"/>
  <c r="L107" s="1"/>
  <c r="M83"/>
  <c r="M85"/>
  <c r="M193"/>
  <c r="M157"/>
  <c r="M120"/>
  <c r="M46"/>
  <c r="M11"/>
  <c r="M195"/>
  <c r="M159"/>
  <c r="M122"/>
  <c r="M48"/>
  <c r="M9"/>
  <c r="M79"/>
  <c r="M116"/>
  <c r="M189"/>
  <c r="L56" i="19" s="1"/>
  <c r="M153" i="31"/>
  <c r="M42"/>
  <c r="M53" s="1"/>
  <c r="M56" s="1"/>
  <c r="M58" s="1"/>
  <c r="M59" s="1"/>
  <c r="M60" s="1"/>
  <c r="M61" s="1"/>
  <c r="M62" s="1"/>
  <c r="K117"/>
  <c r="K127" s="1"/>
  <c r="K130" s="1"/>
  <c r="K132" s="1"/>
  <c r="K133" s="1"/>
  <c r="K134" s="1"/>
  <c r="K135" s="1"/>
  <c r="K136" s="1"/>
  <c r="K144" s="1"/>
  <c r="L118"/>
  <c r="M155"/>
  <c r="M154" s="1"/>
  <c r="L154"/>
  <c r="M7"/>
  <c r="M6" s="1"/>
  <c r="M16" s="1"/>
  <c r="M19" s="1"/>
  <c r="M21" s="1"/>
  <c r="M22" s="1"/>
  <c r="M23" s="1"/>
  <c r="M24" s="1"/>
  <c r="M25" s="1"/>
  <c r="L6"/>
  <c r="L16" s="1"/>
  <c r="L19" s="1"/>
  <c r="L21" s="1"/>
  <c r="L22" s="1"/>
  <c r="L23" s="1"/>
  <c r="L24" s="1"/>
  <c r="L25" s="1"/>
  <c r="L33" s="1"/>
  <c r="I6" i="19"/>
  <c r="U10"/>
  <c r="U11" s="1"/>
  <c r="U6" s="1"/>
  <c r="J200" i="31"/>
  <c r="J203" s="1"/>
  <c r="J205" s="1"/>
  <c r="J206" s="1"/>
  <c r="J207" s="1"/>
  <c r="J208" s="1"/>
  <c r="J209" s="1"/>
  <c r="J217" s="1"/>
  <c r="P46" i="4" s="1"/>
  <c r="L191" i="31"/>
  <c r="K190"/>
  <c r="J57" i="19" s="1"/>
  <c r="J10"/>
  <c r="L164" i="31"/>
  <c r="L167" s="1"/>
  <c r="L169" s="1"/>
  <c r="L170" s="1"/>
  <c r="L171" s="1"/>
  <c r="L172" s="1"/>
  <c r="L173" s="1"/>
  <c r="L181" s="1"/>
  <c r="N29" i="12"/>
  <c r="N32" s="1"/>
  <c r="N44" s="1"/>
  <c r="N55" s="1"/>
  <c r="M32"/>
  <c r="M44" s="1"/>
  <c r="M55" s="1"/>
  <c r="G8" i="38" l="1"/>
  <c r="G7"/>
  <c r="G6"/>
  <c r="G10"/>
  <c r="G11"/>
  <c r="G9"/>
  <c r="J26" i="4"/>
  <c r="J27" s="1"/>
  <c r="J35" s="1"/>
  <c r="L8"/>
  <c r="L18" s="1"/>
  <c r="L21" s="1"/>
  <c r="L23" s="1"/>
  <c r="L24" s="1"/>
  <c r="L25" s="1"/>
  <c r="L26" s="1"/>
  <c r="L27" s="1"/>
  <c r="L35" s="1"/>
  <c r="M9"/>
  <c r="M8" s="1"/>
  <c r="M18" s="1"/>
  <c r="M21" s="1"/>
  <c r="M23" s="1"/>
  <c r="M24" s="1"/>
  <c r="M25" s="1"/>
  <c r="M26" s="1"/>
  <c r="M27" s="1"/>
  <c r="D54"/>
  <c r="J6" i="19"/>
  <c r="V10"/>
  <c r="V11" s="1"/>
  <c r="V6" s="1"/>
  <c r="L190" i="31"/>
  <c r="K57" i="19" s="1"/>
  <c r="M191" i="31"/>
  <c r="M190" s="1"/>
  <c r="K10" i="19"/>
  <c r="K200" i="31"/>
  <c r="K203" s="1"/>
  <c r="K205" s="1"/>
  <c r="M164"/>
  <c r="M167" s="1"/>
  <c r="M169" s="1"/>
  <c r="M170" s="1"/>
  <c r="M171" s="1"/>
  <c r="M172" s="1"/>
  <c r="M173" s="1"/>
  <c r="M90"/>
  <c r="M93" s="1"/>
  <c r="M95" s="1"/>
  <c r="M96" s="1"/>
  <c r="M97" s="1"/>
  <c r="M98" s="1"/>
  <c r="M99" s="1"/>
  <c r="L117"/>
  <c r="L127" s="1"/>
  <c r="L130" s="1"/>
  <c r="L132" s="1"/>
  <c r="L133" s="1"/>
  <c r="L134" s="1"/>
  <c r="L135" s="1"/>
  <c r="L136" s="1"/>
  <c r="L144" s="1"/>
  <c r="M118"/>
  <c r="M117" s="1"/>
  <c r="M127" s="1"/>
  <c r="M130" s="1"/>
  <c r="M132" s="1"/>
  <c r="M133" s="1"/>
  <c r="M134" s="1"/>
  <c r="M135" s="1"/>
  <c r="M136" s="1"/>
  <c r="L10" i="19"/>
  <c r="M200" i="31" l="1"/>
  <c r="M203" s="1"/>
  <c r="M205" s="1"/>
  <c r="M206" s="1"/>
  <c r="M207" s="1"/>
  <c r="M208" s="1"/>
  <c r="M209" s="1"/>
  <c r="L57" i="19"/>
  <c r="K6"/>
  <c r="W10"/>
  <c r="W11" s="1"/>
  <c r="W6" s="1"/>
  <c r="L200" i="31"/>
  <c r="L203" s="1"/>
  <c r="L205" s="1"/>
  <c r="K206"/>
  <c r="K207" s="1"/>
  <c r="K208" s="1"/>
  <c r="K209" s="1"/>
  <c r="K217" s="1"/>
  <c r="L6" i="19"/>
  <c r="X10"/>
  <c r="X11" s="1"/>
  <c r="X6" s="1"/>
  <c r="D55" i="4" l="1"/>
  <c r="Q46"/>
  <c r="L206" i="31"/>
  <c r="L207" s="1"/>
  <c r="L208" s="1"/>
  <c r="L209" s="1"/>
  <c r="L217" s="1"/>
  <c r="D50" i="12"/>
  <c r="C57" l="1"/>
  <c r="C58" s="1"/>
  <c r="D52"/>
  <c r="D56" s="1"/>
  <c r="D57" s="1"/>
  <c r="E50"/>
  <c r="D58" l="1"/>
  <c r="F50"/>
  <c r="E52"/>
  <c r="E56" s="1"/>
  <c r="E57" s="1"/>
  <c r="E58" s="1"/>
  <c r="F52" l="1"/>
  <c r="F56" s="1"/>
  <c r="F57" s="1"/>
  <c r="F58" s="1"/>
  <c r="G50"/>
  <c r="H50" l="1"/>
  <c r="G52"/>
  <c r="G56" s="1"/>
  <c r="G57" s="1"/>
  <c r="G58" s="1"/>
  <c r="H52" l="1"/>
  <c r="H56" s="1"/>
  <c r="H57" s="1"/>
  <c r="H58" s="1"/>
  <c r="I50"/>
  <c r="I52" l="1"/>
  <c r="I56" s="1"/>
  <c r="I57" s="1"/>
  <c r="I58" s="1"/>
  <c r="J50"/>
  <c r="K50" l="1"/>
  <c r="J52"/>
  <c r="J56" s="1"/>
  <c r="J57" s="1"/>
  <c r="J58" s="1"/>
  <c r="L50" l="1"/>
  <c r="K52"/>
  <c r="K56" s="1"/>
  <c r="K57" s="1"/>
  <c r="K58" s="1"/>
  <c r="L52" l="1"/>
  <c r="L56" s="1"/>
  <c r="L57" s="1"/>
  <c r="L58" s="1"/>
  <c r="M50"/>
  <c r="M52" l="1"/>
  <c r="M56" s="1"/>
  <c r="M57" s="1"/>
  <c r="M58" s="1"/>
  <c r="N50"/>
  <c r="N52" s="1"/>
  <c r="N56" s="1"/>
  <c r="N57" s="1"/>
  <c r="N58" l="1"/>
  <c r="C60" s="1"/>
  <c r="C6" s="1"/>
  <c r="C33" i="4" l="1"/>
  <c r="M33" s="1"/>
  <c r="M35" s="1"/>
  <c r="C105" i="31"/>
  <c r="M105" s="1"/>
  <c r="M107" s="1"/>
  <c r="C179"/>
  <c r="M179" s="1"/>
  <c r="M181" s="1"/>
  <c r="C142"/>
  <c r="M142" s="1"/>
  <c r="M144" s="1"/>
  <c r="C31"/>
  <c r="M31" s="1"/>
  <c r="M33" s="1"/>
  <c r="C215"/>
  <c r="M215" s="1"/>
  <c r="M217" s="1"/>
  <c r="C68"/>
  <c r="M68" s="1"/>
  <c r="M70" s="1"/>
  <c r="C20" i="12"/>
  <c r="E10" l="1"/>
  <c r="B26" i="7" s="1"/>
  <c r="R46" i="4"/>
  <c r="D56"/>
  <c r="E5" i="12" l="1"/>
  <c r="C48" i="4" l="1"/>
  <c r="B25" i="7"/>
  <c r="B28" s="1"/>
  <c r="B24" s="1"/>
  <c r="B15" s="1"/>
  <c r="B14" s="1"/>
  <c r="C3" i="11"/>
  <c r="E20" i="12"/>
  <c r="E48" i="4"/>
  <c r="C30" l="1"/>
  <c r="C35" s="1"/>
  <c r="C36"/>
  <c r="D10" i="11"/>
  <c r="G3"/>
  <c r="D11"/>
  <c r="E8" i="38"/>
  <c r="C108" i="31"/>
  <c r="C226" s="1"/>
  <c r="H9" i="11"/>
  <c r="E10" s="1"/>
  <c r="C102" i="31"/>
  <c r="C107" s="1"/>
  <c r="C176"/>
  <c r="C181" s="1"/>
  <c r="C139"/>
  <c r="C144" s="1"/>
  <c r="C28"/>
  <c r="C33" s="1"/>
  <c r="C212"/>
  <c r="C217" s="1"/>
  <c r="C65"/>
  <c r="C70" s="1"/>
  <c r="D13" i="11"/>
  <c r="D12"/>
  <c r="D14"/>
  <c r="I46" i="4"/>
  <c r="I47" s="1"/>
  <c r="I49" s="1"/>
  <c r="O47"/>
  <c r="P47"/>
  <c r="Q47"/>
  <c r="R47"/>
  <c r="D138" i="31" l="1"/>
  <c r="E138" s="1"/>
  <c r="F138" s="1"/>
  <c r="G138" s="1"/>
  <c r="H138" s="1"/>
  <c r="D27"/>
  <c r="D22" i="4"/>
  <c r="D20" i="31"/>
  <c r="D29" i="4"/>
  <c r="E29" s="1"/>
  <c r="F29" s="1"/>
  <c r="G29" s="1"/>
  <c r="H29" s="1"/>
  <c r="D175" i="31"/>
  <c r="E175" s="1"/>
  <c r="F175" s="1"/>
  <c r="G175" s="1"/>
  <c r="H175" s="1"/>
  <c r="E27"/>
  <c r="F27" s="1"/>
  <c r="G27" s="1"/>
  <c r="H27" s="1"/>
  <c r="D64"/>
  <c r="E64" s="1"/>
  <c r="F64" s="1"/>
  <c r="G64" s="1"/>
  <c r="H64" s="1"/>
  <c r="D211"/>
  <c r="E211" s="1"/>
  <c r="F211" s="1"/>
  <c r="G211" s="1"/>
  <c r="H211" s="1"/>
  <c r="D101"/>
  <c r="E101" s="1"/>
  <c r="F101" s="1"/>
  <c r="G101" s="1"/>
  <c r="H101" s="1"/>
  <c r="D15" i="11"/>
  <c r="F10"/>
  <c r="E17" i="38"/>
  <c r="E25" s="1"/>
  <c r="D94" i="31"/>
  <c r="D204"/>
  <c r="D168"/>
  <c r="D131"/>
  <c r="D57"/>
  <c r="D91" l="1"/>
  <c r="D100" s="1"/>
  <c r="D17"/>
  <c r="D19" i="4"/>
  <c r="D165" i="31"/>
  <c r="D174" s="1"/>
  <c r="G10" i="11"/>
  <c r="D54" i="31"/>
  <c r="D56" s="1"/>
  <c r="D58" s="1"/>
  <c r="D59" s="1"/>
  <c r="D60" s="1"/>
  <c r="D61" s="1"/>
  <c r="D62" s="1"/>
  <c r="D201"/>
  <c r="H10" i="11"/>
  <c r="E11" s="1"/>
  <c r="D128" i="31"/>
  <c r="D137" s="1"/>
  <c r="C57" i="19" l="1"/>
  <c r="D93" i="31"/>
  <c r="D95" s="1"/>
  <c r="D96" s="1"/>
  <c r="D97" s="1"/>
  <c r="D63"/>
  <c r="D70" s="1"/>
  <c r="D210"/>
  <c r="D26"/>
  <c r="D19"/>
  <c r="D21" s="1"/>
  <c r="D22" s="1"/>
  <c r="D23" s="1"/>
  <c r="D24" s="1"/>
  <c r="D25" s="1"/>
  <c r="D167"/>
  <c r="D169" s="1"/>
  <c r="D170" s="1"/>
  <c r="D171" s="1"/>
  <c r="E22" i="4"/>
  <c r="D28"/>
  <c r="D21"/>
  <c r="D23" s="1"/>
  <c r="E94" i="31"/>
  <c r="E57"/>
  <c r="D130"/>
  <c r="D132" s="1"/>
  <c r="D133" s="1"/>
  <c r="D134" s="1"/>
  <c r="D135" s="1"/>
  <c r="D136" s="1"/>
  <c r="D144" s="1"/>
  <c r="D203"/>
  <c r="D205" s="1"/>
  <c r="D206" s="1"/>
  <c r="D207" s="1"/>
  <c r="D208" s="1"/>
  <c r="D209" s="1"/>
  <c r="C8" i="19"/>
  <c r="C6" s="1"/>
  <c r="E20" i="31"/>
  <c r="E168"/>
  <c r="F11" i="11"/>
  <c r="E204" i="31"/>
  <c r="E131"/>
  <c r="D172"/>
  <c r="D173" s="1"/>
  <c r="D181" s="1"/>
  <c r="D98"/>
  <c r="D99" s="1"/>
  <c r="D107" s="1"/>
  <c r="D33" l="1"/>
  <c r="D217"/>
  <c r="E19" i="4"/>
  <c r="D24"/>
  <c r="D25" s="1"/>
  <c r="D26" s="1"/>
  <c r="D27" s="1"/>
  <c r="D35" s="1"/>
  <c r="O8" i="19"/>
  <c r="O6" s="1"/>
  <c r="C21"/>
  <c r="C14" s="1"/>
  <c r="C25"/>
  <c r="H11" i="11"/>
  <c r="E12" s="1"/>
  <c r="E201" i="31"/>
  <c r="E128"/>
  <c r="E130" s="1"/>
  <c r="E132" s="1"/>
  <c r="E133" s="1"/>
  <c r="E134" s="1"/>
  <c r="E135" s="1"/>
  <c r="E136" s="1"/>
  <c r="G11" i="11"/>
  <c r="E17" i="31"/>
  <c r="E19" s="1"/>
  <c r="E21" s="1"/>
  <c r="E22" s="1"/>
  <c r="E23" s="1"/>
  <c r="E24" s="1"/>
  <c r="E25" s="1"/>
  <c r="E54"/>
  <c r="E63" s="1"/>
  <c r="E165"/>
  <c r="E167" s="1"/>
  <c r="E169" s="1"/>
  <c r="E170" s="1"/>
  <c r="E171" s="1"/>
  <c r="E172" s="1"/>
  <c r="E173" s="1"/>
  <c r="E91"/>
  <c r="E100" s="1"/>
  <c r="E210" l="1"/>
  <c r="D57" i="19"/>
  <c r="E174" i="31"/>
  <c r="F22" i="4"/>
  <c r="E28"/>
  <c r="E21"/>
  <c r="E23" s="1"/>
  <c r="E24" s="1"/>
  <c r="E25" s="1"/>
  <c r="E137" i="31"/>
  <c r="E144" s="1"/>
  <c r="E93"/>
  <c r="E95" s="1"/>
  <c r="E96" s="1"/>
  <c r="E97" s="1"/>
  <c r="E98" s="1"/>
  <c r="E99" s="1"/>
  <c r="E107" s="1"/>
  <c r="E26"/>
  <c r="E33" s="1"/>
  <c r="D8" i="19"/>
  <c r="P8" s="1"/>
  <c r="P6" s="1"/>
  <c r="E203" i="31"/>
  <c r="E205" s="1"/>
  <c r="E206" s="1"/>
  <c r="E207" s="1"/>
  <c r="E208" s="1"/>
  <c r="E209" s="1"/>
  <c r="E217" s="1"/>
  <c r="E181"/>
  <c r="E56"/>
  <c r="E58" s="1"/>
  <c r="E59" s="1"/>
  <c r="E60" s="1"/>
  <c r="E61" s="1"/>
  <c r="E62" s="1"/>
  <c r="E70" s="1"/>
  <c r="F94"/>
  <c r="F204"/>
  <c r="F20"/>
  <c r="F168"/>
  <c r="F131"/>
  <c r="F57"/>
  <c r="D6" i="19"/>
  <c r="F12" i="11"/>
  <c r="F19" i="4" l="1"/>
  <c r="E26"/>
  <c r="E27" s="1"/>
  <c r="E35" s="1"/>
  <c r="K46"/>
  <c r="K47" s="1"/>
  <c r="F91" i="31"/>
  <c r="F201"/>
  <c r="F17"/>
  <c r="F165"/>
  <c r="F128"/>
  <c r="F54"/>
  <c r="H12" i="11"/>
  <c r="G12"/>
  <c r="E57" i="19" l="1"/>
  <c r="F28" i="4"/>
  <c r="F21"/>
  <c r="F23" s="1"/>
  <c r="F137" i="31"/>
  <c r="F130"/>
  <c r="F132" s="1"/>
  <c r="F133" s="1"/>
  <c r="F134" s="1"/>
  <c r="F135" s="1"/>
  <c r="F136" s="1"/>
  <c r="F26"/>
  <c r="F19"/>
  <c r="F21" s="1"/>
  <c r="F22" s="1"/>
  <c r="F23" s="1"/>
  <c r="F24" s="1"/>
  <c r="F25" s="1"/>
  <c r="F63"/>
  <c r="F56"/>
  <c r="F58" s="1"/>
  <c r="F59" s="1"/>
  <c r="F60" s="1"/>
  <c r="F61" s="1"/>
  <c r="F62" s="1"/>
  <c r="F174"/>
  <c r="F167"/>
  <c r="F169" s="1"/>
  <c r="F210"/>
  <c r="F203"/>
  <c r="F205" s="1"/>
  <c r="F206" s="1"/>
  <c r="F207" s="1"/>
  <c r="F208" s="1"/>
  <c r="F209" s="1"/>
  <c r="F217" s="1"/>
  <c r="F100"/>
  <c r="F93"/>
  <c r="F95" s="1"/>
  <c r="F96" s="1"/>
  <c r="F97" s="1"/>
  <c r="E8" i="19"/>
  <c r="E13" i="11"/>
  <c r="D49" i="4"/>
  <c r="G22" l="1"/>
  <c r="F24"/>
  <c r="F25" s="1"/>
  <c r="F26" s="1"/>
  <c r="F27" s="1"/>
  <c r="F35" s="1"/>
  <c r="F70" i="31"/>
  <c r="F33"/>
  <c r="F144"/>
  <c r="G94"/>
  <c r="G168"/>
  <c r="G131"/>
  <c r="G57"/>
  <c r="G204"/>
  <c r="G20"/>
  <c r="F170"/>
  <c r="F171" s="1"/>
  <c r="F172" s="1"/>
  <c r="F173" s="1"/>
  <c r="F181" s="1"/>
  <c r="F98"/>
  <c r="F99" s="1"/>
  <c r="F107" s="1"/>
  <c r="E6" i="19"/>
  <c r="Q8"/>
  <c r="Q6" s="1"/>
  <c r="F13" i="11"/>
  <c r="G19" i="4" l="1"/>
  <c r="G91" i="31"/>
  <c r="G165"/>
  <c r="G128"/>
  <c r="G54"/>
  <c r="G201"/>
  <c r="G17"/>
  <c r="J46" i="4"/>
  <c r="J47" s="1"/>
  <c r="J49" s="1"/>
  <c r="K49" s="1"/>
  <c r="D48"/>
  <c r="F48" s="1"/>
  <c r="H13" i="11"/>
  <c r="G13"/>
  <c r="F57" i="19" l="1"/>
  <c r="G28" i="4"/>
  <c r="G21"/>
  <c r="G23" s="1"/>
  <c r="G24" s="1"/>
  <c r="G25" s="1"/>
  <c r="G26" s="1"/>
  <c r="G27" s="1"/>
  <c r="G26" i="31"/>
  <c r="G19"/>
  <c r="G21" s="1"/>
  <c r="G22" s="1"/>
  <c r="G23" s="1"/>
  <c r="G24" s="1"/>
  <c r="G25" s="1"/>
  <c r="G63"/>
  <c r="G56"/>
  <c r="G58" s="1"/>
  <c r="G59" s="1"/>
  <c r="G60" s="1"/>
  <c r="G61" s="1"/>
  <c r="G62" s="1"/>
  <c r="G174"/>
  <c r="G167"/>
  <c r="G169" s="1"/>
  <c r="G170" s="1"/>
  <c r="G171" s="1"/>
  <c r="G172" s="1"/>
  <c r="G173" s="1"/>
  <c r="G100"/>
  <c r="G93"/>
  <c r="G95" s="1"/>
  <c r="G96" s="1"/>
  <c r="G97" s="1"/>
  <c r="G210"/>
  <c r="G203"/>
  <c r="G205" s="1"/>
  <c r="G206" s="1"/>
  <c r="G207" s="1"/>
  <c r="G137"/>
  <c r="G130"/>
  <c r="G132" s="1"/>
  <c r="G133" s="1"/>
  <c r="G134" s="1"/>
  <c r="G135" s="1"/>
  <c r="G136" s="1"/>
  <c r="F8" i="19"/>
  <c r="C49" i="4"/>
  <c r="L46"/>
  <c r="L47" s="1"/>
  <c r="L49" s="1"/>
  <c r="D50"/>
  <c r="E14" i="11"/>
  <c r="H22" i="4" l="1"/>
  <c r="G35"/>
  <c r="G181" i="31"/>
  <c r="G70"/>
  <c r="G33"/>
  <c r="G98"/>
  <c r="G99" s="1"/>
  <c r="G107" s="1"/>
  <c r="H94"/>
  <c r="H204"/>
  <c r="H20"/>
  <c r="H168"/>
  <c r="H131"/>
  <c r="H57"/>
  <c r="G208"/>
  <c r="G209" s="1"/>
  <c r="G217" s="1"/>
  <c r="G144"/>
  <c r="F6" i="19"/>
  <c r="R8"/>
  <c r="R6" s="1"/>
  <c r="E49" i="4"/>
  <c r="F49" s="1"/>
  <c r="F14" i="11"/>
  <c r="E15"/>
  <c r="H19" i="4" l="1"/>
  <c r="H91" i="31"/>
  <c r="H201"/>
  <c r="H17"/>
  <c r="H165"/>
  <c r="H128"/>
  <c r="H54"/>
  <c r="C50" i="4"/>
  <c r="E50" s="1"/>
  <c r="F50" s="1"/>
  <c r="F15" i="11"/>
  <c r="H14"/>
  <c r="G14"/>
  <c r="G57" i="19" l="1"/>
  <c r="H28" i="4"/>
  <c r="H21"/>
  <c r="H23" s="1"/>
  <c r="H24" s="1"/>
  <c r="H25" s="1"/>
  <c r="H26" s="1"/>
  <c r="H27" s="1"/>
  <c r="H63" i="31"/>
  <c r="H56"/>
  <c r="H58" s="1"/>
  <c r="H59" s="1"/>
  <c r="H60" s="1"/>
  <c r="H61" s="1"/>
  <c r="H62" s="1"/>
  <c r="H174"/>
  <c r="H167"/>
  <c r="H169" s="1"/>
  <c r="H170" s="1"/>
  <c r="H171" s="1"/>
  <c r="H172" s="1"/>
  <c r="H173" s="1"/>
  <c r="H210"/>
  <c r="H203"/>
  <c r="H205" s="1"/>
  <c r="H206" s="1"/>
  <c r="H207" s="1"/>
  <c r="H100"/>
  <c r="H93"/>
  <c r="H95" s="1"/>
  <c r="H96" s="1"/>
  <c r="H97" s="1"/>
  <c r="H137"/>
  <c r="H130"/>
  <c r="H132" s="1"/>
  <c r="H133" s="1"/>
  <c r="H134" s="1"/>
  <c r="H135" s="1"/>
  <c r="H136" s="1"/>
  <c r="H26"/>
  <c r="H19"/>
  <c r="H21" s="1"/>
  <c r="H22" s="1"/>
  <c r="H23" s="1"/>
  <c r="H24" s="1"/>
  <c r="H25" s="1"/>
  <c r="G8" i="19"/>
  <c r="C51" i="4"/>
  <c r="E51" s="1"/>
  <c r="D51"/>
  <c r="H35" l="1"/>
  <c r="H33" i="31"/>
  <c r="H144"/>
  <c r="C147" s="1"/>
  <c r="B227" s="1"/>
  <c r="H181"/>
  <c r="H70"/>
  <c r="C72" s="1"/>
  <c r="C146"/>
  <c r="C73"/>
  <c r="B225" s="1"/>
  <c r="H98"/>
  <c r="H99" s="1"/>
  <c r="H107" s="1"/>
  <c r="C109" s="1"/>
  <c r="H208"/>
  <c r="H209" s="1"/>
  <c r="H217" s="1"/>
  <c r="G6" i="19"/>
  <c r="S8"/>
  <c r="S6" s="1"/>
  <c r="F51" i="4"/>
  <c r="M46"/>
  <c r="M47" s="1"/>
  <c r="C183" i="31" l="1"/>
  <c r="C184"/>
  <c r="B228" s="1"/>
  <c r="C36"/>
  <c r="B224" s="1"/>
  <c r="C35"/>
  <c r="C52" i="4"/>
  <c r="E52" s="1"/>
  <c r="C37"/>
  <c r="C38"/>
  <c r="C220" i="31"/>
  <c r="B229" s="1"/>
  <c r="C219"/>
  <c r="C110"/>
  <c r="M49" i="4"/>
  <c r="B226" i="31" l="1"/>
  <c r="F8" i="38"/>
  <c r="F17" s="1"/>
  <c r="F25" s="1"/>
  <c r="D52" i="4"/>
  <c r="F52" s="1"/>
  <c r="N46"/>
  <c r="N47" s="1"/>
  <c r="N49" s="1"/>
  <c r="O49" s="1"/>
  <c r="P49" s="1"/>
  <c r="Q49" s="1"/>
  <c r="R49" s="1"/>
  <c r="C53" l="1"/>
  <c r="E53" s="1"/>
  <c r="F53" s="1"/>
  <c r="C54" l="1"/>
  <c r="E54" s="1"/>
  <c r="F54" s="1"/>
  <c r="C55" l="1"/>
  <c r="E55" s="1"/>
  <c r="F55" s="1"/>
  <c r="C56" l="1"/>
  <c r="E56" s="1"/>
  <c r="F56" s="1"/>
  <c r="S46"/>
  <c r="S47" s="1"/>
  <c r="S49" s="1"/>
  <c r="D57"/>
  <c r="C57" l="1"/>
  <c r="E57" s="1"/>
  <c r="F57" s="1"/>
</calcChain>
</file>

<file path=xl/sharedStrings.xml><?xml version="1.0" encoding="utf-8"?>
<sst xmlns="http://schemas.openxmlformats.org/spreadsheetml/2006/main" count="1158" uniqueCount="567">
  <si>
    <t>Especificaciones</t>
  </si>
  <si>
    <t>Cantidad</t>
  </si>
  <si>
    <t>Costo Total</t>
  </si>
  <si>
    <t xml:space="preserve">Maquinaria </t>
  </si>
  <si>
    <t>COSTO TOTAL</t>
  </si>
  <si>
    <t>HERRAMIENTAS</t>
  </si>
  <si>
    <t>ESPECIFICACIONES</t>
  </si>
  <si>
    <t>CANTIDAD</t>
  </si>
  <si>
    <t>COSTO UNITARIO</t>
  </si>
  <si>
    <t>Mandiles</t>
  </si>
  <si>
    <t>Gorros para cubrir el cabello</t>
  </si>
  <si>
    <t>Botas</t>
  </si>
  <si>
    <t>Respirador</t>
  </si>
  <si>
    <t>Guantes</t>
  </si>
  <si>
    <t>Suministros médicos</t>
  </si>
  <si>
    <t>Cuerosil</t>
  </si>
  <si>
    <t>Plásticas caña alta</t>
  </si>
  <si>
    <t>815 OGA, un filtro</t>
  </si>
  <si>
    <t>Plásticos uso múltiple</t>
  </si>
  <si>
    <t>Generales</t>
  </si>
  <si>
    <t>MUEBLES Y ENSERES</t>
  </si>
  <si>
    <t>MAQUINARIAS</t>
  </si>
  <si>
    <t>Sillas amuebladas</t>
  </si>
  <si>
    <t>TOTAL</t>
  </si>
  <si>
    <t>EQUIPOS DE OFICINA</t>
  </si>
  <si>
    <t>SISTEMAS DE ALARMA (CÁMARAS Y ALARMAS)</t>
  </si>
  <si>
    <t>Computadoras</t>
  </si>
  <si>
    <t>Pantalla plana, LG</t>
  </si>
  <si>
    <t>Escritorios Ejecutivos</t>
  </si>
  <si>
    <t>Teléfonos inhalámbricos</t>
  </si>
  <si>
    <t>Panasonic</t>
  </si>
  <si>
    <t>ALQUILER</t>
  </si>
  <si>
    <t>SUMINISTROS DE OFICINA</t>
  </si>
  <si>
    <t>Artesco</t>
  </si>
  <si>
    <t>Total</t>
  </si>
  <si>
    <t>SERVICIOS BÁSICOS</t>
  </si>
  <si>
    <t>Energía Eléctrica</t>
  </si>
  <si>
    <t>Agua</t>
  </si>
  <si>
    <t>Teléfono</t>
  </si>
  <si>
    <t xml:space="preserve">Internet </t>
  </si>
  <si>
    <t>Interagua</t>
  </si>
  <si>
    <t>Eléctrica de Guayaquil</t>
  </si>
  <si>
    <t>(B) PYMES Plan Comercial Básico</t>
  </si>
  <si>
    <t>TELMEX</t>
  </si>
  <si>
    <t>Abogado</t>
  </si>
  <si>
    <t>Notario</t>
  </si>
  <si>
    <t>Afiliación a la Cámara</t>
  </si>
  <si>
    <t xml:space="preserve"> de pequeñas industrias</t>
  </si>
  <si>
    <t xml:space="preserve">CONSTITUCIÓN E INSTALACIÓN </t>
  </si>
  <si>
    <t>DE LA EMPRESA</t>
  </si>
  <si>
    <t xml:space="preserve">Publicación del Extracto de </t>
  </si>
  <si>
    <t>de la cnstitución</t>
  </si>
  <si>
    <t>Inscripción de la compañía</t>
  </si>
  <si>
    <t>en el registro civil</t>
  </si>
  <si>
    <t xml:space="preserve">Inscripción de nombramiento </t>
  </si>
  <si>
    <t>en el registro mercantil</t>
  </si>
  <si>
    <t>PERMISOS Y PATENTES</t>
  </si>
  <si>
    <t>DESCRIPCIÓN</t>
  </si>
  <si>
    <t>VALOR</t>
  </si>
  <si>
    <t>Sillas de Oficina(Giratorias)</t>
  </si>
  <si>
    <t>Registro de negocio en el SRI</t>
  </si>
  <si>
    <t>Formilario y tasas de habilitación</t>
  </si>
  <si>
    <t xml:space="preserve">Copia de Cédula </t>
  </si>
  <si>
    <t>Copia de RUC</t>
  </si>
  <si>
    <t>Copia de la patente del año a tramitar</t>
  </si>
  <si>
    <t>Certificado de los Bomberos</t>
  </si>
  <si>
    <t xml:space="preserve">Copia de los predios urbanos o código </t>
  </si>
  <si>
    <t>de predios del local</t>
  </si>
  <si>
    <t>Croquis del lugar</t>
  </si>
  <si>
    <t xml:space="preserve">Copia del nombramiento del Gerente </t>
  </si>
  <si>
    <t>de la compañía</t>
  </si>
  <si>
    <t>Registro de la patente municipal</t>
  </si>
  <si>
    <t>Pago de la tasa de habilitación del</t>
  </si>
  <si>
    <t>establecimiento</t>
  </si>
  <si>
    <t>Permiso del Ministerio de Salud</t>
  </si>
  <si>
    <t>Pública</t>
  </si>
  <si>
    <t>Certificado de salud de los empleados</t>
  </si>
  <si>
    <t>Pago al ministerio de Gobierno y policía</t>
  </si>
  <si>
    <t>Y MEJORAS DEL LOCAL A ARRENDADAR</t>
  </si>
  <si>
    <t>Líneas telefónicas</t>
  </si>
  <si>
    <t>Instalaciones sanitarias</t>
  </si>
  <si>
    <t>Instalaciones eléctricas</t>
  </si>
  <si>
    <t>Impresora</t>
  </si>
  <si>
    <t xml:space="preserve">Matricial EPSON FX 890 </t>
  </si>
  <si>
    <t xml:space="preserve">Impresora </t>
  </si>
  <si>
    <t>Laser HP</t>
  </si>
  <si>
    <t>SISTEMAS Y LICENCIAS</t>
  </si>
  <si>
    <t>Licencias y programas</t>
  </si>
  <si>
    <t>Acondicionador</t>
  </si>
  <si>
    <t>Panasonic 24000 BTU</t>
  </si>
  <si>
    <t>Acero inoxidable</t>
  </si>
  <si>
    <t>Unidad</t>
  </si>
  <si>
    <t>PERSONAL</t>
  </si>
  <si>
    <t>SUELDO MENSUAL</t>
  </si>
  <si>
    <t>SUELDO ANUAL</t>
  </si>
  <si>
    <t>JEFE MARKETING Y VENTAS</t>
  </si>
  <si>
    <t>OBREROS</t>
  </si>
  <si>
    <t>GUARDIANES</t>
  </si>
  <si>
    <t>ACTIVIDADES VARIAS</t>
  </si>
  <si>
    <t>TOTAL SUELDOS</t>
  </si>
  <si>
    <t>FLUJO DE CAJA</t>
  </si>
  <si>
    <t>Lavadora de inmersión</t>
  </si>
  <si>
    <t>Mesa de rodillos</t>
  </si>
  <si>
    <t>Lavadora de cepillos</t>
  </si>
  <si>
    <t>Elevador de cangilones(tornillo escaldador)</t>
  </si>
  <si>
    <t xml:space="preserve">Picadora </t>
  </si>
  <si>
    <t>Despulpadora</t>
  </si>
  <si>
    <t>Refinadora</t>
  </si>
  <si>
    <t>Tanque de balance y accesorios</t>
  </si>
  <si>
    <t>Estructura área de despulpe</t>
  </si>
  <si>
    <t>Marmita a gas o vapor cap 200 kls</t>
  </si>
  <si>
    <t>Instalado y garantia congelación a -20ºC</t>
  </si>
  <si>
    <t>Calderin para marmita e instalaciones</t>
  </si>
  <si>
    <t>accesorios de laboratorio analisis físico químicos</t>
  </si>
  <si>
    <t>Bomba positiva  de segunda</t>
  </si>
  <si>
    <t>Estructura en hierro UPS80</t>
  </si>
  <si>
    <t>Tanque y sistema de selladora .  Bascula</t>
  </si>
  <si>
    <t xml:space="preserve">INSTALACIONES ADECUACIONES,ACCESORIOS </t>
  </si>
  <si>
    <t>PARA LA PLANTA PROCESADORA</t>
  </si>
  <si>
    <t>Filtradora de agua</t>
  </si>
  <si>
    <t>Precio voltio</t>
  </si>
  <si>
    <t>Voltios adicionales</t>
  </si>
  <si>
    <t>de la empresa</t>
  </si>
  <si>
    <t>CALCULO DE CONSUMO DE ENERGIA ELÉCTRICA</t>
  </si>
  <si>
    <t>Impresoras</t>
  </si>
  <si>
    <t>Teléfonos inhambricos</t>
  </si>
  <si>
    <t>Aire Acondicionado</t>
  </si>
  <si>
    <t>Focos Ahorradores, lámparas</t>
  </si>
  <si>
    <t>Consumo vario de energia</t>
  </si>
  <si>
    <t>Total voltio</t>
  </si>
  <si>
    <t>Tarifa básica del Sector Productivo</t>
  </si>
  <si>
    <t>Total a Pagar por consumo de electricidad</t>
  </si>
  <si>
    <t>COSTOS DIRECTOS</t>
  </si>
  <si>
    <t>Granadilla</t>
  </si>
  <si>
    <t>Precio Unitario</t>
  </si>
  <si>
    <t>DETALLE DE COSTOS DIRECTOS</t>
  </si>
  <si>
    <t>PESO(GRAMOS)</t>
  </si>
  <si>
    <t>110-125</t>
  </si>
  <si>
    <t>Pulpa-granadilla</t>
  </si>
  <si>
    <t>Precio total</t>
  </si>
  <si>
    <t>COSTOS INDIRECTOS</t>
  </si>
  <si>
    <t xml:space="preserve">Etiqueta </t>
  </si>
  <si>
    <t>Tapas</t>
  </si>
  <si>
    <t>DETALLE COSTOS INDIRECTOS</t>
  </si>
  <si>
    <t>Detalle</t>
  </si>
  <si>
    <t>Etiquetas</t>
  </si>
  <si>
    <t>Unidades</t>
  </si>
  <si>
    <t>Banda de seguridad</t>
  </si>
  <si>
    <t>Envase de vidrio para 6 oz</t>
  </si>
  <si>
    <t>Envase de 6 oz</t>
  </si>
  <si>
    <t>DEPRECIACIÓN DE ACTIVOS</t>
  </si>
  <si>
    <t>ACTIVO</t>
  </si>
  <si>
    <t xml:space="preserve">VALOR DE COMPRA </t>
  </si>
  <si>
    <t>VIDA ÚTIL</t>
  </si>
  <si>
    <t>DEPRECIACIÓN ANUAL</t>
  </si>
  <si>
    <t>AÑOS DEPRECIADOS</t>
  </si>
  <si>
    <t>DEPRECIACIÓN</t>
  </si>
  <si>
    <t>VALOR EN LIBROS</t>
  </si>
  <si>
    <t>VEHÍCULOS</t>
  </si>
  <si>
    <t>MUEBLES DE OFICINA</t>
  </si>
  <si>
    <t>DEPRECIACIÓN ANUAL DE LOS ACTIVOS</t>
  </si>
  <si>
    <t>Valor desecho</t>
  </si>
  <si>
    <t>COMPUTADORAS E IMPRESORAS</t>
  </si>
  <si>
    <t>Depreciación</t>
  </si>
  <si>
    <t>B=</t>
  </si>
  <si>
    <t>Km=</t>
  </si>
  <si>
    <t>Kt=</t>
  </si>
  <si>
    <t>Kp=</t>
  </si>
  <si>
    <t>Vehículo</t>
  </si>
  <si>
    <t>DETALLE</t>
  </si>
  <si>
    <t>UNIDAD</t>
  </si>
  <si>
    <t>PRECIO UNITARIO</t>
  </si>
  <si>
    <t>PRECIO TOTAL</t>
  </si>
  <si>
    <t>COSTO MATERIA PRIMA ANUAL</t>
  </si>
  <si>
    <t>GASTOS DE PUBLICIDAD</t>
  </si>
  <si>
    <t>Publicidad</t>
  </si>
  <si>
    <t>Flujo de Caja</t>
  </si>
  <si>
    <t>VAN</t>
  </si>
  <si>
    <t>TIR</t>
  </si>
  <si>
    <t>-</t>
  </si>
  <si>
    <t>PRECIO X CAJA</t>
  </si>
  <si>
    <t>PRECIO X UNIDAD</t>
  </si>
  <si>
    <t>Granadilla Gruesa</t>
  </si>
  <si>
    <t>CANTIDAD de CAJAS</t>
  </si>
  <si>
    <t>UNIDADES en c/CAJA</t>
  </si>
  <si>
    <t>=</t>
  </si>
  <si>
    <t>OFERTA1</t>
  </si>
  <si>
    <t>OFERTA2</t>
  </si>
  <si>
    <t>Granadilla Pareja(pequeña)</t>
  </si>
  <si>
    <t>COSTO GRANADILLA SEGÚN EL TAMAÑO</t>
  </si>
  <si>
    <t>COSTO DEL AGUA</t>
  </si>
  <si>
    <t>PRECIO EN ML.</t>
  </si>
  <si>
    <t xml:space="preserve">(30) Gramos </t>
  </si>
  <si>
    <t>(30)Militros</t>
  </si>
  <si>
    <t>(1)Onza</t>
  </si>
  <si>
    <t>CONVERSIÓN:</t>
  </si>
  <si>
    <t>Harina de cebada</t>
  </si>
  <si>
    <t>COSTO HARINA DE CEBADA</t>
  </si>
  <si>
    <t>CANTIDAD EN QUINTALES</t>
  </si>
  <si>
    <t>PRECIO EN qq.</t>
  </si>
  <si>
    <t>CANTIDAD NECESARIA EN ml.</t>
  </si>
  <si>
    <t>CANTIDAD NECESARIA EN ML.</t>
  </si>
  <si>
    <t>Total (PXQ) Cont.15 ML.</t>
  </si>
  <si>
    <t>ML.</t>
  </si>
  <si>
    <t>COSTO BENZOATO DE SODIO</t>
  </si>
  <si>
    <t>COSTO AMARILLO HUEVO</t>
  </si>
  <si>
    <t>PRECIO X M3</t>
  </si>
  <si>
    <t>Precio en litros (1)</t>
  </si>
  <si>
    <t>BENZOATO DE SODIO</t>
  </si>
  <si>
    <t>CANTIDAD EN LIBRAS</t>
  </si>
  <si>
    <t>PRECIO EN LIBRAS(1)</t>
  </si>
  <si>
    <t>(480)ML.</t>
  </si>
  <si>
    <t>AMARILLO HUEVO</t>
  </si>
  <si>
    <t>PRECIO EN MILITROS(1)</t>
  </si>
  <si>
    <t>PxQ(Cont.0.09ML.)</t>
  </si>
  <si>
    <t>PxQ(Cont. 0.09ML.)</t>
  </si>
  <si>
    <t>PRECIO EN MILITROS (1)</t>
  </si>
  <si>
    <t>TOTAL COSTO DIRECTO</t>
  </si>
  <si>
    <t>TOTAL COSTOS INDIRECTOS</t>
  </si>
  <si>
    <t>PVP</t>
  </si>
  <si>
    <t>Margen de Ganacia(%)</t>
  </si>
  <si>
    <t>Margen de Ganancia($)</t>
  </si>
  <si>
    <t>Valor de Salvamento</t>
  </si>
  <si>
    <t>Capital de Trabajo</t>
  </si>
  <si>
    <t>Año 0</t>
  </si>
  <si>
    <t>MENSUAL</t>
  </si>
  <si>
    <t>ANUAL</t>
  </si>
  <si>
    <t>Sistemas y Licencias</t>
  </si>
  <si>
    <t>Constitución e Instalación</t>
  </si>
  <si>
    <t>Permisos y Patentes</t>
  </si>
  <si>
    <t>Instalaciones y Mejoras</t>
  </si>
  <si>
    <t>MANO DE OBRA DIRECTA</t>
  </si>
  <si>
    <t>MANO DE OBRA INDIRECTA</t>
  </si>
  <si>
    <t>TOTAL M.O.D</t>
  </si>
  <si>
    <t>TOTAL M.O.I.</t>
  </si>
  <si>
    <t>Prestamo</t>
  </si>
  <si>
    <t>CUOTA ANUAL</t>
  </si>
  <si>
    <t>Plazo</t>
  </si>
  <si>
    <t>Tasa de interes anual</t>
  </si>
  <si>
    <t>PERIODO</t>
  </si>
  <si>
    <t>INTERÉS</t>
  </si>
  <si>
    <t>SALDO DE CAPITAL VIVO</t>
  </si>
  <si>
    <t>Año 1</t>
  </si>
  <si>
    <t>Año 3</t>
  </si>
  <si>
    <t>Año 4</t>
  </si>
  <si>
    <t>Año 5</t>
  </si>
  <si>
    <t>Costos de Venta</t>
  </si>
  <si>
    <t>Gasto Administrativo</t>
  </si>
  <si>
    <t>Gasto de Venta y Publicidad</t>
  </si>
  <si>
    <t>Amortización Intangible</t>
  </si>
  <si>
    <t>Utilidad antes de Impuesto</t>
  </si>
  <si>
    <t>25% Impuesto a la Renta</t>
  </si>
  <si>
    <t>15% Participación de Trabajadores</t>
  </si>
  <si>
    <t>Utilidad Neta</t>
  </si>
  <si>
    <t>Depreciación y Amortización Intangible</t>
  </si>
  <si>
    <t>Pago de Capital</t>
  </si>
  <si>
    <t>Inversión Inicial</t>
  </si>
  <si>
    <t>Flujo neto del accionistas</t>
  </si>
  <si>
    <t>TMAR (CAPM)</t>
  </si>
  <si>
    <t>Gastos de servicio básicos</t>
  </si>
  <si>
    <t>INGRESOS</t>
  </si>
  <si>
    <t>EGRESOS</t>
  </si>
  <si>
    <t>Año 6</t>
  </si>
  <si>
    <t>Año 7</t>
  </si>
  <si>
    <t>Año 8</t>
  </si>
  <si>
    <t>Año 9</t>
  </si>
  <si>
    <t>Año 10</t>
  </si>
  <si>
    <t>FLUJO OPERACIONAL</t>
  </si>
  <si>
    <t>FLUJO NO OPERACIONAL</t>
  </si>
  <si>
    <t xml:space="preserve">CAMION HINO DUTRO </t>
  </si>
  <si>
    <t>CON THERMOKIN AÑO 2005</t>
  </si>
  <si>
    <t>Segurity</t>
  </si>
  <si>
    <t>Especialista en mantenimiento</t>
  </si>
  <si>
    <t>CONTRATOxAÑO</t>
  </si>
  <si>
    <t>CHOFER</t>
  </si>
  <si>
    <t>COMBUSTIBLE</t>
  </si>
  <si>
    <t>Gasolina</t>
  </si>
  <si>
    <t>PASIVO</t>
  </si>
  <si>
    <t>DISPONIBLE</t>
  </si>
  <si>
    <t>Préstamo</t>
  </si>
  <si>
    <t>FIJOS</t>
  </si>
  <si>
    <t>PATRIMONIO</t>
  </si>
  <si>
    <t>Equipos de oficina</t>
  </si>
  <si>
    <t>Capital Propio</t>
  </si>
  <si>
    <t>Materiales de Oficina</t>
  </si>
  <si>
    <t>vehiculos</t>
  </si>
  <si>
    <t>Edificaciones</t>
  </si>
  <si>
    <t>Utensilio e Implementos</t>
  </si>
  <si>
    <t>DIFERIDOS</t>
  </si>
  <si>
    <t>Gastos de Constitucion</t>
  </si>
  <si>
    <t>Gastos Pre-operaciones</t>
  </si>
  <si>
    <t>Total Inversion</t>
  </si>
  <si>
    <t>Inversion Inicial</t>
  </si>
  <si>
    <t>ESTADO DE SITUACIÓN INICIAL</t>
  </si>
  <si>
    <t>Equipos(Maquinarias)</t>
  </si>
  <si>
    <t>ENERO</t>
  </si>
  <si>
    <t>FEBRERO</t>
  </si>
  <si>
    <t>MARZO</t>
  </si>
  <si>
    <t>ABRIL</t>
  </si>
  <si>
    <t>MAYO</t>
  </si>
  <si>
    <t>JUNIO</t>
  </si>
  <si>
    <t>JULIO</t>
  </si>
  <si>
    <t>AGOSTO</t>
  </si>
  <si>
    <t>SEPTIEMBRE</t>
  </si>
  <si>
    <t>OCTUBRE</t>
  </si>
  <si>
    <t>NOVIEMBRE</t>
  </si>
  <si>
    <t>DICIEMBRE</t>
  </si>
  <si>
    <t>INGRESO POR VENTAS (MENSUAL)</t>
  </si>
  <si>
    <t>Método del Déficit Acumulado Máximo</t>
  </si>
  <si>
    <t>MES 1</t>
  </si>
  <si>
    <t>MES 2</t>
  </si>
  <si>
    <t>MES 3</t>
  </si>
  <si>
    <t>MES 4</t>
  </si>
  <si>
    <t>MES 5</t>
  </si>
  <si>
    <t>MES 6</t>
  </si>
  <si>
    <t>MES 7</t>
  </si>
  <si>
    <t>MES 8</t>
  </si>
  <si>
    <t>MES 9</t>
  </si>
  <si>
    <t>MES 10</t>
  </si>
  <si>
    <t>MES 11</t>
  </si>
  <si>
    <t>MES 12</t>
  </si>
  <si>
    <t>INGRESO</t>
  </si>
  <si>
    <t>Mano de Obra Directa</t>
  </si>
  <si>
    <t>Mano de Obra Indirecta</t>
  </si>
  <si>
    <t>Material Directo</t>
  </si>
  <si>
    <t xml:space="preserve">Material Indirecto </t>
  </si>
  <si>
    <t>Gastos Administrativos</t>
  </si>
  <si>
    <t>Gastos de Ventas</t>
  </si>
  <si>
    <t>Egreso Mensual</t>
  </si>
  <si>
    <t>Ingreso Mensual</t>
  </si>
  <si>
    <t>Saldo Mensual</t>
  </si>
  <si>
    <t>Saldo Acumulado</t>
  </si>
  <si>
    <t>Precio JUGO de Granadilla</t>
  </si>
  <si>
    <t>Muebles y enseres</t>
  </si>
  <si>
    <t>Gastos Operacionales</t>
  </si>
  <si>
    <t>CUOTA  ANUAL</t>
  </si>
  <si>
    <t>CAPITAL AMORTIZADO</t>
  </si>
  <si>
    <t>Periodo Anual</t>
  </si>
  <si>
    <t>N.- Total de Cuotas</t>
  </si>
  <si>
    <t>Tasa de interes anua</t>
  </si>
  <si>
    <t>TOTALES</t>
  </si>
  <si>
    <t>Intereses sobre préstamos</t>
  </si>
  <si>
    <t>DEMANDA DE LA POBLACIÓN</t>
  </si>
  <si>
    <t>AÑO1</t>
  </si>
  <si>
    <t>AÑO2</t>
  </si>
  <si>
    <t>AÑO3</t>
  </si>
  <si>
    <t>AÑO4</t>
  </si>
  <si>
    <t>AÑO5</t>
  </si>
  <si>
    <t>AÑO6</t>
  </si>
  <si>
    <t>AÑO7</t>
  </si>
  <si>
    <t>AÑO8</t>
  </si>
  <si>
    <t>AÑO9</t>
  </si>
  <si>
    <t>AÑO10</t>
  </si>
  <si>
    <t>DEMANDA ANUAL</t>
  </si>
  <si>
    <t xml:space="preserve">CRECIMIENTO POBLACIONAL DEL </t>
  </si>
  <si>
    <t>Año3</t>
  </si>
  <si>
    <t>EQUIPOS ACONDICIONADORES Y OTROS</t>
  </si>
  <si>
    <t>Archivadores INDUSTRIALES</t>
  </si>
  <si>
    <t>PAYBACK</t>
  </si>
  <si>
    <t>Período (años)</t>
  </si>
  <si>
    <t>Saldo Inversion</t>
  </si>
  <si>
    <t>Rentabilidad Exigida</t>
  </si>
  <si>
    <t>Recuperación Inversión</t>
  </si>
  <si>
    <t>CAPITAL DE TRABAJO</t>
  </si>
  <si>
    <t>Q* = Ctos. Fijos / (Precio – Cto. Variable unitario)</t>
  </si>
  <si>
    <t>CALCULO DEL CAPM</t>
  </si>
  <si>
    <t>Re= Rendimiento exigido por los inversionistas</t>
  </si>
  <si>
    <t>Re= (Kt+B(Km-Kt))+Kp)</t>
  </si>
  <si>
    <t xml:space="preserve">Re= </t>
  </si>
  <si>
    <t>GASTOS PRE-OPERACIONALES</t>
  </si>
  <si>
    <t># de personas</t>
  </si>
  <si>
    <t># de PERSONAS</t>
  </si>
  <si>
    <t>SUELDO TOTAL ANUAL</t>
  </si>
  <si>
    <t>JEFE DE PRODUCCIÓN</t>
  </si>
  <si>
    <t>PRESENTACIÓN 1 FRASCO DE 180 ml de Cont. Neto</t>
  </si>
  <si>
    <t>CONT. NETO(ml.)</t>
  </si>
  <si>
    <t>CTO. DE PRODUCCIÓNxFRASCO</t>
  </si>
  <si>
    <t>CTO. UNITARIOxFRASCO (PVP)</t>
  </si>
  <si>
    <t>JUGO DE GRANADILLA</t>
  </si>
  <si>
    <t>CTO. de PRODUCCIÓN</t>
  </si>
  <si>
    <t>UNIDADES ANUALES DE FRASCOS DE CONT. NETO 180 ml.</t>
  </si>
  <si>
    <t>ESTIMACIÓN DEL CTO. DIRECTO PARA UN FRASCO DE 180 ml. De Cont. Neto</t>
  </si>
  <si>
    <t>MATERIA PRIMA</t>
  </si>
  <si>
    <t>GASTO DE ALQUILER</t>
  </si>
  <si>
    <t>TOTAL CTO. DE VTA. Y PUBLICIDAD</t>
  </si>
  <si>
    <t>COSTO MENSUAL</t>
  </si>
  <si>
    <t>COSTO ANUAL</t>
  </si>
  <si>
    <t>Voltios(Mensual)</t>
  </si>
  <si>
    <t>Voltios(Anuales)</t>
  </si>
  <si>
    <t>Beta (B)= Beta del sector de jugos</t>
  </si>
  <si>
    <t>Kp=Riesgo de País</t>
  </si>
  <si>
    <r>
      <rPr>
        <b/>
        <sz val="11"/>
        <color indexed="8"/>
        <rFont val="Calibri"/>
        <family val="2"/>
      </rPr>
      <t>Fuente:</t>
    </r>
    <r>
      <rPr>
        <sz val="11"/>
        <color theme="1"/>
        <rFont val="Calibri"/>
        <family val="2"/>
        <scheme val="minor"/>
      </rPr>
      <t xml:space="preserve"> Banco Central</t>
    </r>
  </si>
  <si>
    <t>Km=Rendimiento del mercado</t>
  </si>
  <si>
    <t>Kt=Tasa libre de riesgo de la economía (bonos del tesoro de EE.UU.)</t>
  </si>
  <si>
    <t>PERSONAL (CONTRATO EVENTUAL)</t>
  </si>
  <si>
    <t>COSTO DE PRODUCCIÓN PARA 1 FRASCO DE 180 ml de Cont. Neto</t>
  </si>
  <si>
    <t>Los consumidores de nuestro producto son  10992 habitantes.</t>
  </si>
  <si>
    <t>ACEPTACIÓN</t>
  </si>
  <si>
    <t>TARGET(HABITANTES)</t>
  </si>
  <si>
    <t>CONSUMIDORES</t>
  </si>
  <si>
    <t>ESTIMACIÓN DE GANANCIAS POR UNIDAD(FRASCOS CONT. NETO 180 ml.)</t>
  </si>
  <si>
    <t>Harina de cebada con azúcar (g)</t>
  </si>
  <si>
    <t>Agua(ml.)</t>
  </si>
  <si>
    <t>Benzoato de Sodio(g)</t>
  </si>
  <si>
    <t>Amarillo Huevo(g)</t>
  </si>
  <si>
    <t>CANT. REQUERIDA</t>
  </si>
  <si>
    <t>PRECIO UNITARIO DE CANTIDAD REQUERIDA</t>
  </si>
  <si>
    <t>ml.</t>
  </si>
  <si>
    <t>Granadilla (g)</t>
  </si>
  <si>
    <t>PRECIO POR CADA ml.</t>
  </si>
  <si>
    <t>1 m3=</t>
  </si>
  <si>
    <t>1000000 ml. =</t>
  </si>
  <si>
    <t>1Litro =</t>
  </si>
  <si>
    <t>PRECIO POR CADA ml. DE PULPA</t>
  </si>
  <si>
    <t>PxQ(cont.80ML.)</t>
  </si>
  <si>
    <t>1 Litro</t>
  </si>
  <si>
    <t>CANT. NECESARIA EN ML.</t>
  </si>
  <si>
    <t>1 MILILITRO</t>
  </si>
  <si>
    <t>1 GRAMO=</t>
  </si>
  <si>
    <t>1 QUINTAL=</t>
  </si>
  <si>
    <t>(1)LIBRA=</t>
  </si>
  <si>
    <t>Descripción</t>
  </si>
  <si>
    <t>Comprobantes y papelería</t>
  </si>
  <si>
    <t>Total Voltios maquinarias</t>
  </si>
  <si>
    <t>Precio total de energia</t>
  </si>
  <si>
    <t>ACTIVOS</t>
  </si>
  <si>
    <t>Venta JUGO de Granadilla(Q)</t>
  </si>
  <si>
    <t>POR ESTACIONALIDAD</t>
  </si>
  <si>
    <t>MESES</t>
  </si>
  <si>
    <t>TOTAL ANUAL</t>
  </si>
  <si>
    <t xml:space="preserve">MESES </t>
  </si>
  <si>
    <t>POBLACIÒN DEL CANTÒN  GUAYAQUIL (SEGÙN CENSO 2001)</t>
  </si>
  <si>
    <t>POBLACIÓN CANTÓN GUAYAQUIL</t>
  </si>
  <si>
    <t>POBLACIÓN MUJERES (31,47%)</t>
  </si>
  <si>
    <t>MADRES POSEE ACTIVIDAD LABORAL(41,4%)</t>
  </si>
  <si>
    <t>MADRES CON NIVELES ECONÓMICOS</t>
  </si>
  <si>
    <t xml:space="preserve">MEDIOS, MEDIOS ALTOS, CON RASGOS </t>
  </si>
  <si>
    <t>DE NIVEES BAJOS(70%)</t>
  </si>
  <si>
    <t xml:space="preserve">MEDRES QUE TIENEN HIJOS ENTRE 6 A 24 </t>
  </si>
  <si>
    <t>MESES DE EDAD(59.21%)</t>
  </si>
  <si>
    <t>HABITANTES</t>
  </si>
  <si>
    <t>DEMANDA ANUAL CON LA ACEPTACIÓN DEL 85% Y LA PROBABILIDAD DE CONSUMO DE 1 VEZ POR SEMANA</t>
  </si>
  <si>
    <t>DEMANDA ESTIMADA ANUAL CON UN CONSUMO DE 1 VEZxSEMANA POR CADA 10992 CLIENTES</t>
  </si>
  <si>
    <t>Año 2</t>
  </si>
  <si>
    <t>Utilidades despuès de participaciòn</t>
  </si>
  <si>
    <t>Costos Fijos</t>
  </si>
  <si>
    <t>Precio</t>
  </si>
  <si>
    <t>Cto. Variable Unitario</t>
  </si>
  <si>
    <t>Punto de equilibrio Unidades</t>
  </si>
  <si>
    <t>Mcu=P-Cvu</t>
  </si>
  <si>
    <t>Mcu=</t>
  </si>
  <si>
    <t>Mcru=</t>
  </si>
  <si>
    <t>Mcru=Mcun/P</t>
  </si>
  <si>
    <t>CONSUMO Y COSTOS ANUALES CON PROBABILIDADES DE CONSUMO 1 VEZ POR SEMANA</t>
  </si>
  <si>
    <t>CONSUMIDORES SEGÚN LA ACEPTACIÓN DEL MERCADO EN UN MES</t>
  </si>
  <si>
    <t>CON PROBABILIDAD DE CONSUMO DE 1 VEZ POR SEMANA</t>
  </si>
  <si>
    <t>INCLUIDA LA ACEPTACIÓN DEL 85%</t>
  </si>
  <si>
    <t># DE VECES X CONSUMO MENSUAL</t>
  </si>
  <si>
    <t>COMERCIALIZACIÓN CON LOS CANALES DE DISTRIBUCIÓN</t>
  </si>
  <si>
    <t>PRECIO AL DISTRIBUIDOR</t>
  </si>
  <si>
    <t>MARGEN DE GANACIA PARA EL VENDEDOR</t>
  </si>
  <si>
    <t>SUELDOS ADMINISTRATIVOS</t>
  </si>
  <si>
    <t>VENDEDOR</t>
  </si>
  <si>
    <t>PARTICIPAACIÓN MERCADO</t>
  </si>
  <si>
    <t xml:space="preserve"> INGRESOS DEMANDA ANUAL CON PROBABILIDAD DE COMPRA DE 1 VEZ POR SEMANA</t>
  </si>
  <si>
    <t>COSTO TOTAL ANUAL</t>
  </si>
  <si>
    <t>INVERSIÓN INICIAL</t>
  </si>
  <si>
    <t>FLUJO DE CAJA DESCONTADO</t>
  </si>
  <si>
    <t>ACUMULADO</t>
  </si>
  <si>
    <t>AÑO 0</t>
  </si>
  <si>
    <t>AÑO 1</t>
  </si>
  <si>
    <t>AÑO 2</t>
  </si>
  <si>
    <t>AÑO 3</t>
  </si>
  <si>
    <t>AÑO 4</t>
  </si>
  <si>
    <t>AÑO 5</t>
  </si>
  <si>
    <t>AÑO 6</t>
  </si>
  <si>
    <t>AÑO 7</t>
  </si>
  <si>
    <t>AÑO 8</t>
  </si>
  <si>
    <t>AÑO 9</t>
  </si>
  <si>
    <t>AÑO 10</t>
  </si>
  <si>
    <t>TIEMPO DE RECUPERACIÓN DE LA INVERSIÓN TOTAL , SEGÚN EL MÉTODO</t>
  </si>
  <si>
    <t>Margen Contribución Unitario(Mcu)</t>
  </si>
  <si>
    <t>Q*=</t>
  </si>
  <si>
    <t>Q*=CF/Mcu</t>
  </si>
  <si>
    <t>Q*=CF/Mcrun</t>
  </si>
  <si>
    <t>Punto de equilibrios Dólares $</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</si>
  <si>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</si>
  <si>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</si>
  <si>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</si>
  <si>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</si>
  <si>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</si>
  <si>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</si>
  <si>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</si>
  <si>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</si>
  <si>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</si>
  <si>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</si>
  <si>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</si>
  <si>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</si>
  <si>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560458f3-9d74-4237-9948-fa012ac7af14</t>
  </si>
  <si>
    <t>CB_Block_0</t>
  </si>
  <si>
    <t>㜸〱敤㕣㕢㙣ㅣ搵ㄹ摥ㄹ敦慣㜷搶㜶㙣攲㐰㐸戸㤹晢挵搱ㄲ㈷㠴㑢㘹㙡㝣㈱ㄷ㜰㠸㠹㥤㔰㐴改㌲摥㍤㘳㑦戲㌳㙢㘶㘶㥤㤸搲㌶戴ㄴ㑡㉦慡愰て㉤㤴戶㠸㔶愸㝤㘸㈵晡㠰㠰搲㠷㑡㤵愸㉡愸晡㠰㉡昵愱ㄲ㐵㔵晢搰慡㡡搴ㄷㅥ㤰攸昷㥤㤹搹㥤摤昵㡥捤〶㕡㔳㜹㤲晤㜳收摣捦昹慦攷晦捦㈴愵愴㔲愹昷昱昰㕦㍥㘹㈶㉥㥣㔹昶㝣㘱攷㈷㉡攵戲㈸晡㔶挵昱昲㘳慥㙢㉣㑦㔹㥥摦㠵ち㤹㠲㠵㜲㑦㉢㜸搶㐳㈲㕢㔸ㄲ慥㠷㑡㕡㉡㤵捤敡㉡捡搹〹㝦〳搱㡢捥㔶扤㘹㠰㈳ㄳ攳㠷攷㡥愳搷ㄹ扦攲㡡ㅤ㐳挷㠲戶㝢㐷㐶昲㈳昹ㅢ㜷攷㜷敥ㄸ㥡愸㤶晤慡㉢昶㍡愲敡扢㐶㜹挷搰㜴㜵慥㙣ㄵ敦ㄴ换戳㤵ㄳ挲搹㉢收㜶敥㥥㌳㙥戸㜹攴㠶㍤㝢捣㕢㙥戹戹ㄷ〳愷愶㈶挶愷㕤㘱㝡ㅦ㑡㡦ㅡ愷㝢挳愴㈸㕡㕣㤷㄰慥攵捣攷㈷挶昱㌷㌶㜷扣摤㤴㥦㔹㄰挲攷挰挲ㄵ㑥㔱㜸㍡ㅡ昶搸㘳㥥㔷戵ㄷ戹㜱扡扤て换㉣ㅡ㥥慦搹ㄳ愲㕣搶敤愸搷慣㝤ㄸ晢㔶㌶㤶㝢敤ㄹ攱㜸㤶㙦㉤㔹晥㜲挶㥥㐵㐷愵㍥晢愸㈷㡥ㄸ捥扣戸换戰㠵㘶敦慦㕡愵㜴昰愴扡慥㡥扡㠸㑦㑣㉥㍥㍦收搹ㄳぢ㠶㉢㘷攴㜱㕢ㄲ敡敥㜳㡢㡤㜵㉦㙦摦㉦愷㉥㐷㘰㥦㔷戶慦㠷㤲㘳㠶㕢慢㌹摣扥㘶戸昸挶ㄹ㕣摦扥㝥㙣㡦ㅡ摢㕣摢扥㡤摣捡挶摡㑡㑦㐸摢㜲㐷戱ㄸ㍤㐳搰㑤㤰㈵㈰〲昵ㅣ㐱て㐱㉦㠰㤲晥㌷㌸㈴摥㤰㐵㙡挱㔰ぢ㜳㙡愱愸ㄶ㑡㙡㐱愸〵㔳㉤捣慢㠵〵戵㘰愹㠵攳㙡攱〴敡㐴㑦戶扢㕢つ㥦㘷㐶㝦收扤㍥晡攸愱愷㝥昴敡戵换户㍣搰摤扢〹㤵敥づ㈷㌵改ㅡ㈷㐱㙡㜵ㅡ摥㤵摦挹㍦慢昳〴㔸挲摣㘳摥㘴㡥㡣㤴昶散㌴㜶ㅢㅡ㤷㤵㠰晣〶㐲ㄹ㐰摤㕥昳ㅥ换㈹㔵㑥㑡摣㕤㌸㙥㜸愲扥㜱挳㘱搹㜸愵敡㤴扣ぢ㔶㉥㥣昱つ㕦㙣㙦㉥慢㜷搲搲㙣〶㙣㈵㍣㌹摥挵捤捤㡥ㄹ攵慡ㄸ㍢㘵〵挵ㄷ㌵ㄵ摢搳㙥㘵慥㝤改㍥㔷㍣㔸㉢㙤㤹搱ㄸ〴摡㤲散扢㘵㤵㐱㔱㌰慦愱㠹㠵㡡㈷ㅣ㌹扤㘱㝢摡㉡㥥㄰敥㡣愰㌸ㄴ㈵戹搴㜳㔹ㄴ㜲晤昰㘱〷ぢ〵户㤶㉥㡢攷㥡户㥦昲挱捣愲㠴昹㉥ち搷㕦㥥㌵收捡攲扣㠶㉡挱㤸㈸搸搶㤰扤慦㔲慣㝡ㄳㄵ挷㜷㉢攵挶㤲戱搲㤲〱㐹㔳㍡㔴㈹㠹㜴㍡㈵㠵〲㠴㙤㔷㤷愲愴慥㙢捦ぢㄲㄱ㌱ㄴ㤳㤱捦㙦㈴扢晣ㄱ慣づ慢㈸ぢ搲愴㝡挵㉡㥤㜱扥㔲挶㈴㜰㘰㙣㑤搴ㅤㅣ昴㥡㔵扡慤㘱敥愳慤慣慡㠳攱敡㙦㕦ㄲ㡥㝦挰㜰㑡㘵攱㈶㙡㍥㠵㌳搲晢〱戴㌳㄰〸㙤㜷㡦㙡㑥㌹愵㉣㙢㈷慤㤲扦㤰㔹㄰搶晣㠲㡦㍣㘸挷㙣㤶㕢摢昲攸攷㈰㑢摦㑣㌰〸㤰换愵㌲㕢㔸㈹㤳挳㤳搲㈸㥤ㄲ㜸戹㐱㤰戳㕤〳㉦昷㥡晢慣戲㉦〲愱摣㙦〲㈳㠱㔶㤳攸敢㈳㠹扡㐶㌱㔰ㄸ㕢捣〹㔰愹㘱㌹晥㜲㥤㙦㕢戸㈴㈰愲つ㔹戰敥㘴〱㐵㐱愳㍣㐸攰㌵㄰㑤㤳㌴㐸慥ㅣ㈳㈲戲㐱㠲㘶㐷捦㡤㐴挶晡〹㌲〲昵攳㐴挸摡㍢摢换〸ㄲ㝢㉢㤱戲㔱㕢㝥摣㤰㘶㉢搹昱㠱㌴㍢ㄷㅢ愷㥦㐷戰㤵攰㝣㠲㙤〰捡摦㈰攱㈸攵㤰㙥㝣昴ぢ昰慥㕦㐸㜰ㄱ〰攴㤳㑥㤹ㄳ㡡㉡摡㔰㙢戱㈳㔹慦て㜶戲㌴㡡〳㔱㐴换戸㘶㘷昶搹ㄲ搱愱搵戹㍥㜴㙤㕡敡搸慢摡搳㘶㝣㌹愴挸㠴慡昱戵慥㔲㌵扥ㄱ慣摡愱摥扡〴㑤昵㈱㠲㑢〱〲挵㐲㘳㜷㙤搶㍣捤挹㡦㠵㐹ㄴㄸ㐲ㅤ㉡昷㤰㠸㘹晥㈷〸戸㤶愳换㠶晤㑣㔳㜰搸晣搸摢捦㍢摡昳㜶㠸昴㈶㥤戹愱㜳攸㈷晡㠰ㄶ昴㘵㘰㉦攵捦㙤昵换ㄵ㈸搶慦㈴戸ち愰㐹扦昰攴晤㐱扤〴搲㈴戶㘳㤸摢㑣㡦㡢戴㜰㘷㤷ㄷ㠵搴㍥扤收慣攱捥ぢㅦ摥㡢㠳㤳戰㠳㉢慥㉢捡㌸搰㤶㘴〶捦㉥㕢ㅢ㌳扤㝤㙥挵㘶晥㠶㝤散㝤㉣ㄴ㐳㍡慤㜶愵㥡散攳〴㍢㌳收㙦㡡㔱づ昵敦敥昶㐲㈲搶愸㤱扣搸㉥昹㙣戹㈱㐹㍡㤰㈴搷㘰㕢昵㙢〱㈰㈵㤴㍦戶㤵㈸挳慣戶㐳㔶㙢戴㔶改摤㑢㌸㤹㌴昹て㕢攴㐸㑦攰慣ㅤ㠷敦挰敢戳㘷㉣扢㈶㉣㝡散㘹攱ㄶ攱㔷戰捡㈲ㄷ戸㘴㈹㙡㌶㘴挵挷㐴㔶㜴㜵戵㥣愵ㄳ㝣㙢㤲㑥㥡愴㐴㈲户㈷ㄶ㈶㥣挳敢㐴㐵ㄷ㈴㠵㑡㠲㕢愸㈶㠱㐸㜹慣扢㈱㘲㍡㄰㌱㜹㙣㥣㝥㍤挱㑥㠲ㄱ〰敤昷㤰㌴㙢摤㜸㠶挱扡㤷攸捥㉥ㄴ㔲㔹愲㐱扡〷摦㙣㉢慣㙥攰㌰㝢〸㙥〴㘸㌲㝦攸㝣㑣㈰㐴㠹昲ㄸ㈱搲㕡搲捤㘳㤶㌸㐹ㅡ搸㘴㈲愸㌴㔱昵晣㡡捤愸㔲㥦㌹㔹戹慢攲㑦㕡摥㈲愲㔰㠳㘶㤸戸㘷㐱㌸愰㉥ㄷ戶㑦㔳㕥㘵㜱㔱㤴㜴㜳愶㔲㠵㘸㍢㌸戹ㅥづ攵㔸ㅦ㙣㐹㜹㉥㔷ㄵ㍣㥤㥤㡤搱㠵㈲㑦挴昰戵搲ㄳ扢㈶捦㌷て㝤晤昵ㅤ㥤戵晣戲攸㌱〳愶㘳㍡㙢㘲ㄷㄱ㌵㈸㜵㥢戳ぢ慥㄰㤳㝤收㝥搷㉡㤵㉤㐷㄰ㄹ戰㌱ㄹ愸㥢ㄲ昳㠸㄰㑣㔷ㄸ晦慢㌸㝤收慣㙢㌸摥愲挱㘰攲昲收㠶㌷ㄹㄲ搱捣㜱换昱㌰㡣挴㈲搳晤收捣㐲攵㈴㈲戵㔵摢搹㙦㉣㝡敢〲㉢㈴晡攰㤱愸㔱㔴㐵㔵㤵慣㥡敤ㄴ㍦㍣㤰愷㔲扢昰㑢ㄳ㐸㕣愵㌴晡换ㄳ戴㌷敤晡㌰㍥㐳㍢㥤㜳敡㐵攴愸㤶搹㤵㈸㠵挹愹晡捤㙣㜳ぢ挰㠱晤㐷て搶愳㜲㘷ㄱ慢搶攸摦㑦㤰昰㤲㈸㙡㈱㄰㝡攷㌶〵㠴挲㍣搲つ昸て昸收㕢㌳昱攵㑣㔹㠷戴户愹㥥摣㠷ㄸ㔲慦㌹㘵捣㠹㌲㈲搱戶攱㙦ち㕥㘸挴摡㐶搹ぢ换㈶㉡戶㙤㤰戰㐸㤴㌳㐵㠳昴㍢㔶昵㉢㠷㉣㐷㌷〱㈴昵㠵㔹挶㈹㘴ㄹ愷㘴㔶慦㜹㠴㐱㐱㤹㘶㕦㤵㜹挳戵晣〵摢㉡㘶昹挲挰摤扡愰㐸戰㌸攵㙥昴㐴ㄲ㘳愸挹㤶㍦ち㠳捤换〳搹㜹㐸㔱㙥ㅤ㤱て扡㔵㤵っ晥㈸ㅤ扡㤵㈰㕥愴㡦㔴扦ㄵ扤㘹昲㑥〴〴㡥㝣捥㐴㌷㉦捥㝣ㄱ㌹㠱㔷㡥㔸㑦㈰ㄱ昸〳㘳㈲㥥捥敤㡣㜹搴戱㝣㘰㡦ㄸ摢㘷昹㤳ㅥ㔰づ㠰愴㍣摣㙥㤷㔸㡤㌵ㅡ慥改㠴㑢㕡㡢ㅡ㤴挴挵慤攵㜱慤㜱挵ち挵㠱㍥㠹愹㤱搵㉡㐹扤戲挲ㅣ搷㤳愲㔱愴摡㡥㜴㡤㤲攴㌴慤敦㍢㘵挸㔹愸㈵㐹㌳㈹㝤慦㈴ㄴ㠴㜸㐹ㅤ搰㔰昴搶㈷㤳㐷㉣㔶㐳ぢ㈰㐷㉤ㄵ攴昵㠵挱挰㠳戸㜰㔲ㄲ戹昰つ晣扤㈹㑣ㅥ慥晡つ㈵挶愹挱戰㘴慣㕣㍥散挰㐶㈸ㅡ㙥㘹㥤戰㌴搶ㄶ攸ㄷ挹㥤㥤敡晥㘰㝢㘳㡣ㄸ戲㈱〳㈲〹㕥㘰戰㈱㤸㉢ㄶ㑢愵㙤搶挷慤慥㘵㘷昹㜶㐸ㄸ㡥挴挰㡣㕦㥡ㄴ㑢搲〸慢摢昱㠳戲㐱敤慣㈸攵愸㙥㡥捤㜹㔰攸㍥攵㜸㤸㤲っ慥㥢㐷攸㤴挲昵〵㠸摤㌰㌵㕤昴ㄱ搴慤㜵挰㜳挱晡挱づ㜶㈴〸㥡搰㌶愳〴捤㈴㄰㙥攳㈲挸㍢ㅤ㘲ㄴ㠲搴㤴捦扦㐶㤵㘷㥥收昳搳搱㔴㤴〸㤹㠸㠱慥〴摢〱挸㡤挷㈴挹㐵㠳㔱愸㍣㤰㙣㔲㘸昵㐶㜹㌴㌰晡㘸昰戹㍥敥敦㌰㡡搵㑦戶㈹攳㜶㥢㙦㐱㥢㤶㤷㌷㤹〷㥤㘲戹㕡ㄲ㔲ㄵ㐷戲㕡㙡攴㜵㠱㉦㜹昱㉦攰愶㠴㝤〹㌷攵㈰づ㔲㕣㌲㤱搴戹搵慤㝦ち捤愵㤰㐳ㅦ㠱㙣㘳攸㌱挱㈹㈷㐳㘱㉤㌷ㄴ㘸ㅤ㙥慥㕦㕤㤰搷收㈰搲㕡戲㈸换愶㜰ㄳ慦ㄶ㍦㤶摣ㄶ慢㌶㔵㤹慡搰㘲㡦㘵ㅤ戰㠲慣㜵㠱㈳慣㌳㄰㜸㤹っ㡣㤱づ戹㠳㥤愴捥㠴㜱摤㌳㕦㤴慦愹㌳愳愱昱愱㌰扡换㌳㔰ち扢ち㐶愲戹慤搶㙤㙥㠵㜱㕦摡摤晡㙤〰ち〳挰㌴㘸㔱㌳㌰㜰挶㤱㕥摤挰㘱㈸㌲㈱㌶ㅡて愳㌲㐲㌹〸㜷㍤㤰〶㙥攲㌱㝡戶〲㈵攴㙦㤱㔷挲愲㕢㠹挳㌶づ㐰ㄵ昷扣愶捣㘹挳挷挵ㄷ㘷㕢㔳昶㔸愹㐴㜳ㄷ摥戹㜵㠱㔵㕣摡〸捣搱㉤㑤搷戱攴㥡㘸摦㕤摥㔴㄰㕥ㄳ摣㌵㤹㍦㘰昸挵㠵ㄹ㝦㌹戸戲搵㈹㐹㘸扦㠲㌷㘲挵搱㘹㌳愷ㅤ㕥㐱㕤攲摥攷㑥㌸㤵㤳㡥㥣㤷收昱扥ㅦ慤㔸扤扢㥢㤳捣愵摥挷ㅦ昹愸㈹敤㌵昴戸㤶㘹戳㠳扡㝢㠴晤挸㈷㤰〶㐳㐸㈷搰〹㙣昷摡㝤〱搲挹㤶㈶㍡㤱㠲㘰㠳㔰㥣昹て㡤㔰㤴㕦〲慤㈴㤶攰㐰㡥㍤㝦〱慣慦扣㡡ㅣ㈲ㅣ敦愱ㄸ搱㉥㐵㉡〱㜵㔲㤰㠷㤷㍢㜸ㄵ攴晦〷㑢ㄱ㌷慦挸㑥晦〵㘶㔶㕥㘹㐶搱挵㐴搱换慤㈸㘲ㄸ昶〳〵扣㌹晢㡤愳收㐷㝥愹昷㝦㜸搴扣〳ㄸ收㈳慤㌱㠴搴ㄸ㡡慦ㄹ〳㙡㡢㌱㜰㈵㡡愵㌱㜰㈷摢㌰㕡ㅦㄸ〳愱户攳㄰㌲㔶㌷〶ㄸ挳㑢㌰昹㘲㈱搵㤸〳㠳㘷慤昳㙣㝡挲づ攰㜲慤昰㄰户㠷㝡昲㈶攰㝢摡摡㥡㍤㙤戸㠶扤㑤收敦㜷〵搴㤶㍢㡢摢摡戲〹㕢㙣㕦戱㐴㌶㕡挱㉢ㄱ㜹搳㌷㍣㈷㙢扢愳づ㑣〵㑦攰愶㔷戲㑡收㉣㝣㈲ち㑦〸愹捦㙤昹昹晥扦㍣昴攸㈸㙦愵㠵戴慡㌱っ摣㐹㘸㥥㤶〳㠲户戱ぢ㈱攷昲攳㥢㐳昸〸挹㕡㉣㡢㜱挳㤵昶㡥愷摢㔱㌲㈰扣ㄸ㘱〶挴户ㅥ㡣㐹摣㙦〸㡣挹㝣㤳㘳㔳㝥扣㈴㥤㠱昹搸挴愵昷㉥ちて㉡㙤㔵㔶㠷㜶愵昶ぢ㈸㥤て㌸㤱㐶㝢㤰攷㑢㍥㡡昲㘲戳㔶摢㐳慤㈶捤㐴㘵ㄸ㌵㈲㈹㠵㌸〳㈹㈴㝥㘴㘱攰㕦㑡愹㘹㈴戴㍣㐰㐲〴慤㌹㤴换㤳晦㠶㄰㄰戵换㝤ㅤ㝥愸㠲㕤〴ㄶ㈳慦㝢愷㘷㔷㕡㥤㤱㙡㘲㐸㔶㥥㍥敥㐶㐲ㅥ㔳㤸挱ㄸ慤捣㍤㠲㐴昴㘸㈳㐸慤搹昱挴㐱晡散㈰挰ㄶ㌰戶㘶搳慢㤶戳㙦㜷慡戸攱〱㍤㤳㤱ち挳搹捣㙣ㅣ㍤㘵㉣㉥愸㥡ぢ戲〸晢㠳㘴慤㔱㑦㔸〴㥤攵㙣挳昹ㄳ㐱㍥㝥つ挴昲攱㝡搷攷㌶㤷㔰挷㌹摤㔸㈰㝦戰扦㉥㑥㘰㙣㡣㑡㡥㠱㠴㕤㔳慤㙣㜰〵㝣〶㑤愴㍤慦攸昵㈴挷㔲ㄴ挶愲㈳捥敡㙡搵晦㡣㔲㑢捥㥡㘵㙤㠶慢ㅢ昴晦㌱㘴慣慡晦ㄵ挶搸㈴捡敥〹ㄳ㝣搱ㄸ㈹㔹㌵㌸挳ㅤ㠱てㅢ㘱ㅡ㜹〴搶㘵㤲愱敤㈰㌵㠳㡦㔳㠳㘲㈹挱攱攱㑡㌷㕦㠱愸戵愵㙤摢搳㔶〰㌲ち愴晤〴㈲愸㙤㝢㑥扡昵ㅣ㥢戹ㄷ搹㕢づ㔹㐵户攲㔵㑣㝦㘸〶挱摤㈱㝥㕦㘶挲收ㄹ㔳㕥㘸ㄶ㙡㤷㘳㈷㝡敦㐳㥢愹挳㄰搸㜷〹晦挳㠹㌹㌲㠲戰戶㠸〵扦㌴ㅡ㠸㠵㤱愸ㅢ扣㜳捣扢慢㐶ㄹㅦ愷ㅥ㠶㑦搳㘷搶扡㔰㜵㠱㘷戹昹ㅥ〶㌷づ㌷戱敥㠴摦㐷㤴昳〸㠲挹㈵摣㜷㍦㜷戵㜹てㅡ敢㠶㙢昳㔸戳㌳摦㕡㑥晢㌱㌰扡戶㔱ㅡ〹㠶㘳昲㥢攳㥣㝥㍦㈱愲㍣昴㡤慥摤ㄱ换摥〶㐱攵攱攷摡㜴㜸つ㤷攱㈶㕢㐳㡣晢戳㘸慡摣㐶㠰㥦㕥〸ㄳ㝣㔱攸捤扢㤵㠹攷戰㉣㤲㍦搲愹㡣〱搰㥥愶㝦戰ㄲ㑤㉢㍣㔸㤰ち㜳捡昷㔱捥㕤ち㔶㕢㘲ㅥづㅡ昲〰㠱戴㉥〰愲㐷攱〱㐲㡥晦っㅡ搴挶㥦㐷㙥晢昱扦扢攲昸㔴晤㜲㝤昱晥〷㈲搵愱ㅦ㐷戱㝥㠲愰㑣㘰〳っ㐴ㅡ愴㥦㐲㤱㤲㈶ㄳ㠴㄰㕥ㄹ㐵ㅡ捦ㅦ挲㝦摦ㅥ㝤昳つ㍥晦ㅣ㔵愴ㄸ㐴㔱攳㉡㈸〶攵㉡㥥㡣慦㘲ㄱ戹敤㔷昱慤㤵㔶㌱㐰〹挹㤹攸㉥㐰㕦㤷㐲㕡㤱慢昲㤰攰㠶昲愷㐸㠴㈲搱㌰㡢〱㈲㔶戶慤㈲㠱戶摣㜹搹㜶〹㠹愸敤㐰戴㍤ㅡ㜷㈴攱㍢ㅥ㘹㈶昱摥㈳㥤㌷㤹挰晢㥡〹㤴㘳搶づ摤慥敢㐲㐸㘰㙤晣㌰戶慤㘴捦㜴ㄸ搲㔷㥥㠸㌰㜴攰㐰昴㤱㤴ㅡ〶㤹㐰㈱㠱㘱㑡㡡攲㐶㉡㕦㡤㉡扦昸㔲摤㐷㡡〲㍣㈰愳愰㌲㈹㑦㔶㝥㍣慡扣ぢㅦ㘰挹㍡㈹㕥ㄹ攰昳㜶㔴㤹ㄴ㉡㉢㍦ㄶ㔵晥挷慥㙤戵捡ㄱ㐱〶㍤㙢愴㤶〴㤳㔷ㅥ〲㘲ㅦ㘳昳㙣慤㤹㔴愳㍤㘶㤰㑤ㄱ㉡㘳挵㘵愹㐸㝢㜱晢挳挵攷搰㔳戸捡㠴㍢ㅦ㤰戶挱晦㡡㜰㄰㔷㥣㈶つ摦挰搷捥㑢㠸㉥扢扡㝣㘳攳㡣㜹搸㐵㐶户㜹搰挳搱慡戴慥㐸〴㔶㐱㍡搸摦㔵扣昰〹ㄶ㘴㝤㍦愲愸㤸捡㑢㈳㥤㘹ㄱㄹ㐹㐹㉢㡦㐶㤸㑤㥤慥搳㡣晥㜹㈰〷昲ㄲ㤰〹晤ぢ㠰㐱攴㘵ぢ㌳〶㈸〸㈴㤷㥦㐶㐲㝦㠴攰㑢〰㌹㠵㕣㑦㍡挸㝣ㄹ愰㍦晡㍦㈹㠶㤶愴摢㐴㔵ㅥ㡥〶㡢㤳㤱晥ㄵ㌶㜸っ愰ぢ晥㕡㈵㈴挲㥣晥㌸㜲攲㠳㔲㠲挸㐱㥦㘰挱搷〸扥づ㤰搳㌸搹㌵敦ㅡ搷搴愱ち晢〶㥡㉡摣ち㈹搰扥ㄹ㈶昸愲㥤〶戸戵扤挹捣ㄳ㜱昴つ㍦㘲㥢つㅦ敢摦㡥㡦敦㤷戹攸㉥晣捦㈳㥡戴敦搳敡㈷㍡敢㡢㑣愰㜱㍥晣戹搸散戳攸㠷敢慡㥢㥡散昱㤳昸㘵搵㡣昲〸晥㍤㡤㥦昲㈰㐶攰㈸㔴戹㔹㜸㕢㐸〳戲㘰㌱㉣愰敥搲㥦〴㔰㠸㘳攲㐹㝦㡡㙦㐴㉤晢搷扦ㅤ㈶昸愲㄰慦愷㤹㈸㠷捤愳〱㠹㙢㔹㜰愲㘹㐰攲㕦ㄶㅣ㡦て昸ㅤ攴㉡ㄲ㔹㐸㌴慡㈷㈲㉤捤摣愷〱晡扡晡㌹㌷慡㍢昵㤴㔲㝣愰昴挰〳敦昶愷㠷戶愷㍦㝤㕢敦搳㙦晦敥㥤愷摥晡捣摥扦扦昷散戳㙦晤昵愹㌷摥㝢㙤㙥敦敢捦㍦晦㥢㍢㝥昸挶㍢㥢捤攷搴㤷摥㥤㝡敥攱㤱ㄳて㍦㘸ㅥ扤㙥晦挳昷ㅥ扦㝢㘴晡㥣攱慥慥敥敥慢〷㝦㝢晥㌵〳愷ㅦ㝣㔹昹昵㥦戶㍡㡡㕣㉥〷ㄴ〰搱㌳挰㘵换㘹㝣て〹㑣㠳㌳晥㐸愷挱攵㥥挶㑦㈹㠵ㅢ㌵㡥㤷㉣㕣ㅢ㥣㠰㉣㈸㌶ㄶ昴晣〷㌳搹戰㤶</t>
  </si>
  <si>
    <t>Decisioneering:7.0.0.0</t>
  </si>
  <si>
    <t>ae22bd65-e20e-4b0d-9e9d-295d207297d1</t>
  </si>
  <si>
    <t>CB_Block_7.0.0.0:1</t>
  </si>
  <si>
    <t>㜸〱敤㕣㕢㙣ㅣ㔷ㄹ摥㤹摤㔹敦慣敤搸㡤㜳㘹㐲ㅢっ㙤愱攰㘸ㅢ攷〲㉤㈵愴扥搴㐹愸㔳㍢戱㤳㠲愰㙣挷扢㘷散㐹㜶㘶㥤㤹㔹㈷㠶㐰㔳敥㔷㈱捡〳㤴㙢㠴㄰㠲ㄷ㄰㍣㈰慥て㐸㐸㈰㔴㄰㐲〸㠹〷愴㔲㈱㜸〰愱㐸扣昴愱愸㝣摦㤹㤹摤搹㕤敦搸搹戴攰㈲㑦戲㝦捥㥣晢㌹晦昵晣晦㤹愴㤴㔴㉡昵〲ㅥ晥换㈷挳挴㙤㜳慢㥥㉦散挲㐴戵㔲ㄱ㈵摦慡㍡㕥㘱捣㜵㡤搵㘹换昳搳愸㤰㉤㕡㈸昷戴愲㘷扤㕢攴㡡㉢挲昵㔰㐹㑢愵㜲㌹㕤㐵㌹㍢攱㙦㌰㝡搱搹慡㉦〳㜰㘶㘲㝣㘶攱㍣㝡㥤昳慢慥搸㍦㝣㉥㘸㝢㜴㜴戴㌰㕡㜸挳愱挲㠱晤挳ㄳ戵㡡㕦㜳挵㔱㐷搴㝣搷愸散ㅦ㥥慤㉤㔴慣搲㐳㘲㜵扥㝡㐱㌸㐷挵挲㠱㐳ぢ挶攱㝢㐷てㅦ㌹㘲摥㜷摦扤㝤ㄸ㌸㌵㍤㌱㍥敢ち搳㝢㔱㝡搴㌸摤挳㤳愲㘴㜱㕤㐲戸㤶戳㔸㤸ㄸ挷摦搸摣昱昶挶挲摣㤲㄰㍥〷ㄶ慥㜰㑡挲搳搱戰搷ㅥ昳扣㥡扤捣㡤搳敤㈹㉣戳㘴㜸扥㘶㑦㠸㑡㐵户愳㕥㜳昶っ昶慤㘲慣昶搹㜳挲昱㉣摦㕡戱晣搵慣㍤㡦㡥捡晤昶㔹㑦㥣㌱㥣㐵昱戰㘱ぢ捤㍥㕥戳捡㤹攰㐹愵㕦ㅢ㜵ㄱ㥦㤸㕣㝣㘱捣戳㈷㤶っ㔷捥挸攳戶㈴搴㥤㜲㑢捤㜵敦攸摣㉦愷㉥㐷㘰㥦㜷㜵慥㠷㤲㜳㠶㕢慦㌹搲戹㘶戸昸收ㄹ摣搳戹㝥㙣㡦㥡摢扣慥㜳ㅢ戹㤵捤戵㤵摥㤰戶攵㡥㘲㌱㝡㤶愰㠷㈰㐷㐰〴敡㜹㠲㕥㠲㍥〰㈵昳㉦㜰㐸扣㈱㡢搴愲愱ㄶㄷ搴㘲㐹㉤㤶搵愲㔰㡢愶㕡㕣㔴㡢㑢㙡搱㔲㡢攷搵攲〵搴㠹㥥㕣㑦㡦ㅡ㍥て㕣扢昸㥤㕣晡戶㤹㙢扦搸晤敦昴昶摦㝤慡㙦ㅢ㉡㥤づ㈷㌵改ㅡ㤷㐰㙡つㅡ㍥㔸㌸挰㍦敢昳〴㔸挲㍣㘲扥搱ㅣㅤ㉤ㅦ㌹㘰ㅣ㌲㌴㉥㉢〱昹㑤㠴㌲㠸扡㝤收㈳㤶㔳慥㕥㤲戸扢㙤摣昰㐴㘳攳㐶挲戲昱㙡捤㈹㝢慦㔸扢㜰捥㌷㝣戱户戵慣搱㐹㕢戳㌹戰㤵昰攴㜸晢㕡㥢㥤㌳㉡㌵㌱㜶搹ち㡡㙦㙦㈹戶㘷摤敡㐲攷搲㈹㔷㕣慣㤷戶捤㘸っ〲㙤㐵昶摤戶捡愰㈸㤸搷昰挴㔲搵ㄳ㡥㥣摥㠸㍤㙢㤵㉥〸㜷㑥㔰ㅣ㡡戲㕣敡㑥ㄶ㠵㕣㍦㌲攳㘰愱攰搶昲慢攳戹收㠳㤷㝤㌰戳㈸㘳扥换挲昵㔷攷㡤㠵㡡搸搵㔴㈵ㄸㄳ〵㝢㥡戲愷慡愵㥡㌷㔱㜵㝣户㕡㘹㉥ㄹ㉢慦ㄸ㤰㌴攵㔳搵戲挸㘴㔲㔲㈸㐰搸愶搳㡡㤲㝡㝤㘷㕥㤰㠸㠸愱㤸㡣㝣㙢㌳搹ㄵ捥㘰㜵㔸㐵㐵㤰㈶搵㍢搷改㡣昳㤵㌲㈶㠱〳㘳㙢愲敥攰愰㜷慦搳㙤ㅤ㜳㉦㙤㘵㔵ㅤち㔷晦攰㡡㜰晣ㄳ㠶㔳慥〸㌷㔱昳㈹㥣㤱㍥〰愰㕤㠷㐰攸戸㝢㔴㜳捡㘵㘵㔵扢㘴㤵晤愵散㤲戰ㄶ㤷㝣攴㐱㍢收㜲摣摡戶㐷扦〵㔹晡㜶㠲㈱㠰㝣㍥㤵摤挱㑡搹㍣㥥㤴㐶改㤴挰换㑤㠲㥣敤㥡㜸戹捦㥣戲㉡扥〸㠴昲㠰〹㡣〴㕡㑤愲慦㥦㈴敡ㅡ愵㐰㘱散㌰㈷㐰愵㠶攵昸慢つ扥㙤攳㤲㠰㠸戶㘴挱愶㤳〵ㄴ〵捤昲㈰㠱搷㐰㌴㉤搲㈰戹㜲㡣㠸挸〶〹㥡ㅤ㍤㌷ㄳㄹ敢㈷挸〸搴㡦ㄳ㈱㙢ㅦ攸㉣㈳㐸散敤㐴捡㐶ㅤ昹㜱㑢㥡慤㘵挷〷搲㙣㈷㌶㑥摦㐵戰㥢攰㔶㠲㍤〰捡㕦㈱攱㈸攵㤰㙥㝥昴㔷攰㕤扦㡤攰㜶〰挸㈷㥤㌲㈷ㄴ㔵戴愱㌶㘲㐷戲㕥㍦散㘴㘹ㄴ〷愲㠸㤶㜱摤捥散户㈵愲㐳慢㜳㜳攸摡㡣搴戱慦改㑣㥢昱攵㤰㈲ㄳ慡挶搷扡㑥搵昸㐶戰㙡㤷㝡敢㤵㘸慡てㄳ扣ち㈰㔰㉣㌴㜶㌷㘶捤搳㥣㝣㔹㤸㐴㠱㈱搴愵㜲て㠹㤸收㝦㠲㠰㙢㍢扡㙣搹捦㌴〵㐷捣㤷扤晤扣扦㌳㙦㠷㐸㙦搱㤹㕢㍡㠷㝥愲ㅢ戴愰㕦つ昶㔲晥搴㔱扦摣㠹㘲晤㉥㠲搷〰戴攸ㄷ㥥扣㙦搴㑢㈰㑤㘲㍢㠶戹敤昴戸㐸ぢ㜷㝥㜵㔹㐸敤搳㘷捥ㅢ敥愲昰攱扤㌸㌹〹㍢戸敡扡愲㠲〳㙤㔹㘶昰散戲扢㌹搳㥢㜲慢㌶昳户散㘳敦㘵愱ㄸ㌲ㄹ㌵㥤㙡戱㡦ㄳ散捣㤸扦㈹㐶㌹搴扦㠷㍡ぢ㠹㔸愳㘶昲㘲扢攴戳攵㤶㈴改㐲㤲摣㡤㙤搵㕦〷〰㈹愱晣愱愳㐴ㄹ㘱戵晤戲㕡戳戵㑡敦㕥挲挹愴挵㝦搸㈶㐷㝡〳㘷敤㌸㝣〷㕥扦㍤㘷搹㜵㘱搱㙢捦ち户〴扦㠲㔵ㄱ昹挰㈵㑢㔱戳㈵㉢㕥㈶戲㈲㥤㙥㍢㑢㈷昸搶㈴㥤戴㐸㠹㐴㙥㑦㉣㑣㌸㠷㌷㠸㡡㉥㐸ち㤵〴户㔰㕤〲㤱昲㔸㜷㑢挴㜴㈱㘲ち搸㌸晤ㅥ㠲〳〴愳〰摡㙦㈰㘹㌶扡昱っ㠳昵慣搰㥤㕤㉣愶㜲㐴㠳㜴て晥扡愳戰㍡捣㘱㡥㄰扣〱愰挵晣愱昳㌱㠱㄰㈵捡㘳㠴㐸㙢㐹㌷捦㔹攲ㄲ㘹㘰㥢㠹愰搲㐴捤昳慢㌶愳㑡晤收㘴昵攱慡㍦㘹㜹换㠸㐲つ㤹㘱攲㤱㈵攱㠰扡㕣搸㍥㉤㜹搵攵㘵㔱搶捤戹㙡つ愲敤攴攴㘶㌸㤴㘳㝤戰㈵攵戹㕣㔵昰㜴㜷㌶㐶ㄷ㡡㍣ㄱ挳搷㑡㑦散㠶㍣摦㍣昴つ㌴㜶㜴摥昲㉢愲搷っ㤸㡥改㥣㠹㕤㐴搴愰摣㘳捥㉦戹㐲㑣昶㥢挷㕤慢㕣戱ㅣ㐱㘴挰挶㘴愰㙥㕡㉣㈲㐲㌰㕢㘵晣慦敡昴㥢昳慥攱㜸换〶㠳㠹慢摢㥢摥㘴㐸㐴㌳挷㉤挷挳㌰ㄲ㡢㑣て㤸㜳㑢搵㑢㠸搴搶㙣攷戸戱散㙤ち慣㤰攸㠳㐷愲㐶㔱ㄵ㔵㔵㜲㙡慥㕢晣昰㐰㥥㑡ㅤ挴㉦㐳㈰㜱㤵搲攸㉦㑦搰摥戴敢挳昸っ敤㜴捥愹て㤱愳㝡㘶㍡㔱ち㤳㔳昵㝢搹收㍥㠰ㄳ挷捦㥥㙣㐴攵㙥㈲㔶慤搱扦㥦㈰攱㈵㔱搴㐳㈰昴捥㙤ぢ〸㠵㜹愴ㅢ昰ㅦ昰捤户㔶攲换㥢戲づ㘹㙦㕢㈳㌹㠵ㄸ㔲㥦㌹㙤㉣㠸ち㈲搱戶攱㙦ぢ㕥㘸挴摡㐶挵ぢ换㈶慡戶㙤㤰戰㐸㤴㜳㈵㠳昴㍢㔶昳慢愷㉣㐷㌷〱㈴昵㠵㔹挶㘵㘴ㄹ㤷㘵㔶㥦㜹㠶㐱㐱㤹㘶㕦搵㐵挳戵晣㈵摢㉡攵昸挲挰摤愶愰㐸戰㌸攵㙥昴㐴ㄲ㘳戸挵㤶㍦ぢ㠳捤㉢〰搹〵㐸㔱㙥ㅤ㤱て扡㔵㤵㉣晥㈸㕤扡㤵㈰㕥愴㡦㔴扦ㅦ扤㘹昲㑥〴〴㡥㝣慥㐷㌷㉦慥㍦㡥㥣挰㉢㐷慣㈷㤰〸晣㠱㌱ㄱ㑦攷㜶搶㍣敢㔸㍥戰㐷㡣㑤㔹晥愴〷㤴〳㈰㈹て户㝢㈵㔶㘳㡤㐶敡㍡攱㤵敤㐵㑤㑡㘲㕦㝢㜹㕣㙢摣戹㐶㜱愰㑦㘲㙡㘴扤㑡㔲慦慣㌱挷捤愴㘸ㄴ愹戶㈳㕤愳㈴㌹㑤ㅢ晢㑥ㄹ㜲ㄳ㙡㐹搲㑣㑡㍦㉡〹〵㈱㕥㔲〷㌴ㄴ扤昵挹攴ㄱ㡢搵搰〲挸㔳㑢〵㜹晤㘱㌰昰㈴㉥㥣㤴㐵㍥㝣〳㝦㙦ぢ㤳㌳㌵扦愹挴戸㍣ㄴ㤶㡣㔵㉡㌳づ㙣㠴㤲攱㤶㌷〹㑢㘳㙤㠱㝥㤱摣搹慤敥て戶㌷挶㠸㈱ㅢ㌲㈰㤲攰〵〶ㅢ㠲戹㘲戱㔴摡㘶晤摣敡㝡㜶㡥㙦愷㠴攱㐸っ捣昹攵㐹戱㈲㡤戰㠶ㅤ㍦㈴ㅢ搴捦㡡㔲㡥敡收搸㠲〷㠵敥㔳㡥㠷㈹挹攰扡㜹㠶㑥㈹㕣㕦㠰搸つ㔳戳㈵ㅦ㐱摤㝡〷㍣ㄷ㙣ㅥ散㘰㐷㠲愰〹㙤㌳㑡搰㙣〲攱㌶㉦㠲扣搳㈵㐶㈱㐸㑤昹晣昳㤸昲㠵愷昸㝣敢㔸㉡㑡㠴㑣挴㐰㔷㠲敤〰攴挶㘳㤲攴愲愱㈸㔴ㅥ㐸㌶㈹戴晡愲㍣ㅡㄸ晤㌴昸㕣ㅦ昷㜷ㄸ挵ㅡ㈰摢㔴㜰扢捤户愰㑤㉢慢摢捣㤳㑥愹㔲㉢ぢ愹㡡㈳㔹㉤㌵昲愶挰㤷扣昸ㄷ㜰㔳挲扥㠴㥢㜲ㄲ〷㈹㉥㤹㐸敡摥敡搶摦㠲收㔲挸愱㡦㐰戶㌱昴㤸攰㤴㤳愱戰戶ㅢち戴づ户㌷慥㉥挸㙢㜳㄰㘹㙤㔹㤴㘵搳戸㠹㔷㡦ㅦ㑢㙥㡢㔵㥢慥㑥㔷㘹戱挷戲㑥㔸㐱搶愶挰ㄱ搶ㄹ〸扣㙣ㄶ挶㐸㤷摣挱㑥㔲搷挳戸敥昵挷攵㙢敡晡戱搰昸㔰ㄸ摤攵ㄹ㈸㠵㕤〵㈳搱摣㔶ㅢ㌶户挲戸㉦敤㙥晤〱〰㠵〱㘰ㅡ戴愸ㄹㄸ㌸攳㐸慦㙦攰㌰ㄴ㤹㄰ㅢ㡤㠷㔱ㄹ愱ㅣ㠲扢ㅥ㐸〳㌷昱ㄸ㍤㕦㠵ㄲ昲㜷挸㉢㘱搱慤挴ㄱㅢ〷愰慡扢慢㈵㜳搶昰㜱昱挵搹搳㤲㍤㔶㉥搳摣㠵㜷㙥㔳㘰ㄵ㤷㌶〲㜳㜴㐷换㜵㉣戹㈶摡㜷㜷戴ㄴ㠴搷〴て㑥ㄶ㑥ㄸ㝥㘹㘹捥㕦つ慥㙣㜵㑢ㄲ摡㑦攱㡤㔸㜳㜴摡捣ㄹ㠷㔷㔰㔷戸昷昹ぢ㑥昵㤲㈳攷愵㜹扣敦㐷㉢㔶敦改攱㈴昳愹ㄷ昰㐷㍥㙡㑡晢〹㝡摣挸戴搹㐱挳㍤挲㝥攴ㄳ㐸㠳㘱愴ㄳ攸〴戶㝢晤扥〰改㘴㐷ぢ㥤㐸㐱戰㐵㈸捥攲㡢㐶㈸捡㡦㠱㔶ㄲ㑢㜰㈰挷㥥㝦〳慣慦晣〸㌹㐴㌸摥㐳㌱愲扤ち愹〴搴㐹㐱ㅥ㕥敥攰㔵㤰晦ㅦ㉣㐵摣扣㈶㍢晤ㄷ㤸㔹昹㘱㉢㡡昶ㄱ㐵㍦㘸㐷ㄱ挳戰㌷ㄴ昰收散户㡥㥡㉦昹愵摥晦攱㔱昳慤挰㌰ㅦ㘹㡤㈱愴挶㔰㝣摤ㄸ㔰摢㡣㠱扢㔰㉣㡤㠱㠷搸㠶搱晡挰ㄸ〸扤ㅤ愷㤰戱扥㌱挰ㄸ㕥㠲挹ㄷぢ愹挶ㅣㄸ㍣㙢敤戲改〹㍢㠱换戵挲㐳摣ㅥ敡挹㥢㠰敦㘹㜷㝢昶慣攱ㅡ昶ㅥ㤹㝦摣ㄵ㔰㕢敥㍣㙥㙢换㈶㙣戱㜷捤ㄲ搹㘸つ慦㐴攴㑤摦昲㥣㙣散㡥㍡㌰ㄵ㍣㠱㥢㕥挹㈹搹㥢昰㠹㈸㍣㈱愴摥戳攳摢挷晦晣敥てㅥ攳慤戴㤰㔶㌵㠶㠱扢〹捤搳㜲㐰昰㌶㜶㈱㘴㈷㍦扥㌹㠵㡦㤰慣攵㡡ㄸ㌷㕣㘹敦㜸扡ㅤ㈵〳挲㡢ㄱ㘶㐰㝣㥢挱㤸挴晤㠶挰㤸㉣戴㌸㌶攵挷㑢搲ㄹ㔸㠸㑤㕣㝡敦愲昰愰搲㔱㘵㜵㘹㔷㙡摦㠳搲戹挱㠹㌴摢㠳㍣㕦昲㔱㤴敦戶㙡戵㈳搴㙡搲㑣㔴㐶㔰㈳㤲㔲㠸㌳㤰㐲攲㐷ㄶ〶晥愵㤴㥡㐵㐲㉢〰㈴㐴搰㕡㐳戹㍣昹㙦〹〱㔱扦摣搷攵㠷㉡搸㐵㘰㌱昲扡㜷㝢㜶愵搵ㄹ愹㈶㠶㘴攵改攳㌴ㄲ昲㤸挲っ挶㘸㘵敥ㄹ㈴愲㐷ㅢ㐵㙡挳㡥㈷づ搲㙦〷〱戶㠰戱㌵㥢㕥戵扣晤愰㔳挳つて攸㤹慣㔴ㄸ捥㜶㘶攳攸㈹㘳㜱㐱搵㝣㤰㐵㌸㄰㈴敢㡤㝡挳㈲攸㉣㘷て捥㥦〸昲昱㙢㈰㤶㡦㌴扡摥搹㕡㐲ㅤ攷昴㘰㠱晣挱晥摡㤷挰搸ㄸ㤵ㅣ〳〹扢愱㕡戹攰ち昸ㅣ㥡㐸㝢㕥搱ㅢ㐹㡥愵㈸㡣㐵㐷㥣㤵㙥搷晦㡣㔲㑢捥㥡㘷㙤㠶慢㥢昴晦㌹㘴慣慢晦ㄵ挶搸㈴捡ㅥ〹ㄳ㝣搱ㄸ㈹㔹㌷㌸挳ㅤ㠱てㅢ㘱ㅡ㜹〴搶㘵㤲愱敤㈰㌵㠷㡦㔳㠳㘲㈹挱攱攱捡戴㕥㠱愸户愵㙤摢摢㔱〰㌲ち愴㝤ㄳ㈲愸㘳㝢㑥扡晤ㅣ㥢㝤㍢戲㜷㥣戲㑡㙥搵慢㥡晥昰ㅣ㠲扢挳晣扥捣㠴捤㌳愶㝣愳㔵愸摤㠱㥤攸㝢〷摡㑣捦㐰㘰㍦㉣晣ㄷ㈷收挸〸挲挶㈲ㄶ晣搲㘸㌰ㄶ㐶愲㙥昰㙥㌱㑦搷㡣ち㍥㑥㥤㠱㑦搳㘷搶愶㔰㜵㠱㘷戹昵ㅥ〶㌷づ㌷戱ㅥ㠲摦㐷㔴ち〸㠲挹㈵扣攳㔱敥㙡敢ㅥ㌴搷つ搷收戱㘶㜷扥戵扣昶㜵㘰㜴㘳愳㌴ㄳっ挷攴㌷挷㜹晤㔱㐲㐴㜹攸ㅢ摤戸㈳㤶扤つ㠱捡挳捦戵改昰ㅡ愹挰㑤戶㠱ㄸ昷扢搰㔴㜹㠰〰㍦扤ㄸ㈶昸愲搰㥢㜷㍦ㄳ搷戰㉣㤲㍦搲愹慣〱搰㤹愶扦戲ㄶ㑤㉢㍣㔸㤰ち昳捡㤷㔱捥㕤ち㔶㕢㘶ㅥづㅡ昲〰㠱戴㉥〰愲㐷攱〱㐲㡥晦〵㌴愸㡦扦㠸摣捥攳㝦㝥捤昱愹晡攵晡攲晤て㐶慡㐳㍦㡦㘲晤〲㐱㠵挰〶ㄸ㡣㌴挸〰㠵㈲㈵㑤㌶〸㈱晣昰ㄸ搲㜸㝥ㅢ晥晢捣戱㕦㍦捤攷ㅦ挷ㄴ㈹〶㔱搴扣ち㡡㐱戹㡡捦挴㔷戱㡣摣捥慢昸昴㕡慢ㄸ愴㠴攴㑣㜴ㄷ愰㍦慤㤰㔶攴慡㍣㈴戸愱晣㈹ㄲ愱㐸㌴捤㘲㤰㠸㤵㙤㙢㐸愰㉤㜷㕥戶㕤㐱㈲㙡㍢ㄸ㙤㡦挶ㅤ㐹昸㡥㐷㥡㐹扣昷㐸攷㑤㌶昰扥㘶〳攵㤸戳㐳户敢愶㄰ㄲ㔸ㅢ㍦㡣敤㈸搹戳㕤㠶昴㤵㡦㐵ㄸ㍡㜱㈲晡㐸㑡つ㠳㑣愰㤰挰㌰㈵㐵㜱㈳㤵㡦㐶㤵扦晢晤㠶㡦ㄴ〵㜸㐰㐶㐱㘵㔲㥥慣晣㤱愸昲㐱㝣㠰㈵敢愴㜸㘵㠰捦㌳㔱㘵㔲愸慣晣攱愸昲摦て敥愹㔷㡥〸㌲攸㔹㈳戵㈴㤸扣昲㄰㄰晢ㄸ㥢㘷㙢捤愴ㅡ敤㌵㠳㙣㡡㔰ㄹ㉢慥㐸㐵摡㠷摢ㅦ㉥㍥㠷㥥挶㔵㈶摣昹㠰戴つ晥㔷㠴㤳戸攲㌴㘹昸〶扥㜶㕥㐱㜴搹搵攵ㅢㅢ㘷捤ㄹㄷㄹ㍤收㐹て㐷慢昲愶㈲ㄱ㔸〵㤹㘰㝦搷昱挲㈷㔸㤰㡤晤㠸愲㘲㉡㉦㡤㜴愷㐵㘴㈴㈵愳㝣㌰挲㙣敡㙡㠳㘶昴昷〲㌹㤰㤷㠰㑣攸敦〳っ㈲㉦㍢㤸㌱㐸㐱㈰戹晣㉡ㄲ晡ㄳ〴敦〷挸㉢攴㝡搲㐱昶〳〰〳搱晦㐹㌱扣㈲摤㈶慡㜲㈵ㅡ㉣㑥㐶晡㠷搸攰挳〰㘹昸㙢㤵㤰〸昳晡㐷㤰ㄳㅦ㤴ㄲ㐴づ晡㌱ㄶ㝣㥣攰ㄳ〰㜹㡤㤳摤昰慥㜱㑤㕤慡戰㑦愲愹挲慤㤰〲敤㔳㘱㠲㉦摡㔵㠰晢㍢㥢捣㍣ㄱ㐷摦昰㈳戶搹昴戱晥㠳昸昸㝥㤵㡢㑥攳㝦ㅥ搱愴㝤㥦㔱摦搴㕤㕦㘴〲㡤昳攱捦挵㘶摦㐴㍦㕣㔷挳搴㘴㡦㙦挶㉦愷㘶㤵㈷昰敦㔵晣㤴㡢ㄸ㠱愳㔰攵收攰㙤㈱つ挸㠲攵戰㠰扡㑢晦っ㠰㐲ㅣㄳ㑦晡㤳㝣㈳㙡搹扦晥搹㌰挱ㄷ㠵㜸扤捡㐴㈵㙣ㅥつ㐸㕣换㠲ぢ㉤〳ㄲ晦戲攰㝣㝣挰捦㈱㔷㤱挸㐲愲㔹㍤ㄱ㘹ㄹ收㍥〵搰㥦ㅥ攰摣愸敥搴换㑡改戱昲㘳㡦㍤㌷㤰ㄹ摥㥢㜹摢〳㝤㑦㍤昳慢㘷㥦晣晤㍢㡦晥敤昹㉦㝤改昷㝦㜹昲改攷㝦戲㜰昴ㄷ㕦晢摡捦摦晡搵愷㥦摤㙥㕥㔳扦晦摣昴戵㉢愳ㄷ慥㕣㌴捦扥晥昸㤵户㥦㍦㍤㍡㝢换㐸㍡摤搳昳摡愱㕦摥㝡昷攰搵㡢㍦㔰㝥昶挷摤㡥㈲㤷换〱〵㐰昴っ㜲搹㜲ㅡ㕦㐴〲搳攰㡣㕦搲㘹㜰戹㔷昱㔳捡攱㐶㡤攳㈵〷搷〶㈷㈰ぢ㑡捤〵扤晦〱㤴慦慦晡</t>
  </si>
  <si>
    <t>Demanda total 10 años</t>
  </si>
  <si>
    <t>eaab113c-5f80-4d49-82d5-cbf75ddb0e8c</t>
  </si>
  <si>
    <t>㜸〱敤㕣㕢㙣ㅣ㔷ㄹ摥ㄹ敦慣㜷搶㜶散挶改㈵改捤扤㕦ㅣ㙤攳㌴改㠵ㄲ㔲㕦㜲㙢㥤挶㠹㥤㤴慡㤴敤㜸昷㡣㍤挹捥慣㍢㌳敢挴愵㐰ち愵愵㕣㠴㕡ㅥ愰愵㐰㔵愱ちㅥ㐰㉡て愵㠵昲㔰愹ㄲ〸戵㠸㠷ち㠹〷㔰愹㄰㍣㠰㔰㈴㈴搴㠷㑡攵晢捥捣散捥敥㝡挷敥愶〵ㄷ㜹㤲晤㜳收摣捦昹慦攷晦捦㈴愵愴㔲愹昷昰昰㕦㍥㘹㈶㉥㥡㕥昲㝣㘱攷挷㉢攵戲㈸晡㔶挵昱昲愳慥㙢㉣㑤㕡㥥摦㠵ち㤹㠲㠵㜲㑦㉢㜸搶㠳㈲㕢㔸ㄴ慥㠷㑡㕡㉡㤵捤敡㉡捡搹〹㝦〳搱㡢捥㔶扤㘹㠰㈳攳㘳㠷㘶㡦愳搷㘹扦攲㡡慤㐳挷㠲戶扢㐶㐶昲㈳昹㥢㙥捣㙦摢㍡㌴㕥㉤晢㔵㔷散㜲㐴搵㜷㡤昲搶愱愹敡㙣搹㉡摥㈹㤶㘶㉡㈷㠴戳㑢捣㙥扢㜱搶搸㜱换挸㡥㥤㍢捤㕢㙦扤愵ㄷ〳愷㈶挷挷愶㕣㘱㝡ㅦ㐸㡦ㅡ愷扢㘳㐲ㄴ㉤慥㑢〸搷㜲收昲攳㘳昸ㅢ㥢㍢摥㙥捥㑦捦ぢ攱㜳㘰攱ち愷㈸㍣ㅤつ㝢散㔱捦慢摡ぢ摣㌸摤摥㡢㘵ㄶつ捦搷散㜱㔱㉥敢㜶搴㙢搶㍥㠴㝤㉢ㅢ㑢扤昶戴㜰㍣换户ㄶ㉤㝦㈹㘳捦愰愳㔲㥦㝤搴ㄳ㐷っ㘷㑥摣㘵搸㐲戳昷㔵慤㔲㍡㜸㔲㕤搷㐴㕤挴㈷㈶ㄷ㥦ㅦ昵散昱㜹挳㤵㌳昲戸㉤〹㜵昷扡挵挶扡㔷戴敦㤷㔳㤷㈳戰捦慢摡搷㐳挹㌱挳慤搵ㅣ㙥㕦㌳㕣㝣攳っ㙥㘸㕦㍦戶㐷㡤㙤慥㙢摦㐶㙥㘵㘳㙤愵㈷愴㙤戹愳㔸㡣㥥㈱攸㈶挸ㄲ㄰㠱㝡㡥愰㠷愰ㄷ㐰㐹晦ぢㅣㄲ㙦挸㈲戵㘰愸㠵㔹戵㔰㔴ぢ㈵戵㈰搴㠲愹ㄶ收搴挲扣㕡戰搴挲㜱戵㜰〲㜵愲㈷摢摤慤㠶㑦㙥挷捦晥㜴㤹晥攳㝤愷㉦扡收摦㐷ㅥ㝣昵戵摥つ愸㜴㌸㥣搴㠴㙢㥣〴愹搵㘹㜸㝢㝥ㅢ晦慣捣ㄳ㘰〹㜳愷㜹戳㌹㌲㔲摡戹捤戸搱搰戸慣〴攴㌷㄰捡〰敡昶㥡㜷㕢㑥愹㜲㔲攲敥愲㌱挳ㄳ昵㡤ㅢづ换挶㉡㔵愷攴㕤戸㝣攱戴㙦昸㘲㑢㜳㔹扤㤳㤶㘶搳㘰㉢攱挹昱㉥㘹㙥㜶捣㈸㔷挵攸㈹㉢㈸扥戸愹搸㥥㜲㉢戳敤㑢昷扡攲㠱㕡㘹换㡣㐶㈱搰ㄶ㘵摦㉤慢っ㡡㠲㜹つ㡤捦㔷㍣攱挸改つ摢㔳㔶昱㠴㜰愷〵挵愱㈸挹愵㥥换愲㤰敢㠷て㌹㔸㈸戸戵㜴㜹㍣搷摣㜳捡〷㌳㡢ㄲ收扢㈰㕣㝦㘹挶㤸㉤㡢昳ㅡ慡〴㘳愲㘰㜳㐳昶摥㑡戱敡㡤㔷ㅣ摦慤㤴ㅢ㑢㐶㑢㡢〶㈴㑤改㘰愵㈴搲改㤴ㄴち㄰戶㕤㕤㡡㤲扡扥㍤㉦㐸㐴挴㔰㑣㐶扥愰㤱散昲㐷戰㍡慣愲㉣㐸㤳敡㤵㉢㜴挶昹㑡ㄹ㤳挰㠱戱㌵㔱㜷㜰搰㙢㔷攸戶㠶戹て户戲慡づ㠶慢摦戳㈸ㅣ㝦扦攱㤴捡挲㑤搴㝣ち㘷愴昷〳㘸㘷㈰㄰摡敥ㅥ搵㥣㜲㑡㔹搲㑥㕡㈵㝦㍥㌳㉦慣戹㜹ㅦ㜹搰㡥搹㉣户戶攵搱捦㐱㤶扥㤱㘰㄰㈰㤷㑢㘵㌶戱㔲㈶㠷㈷愵㔱㍡㈵昰㜲㠳㈰㘷扢〶㕥敥㌵昷㕡㘵㕦〴㐲戹摦〴㐶〲慤㈶搱搷㐷ㄲ㜵㡤㘲愰㌰㌶㤹攳愰㔲挳㜲晣愵㍡摦戶㜰㐹㐰㐴敢戲㘰捤挹〲㡡㠲㐶㜹㤰挰㙢㈰㥡㈶㘹㤰㕣㌹㐶㐴㘴㠳〴捤㡥㥥ㅢ㠹㡣昵ㄳ㘴〴敡挷㠹㤰戵户戵㤷ㄱ㈴昶㔶㈲㘵愳戶晣戸㉥捤㤶戳攳〳㘹㜶㉥㌶㑥㍦㡦攰㝣㠲ぢ〸㌶〳㈸㝦㠵㠴愳㤴㐳扡昱搱㉦挴扢㝥ㄱ挱挵〰㤰㑦㍡㘵㑥㈸慡㘸㐳慤挶㡥㘴扤㍥搸挹搲㈸づ㐴ㄱ㉤攳㥡㥤搹㘷㑢㐴㠷㔶攷摡搰戵㘹愹㘳慦㙥㑦㥢昱攵㤰㈲ㄳ慡挶搷扡㐲搵昸㐶戰㙡㠷㝡敢㔲㌴搵㠷〸㉥〳〸ㄴぢ㡤摤搵㔹昳㌴㈷㍦ㄲ㈶㔱㘰〸㜵愸摣㐳㈲愶昹㥦㈰攰㕡㡥㉥敢昶㌳㑤挱㘱昳㈳㙦㍦㙦㙤捦摢㈱搲㥢㜴收扡捥愱㥦攸㝤㕡搰㤷㠳扤㤴㍦戶搵㉦㔷愲㔸扦㡡攰㙡㠰㈶晤挲㤳昷晢昵ㄲ㐸㤳搸㡥㘱㙥㈳㍤㉥搲挲㥤㔹㕡㄰㔲晢昴㥡㌳㠶㍢㈷㝣㜸㉦づ㑣挰づ慥戸慥㈸攳㐰㕢㤲ㄹ㍣扢㥣摦㤸改敤㜵㉢㌶昳搷敤㘳敦㈳愱ㄸ搲㘹戵㉢搵㘴ㅦ㈷搸㤹㌱㝦㔳㡣㜲愸㝦㙦㙣㉦㈴㘲㡤ㅡ挹㡢敤㤲捦㤶敢㤲愴〳㐹㜲㉤戶㔵扦づ〰㔲㐲昹㝤㕢㠹㌲捣㙡㕢㘵戵㐶㙢㤵摥扤㠴㤳㐹㤳晦戰㐵㡥昴〴捥摡㌱昸づ扣㍥㝢摡戲㙢挲愲挷㥥ㄲ㙥ㄱ㝥〵慢㉣㜲㠱㑢㤶愲㘶㕤㔶㝣㐴㘴㐵㔷㔷换㔹㍡挱户㈶改愴㐹㑡㈴㜲㝢㘲㘱挲㌹扣㑥㔴㜴㐱㔲愸㈴戸㠵㙡ㄲ㠸㤴挷扡敢㈲愶〳ㄱ㤳挷挶改㌷㄰㙣㈳ㄸ〱搰㝥ぢ㐹戳摡㡤㘷ㄸ慣㝢㤱敥散㐲㈱㤵㈵ㅡ愴㝢昰㡤戶挲㙡〷㠷搹㐹㜰ㄳ㐰㤳昹㐳攷㘳〲㈱㑡㤴挷〸㤱搶㤲㙥ㅥ戳挴㐹搲挰〶ㄳ㐱愵昱慡攷㔷㙣㐶㤵晡捣㠹捡㕤ㄵ㝦挲昲ㄶ㄰㠵ㅡ㌴挳挴摤昳挲〱㜵戹戰㝤㥡昲㉡ぢぢ愲愴㥢搳㤵㉡㐴摢㠱㠹戵㜰㈸挷晡㘰㑢捡㜳戹慡攰改散㙣㡣㉥ㄴ㜹㈲㠶慦㤵㥥搸㔵㜹扥㜹攸敢慦敦攸㡣攵㤷㐵㡦ㄹ㌰ㅤ搳㔹ㄳ扢㠸愸㐱愹摢㥣㤹㜷㠵㤸攸㌳昷戹㔶愹㙣㌹㠲挸㠰㡤挹㐰摤愴㤸㐳㠴㘰慡挲昸㕦挵改㌳㘷㕣挳昱ㄶっ〶ㄳ㤷㌶㌶扣挹㤰㠸㘶㡥㔹㡥㠷㘱㈴ㄶ㤹敥㌷愷攷㉢㈷ㄱ愹慤摡捥㍥㘳挱㕢ㄳ㔸㈱搱〷㡦㐴㡤愲㉡慡慡㘴搵㙣愷昸攱㠱㍣㤵摡㡥㕦㥡㐰攲㉡愵搱㕦㥥愰扤㘹搷㠷昱ㄹ摡改㥣㔳㉦㈲㐷戵捣慥㐴㈹㑣㑥搵㙦㘱㥢㕢〱昶敦㍢㝡愰ㅥ㤵㍢㡢㔸戵㐶晦㝥㠲㠴㤷㐴㔱ぢ㠱搰㍢户㈱㈰ㄴ收㤱㙥挰㝦挰㌷摦㥡㠹㉦㘷捡㍡愴扤つ昵攴㕥挴㤰㝡捤㐹㘳㔶㤴ㄱ㠹戶つ㝦㐳昰㐲㈳搶㌶捡㕥㔸㌶㕥戱㙤㠳㠴㐵愲㥣㉥ㅡ愴摦搱慡㕦㌹㘸㌹扡〹㈰愹㉦捣㌲㑥㈱换㌸㈵戳㝡捤㈳っち捡㌴晢慡捣ㄹ慥攵捦摢㔶㌱换ㄷ〶敥搶〴㐵㠲挵㈹㜷愳㈷㤲ㄸ㐳㑤戶晣㔱ㄸ㙣㕥ㅥ挸捥㐳㡡㜲敢㠸㝣搰慤慡㘴昰㐷改搰慤〴昱㈲㝤愴晡㙤攸㑤㤳㜷㈲㈰㜰攴㜳㈶扡㜹㜱收昳挸〹扣㜲挴㝡〲㠹挰ㅦㄸㄳ昱㜴㙥㘷捣愳㡥攵〳㝢挴搸㕥换㥦昰㠰㜲〰㈴攵攱㜶㡢挴㙡慣搱㜰㑤㈷㕣摡㕡搴愰㈴㉥㘹㉤㡦㙢㡤㉢㤷㈹づ昴㐹㑣㡤慣㔴㐹敡㤵㘵收戸㤶ㄴ㡤㈲搵㜶愴㙢㤴㈴愷㘹㝤摦㈹㐳捥㐲㉤㐹㥡㐹改扢㈴愱㈰挴㑢敡㠰㠶愲户㍥㤹㍣㘲戱ㅡ㕡〰㌹㙡愹㈰慦㉦っ〶ㅥ挰㠵㤳㤲挸㠵㙦攰敦つ㘱昲㔰搵㙦㈸㌱㑥つ㠶㈵愳攵昲㈱〷㌶㐲搱㜰㑢㙢㠴愵戱戶㐰扦㐸敥散㔴昷〷摢ㅢ㘳挴㤰つㄹ㄰㐹昰〲㠳つ挱㕣戱㔸㉡㙤戳㍥㙥㜵㉤㍢换户㠳挲㜰㈴〶愶晤搲㠴㔸㤴㐶㔸摤㡥ㅦ㤴つ㙡㘷㐵㈹㐷㜵㜳㜴搶㠳㐲昷㈹挷挳㤴㘴㜰摤㍣㐲愷ㄴ慥㉦㐰散㠶愹愹愲㡦愰㙥慤〳㥥ぢ搶づ㜶戰㈳㐱搰㠴戶ㄹ㈵㘸㈶㠱㜰ㅢㄷ㐱摥改㄰愳㄰愴愶㝣晥戹㕢㜹晡㈹㍥㍦摡㥤㡡ㄲ㈱ㄳ㌱搰㤵㘰㍢〰戹昱㤸㈴戹㘸㌰ち㤵〷㤲㑤ち慤摥㈸㡦〶㐶ㅦつ㍥搷挷晤ㅤ㐶戱晡挹㌶㘵摣㙥昳㉤㘸搳昲搲〶昳㠰㔳㉣㔷㑢㐲慡攲㐸㔶㑢㡤扣㈶昰㈵㉦晥〵摣㤴戰㉦攱愶ㅣ挰㐱㡡㑢㈶㤲㍡户扡昵㑦愰戹ㄴ㜲攸㈳㤰㙤っ㍤㈶㌸攵㘴㈸慣攵㠶〲慤挳㡤昵慢ぢ昲摡ㅣ㐴㕡㑢ㄶ㘵搹㈴㙥攲搵攲挷㤲摢㘲搵㈶㉢㤳ㄵ㕡散戱慣晤㔶㤰戵㈶㜰㠴㜵〶〲㉦㤳㠱㌱搲㈱㜷戰㤳搴㤹㌰慥㝢收昳昲㌵㜵㘶㜷㘸㝣㈸㡣敥昲っ㤴挲慥㠲㤱㘸㙥慢㜵㥢㕢㘱摣㤷㜶户㝥㍢㠰挲〰㌰つ㕡搴っっ㥣㌱愴㔷㌶㜰ㄸ㡡㑣㠸㡤挶挳愸㡣㔰づ挲㕤て愴㠱㥢㜸㡣㥥愹㐰〹昹㥢攴㤵戰攸㔶攲戰㡤〳㔰挵㍤慦㈹㜳捡昰㜱昱挵搹摣㤴㍤㕡㉡搱摣㠵㜷㙥㑤㘰ㄵ㤷㌶〲㜳㜴㔳搳㜵㉣戹㈶摡㜷㔷㌴ㄵ㠴搷〴户㑦攴昷ㅢ㝥㜱㝥摡㕦ち慥㙣㜵㑡ㄲ摡㉦攱㡤㔸㜶㜴摡捣㘹㠷㔷㔰ㄷ戹昷戹ㄳ㑥攵愴㈳攷愵㜹扣敦㐷㉢㔶敦敥收㈴㜳愹昷昰㐷㍥㙡㑡㝢〵㍤慥㘶摡散愰敥ㅥ㘱㍦昲〹愴挱㄰搲〹㜴〲摢扤㜶㕦㠰㜴戲愹㠹㑥愴㈰㔸㈷ㄴ㘷敥〳㈳ㄴ攵ㄷ㐰㉢㠹㈵㌸㤰㘳捦㥦〷敢㉢㍦㐷づㄱ㡥昷㔰㡣㘸㤷㈱㤵㠰㍡㈹挸挳换ㅤ扣ち昲晦㠳愵㠸㥢㤷㘵愷晦〲㌳㉢㉦㌷愳攸ㄲ愲攸愵㔶ㄴ㌱っ晢扥〲摥㥣晤晡㔱昳㐳扦搴晢㍦㍣㙡摥〱っ昳㤱搶ㄸ㐲㙡っ挵搷㡣〱戵挵ㄸ戸ち挵搲ㄸ戸㤳㙤ㄸ慤て㡣㠱搰摢㜱㄰ㄹ㉢ㅢ〳㡣攱㈵㤸㝣戱㤰㙡捣㠱挱戳搶㜹㌶㍤㘱晢㜱戹㔶㜸㠸摢㐳㍤㜹攳昰㍤㥤摦㥡㍤㘵戸㠶扤㔹收敦㜳〵搴㤶㍢㠳摢摡戲〹㕢㙣㔹戶㐴㌶㕡挶㉢ㄱ㜹搳搷㍤㈷慢扢愳づ㑣〵㑦攰愶㔷戲㑡收㉣㝣㈲ち㑦〸愹捦㙣晡挹扥㍦㍦昸挸㙥摥㑡ぢ㘹㔵㘳ㄸ戸㤳搰㍣㉤〷〴㙦㘳ㄷ㐲捥攵挷㌷〷昱ㄱ㤲戵㔰ㄶ㘳㠶㉢敤ㅤ㑦户愳㘴㐰㜸㌱挲っ㠸㙦㉤ㄸ㤳戸摦㄰ㄸ㤳昹㈶挷愶晣㜸㐹㍡〳昳戱㠹㑢敦㕤ㄴㅥ㔴摡慡慣づ敤㑡敤愷㔰㍡敦㜳㈲㡤昶㈰捦㤷㝣ㄴ攵㠵㘶慤戶㤳㕡㑤㥡㠹捡㌰㙡㐴㔲ち㜱〶㔲㐸晣挸挲挰扦㤴㔲㔳㐸㘸㜹㠰㠴〸㕡㜳㈸㤷㈷晦㜵㈱㈰㙡㤷晢㍡晣㔰〵扢〸㉣㐶㕥昷㑥捦慥戴㍡㈳搵挴㤰慣㍣㝤ㅣ㐶㐲ㅥ㔳㤸挱ㄸ慤捣㍤㠲㐴昴㘸㈳㐸慤摡昱挴㐱晡散㈰挰ㄶ㌰戶㘶搳慢㤶戳昷㌸㔵摣昰㠰㥥挹㐸㠵攱㙣㘴㌶㡥㥥㌲ㄶㄷ㔴捤〵㔹㠴晤㐱戲搶愸㈷㉣㠲捥㜲㌶攳晣㠹㈰ㅦ扦〶㘲昹㜰扤敢㜳㥢㑢愸攳㥣㙥㉣㤰㍦搸㕦㤷㈴㌰㌶㐶㈵挷㐰挲慥慡㔶㌶戸〲㍥㡤㈶搲㥥㔷昴㝡㤲㘳㈹ち㘳搱ㄱ㘷㜵戵敡㝦㐶愹㈵㘷捤戰㌶挳搵つ晡晦ㄸ㌲㔶搴晦ち㘳㙣ㄲ㘵㜷㠷〹扥㘸㡣㤴慣ㄸ㥣攱㡥挰㠷㡤㌰㡤㍣〲敢㌲挹搰㜶㤰㥡挶挷愹㐱戱㤴攰昰㜰愵㥢慦㐰搴摡搲戶敤㘹㉢〰ㄹ〵搲㝥〸ㄱ搴戶㍤㈷摤㝡㡥捤摣㠳散㑤〷慤愲㕢昱㉡愶㍦㌴㡤攰敥㄰扦㉦㌳㘱昳㡣㉡捦㌷ぢ戵㉢戰ㄳ扤昷愲捤攴㈱〸散扢㠴晦挱挴ㅣㄹ㐱㔸㕤挴㠲㕦ㅡつ挴挲㐸搴つ摥㌹收攱慡㔱挶挷愹㠷攰搳昴㤹戵㈶㔴㕤攰㔹㙥扥㠷挱㡤挳㑤慣㍢攱昷ㄱ攵㍣㠲㘰㜲〹昷摥挷㕤㙤摥㠳挶扡攱摡㍣搶散捣户㤶搳㝥〰㡣慥㙥㤴㐶㠲攱㤸晣收㌸愷摦㐷㠸㈸て㝤愳慢㜷挴戲户㐱㔰㜹昸戹㌶ㅤ㕥挳㘵戸挹㔶ㄱ攳晥㌴㥡㉡户ㄳ攰愷ㄷ挲〴㕦ㄴ㝡昳㙥㘳攲㔹㉣㡢攴㡦㜴㉡㘳〰戴愷改敦㉤㐷搳ちてㄶ愴挲㥣昲㕤㤴㜳㤷㠲搵㤶㤸㠷㠳㠶㍣㐰㈰慤ぢ㠰攸㔱㜸㠰㤰攳㍦㡤〶戵昱攷㤰摢㝥晣㙦㉦㍢㍥㔵扦㕣㕦扣晦㠱㐸㜵攸挷㔱慣㥦㈰㈸ㄳ搸〰〳㤱〶改愷㔰愴愴挹〴㈱㠴㤷㜷㈳㡤攷㜷攱扦㙦敤㝥攳㜵㍥晦搸慤㐸㌱㠸愲挶㔵㔰っ捡㔵㍣ㄱ㕦挵〲㜲摢慦攲ㅢ换慤㘲㠰ㄲ㤲㌳搱㕤㠰扥㉥㠵戴㈲㔷攵㈱挱つ攵㑦㤱〸㐵愲㘱ㄶ〳㐴慣㙣㕢㐵〲㙤戹昳戲敤㈲ㄲ㔱摢㠱㘸㝢㌴敥㐸挲㜷㍣搲㑣攲扤㐷㍡㙦㌲㠱昷㌵ㄳ㈸挷慣ㅤ扡㕤搷㠴㤰挰摡昸㘱㙣㕢挹㥥改㌰愴慦㍣ㅥ㘱㘸晦晥攸㈳㈹㌵っ㌲㠱㐲〲挳㤴ㄴ挵㡤㔴扥ㅣ㔵㝥攱挵扡㡦ㄴ〵㜸㐰㐶㐱㘵㔲㥥慣晣㔸㔴㜹㍢㍥挰㤲㜵㔲扣㌲挰攷慤愸㌲㈹㔴㔶㝥㌴慡晣昷敤㥢㙢㤵㈳㠲っ㝡搶㐸㉤〹㈶慦㍣〴挴㍥挶收搹㕡㌳愹㐶㝢捣㈰㥢㈲㔴挶㡡换㔲㤱昶攲昶㠷㡢捦愱㈷㜱㤵〹㜷㍥㈰㙤㠳晦ㄵ攱〰慥㌸㑤ㄸ扥㠱慦㥤ㄷㄱ㕤㜶㜵昹挶挶ㄹ昳㤰㡢㡣㙥昳㠰㠷愳㔵㘹㑤㤱〸慣㠲㜴戰扦㉢㜸攱ㄳ㉣挸晡㝥㐴㔱㌱㤵㤷㐶㍡搳㈲㌲㤲㤲㔶ㅥ㠹㌰㥢㍡㕤愷ㄹ晤戳㐰づ攴㈵㈰ㄳ晡攷〰㠳挸换㈶㘶っ㔰㄰㐸㉥㍦㡤㠴晥㌰挱ㄷ〰㜲ち戹㥥㜴㤰昹㈲㐰㝦昴㝦㔲っ㉤㑡户㠹慡㍣ㄴつㄶ㈷㈳晤㑢㙣昰㈸㐰ㄷ晣戵㑡㐸㠴㌹晤㌱攴挴〷愵〴㤱㠳㍥捥㠲慦㄰㝣ㄵ㈰愷㜱戲慢摥㌵慥愹㐳ㄵ昶㌵㌴㔵戸ㄵ㔲愰㝤㍤㑣昰㐵㍢つ㜰㕢㝢㤳㤹㈷攲攸ㅢ㝥挴㌶ㅢ㍥搶摦㠳㡦敦㤷戸攸㉥晣捦㈳㥡戴敦搳敡挷㍡敢㡢㑣愰㜱㍥晣戹搸散戳攸㠷敢慡㥢㥡散昱攳昸㘵搵㡣昲㌰晥㍤㡤㥦昲〰㐶攰㈸㔴戹㔹㜸㕢㐸〳戲㘰㈱㉣愰敥搲㥦〰㔰㠸㘳攲㐹㝦㤲㙦㐴㉤晢搷扦ㄹ㈶昸愲㄰慦愷㤹㈸㠷捤愳〱㠹㙢㔹㜰愲㘹㐰攲㕦ㄶㅣ㡦て昸㉤攴㉡ㄲ㔹㐸㌴慡㈷㈲㉤捤摣愷〰晡扡晡㌹㌷慡㍢昵㤴㔲扣扦㜴晦晤敦昴愷㠷戶愴㍦㜹㝢敦㔳㙦晤收敤㈷摦晣搴慥扦扤晢捣㌳㙦晥攵挹搷摦㝤㘵㜶搷慦㥥㝢敥戵㍢扥晦晡摢ㅢ捤㘷搵ㄷ摦㤹㝣昶愱㤱ㄳて㍤㘰ㅥ扤㝥摦㐳昷ㅣ㍦㍣㌲㜵捥㜰㔷㔷㜷昷㌵㠳扦扥攰摡㠱搳て扣愴扣晡㠷昳ㅤ㐵㉥㤷〳ち㠰攸ㄹ攰戲攵㌴扥㠳〴愶挱ㄹ㝦愸搳攰㜲㑦攳愷㤴挲㡤ㅡ挳㑢ㄶ慥つ㑥㐰ㄶㄴㅢぢ㝡晥〳㡣㈹戰㤰</t>
  </si>
  <si>
    <t>4ac68b97-9c05-4777-98e3-72357ac8bfe7</t>
  </si>
  <si>
    <t>㜸〱敤㕣㕢㙣ㅣ搵ㄹ摥ㄹ敦慣㜷搶㜶㙣攲〴〸㔷㜳扦㌸㕡攲㐰戸㤴愶挱㤷㕣っづ㌱戱ㄳ㑡㈹㕤挶扢㘷散㐹㜶㘶捤捣慣ㄳ㔳㕡㐲㑢愱昴愲ち晡搰㐲㘹㡢㔰㠵摡㤷㑡昴〱㐱㑢ㅦ慡㔶㙡㔵㠵慡て愸㔲ㅦ㉡㔱㔴戵㙡愹慡㐸㝤攱〱㠹㝥摦㤹㤹摤搹㕤敦搸㉣搰㥡捡㤳散㥦㌳攷㝥捥㝦㍤晦㝦㈶㈹㈵㤵㑡扤㡢㠷晦昲㐹㌳㜱挱捣戲攷ぢ㍢㍦㕥㈹㤷㐵搱户㉡㡥㤷ㅦ㜵㕤㘳㜹捡昲晣㉥㔴挸ㄴ㉣㤴㝢㕡挱戳ㅥㄴ搹挲㤲㜰㍤㔴搲㔲愹㙣㔶㔷㔱捥㑥昸ㅢ㠸㕥㜴戶敡㑤〳ㅣㅥㅦ㍢㌴㜷っ扤捥昸ㄵ㔷㙣ㅦ㍡ㅡ戴摤㍤㌲㤲ㅦ挹摦㜸㝤㝥挷昶愱昱㙡搹慦扡㘲户㈳慡扥㙢㤴户て㑤㔷攷捡㔶昱づ戱㍣㕢㌹㉥㥣摤㘲㙥挷昵㜳挶つ㌷㡦摣戰㙢㤷㜹换㉤㌷昷㘲攰搴搴昸搸戴㉢㑣敦〳改㔱攳㜴㙦㤸㄰㐵㡢敢ㄲ挲戵㥣昹晣昸ㄸ晥挶收㡥户㥢昲㌳ぢ㐲昸ㅣ㔸戸挲㈹ち㑦㐷挳ㅥ㝢搴昳慡昶㈲㌷㑥户昷㘱㤹㐵挳昳㌵㝢㕣㤴换扡ㅤ昵㥡戵て㘱摦捡挶㜲慦㍤㈳ㅣ捦昲慤㈵换㕦捥搸戳攸愸搴㘷ㅦ昱挴㘱挳㤹ㄷ㜷ㅡ戶搰散晤㔵慢㤴づ㥥㔴搷㔵㔱ㄷ昱㠹挹挵攷㐷㍤㝢㝣挱㜰攵㡣㍣㙥㑢㐲摤㝤㙥戱戱敥㘵敤晢攵搴攵〸散昳㡡昶昵㔰㜲搴㜰㙢㌵㠷摢搷っㄷ摦㌸㠳敢摡搷㡦敤㔱㘳㥢㙢摡户㤱㕢搹㔸㕢改〹㘹㕢敥㈸ㄶ愳㘷〸扡〹戲〴㐴愰㥥㈳攸㈱攸〵㔰搲晦〶㠷挴ㅢ戲㐸㉤ㄸ㙡㘱㑥㉤ㄴ搵㐲㐹㉤〸戵㘰慡㠵㜹戵戰愰ㄶ㉣戵㜰㑣㉤ㅣ㐷㥤攸挹㜶㜷慢攱㜳晡ㅦ㝦ㅦ㤹扣昷攱挹㘷摦㥡搶摥昹攵摥㑦昵㙥㐲愵扢挲㐹㑤戸挶〹㤰㕡㥤㠶㜷收㜷昰捦敡㍣〱㤶㌰㜷㤹㌷㤹㈳㈳愵㕤㍢㡣敢つ㡤换㑡㐰㝥〳愱っ愰㙥慦㜹户攵㤴㉡㈷㈴敥㉥ㄸ㌳㍣㔱摦戸攱戰㙣慣㔲㜵㑡摥昹㉢ㄷ捥昸㠶㉦捥㙢㉥慢㜷搲搲㙣〶㙣㈵㍣㌹摥㐵捤捤㡥ㅡ攵慡ㄸ㍤㘹〵挵ㄷ㌶ㄵ摢搳㙥㘵慥㝤改㍥㔷㍣㔰㉢㙤㤹搱㈸〴摡㤲散扢㘵㤵㐱㔱㌰慦愱昱㠵㡡㈷ㅣ㌹扤㘱㝢摡㉡ㅥㄷ敥㡣愰㌸ㄴ㈵戹搴慤㉣ち戹㝥昸㤰㠳㠵㠲㕢㑢㤷挶㜳捤扤㈷㝤㌰戳㈸㘱扥㡢挲昵㤷㘷㡤戹戲㌸扢愱㑡㌰㈶ち戶㌵㘴敦慢ㄴ慢摥㜸挵昱摤㑡戹戱㘴戴戴㘴㐰搲㤴づ㔶㑡㈲㥤㑥㐹愱〰㘱摢搵愵㈸愹㙢摢昳㠲㐴㐴っ挵㘴攴㜳ㅢ挹㉥㝦ㄸ慢挳㉡捡㠲㌴愹㕥扥㑡㘷㥣慦㤴㌱〹ㅣㄸ㕢ㄳ㜵〷〷扤㝡㤵㙥㙢㤸晢㜰㉢慢敡㘰戸晡扤㑢挲昱てㄸ㑥愹㉣摣㐴捤愷㜰㐶㝡㍦㠰㜶〶〲愱敤敥㔱捤㈹㈷㤵㘵敤㠴㔵昲ㄷ㌲ぢ挲㥡㕦昰㤱〷敤㤸捤㜲㙢㕢ㅥ晤㉣㘴改㥢〹〶〱㜲戹㔴㘶ぢ㉢㘵㜲㜸㔲ㅡ愵㔳〲㉦㌷〸㜲戶㙢攰攵㕥㜳㥦㔵昶㐵㈰㤴晢㑤㘰㈴搰㙡ㄲ㝤㝤㈴㔱搷㈸〶ち㘳㡢㌹づ㉡㌵㉣挷㕦慥昳㙤ぢ㤷〴㐴戴㈱ぢ搶㥤㉣愰㈸㘸㤴〷〹扣〶愲㘹㤲〶挹㤵㘳㐴㐴㌶㐸搰散攸戹㤱挸㔸㍦㐱㐶愰㝥㥣〸㔹㝢㐷㝢ㄹ㐱㘲㙦㈵㔲㌶㙡换㡦ㅢ搲㙣㈵㍢㍥㤰㘶㕢戱㜱晡搹〴攷㄰㥣㑢戰つ㐰昹㉢㈴ㅣ愵ㅣ搲㡤㡦㝥㍥摥昵ぢ〸㉥〴㠰㝣搲㈹㜳㐲㔱㐵ㅢ㙡㉤㜶㈴敢昵挱㑥㤶㐶㜱㈰㡡㘸ㄹ搷散捣㍥㕢㈲㍡戴㍡搷㠷慥㑤㑢ㅤ㝢㘵㝢摡㡣㉦㠷ㄴ㤹㔰㌵扥搶㔵慡挶㌷㠲㔵㍢搴㕢ㄷ愳愹㍥㐴㜰〹㐰愰㔸㘸散慥捤㥡愷㌹昹㤱㌰㠹〲㐳愸㐳攵ㅥㄲ㌱捤晦〴〱搷㜲㜴搹戰㥦㘹ちづ㥢ㅦ㜹晢㜹㝢㝢摥づ㤱摥愴㌳㌷㜴づ晤㐴敦搱㠲扥ㄴ散愵晣愹慤㝥戹ㅣ挵晡ㄵ〴㔷〲㌴改ㄷ㥥扣摦慢㤷㐰㥡挴㜶っ㜳㥢改㜱㤱ㄶ敥散昲愲㤰摡愷搷㥣㌵摣㜹攱挳㝢㌱㌹〱㍢戸攲扡愲㡣〳㙤㐹㘶昰散㜲㑥㘳愶户捦慤搸捣摦戰㡦扤㡦㠴㘲㐸愷搵慥㔴㤳㝤㥣㘰㘷挶晣㑤㌱捡愱晥扤扥扤㤰㠸㌵㙡㈴㉦戶㑢㍥㕢㙥㐸㤲づ㈴挹搵搸㔶晤ㅡ〰㐸〹攵て㙤㈵捡㌰慢㙤㤷搵ㅡ慤㔵㝡昷ㄲ㑥㈶㑤晥挳ㄶ㌹搲ㄳ㌸㙢挷攰㍢昰晡散ㄹ换慥〹㡢ㅥ㝢㕡戸㐵昸ㄵ慣戲挸〵㉥㔹㡡㥡つ㔹昱ㄱ㤱ㄵ㕤㕤㉤㘷改〴摦㥡愴㤳㈶㈹㤱挸敤㠹㠵〹攷昰㍡㔱搱〵㐹愱㤲攰ㄶ慡㐹㈰㔲ㅥ敢㙥㠸㤸づ㐴㑣ㅥㅢ愷㕦㐷戰㠳㘰〴㐰晢ㅤ㈴捤㕡㌷㥥㘱戰敥㈵扡戳ぢ㠵㔴㤶㘸㤰敥挱搷摡ち慢ㅢ㌸捣㉥㠲ㅢ〱㥡捣ㅦ㍡ㅦㄳ〸㔱愲㍣㐶㠸戴㤶㜴昳愸㈵㑥㤰〶㌶㤹〸㉡㡤㔷㍤扦㘲㌳慡搴㘷㑥㔴敥慣昸ㄳ㤶户㠸㈸搴愰ㄹ㈶敥㕥㄰づ愸换㠵敤搳㤴㔷㔹㕣ㄴ㈵摤㥣愹㔴㈱摡㈶㈷搶挳愱ㅣ敢㠳㉤㈹捦攵慡㠲愷戳戳㌱扡㔰攴㠹ㄸ扥㔶㝡㘲搷攴昹收愱慦扦扥愳戳㤶㕦ㄶ㍤㘶挰㜴㑣㘷㑤散㈲愲〶愵㙥㜳㜶挱ㄵ㘲愲捦摣敦㕡愵戲攵〸㈲〳㌶㈶〳㜵㔳㘲ㅥㄱ㠲改ち攳㝦ㄵ愷捦㥣㜵つ挷㕢㌴ㄸ㑣㕣摥摣昰㈶㐳㈲㥡㌹㘶㌹ㅥ㠶㤱㔸㘴扡摦㥣㔹愸㥣㐰愴戶㙡㍢晢㡤㐵㙦㕤㘰㠵㐴ㅦ㍣ㄲ㌵㡡慡愸慡㤲㔵戳㥤攲㠷〷昲㔴㙡㈷㝥㘹〲㠹慢㤴㐶㝦㜹㠲昶愶㕤ㅦ挶㘷㘸愷㜳㑥扤㠸ㅣ搵㌲扢ㄲ愵㌰㌹㔵扦㤹㙤㙥〱㌸戰晦挸㘴㍤㉡昷㍥㘲搵ㅡ晤晢〹ㄲ㕥ㄲ㐵㉤〴㐲敦摣愶㠰㔰㤸㐷扡〱晦〱摦㝣㙢㈶扥㥣㈹敢㤰昶㌶搵㤳晢㄰㐳敡㌵愷㡣㌹㔱㐶㈴摡㌶晣㑤挱ぢ㡤㔸摢㈸㝢㘱搹㜸挵戶つㄲㄶ㠹㜲愶㘸㤰㝥㐷慢㝥攵愰攵攸㈶㠰愴扥㌰换㌸㠹㉣攳愴捣敡㌵て㌳㈸㈸搳散慢㌲㙦戸㤶扦㘰㕢挵㉣㕦ㄸ戸㕢ㄷㄴ〹ㄶ愷摣㡤㥥㐸㘲っ㌵搹昲㐷㘰戰㜹㜹㈰㍢て㈹捡慤㈳昲㐱户慡㤲挱ㅦ愵㐳户ㄲ挴㡢昴㤱敡户愲㌷㑤摥㠹㠰挰㤱捦㤹攸收挵㤹㠷㤱ㄳ㜸攵㠸昵〴ㄲ㠱㍦㌰㈶攲改摣捥㤸㐷ㅣ换〷昶㠸戱㝤㤶㍦攱〱攵〰㐸捡挳敤㜹ㄲ慢戱㐶挳㌵㥤㜰㜱㙢㔱㠳㤲戸愸戵㍣慥㌵㉥㕦愱㌸搰㈷㌱㌵戲㕡㈵愹㔷㔶㤸攳㝡㔲㌴㡡㔴摢㤱慥㔱㤲㥣愶昵㝤愷っ㜹ㅦ㙡㐹搲㑣㑡摦㉤〹〵㈱㕥㔲〷㌴ㄴ扤昵挹攴ㄱ㡢搵搰〲挸㔱㑢〵㜹㝤㘱㌰㜰ㄲㄷ㑥㑡㈲ㄷ扥㠱扦㌷㠵挹㐳㔵扦愱挴㌸㌹ㄸ㤶㡣㤶换㠷ㅣ搸〸㐵挳㉤慤ㄳ㤶挶摡〲晤㈲戹戳㔳摤ㅦ㙣㙦㡣ㄱ㐳㌶㘴㐰㈴挱ぢっ㌶〴㜳挵㘲愹戴捤晡戸搵戵散㉣摦づち挳㤱ㄸ㤸昱㑢ㄳ㘲㐹ㅡ㘱㜵㍢㝥㔰㌶愸㥤ㄵ愵ㅣ搵捤搱㌹てち摤愷ㅣて㔳㤲挱㜵昳㌰㥤㔲戸扥〰戱ㅢ愶愶㡢㍥㠲扡戵づ㜸㉥㔸㍦搸挱㡥〴㐱ㄳ摡㘶㤴愰㤹〴挲㙤㕣〴㜹愷㐳㡣㐲㤰㥡昲昹搷ㅥ攵㤹愷昹晣㘸㑦㉡㑡㠴㑣挴㐰㔷㠲敤〰攴挶㘳㤲攴愲挱㈸㔴ㅥ㐸㌶㈹戴㝡愳㍣ㅡㄸ㝤㌴昸㕣ㅦ昷㜷ㄸ挵敡㈷摢㤴㜱扢捤户愰㑤换换㥢捣㐹愷㔸慥㤶㠴㔴挵㤱慣㤶ㅡ㜹㕤攰㑢㕥晣ぢ戸㈹㘱㕦挲㑤㤹挴㐱㡡㑢㈶㤲㍡户扡昵㑦愰戹ㄴ㜲攸㈳㤰㙤っ㍤㈶㌸攵㘴㈸慣攵㠶〲慤挳捤昵慢ぢ昲摡ㅣ㐴㕡㑢ㄶ㘵搹ㄴ㙥攲搵攲挷㤲摢㘲搵愶㉡㔳ㄵ㕡散戱慣〳㔶㤰戵㉥㜰㠴㜵〶〲㉦㤳㠱㌱搲㈱㜷戰㤳搴㤹㌰慥㝢收㘱昹㥡㍡戳㈷㌴㍥ㄴ㐶㜷㜹〶㑡㘱㔷挱㐸㌴户搵扡捤慤㌰敥㑢扢㕢扦つ㐰㘱〰㤸〶㉤㙡〶〶捥ㄸ搲慢ㅢ㌸っ㐵㈶挴㐶攳㘱㔴㐶㈸〷攱慥〷搲挰㑤㍣㐶捦㔶愰㠴晣㉤昲㑡㔸㜴㉢㜱搸挶〱愸攲㥥摤㤴㌹㙤昸戸昸攲㙣㙢捡ㅥ㉤㤵㘸敥挲㍢户㉥戰㡡㑢ㅢ㠱㌹扡愵改㍡㤶㕣ㄳ敤扢换㥡ち挲㙢㠲㍢㈷昲〷っ扦戸㌰攳㉦〷㔷戶㍡㈵〹敤攷昰㐶慣㌸㍡㙤收戴挳㉢愸㑢摣晢摣㜱愷㜲挲㤱昳搲㍣摥昷愳ㄵ慢㜷㜷㜳㤲戹搴扢昸㈳ㅦ㌵愵扤㡡ㅥ搷㌲㙤㜶㔰㜷㡦戰ㅦ昹〴搲㘰〸改〴㍡㠱敤㕥扢㉦㐰㍡搹搲㐴㈷㔲㄰㙣㄰㡡㌳晦㠱ㄱ㡡昲㌳愰㤵挴ㄲㅣ挸戱攷㉦㠰昵㤵㥦㈲㠷〸挷㝢㈸㐶戴㑢㤰㑡㐰㥤ㄴ攴攱攵づ㕥〵昹晦挱㔲挴捤㉢戲搳㝦㠱㤹㤵㔷㥡㔱㜴ㄱ㔱昴㜲㉢㡡ㄸ㠶㝤㑦〱㙦捥㝥攳愸昹愱㕦敡晤ㅦㅥ㌵㙦〷㠶昹㐸㙢っ㈱㌵㠶攲㙢挶㠰摡㘲っ㕣㠱㘲㘹っ摣挱㌶㡣搶〷挶㐰攸敤㌸㠸㡣搵㡤〱挶昰ㄲ㑣扥㔸㐸㌵收挰攰㔹敢㙣㥢㥥戰〳戸㕣㉢㍣挴敤愱㥥扣㜱昸㥥捥㘹捤㥥㌶㕣挳摥㈶昳昷扢〲㙡换㥤挵㙤㙤搹㠴㉤捥㕢戱㐴㌶㕡挱㉢ㄱ㜹搳㌷㍣㈷㙢扢愳づ㑣〵㑦攰愶㔷戲㑡收㝤昸㐴ㄴ㥥㄰㔲㥦摤昲攳晤㝦㝥昰搱㍤扣㤵ㄶ搲慡挶㌰㜰㈷愱㜹㕡づ〸摥挶㉥㠴㙣攵挷㌷〷昱ㄱ㤲戵㔸ㄶ㘳㠶㉢敤ㅤ㑦户愳㘴㐰㜸㌱挲っ㠸㙦㍤ㄸ㤳戸摦㄰ㄸ㤳昹㈶挷愶晣㜸㐹㍡〳昳戱㠹㑢敦㕤ㄴㅥ㔴摡慡慣づ敤㑡敤㈷㔰㍡敦㜱㈲㡤昶㈰捦㤷㝣ㄴ攵挵㘶慤戶㡢㕡㑤㥡㠹捡㌰㙡㐴㔲ち㜱〶㔲㐸晣挸挲挰扦㤴㔲搳㐸㘸㜹㠰㠴〸㕡㜳㈸㤷㈷晦つ㈱㈰㙡㤷晢㍡晣㔰〵扢〸㉣㐶㕥昷㑥捦慥戴㍡㈳搵挴㤰慣㍣㝤摣㠵㠴㍣愶㌰㠳㌱㕡㤹㝢ㄸ㠹攸搱㐶㤰㕡戳攳㠹㠳昴搹㐱㠰㉤㘰㙣捤愶㔷㉤㘷敦㜵慡戸攱〱㍤㤳㤱ち挳搹捣㙣ㅣ㍤㘵㉣㉥愸㥡ぢ戲〸晢㠳㘴慤㔱㑦㔸〴㥤攵㙣挳昹ㄳ㐱㍥㝥つ挴昲攱㝡搷㕢㥢㑢愸攳㥣㙥㉣㤰㍦搸㕦ㄷ㈵㌰㌶㐶㈵挷㐰挲慥愹㔶㌶戸〲㍥㠳㈶搲㥥㔷昴㝡㤲㘳㈹ち㘳搱ㄱ㘷㜵戵敡㝦㐶愹㈵㘷捤戲㌶挳搵つ晡晦㈸㌲㔶搵晦ち㘳㙣ㄲ㘵㜷㠷〹扥㘸㡣㤴慣ㅡ㥣攱㡥挰㠷㡤㌰㡤㍣〲敢㌲挹搰㜶㤰㥡挱挷愹㐱戱㤴攰昰㜰愵㥢慦㐰搴摡搲戶敤㘹㉢〰ㄹ〵搲㝥〸ㄱ搴戶㍤㈷摤㝡㡥捤摣㠳散㉤〷慤愲㕢昱㉡愶㍦㌴㠳攰敥㄰扦㉦㌳㘱昳㡣㉡㉦㌴ぢ戵换戰ㄳ扤昷愲捤搴㈱〸散㍢㠵晦挱挴ㅣㄹ㐱㔸㕢挴㠲㕦ㅡつ挴挲㐸搴つ摥㔹收㕤㔵愳㡣㡦㔳て挱愷改㌳㙢㕤愸扡挰戳摣㝣て㠳ㅢ㠷㥢㔸㜷挰敦㈳捡㜹〴挱攴ㄲ敥扤㡦扢摡扣〷㡤㜵挳戵㜹慣搹㤹㙦㉤愷晤〰ㄸ㕤摢㈸㡤〴挳㌱昹捤㜱㑥扦㡦㄰㔱ㅥ晡㐶搷敥㠸㘵㙦㠳愰昲昰㜳㙤㍡扣㠶换㜰㤳慤㈱挶晤ㄹ㌴㔵㙥㈳挰㑦㉦㠴〹扥㈸昴收摤捡挴㜳㔸ㄶ挹ㅦ改㔴挶〰㘸㑦搳摦㕢㠹愶ㄵㅥ㉣㐸㠵㌹攵扢㈸攷㉥〵慢㉤㌱て〷つ㜹㠰㐰㕡ㄷ〰搱愳昰〰㈱挷㝦〶つ㙡攳捦㈳户晤昸摦㕥㜱㝣慡㝥戹扥㜸晦〳㤱敡搰㡦愱㔸㍦㑥㔰㈶戰〱〶㈲つ搲㑦愱㐸㐹㤳〹㐲〸慦散㐱ㅡ捦敦挳㝦摦搸昳摡㘹㍥晦摣愳㐸㌱㠸愲挶㔵㔰っ捡㔵㍣ㄹ㕦挵㈲㜲摢慦攲ㅢ㉢慤㘲㠰ㄲ㤲㌳搱㕤㠰扥㉥㠵戴㈲㔷攵㈱挱つ攵㑦㤱〸㐵愲㘱ㄶ〳㐴慣㙣㕢㐵〲㙤戹昳戲敤ㄲㄲ㔱摢㠱㘸㝢㌴敥㐸挲㜷㍣搲㑣攲扤㐷㍡㙦㌲㠱昷㌵ㄳ㈸挷慣ㅤ扡㕤搷㠵㤰挰摡昸㘱㙣㕢挹㥥改㌰愴慦㍣ㄱ㘱攸挰㠱攸㈳㈹㌵っ㌲㠱㐲〲挳㤴ㄴ挵㡤㔴扥ㅣ㔵㝥昱愵扡㡦ㄴ〵㜸㐰㐶㐱㘵㔲㥥慣晣㜸㔴㜹㈷㍥挰㤲㜵㔲扣㌲挰攷㡤愸㌲㈹㔴㔶㝥㉣慡晣搶捥㙤戵捡ㄱ㐱〶㍤㙢愴㤶〴㤳㔷ㅥ〲㘲ㅦ㘳昳㙣慤㤹㔴愳㍤㘶㤰㑤ㄱ㉡㘳挵㘵愹㐸㝢㜱晢挳挵攷搰㔳戸捡㠴㍢ㅦ㤰戶挱晦㡡㌰㠹㉢㑥ㄳ㠶㙦攰㙢攷㈵㐴㤷㕤㕤扥戱㜱挶㍣攴㈲愳摢㥣昴㜰戴㉡慤㉢ㄲ㠱㔵㤰づ昶㜷ㄵ㉦㝣㠲〵㔹摦㡦㈸㉡愶昲搲㐸㘷㕡㐴㐶㔲搲捡愳ㄱ㘶㔳愷敡㌴愳㝦づ挸㠱扣〴㘴㐲晦㍣㘰㄰㜹搹挲㡣〱ち〲挹攵愷㤰搰ㅦ㈱昸〲㐰㑥㈱搷㤳づ㌲㕦〴攸㡦晥㑦㡡愱㈵改㌶㔱㤵㠷愲挱攲㘴愴㝦㠹つㅥ〳攸㠲扦㔶〹㠹㌰愷㍦㡥㥣昸愰㤴㈰㜲搰㈷㔸昰ㄵ㠲慦〲攴㌴㑥㜶捤扢挶㌵㜵愸挲扥㠶愶ち户㐲ち戴慦㠷〹扥㘸愷〰㙥㙤㙦㌲昳㐴ㅣ㝤挳㡦搸㘶挳挷晡㝢昱昱晤㌲ㄷ摤㠵晦㜹㐴㤳昶㝤㕡晤㔸㘷㝤㤱〹㌴捥㠷㍦ㄷ㥢晤㍥晡攱扡敡愶㈶㝢晣㌸㝥㔹㌵愳㍣㠲㝦㑦攱愷㍣㠰ㄱ㌸ち㔵㙥ㄶ摥ㄶ搲㠰㉣㔸っぢ愸扢昴㈷〱ㄴ攲㤸㜸搲㥦攲ㅢ㔱换晥昵㙦㠶〹扥㈸挴敢㈹㈶捡㘱昳㘸㐰攲㕡ㄶㅣ㙦ㅡ㤰昸㤷〵挷攲〳㝥ぢ戹㡡㐴ㄶㄲ㡤敡㠹㐸㑢㌳昷㘹㠰扥慥㝥捥㡤敡㑥㍤愹ㄴ敦㉦摤㝦晦摢晤改愱昳搲㥦扣慤昷改㌷㝥晢收㔳慦㝦㝡昷摦摥㜹昶搹搷晦昲搴改㜷㕥㥤摢晤敢攷㥦晦搵敤摦㍦晤收㘶昳㌹昵愵户愷㥥㝢㘸攴昸㐳て㤸㐷慥摤晦搰㍤挷敥ㅡ㤹㍥㙢戸慢慢扢晢慡挱摦㥣㝢昵挰愹〷㕥㔶㝥昱挷㜳ㅣ㐵㉥㤷〳ち㠰攸ㄹ攰戲攵㌴扥㠳〴愶挱ㄹ㝦愸搳攰㜲㑦攱愷㤴挲㡤ㅡ挳㑢ㄶ慥つ㑥㐰ㄶㄴㅢぢ㝡晥〳㥦昳戲ぢ</t>
  </si>
  <si>
    <t>Materia prima</t>
  </si>
  <si>
    <t>Mano de Indirecta</t>
  </si>
  <si>
    <t>Costos Indirectos</t>
  </si>
  <si>
    <t>OTROS GASTOS</t>
  </si>
  <si>
    <t>GERENTE GENERAL</t>
  </si>
  <si>
    <t>TOTAL DE INGRESOS</t>
  </si>
  <si>
    <t>TOTAL DE EGRESOS</t>
  </si>
  <si>
    <t>Cto. Var. Un.</t>
  </si>
  <si>
    <t>PUNTO DE EQUILIBRIO UNIDADES</t>
  </si>
  <si>
    <t xml:space="preserve">DESCRIPCIÓN </t>
  </si>
  <si>
    <t>Mcu</t>
  </si>
  <si>
    <t>Mcru</t>
  </si>
  <si>
    <t>㜸〱捤㔹㑢㜰ㅣ㐷ㄹ摥㤹摤ㄹ敤慣㕥敢搸〹〹㈴戰㡥ㄳㄲ㈲戱㤱㘴㉢㝥挵攰搵慥㘴慢㉣㔹戶㔶戶㑦愹慤搱㑥㡦㌴搱㍣挴捣慣ㅥ㕣㥣攲捣㠹㈳〵挵㤵㈲㠷㕣㈸戸㜰愶㈸㌰㌷㜲ち〷㑥ㅣ㈸慡㌰㔴㔱ㅣ㌸㤸敦敢㤹㤵㜶㐷戲㉣㍢愶捡㙤扢户㥦晦昴晦晥扡㥤㔳㜲戹摣㈳ㄴ晥戲ㄴ搸㜸扤戹ㅢ挵挲慢搶〳搷ㄵ敤搸〹晣愸㕡ぢ㐳㜳㜷挱㠹攲㍣ㄶ攸㉤〷昳㤱搶㡡㥣敦㡢㘲㙢㑢㠴ㄱㄶ㘹戹㕣戱㘸愸㤸㈷ㄱ晥㉢㜷㍢〶㜷つㄵ㔰㉤搷㘷㤶㔶㍦〶搵㘶ㅣ㠴㘲扣㜲㌷搹㝢㘵㜲戲㍡㔹晤攰㙣㜵㘲扣㔲敦戸㜱㈷ㄴ㔷㝣搱㠹㐳搳ㅤ慦摣敡慣扡㑥晢㠶搸㕤〹㌶㠴㝦㐵慣㑥㥣㕤㌵捦㕤㤸㍣㌷㍤㙤㕦扣㜸㘱〸ㅦ捥㉤搴㘷㙥㠵挲㡥㥥て㐵㥤ㄴ㤷敡㌳搵㥢㈲㝥㍥ㄴ〷㐰㜱戱㍥搳〸㍣搳昱㥦ぢ㐹㡤㌲㥤㙥㠸戶㐳攱ぢㄱ㍡晥㕡ㄵ㐷敥ㄳ㌰㝡攷慢戵㈸敡㜸㥢搴㘳㕤戸敥戲戰㡢搸㘹㜸㡤㈸扥㘵㠶㕥㌴攴㔱㜲㈲ㄴ㝥㕢㐴㈳摥散㑥㕢戸改挲愸攸摤㌵挳㥢愶㈷ち㙣㡣㝡㠹敥收㉤攱挷㑥扣㍢散摤㠹挴戲改慦〹㉥搱扣㙢ㅤ挷㔲ち〵晣捤攵摦㌹散㘴㔲㐵㌸㡦㔷㕦㌷挳㔸昶愸扣挹挳搶昶㤸㠹攴愲敦㕣㌴愵㑡㘶ㄷ昵搵㜴扣ㅢ㈲昴㠵换㡦㔰㡢㘳㤹㐵㔲㐰㠹ㄶ昶㈴搵㘵㠷㍡㔲〶㔳攳㈷㉦晣㡡㑥㘱㥤戹ㄹ㠴㥥改㕥㕡ㄴ愶㝦㘵敡攲搴攴攴搴搴愵㘶㙣㌵挴㔶摡ㅤ㥦㌲っ㉣㌴㑡摣㌲㠸慡㔰㕢㥥扣㘰っ㜱㙣ㄸ㤵㔲昸ㄷ摣慣㤷㌸ㄷ愹㉤㔳㙤慤慡慤戶摡戲搴㤶㔰㕢戶摡㕡㔳㕢敢㙡换㔱㕢ㅦ慢慤つ慣改㤶攲挰㠰㥡㤶て㍥慦晤㜸昶扦㡦㙡㥦㡥晦愴昶昳戳晦ㅥㅤㅡ挵愲摢改挱ㅢ愱戹つ㔳搸户戱愹敡〴晦㍣搹戱攰㔷昶戴㝤摥㥥㥣戴愶㈷捣戳愶㐶㡥㡥慢挷㌲搶づ搹昷ㅣ摦ち戶愵㘲㕦㥦㌱㈳戱慦攷戱㜴㙥㈶攸昸㔶昴戵挳㈷㥢戱ㄹ㡢慦㘶攷昶㠹ㅣ搸搶㠴搹㡢㐸㝥敦敢搹㙤㜷㑤户㈳㙡㍢㑥㌲晤㐶㘶ㅡ㐶ㅦ慣㍥㝥㜶㉥ㄴ摦摢㥢㍤㜰愲ㅡ愲攲㤶愴㝤㠰换㘴㉡㌹㔷愵扥ㅥ㐴挲㤷挷ㅢ昳㙥㌹敤つㄱ㌶〵㘳慡戰㈴慢㉦㜳㉡昵扣戱㈵ㅦ㡣挲㤷慣㌷㝢㐷敤搹㥤㔸昸㤶戰㜰摥㑤ㄱ挶扢㉢收慡㉢㕥改㕢㤲㝣ㄳㄳ慦昵つ捦〵敤㑥㔴て晣㌸っ摣晥㤹㥡戵㘵挲摢慤挵挰ㄲ㜰搶〲ぢ㈲㜶㍥慦㈸戹昷づ昳ㄸ搲㡤慡㔲ㄱ㍤㉡愶敦扥摡㙦㜶搵㘵㜰〷㉥㕣㐱㥢㔴摦㝡〲㌱㐹㤷㘴扥昵昸㠵㍤㍣㌱〱㜱昵扢㡦㕦㉤捦戸愷戹晦敦㘲㔵㍤㤹㜲㍦扢㠵㠸㜸摤昴㉤㔷㠴㐷愶㑦㠵㈷㌲攸㉣摡㍦㄰㄰ㅥ㉢㍤㠶ㅥ㘵㐷搹搵戶ㅤ㉢㕥搷搷㠵戳戶ㅥ㘳っ㈹戶㔸愴㘸てㄴ攳㈵っㄹ㈷㔹㥤㐲㔵㉡攵昴㤷戹㐸㉦ㄹ慦㈴㝤㡤挱改改㘳㉤㤳戸㈱㘳㍢㔲㜰愴㜹㜳㐱ㄸ攵昳㠷㜱㜹摤㡣搶㘳㥡攷㤱㤳㘴捤昸ち慢㔷㔱㘹っ㤱㑦っ攵攴戸挰㡣㌵散㌵㠴㙤〲㈱㐸敦㔶㑣捤㑢㔲㑦㐳㐴㙤㠳㌹㙡ㅥ扥戲愳愳〵攷ㅦ昲㘸晤㘲㈷㙥㤸戱㌹攰㈱摢㐱㑢〶ㄶ㡤挹㕤㐹㡢㍢㠷攵㔸㜷㜷㈹敤㠱㐲㔹㌶㝢愸っ捡㠱㠴ㄲㅣ〷晥㤲换愷昵搱㑣攰散捣㐷㝡搶搰晢戳ㄶ㤲愹㜵㑤昸㉢扢㥢㈲攲昲愲㝥愴㈸戳敥㐵㘲㑢敤搵㍢戱攳㐶㔵㥣昴㕡ㄸ㜴㌶㥦㈷ㅤ搲㌲㕥㐳搵㉤摡㕦㘱挵挷攷㠹愸㜰㘰㡢扡㘹戵挰ㅣ㝡ㅣ㌱㤸ぢつ㕡㉢㠸㍤挲㡦㉣挶ㅢ昸㈹ㅤ㌵愷㌱戳㍥㑤㠶愷昳つ㜹㤰搰㑡㈸㈴㘶㈹捡づ愴㍤散摤ぢ挲㡤搵㈰搸愰㍤㡤挸㕥戴㉥㐴㑣ㅣ㌰㤸攲ㅥ㠹㙦ㄴ㈵㥦敦换攳㍤㠰㠱〸㐲㍦㡤㙡戸收扡㤵㉥挵㐸㝦ㄳ㐳㜹㈲㤲㌳㘸㑣㙣〲晢㠸㡡敤昸㠸挱㡥〸捤愹㡡ㄹ㠶㘲捤㌵慤愰㘲扡㙢㐱挵挲㉣〱㐷ㅣ㔴㜷摣㘸㐷昹㌳愴㐲昸昰攱㠹㑦晦昶㐹㙢㝥昱〷㥦晦攱㍦ㅦ㝤㌱昲㐳攵㡢㜴㈲ぢ〸㌴〶㤸愷〸攴㔲晥昶㕤㐷㙣搳昲㐶㙣挰扡㝡㈷㡡〳改㈶挳㜶㈳戸ㄹ挴つ㈷摡㜴捤摤㤳㜶摡戸户㉥㝣㈴㌱戰㘲㘵挶㠲捤㑤㘱ㄹ㜶㌳攸㠴㙤㌱摦㜸ㄱ㤲ㅣ挴〱㔳㤳昹㑤㔵㔰㥥㉤㙥㠳㠴㠲挰㡡㤲搳ㄸ㙤戳敥㈷挱㘵㑦慡㤴㑤慡㘲㜴㕦愲㉢㑥散㡡㐱㕢愶㈹搹㉥摡㤰㈲㤰㠱㌵㘰慦慣挳㉣ㅢ挳昶戵搰戱㕣挷ㄷ㔴挶愹㘴改㠲㔸〳ち戸ㄵ㐴づ㜱晣戰扤ㄲ㥡㝥〴㐳〲㘸摦㝤愹慦㈷㈳㥦㘶捦㌸㝥㠴捦㐸㉤戲㍤㙡㌷搷㠳㙤㕣改㍡㥥㝦捤摣㡣㕥〸慤搰昹㤳㈲㔵愳愸㡡慡㉡㐵戵昸慣晡搱扦〹㙡㈷ㄳ戰㕥㠱㥤挶愱戳摡愱挰攴㐷愶㔰ㄷ㔸㐹ㅤ收㌴收捡㙣攸敡㔱㘱〶㜷昰慣㝤㔷愵㐳㔳攰摥㍤㔹收昹㜷戸攷㕤㔴搷慦摤㤹摦㐷攴㕦攲戲慢㌱户ㅦㅢ晥㌰愴㡥㈴〶㐴㐸㐴㝢㠲㕦挲づ搸换ㅡ㘵挹㤶㙢㘸㥦㈳晢捤㌹㘴搰㈱㝢挱㕣ㄵ㉥ㄲ㍦㘲搲㐸搲㈱〲挳㤵㈸㑡攷敡㠱攷㤹㌴㌸㕥散㥡㙤搳ㄵ㐵扢搶㠹㠳㐵挷㌷㙣㔴搲㉡搳㈱㜳〷㐳收㑥㤲愲敤㘵㕥〸㘴㥢戴㠲㌵㌳㜴攲㜵捦㘹ㄷ搹㈱㘸㝦㈱㉣ㄵ慥㑦摣搲㉤摤㐸㤲捤昹㐹收㠵戲慢㠰挹ㄴㅤ㤵て㝢㔶ㄵㅤ㝦㤴㘷挴㡢〸㍢㌲㍢ㅡ敦㠱㥡㈶ㅦ㔵〸㍣㔸ㅥ㜶㥦㙥ㅥ摥挷㠸っ㑤ち攱ㅥ愷㡤戱戴挱㑥㠱㠸敢㐸㌰挱攴㔵㕡〸㑣㙢捥㙣攳㜱㘶㈰㝤㥡㈹㐲戵っ㌴㘱㤹昰慥㡥ㅢ〳㙥㈲㕢㡥㈵挲㈲〷㥡㜸〲㉡㄰ㄸ敡㠹づ㤱攸昲㌹㑤ㅢ㉣ㅥ昶慤昹㉥慤户搲愴搹晢挴㌴㝦㠰晥摦㙦㕦昸㉥づ〵戶㘴㠲ㅡ㐷搳昸㌶㉡㠵挰㤱晣㘴ㄶ㔴戹攰㝤㔴ㅡ㈱㑡㔶㌷晤㐸ぢ㜸㡣搷摢㠲㝣摣㈰〶㉣〲㉦㐹昰愸㐹㐶〶㝢㐰㥦㥥攰扤㘲昷挵㐴㙦挲捡㠵㔵㑡愲㉢挱㈵搵愱慡〵愸㕡捦㕥㤸て㝣ㄶ挴扣愶㤰㘸㔰㈱〲搲㈷㔰つ搱㔹㐰扦㈵㥦つ戲㔰愸㔴㌲㤲戸愵㄰ㄳ㜵㌹㤷ち㑢㐴㜳ㄶ挳挶㌹㔴ち㐳㡥㔴晥㜴摡㘰㐷愳攱㘴攵㜱挰㔶㘹攰㈵㥢㔶摢㡣㜷㕤㐴ち㌶㈹㥦愴㐵㑤㈷搳搰㕡㄰攲愹戰㤰扤扥散敤㈵㕥ㅦ㍣㤵戹ㅡ捡㙤㥣愱㔳㘸扦〷㜶㜹散㝥ㅥ㝡ㅦ㈷㜲て㡢㝥ㅥ搵愹㐵愷ㅤ〶㔱㘰挷㤵㈶㜲㘰㠵㔷㙤ㅢ愸慡愶晤づㄴて晤㈶ㄹ㉢昸㝣愲摡㈲昴㉣㙤昸挱戶㉦㑦愳㐵㝣㜱㤰昲ㅡㄸ攰㘷㜸㐵㤲攵っ愴㔸愶〳挹敢捡㐵㌴㠶昳㘵㕡㈰㑢㤹㔶挸㔲愶挹戱㤴摦㑦㝥㜳ㅡㄵ㜵㕣ㅢ㈰㙤㘵㔵㘹㉢㤶㈲ち〳〳捡摢㤹㝢敤〱摢搹扢ㄸ攸㍡㑤㐷晢㉤㔸㍥摥愶㝥㠹㜲㌳摦て㡤换慣㍥㐴㔵㉡搳㠶㌸愶㕦㐱㜵愲㍥搳敡㝦散搳扦㠳攱㈱っ㑢昷挰㉢㘲愴搳㌹㐷㌰搲㤳㈹换㌴㐲㐹昹㉡ㅡ昲㌹㑣㍥㡣㤵㘹㡥㔲㤴㜵㌴㠶昳ㅡ㈵㝡㌹挳敥攱挹㜷㉣晢〲㌲㡢ㄷ㡤㕤㐶挱㍣攲㑥攲慤〵昵搲戳搱愲㐰㤹慡攵扦摦㐰㥡㕦㠲㑥扦㠸㐹昱ㅢ昸㘷捣愲ㅡ愵㥣㌹㐲挱昷㤴㠷㌲扥㘱攰㙡㌲㔸㑣㝦换㔷㐷愹ㄴ戹攳㈳攵昴㡦㙡摡㕦敥晦散㥦扦戸晣昶㑦㍦㝢㤴晥摥攷㡥摢昳㜳戵㍦㍥㜸昰攰敡㥦㑥搴ㄴ敥攵㡤挸㌸捤㡡㜷づ攳っ㉡攵搷㘰敢搰敢挳慦搲㠹〳搷〷敡攸㐹搷㠷㥥愷㌷㍡㡥㘶㌳㔲っ摡挹㌰挵㡡㔸攱戸慥㜴戳㈱攴晢㄰㡦㕦ぢ〰戵挸昲㜸愵㑤㙤ぢ㘰㤷攱戳㥢㔱っ搹攳㘶摤㕥ち㤱㘲〶散昹〸㤷ㄱ慢㠸换㝢ㅣ攳㘵昷㐵〰〳〸㝣〵㥡ㅦっ㤰て㘶敡愱㌱㠷㌲㌹〲愷敤换愳晢愶愵ㄲ㈶㍣摢扤㐴扦㠱㡦㜵㘱慦搵〳㝢ぢ捡㉦愱㘲挶挵㔲敥㤳摣㈳ㅥㄹ㜹㉡㘷㉣攲㐷ㅡ㠸㑣ㄵ愸㑡挶ㄲ㠷㤸㜷㘴㤵搳㘸戵㔹挶㤸〱收挸㜹收㔵㙡㜰㤰摣㜶㡢㐶敡挷㘶㥤㑥㜳ㄲ㐶㤲晥㑦ㄳ〱摦㤸换晦㘷㍡っ㍦昴愳敢摢搸慡昰摣愴㘱㉣愷つ㜶ㄴ㌹挵搱㈶慡㙥㈹㜳㠹㡣㐱㉢㘸㈰㥣㜷㈷ㄵ昶ㄹ㤰㤴㑦㈱㉡㐶㠱ㄹ㜴㡡㑡㙥昰㝦ㄸ㘱ㅢ㝢</t>
  </si>
  <si>
    <t>㜸〱捤㔹㐹㙣ㅣ㔹ㄹ敥慡敥㉡㜷戵摤㜶捦㈴戳挱っ搳㔹㠶㤹㡣㌳㍤㜶ㄲ㑦㌶㑣㘲户㤷㔸戱攳挴敤㈴愷㔱慢摣昵捡慥㜱㉤愶慡摡ぢ㤷㜰攴㠸戸㈰㠱〶挴㠵〳㐸挰〱捤㕣攰㠶㄰㥡ㅢ㘷㌸㡣㄰㐲ㅣ㤰〸换ㄵ㠵敦㝢㔵㙤㜷㤷ㅤ㘷㤹㈰攵㈵㜹晤搶扦摥扦㝦敦㈵愷攴㜲戹〷㈸晣㘵㈹戰昱㝡㘳㈷㡡㠵㔷慢〷慥㉢㕡戱ㄳ昸㔱㙤㈲っ捤㥤㜹㈷㡡昳㔸愰㌷ㅤ捣㐷㕡㌳㜲扥㈹㡡捤㑤ㄱ㐶㔸愴攵㜲挵愲愱㘲㥥㐴昸慦搲改ㄸ摣㌵㔰㐰戵㔴㥦㕣㕣昹〸㔴ㅢ㜱㄰㡡搳搵㍢挹摥昱搱搱摡㘸敤㠳戳戵㤱搳搵㝡摢㡤摢愱ㄸ昷㐵㍢づ㑤昷㜴昵㘶㝢挵㜵㕡搷挵捥㜲戰㉥晣㜱戱㌲㜲㜶挵㍣㜷㘱昴摣搸㤸㝤昱攲㠵〱㝣㌸㌷㕦㥦扣ㄹち㍢㝡㌶ㄴ㜵㔲㕣慣㑦搶㙥㠸昸搹㔰散〳挵㠵晡攴㔴攰㤹㡥晦㑣㐸㙡㤴改搸㤴㘸㌹ㄴ扥㄰愱攳慦搶㜰攴ㅥ〱愳㜷扥㌶ㄱ㐵㙤㙦㠳㝡慣ぢ搷㕤ㄲ㜶ㄱ㍢つ㙦㉡㡡㙦㥡愱ㄷつ㜸㤴㥣〸㠵摦ㄲ搱愰㌷扤摤ㄲ㙥扡㌰㉡㝡㜷捣昰㠶改㠹〲ㅢ㐳㕥愲扢㌹㑢昸戱ㄳ敦㤴扤摢㤱㔸㌲晤㔵挱㈵㥡㌷摢㜶㉣愵㔰挰摦㕣晥敤㠳㑥㈶㔵㠴昳㜸昵㌵㌳㡣㘵㡦捡ㅢ㍤㘸㙤㤷㤹㐸㉥㝡捥㐵㔳慡㘶㜶㔱㕦つ挷扢㉥㐲㕦戸晣〸戵㌸㥣㔹㈴〵㤴㘸㘱㔷㔲ㅤ㜶愸㈳愵㍦㌵㝥昲挲慦攸ㄴ搶愹摢扥㘳〷愱㜷㘹挱昱挷㐷㑥㝦㜰昶攲愵〵㜳ㅢ慤昳ㄷ㐶㉥㜶㤷㌳㠶㠱攵㐶㠹ㅢ晢㔱愹昶㌹㘳㠰㈳㘵㔴㑡攱㕦㜰戵敥て挸㈵㑤㔳㙤慥愸捤㤶摡戴搴愶㔰㥢戶摡㕣㔵㥢㙢㙡搳㔱㥢ㅦ愹捤㜵散散㤴㘲㕦㥦㥡㤶㑦挷晦昳摥㉢㥦扦㜹昵摢㈷㙦㡦扦昰晤㡤敦っっ㘱搱慤昴昰㔳愱戹〵㜳搸戳戳㌳戵ㄱ晥㜹戴㜳挱户散㌱晢扣㍤㍡㙡㡤㡤㤸㘷㑤㡤晣㍣慥㉥㉢㔸㍢㘰摦㜵㝣㉢搸㤲捡㝤㝤搲㡣挴㥥慥㠷搳戹挹愰敤㕢搱㤷て㥥㙣挴㘶㉣扥㤴㥤摢㈳戲㙦㕢〳愶㉦㈲昹扤慦㘴户摤㌱摤戶㤸搸㜶㤲改㌷㌲搳㌰晣㘰攵攱戳㌳愱昸挶敥散扥ㄳ㑤㈰㌲㙥㑡摡晢戸㑣愶㤲㜳㔵敢㙢㐱㈴㝣㜹扣㘱敦愶搳㕡ㄷ㘱㐳㌰慥ち㑢戲晡ㄲ愷㔲敦ㅢ㕥昴挱㈸晣挹㍡摥㍤㙡㑦㙦挷挲户㠴㠵昳㙥㠸㌰摥㔹㌶㔷㕣昱㜲捦㤲攴㥢㤸㜸慤㘷㜸㈶㘸戵愳㝡攰挷㘱攰昶捥㑣㔸㥢㈶㍣摥㕡〸㉣〱㠷㉤戰㈰㙡攷昳㡡㤲㝢昷㈰慦㈱摤愸㈶ㄵ搱愵㘲晡敦慢扤㘶㔷㕢〲㜷攰挲ㄵ戴㐹昵攴㈳㠸㐹扡㈴㜳敡攱ぢ扢㜸㘲ㄲ攲敡㜷ㅥ扥㕡㥥㜱㔷㜳晦摦挵慡㝡㈴攵㝥㝡ㄳ㔱昱㥡改㕢慥〸て㑤愱ち㑦㘴搰㔹戴㝦㈰㈰㍣㔴㝡っ㍦捡戶戲愳㙤㌹㔶扣愶慦〹㘷㜵㉤挶ㄸ搲㙣戱㐸搱敥㉢挶㡢ㄸ㌲㡥戰㍡㡡慡㔴捡改㉦㜱㤱㕥㌲㕥㑥晡ㅡ㐳搳㤳挷㕢㈶㜲㐳挶㜷愴攱㐸昳㘶㠲㌰捡攷て攲昲㥡ㄹ慤挵㌴捦㐳㈷挹㥡昱ち慢㔷㔱㘹っ㤱㡦っ攷攴戸挰慣㔵昶愶㠴㙤〲㈵㐸敦㔶㑣捤㑢搲捦㤴㠸㕡〶昳搴ㅣ㝣㘵㕢㐷ぢ捥㍦攰搱晡挵㜶㍣㘵挶㘶㥦㠷㡣〷㉤ㄹ㔸㌴㉣㜷㈵㉤敥㉣换戱捥敥㔲摡〳㠵㡡㙣㜶㔱改㤷〳〹㈵㌸づ晣㈵㤷㑦敢挳㤹挰搹㤹㤳昴慣愱昷㘶㉥㈴㔴㙢㔶昸换㍢ㅢ㈲攲昲愲㝥愸㈸戳敥㐵㘲㡢慤㤵摢戱攳㐶㌵㥣㜴㌶っ摡ㅢ捦㤲づ㘹ㄹ慦愱敡ㄴ敤慦戰攲挷攷㠹挸戰㙦㤳扡㘹㌶挱ㅣ㝡ㅣ㌱㤸ぢつ㕡㉢㠸㍤挰㡦㉣挶ㅢ昸㈹ㅤ㌶愷㌱戳㍥㐹㤶愷昳つ㜸㤰搰㜲㈸㈴㙥㈹捡づ愴㕤昶敥〶攱晡㑡㄰慣搳㥥〶㘵㉦㕡ㄳ㈲㈶ㄶ攸㑦戱㡦挴㌸㡡㤲捦昷攴昱㉥搰㐰ㄴ愱ㅦ㐳㔵㥥㜰摤㙡㠷㘲愴ㅦ挷㔰㥥愸攴〴ㅡ㈳ㅢ挰㍦愲㙡㍢㍥㘲戰㈳㐲昳㑣搵っ㐳戱敡㥡㔶㔰㌵摤搵愰㙡㘱ㄶ㠸挳㡣㠳摡戶ㅢ㙤㉢㝦㠲㔴〸ㅦ挴㙦㡥晦㝣昰捦攵敢㍦晣昸搴㠷搵昰㝢㝦㔰晥㤸㑥㘴〱㠱挶〰昳〴㠱㕣捡摦扥攳㠸㉤㕡摥愰つ㘸㔷㙦㐷㜱㈰摤愴㙣㑦〵㌷㠲㜸捡㠹㌶㕣㜳攷㠸㥤㌶敥慥〹ㅦ㐹っ慣㔸㤹戱㘰㘳㐳㔸㠶摤〸摡㘱㑢捣㑤㍤て㐹づ攲㠰愹挹晣愶㉡㈸㑦ㄷ户㜳搸㠹挰㡡㤲搳ㄸ㙤戳敥㈷〱㘶㔷慡㤴㑤慡㘲㘸㑦愲换㑥散㡡㝥㕢愶㈹搹㉥摡㤰㈲㤰㠱搵㘷㉦慦挱㉣愷捡昶㙣攸㔸慥攳ぢ㉡攳㘸戲㜴㕥慣〲〵摣っ㈲㠷㔸扥㙣㉦㠷愶ㅦ挱㤰〰摣㜷㕥散改挹挸愷搹㤳㡥ㅦ攱㌳㔲㡢㙣て搹㡤戵㘰ぢ搷扡戶攷捦㥡ㅢ搱㜳愱ㄵ㍡㝦㔲愴㙡ㄴ㔵㔱㔵愵愸ㄶ㥦㔶㍦晡㔷㐱敤㘸ち搸慢㌰搴㌸㜴㔶摡㤴㤸晣捡ㄹ搴〵㔶㔲㠹㌹㡤挹㌲ㅢ扢扡㜴㤸〱ㅥ㍣㙣捦㝤改挰ㅣ戸㝢㔹㤶㠹晥㙤敥㜹〷搵戵搹摢㜳㝢㤰晣ぢ摣㜸㌵㈶昷挷挶㍦㡣愹㠳㠹〵ㄱㄳ搱愰攰㤸㌰〴昶戲㔶㔹戲攵ㅡㅡ攸攰㕥㜳〶㈹㜴挰㥥㌷㔷㠴㡢捣㡦愰㌴㤸㜴〸挱㍣搳㡤搲戹㝡攰㜹㈶㉤㡥户扢㐶换㜴㐵搱㥥㘸挷〱㙥㑤㠶㡤㑡㥡㘵㍡㘴㙥㘳挸摣㑥㜲戴扤挴ㅢ㠱㙣㤳㔶戰㙡㠶㑥扣收㌹慤㈲㍢㐴敤捦㠵愹昲ち〷㘱㜶㑡㈷㤴㘴㤳㝥㤲㝡愱散ㅡ㜰㌲㐵㐷攵挳愰㔵㐵挷ㅦ攵㈹〱㈳〲㡦㑣㡦挶扢愰愶挹㤷ㄵ㈲て㤶晢㥤昷㥢晢昷㌰㈲㘳㤳㐲扣挷㘹㘳㌸㙤戰㔳㈰攴㍡ㄴ㑤㌰㝢㤵收〳搳㥡㌱㕢㜸愱改㑢摦㘷㡡㔰㉤㈳㑤㔸㈱扥慢攳捡㠰慢挸愶㘳㠹戰挸㠱〶摥㠱ち㐴㠶㝡愲㐳㘴扡㝣㑥搳晡㡢〷㝤㙢慥㐳敢㘴㥡㌵扢摦㤹收昶搱晦晢慤ぢ㔷㜰㈸戰㈵㌳搴㘹㌴㡤昷㔰㈹㐴㡥攴㈷戳愰挶〵敦愳搲㠸㔱戲扡改㠵㕡〰㘴扣摦ㄶ攴ぢ〷㐱㘰ㄱ㠰㐹愲㐷㑤㌲搲摦㠵晡昴〴昰ㄵ㍢捦㈶㝡〳㔶㉥慣㔲ㄲ㕥㠹㉥愹づ㔵㉤㐰搵㝡昶挶扣敦戳㈰收㌵㠴㠴㠳ち㈱㤰㍥㠲慡㐴㘷〱晤收散戹㝤㐸愸㔴㌲㤲愸愵㄰ㄲ㜵昸㤶敡㑡〴㜳ㄶ挳挶㌹㔴ち〳㡥㔴晤㔸摡㘰㐷愳搹㘴愵戱捦㔲㘹摥㈵㥢㌶摢㠸㜷㕣挴〹㌶㈹㥤愴㐵㍤㈷搳搰㔹㄰攲戵戰㤰扤扤散敥㈵㕣敦㍦㥡戹ㄹ捡㙤㥣愱㑢㘸㥦〱扡㍣㜴㍦て扤〷ㄳ戹㠷㐵㍦㡦敡攸㠲搳ち㠳㈸戰攳㙡〳㈹戰捡㥢戶つ㔰㌵愱晤ㅥㄴて晣㈶ㄹ㉢昸㝣愵摡㈴昲㉣慤晢挱㤶㉦㑦愳㐵㝣㜰㤰昲敡敢攳㘷㜸㐳㤲攵〴愴㔸愱晢挸摢捡㐵㌴捡昹ち敤㡦愵㐲ㅢ㘴愹搰攰㔸㉡敦㈷扦㌹㡤㡡㝡㕣ぢ㈰㙤㘵㐵㘹㈹㤶㈲ち㝤㝤捡㕢㤹㙢敤㍥换搹扤ㄷ攸㍡つ㐷晢ㅤ㔸㝥扣㑤扤ㄲ攵㘶挹昵㘵㌴㡣慦愱㉡㔵㘸㐳昲㠱㜷ㅣ㡤ㄷ敡㤳捤摥昷㍥晤敢ㄸㅥ挰戰㜴づ㍣㈴㐶㍡㕤㜳㄰㈳㕤㜹戲㐲㈳㈴ㄵ攳㉡㉢㡡㔳扥㡡㔵㘸㡥㔲㤴㜵㌴捡㜹㡤ㄲ扤㥣㘱昷攰搴㍢㥣㝤〰㤹挶㠳挶づ㘳㘰ㅥ㔱㈷昱搵㠲㝡改改㘸㔱愰㑣搴昲摦慦㈱捤㉦㐰愷㔷挴愴昸㈶晥ㄹ搳愸㠶㈸㘷㡥㔰昰㕤攵扥㡣㙥ㄸ戸㥡っㄶ搳摦捡搵㈱㉡㐵敥昸㔰㌹昶摤〹敤昳㝢㍦晡攷㑦㉦扦昵昱㉦ㅥ愴扦昷㝥昲㠳摦㔶㝦ㄹ晥攵捡㘷㍦㥥晥攴摦晦晤摢ㄵ㠵㝢㜹㈱㌲㡥戱攲㤵挳㌸㠱㑡昹ㄴ㙣ㅤ㜸㝢昸㈴㥤搸㜷㝢愰㡥ㅥ㜵㝢攸㝡㜹愳攳㘸㌶㈳㐵扦㥤っ㔳慣㠸ㄵ㡥敢㑡㌷ㅢ㐰戶て昱昶㌵て㑣㡢ㅣ㡦㠷摡搴戶㠰㜵ㄹ㍣㍢昹挴㤰㍤㙥搶敤挵㄰〹愶捦㥥㡢㜰ㄷ戱㡡戸扢挷㌱ㅥ㜷㥦〷㈸㠰挰㔷愰昹㌱搱㈱散慢〷挶ㅣ捡攴㄰㤴戶㈷㡦捥㤳㤶㑡㤰昰㜴搷ㄲ晤㍡㍥戶㡢㝡慤㉥搴㕢㔰㝥〵ㅤ㌳㌰㤶㜲摦捡㍤攰㤹㤱愶㜲挶〲㝥愴㠵挸㈸㠰慡㘴㉣㜲㠸㜰㔱㔶㌹㡤㘶㥢攵㡣㈹㘰㠶慣㘷㕥愵晡晢挹㙥愷㘸愴晥搸扣搳㙢㡥挰㑡搲晦㙤㈲摥ㅢ㜶昹㝦㑤〷挱㠷㕥㜰㝤ぢ㕢ㄵ㥥㕢㠶戲愵戴挱㡥㈲愷搰㌰ㅡ愸㍡愵挲㈵㌲〸㉤愳㠱㜸摥㤹㔴搸㘷㐴㔲㝥〶㔱㌱っ㑣愲㔳㔴㜲晤晦〳ㅦ攰ㄹ㐳</t>
  </si>
  <si>
    <t>㜸〱捤㕡㕢㙣ㅣ㔷ㄹ㥥㤹摤ㄹ敦慣搷昶㈶㑥摡㈶改㘵ぢ㐹㔳攲㘸昱㌵㠹㕢㐲㘲慦攳㑢敢挴㠹搷㐹㐰㙤搹捣敥㥣昱㑥㍣ㄷ㜷㘶搶昱㔶㤵捡㍢ㄲ㐸敤〳愴ㄴ昵昲〰攲㈲挱ㄳ㐲〸㔱㉡㜱愹㔰㜸慢〴扣愱㠲㠸㄰ㄵ㉡〲㠹㍥ㄴ㤵晦㍢㌳㝢捤㝡㤳扡㐱昲㔸晢捦戹晥㜳捥㝦㍢晦晦ㅦぢ愲㈰〸ㅦ搱㠳㌷㥥㌸ち昷攷慢㝥挰散㙣捥戵㉣㔶ち㑣搷昱戳㔳㥥愷㔵ㄷ㑤㍦㠸搱〰愵㘰㔲扦㉦ㄷ㝣昳㌹㤶㈸㙣㌰捦愷㐱戲㈰㈴ㄲ慡㐴晤㐰㠲㕦扡㔶㔱㌱㉢ㄵ㈷戰㥣㥢㕥㉡㕥㈵慣昹挰昵搸搱捣愵㜰敥挹㤱㤱散㐸昶搸㔸㜶昸㘸㈶㔷戱㠲㡡挷㑥㍡慣ㄲ㜸㥡㜵㌴㜳扥㔲戴捣搲㤳慣扡攲慥㌱攷㈴㉢づ㡦ㄵ戵昱ㄳ㈳攳ㄳㄳ挶攴攴㠹ㄴ㝤㔸㔸捣㑤㥦昷㤸攱摦ㅤ㡣ち㌰㉥攵愶戳攷㔸㜰㜷㌰昶㄰挶戳戹改ㄹ搷搶㑣攷慥愰㤴㐱搳戱ㄹ㔶㌲㐱㝣挶㍣搳㔹捤搲㤲㕢〸㑣戵攳搹㔹愲㜴㐹昳㠳ㅣ戳慣㘵㘶㘰㈹㈹ㅢ搴㘲ㅥ㜳㑡捣敦户捦㙣㤶㤸ㄵ㜵晢〹晢㤲收㥤搳㙣ㄶ㐷㘱挰づ昹戵愰㌳㈷㌰㠳㙡㥦㝤搱㘷换㥡戳捡㌰㐴戶攷㉡愶ㅥ㡦㡢昱戸㄰㍢摣㘹㌱㥣㉢搹㔹慦㤴㉢㙢㕥挰㙢攰搷㐸愷戱㑤㤲挱ㄷ摥戲㉣㐸㑦愶㙤ㄶ㔸㤴㌷敤㈷㤹攷㌰ぢㅦ〱攳㠶摡〶㜱㥡㠴㠴慦ㄳ愷戶ㅢ搰㐲散㡤攴㥤㙦㠵ㅡ搴〴㠰㑡㐰㐹ㄲ㠸㕤㥡㍡愷昶愲㈹㐵㐰㡣晦㡢昴愵㜹ち扡愴㠲㈶ㄵ㡡㔲愱㈴ㄵ㜴愹挰愴㠲㈱ㄵ㔶愵㐲㔹㉡㤸㔲攱慡㔴㔸愳㌱戵㈷搱搳㈳㐵㑦捡㥤扦㜹㜳摦㉦㘶㕦㍦昲敦晦㍣晥㜳㑤㑣昵搳愰ぢ搱㜲㘶㍣敤ㅡ昱戴㈱㉣愳搹㘱晣摤㕥㐳㐸㐱㡣〹攳戸㌱㌲愲㑦っ㙢㘳㥡㡣つ摤㈹㜷昶搰搸㤴㜱搹㜴㜴昷ㅡ㘷㔷捡㤸㌵慤㠰㜹扣㌲㘰搰㉢ㄴ㌹㕥敦㌳捥㙣㤲㤶㤶㐲捥敥㌱㜲捣ぢ㐸挲㠳㙡㠳摤昷㑦㙢㍥㙢㔴㠷㈲摣搳㙥挵搱晤〳㥤㍢昳㠱ㄶ戰晤敤㝤つ㈴户㑣换㤳晣㌳㥦㉦改挱昶㘹㤷㌴慢挲愶㌶捤戰晢㠱戶㙥搲〴户戸㜵敦慣挷㥥慤昷摥戲愲㈹㌲㡦ㅢㅣ昷㉤扢っ扢挲㜵㘵㜲㘵搷㘷づ㕦摥㤰㝤摥㉣慤㌱㉦捦㘰㕣㤹捥户扡ㄷ㕤㤱㍡づ㉤㌹戴㔱㔲㌰晤㔳捤慤㈰㌴㜳㜴愶搳㝡搷㠹捡搵ㄵ慤㘸戱㝢㕡㠶㠴摦愴㡥㝤㉤捤戳㙥愹攲攷㕣㈷昰㕣慢戵㘷㑡摦搰挸〴攸㘷㕤㥤挵昹㈳㠴㔰ㄴ㘲㌱㔱ㄴㅥ敤愴㑢挰敤㐳摢㥡㠴〴㍡摤㝤㜰㤳㄰㘱㜰㐷㉤慤㘳愶㐲㤳㤰㘱晣㘷扡慥愴㔹〸㌱㝡戸敢攸づ㐲㡡㐹昷戵㉡㕥㜶㤹昸㐳㝣戰ㄸ戴㔲㍡戸㌵捡㠶㕣摥㘶愵㑤㕣挱㔹㡡搱㕤㠸挶搱搶㘵敦晦㍢㔸㤲〶愳摤㥦搹㈰㐳㍦慦㌹扡挵扣慥㥥㠰㠸ㄵ愹〳〰㘹㠰㕤〰扢〱〶〹挸敦㤱㤹摣㤲愲㌰收攲愶㔸㤵慦㤹㝡㔰㔶捡捣㕣㉤〷搴㐶ㅥ㐴㈲〱㜲晢攴㍦㝣㤵摥㡦㤰ぢ昱㌵昸ㄲ敡㕥㠰㝢〰敥㈵㤰㑣ち捡㝤昴㈶ㄳ慤敥挳㙢㍦㠱㠱摡㐹㤷〹㈵㌳㈹挸戰攲ㅦ晦慣㠱摦愲昲愳㡤扣づ㕦戶〹慦ㅦ㡢㜵愲挶扣收㤷〳㈸㘲搷㑥㙣㔷㍤〰㜰㍦㠱搴〳〴ㄶ攷㤹㐵㙡㝣㜷ㅣㄶㄹ㘷搰㙤て㐷昰收ㅥ㍢㕦㜵㑡㘵捦㜵挸㜵㥢搱〲㙤慡㐴ㅥ㠰㉦㙡㡡扤攸收㉡㠱㘲捦㥢昴㑡搹换㙣㥤㘹㐱㡥㡣㜴搰㘷㉦㤲昷挰慤攸㠲扥㈹摢攱挱㍦挳晣㤲ちて㘱㠱㡣搲愶㐲㈵戲戲㈹ㅢ㘶㠶㙤〶㐰摤㘳㥦搷挸挳〸㔴ㅡ㌴挴㘷㠵㈵捣散攳㙤戵搹挹愸㐶ㄸ搲扣搸㠴愵㤷㌷㠴㤸〴㄰㔲㈰扢㈴挴攲ㄱ㙣搷㥦㡢㠱㘹昹搹㠸戸搹ㄹ㤷㝣㐷挶㥤㔷㄰㕤㔱㐸扣㤴慥慣㙡㔷㜳戸ㄸ㑢愵㘲㠸㤶㤶㌲攷戹㤵㜵戸ㄹ㜷ぢて㜰〹敡㠳〴㕥晤攷昷ㅥ㍦昴慤ㅦ㝥ㄴ扤㕦㈰〵攲㡦ち㉦㐴㠵戴愳㑡㉦晥愸て搳㉢搹慤㑦㠶扦搲搱捥㙥攱つ㐱愱㔳㌶敤㜶挵㘳摣扤㑢昰㑡㜵㥤昵搹㤷㕤㙦慤攸扡㙢㘰㝥㍦慦昹㘵挶〲昸㑣扤㤱㡢㠸戲㈸㡡戱㔸㡢㜷搴攴㕣挱摢㔲づㄱ攸㥢戲慣㑣つ愳慦㍣㐲㑤㌱㜸㙦㠷愹㌰扣㑥㝥㈲换ㄸ愶㐳㈷㤳挹㍣㙤㌴愳㜹ㅥ㕢戵㌴摤捤㘸搶慡㥢搱愹搷昵㙣㉤㜰戳㥢㤶扦㈹晥㠱愸〲愷散敢㕦昹昵ㄳ昲㉢搷收扥昱㘷㙦攲戹户摦扣㈹晥㍥敡㘸㜷戳㘴ㄸ慤㜶挱攱㙥㘲晤〰㙡㍡摡㘰㡥ㄴ攳愲㘳〶㝥慦㌱㔵〹摣㔹㌳㤸昱㠳㤴㐱㠰㡡㝣捡㝥㙥慢㥢㈶つㄹ㤷㑣㜶㙤㠵㐸昷搰慤㕤攴㐱攷㉡㝥攰㜲㥤㜸昰搶晥ㄹ昷㥣ㅢ捣㤸晥扡愵㔵て㜶攸づ㝢㉥㤷㤹㐳捥〳ㄱ㑢扦摤㈰㜷㝤㥤改ㅤ搶㤸㜷㉢㕥㠹㉤捣散〴昷㐳っ㤵㕢㈰昹㈱搵ㄶて㙤㝤摣㌶搱ㅤㄲ㉢㤱捣㠹摢㍢扤㤴㈳㌴㍦㍤㌲㌹㌹㜶散攸攸挴㠹攱㘳挷㈷㐷挷挷〵㜵㠸㥡㈹㠲ㄵ改㤸愱㐷㤰㜱扥㜵㤷㤷㈶敦〶戶㌸㘹㄰㡦挳戶扥挸㝤㕥㜰㝣㔳㘷挹愸㜶搶㜴晡愳攲㔲㈵㘸改搱㌶〷愳ㅥ搲㤲㈵㠷攴愰愴㜹晡㑥㘰ㄱ愸㐲㥡捡昹㈳㉡昴户㍤慡㠷㘸〴攱晤㕡摡攱晤ㄷ㌸愱〵ㄹ㉥㐴㐷㠳㔵搷㑢㉡㌴㌹㠶搰攳㍥㤰扡摥㥣㐰敤㉣搳ㅣ捥㠱㝣愰捦戰㡤㝥㍥㠲㤱愴㔳〴㙢戱挱搶㉡㍦户㔴㘳慡攸扢㔶㈵㘰晤昵ㄲ搷㜸搵㔸㘶㤶〶㈷㍦㔵㉦㥤㉦〵ㄴ〶搵昱挱㠱摦㌹摣㈱㡡挴㈳づ㠹㥣㐷㑡ㄷ挱㙤摤〴㤴㘹㥢ㅣ愵ㄳ搹攰捦㍦㑥㠹㉦㕦挷昳摤㔳㐲慤㄰㈹ㄱ摣㡦㍢昷攲愱㐵㠳戵攰㌲㌴㜵摣㡡愵㙡㙤㜰愰晢っ㙥〰㈹㑡㐶昲㘲〰㙡㘳㔱㐶㈹㌰㑢㥡㘵㔵晢㡤〵愷㘴㔵㜴戶愸ㄵ㤹㔵㌳摥晣攴搸ㄱ晣攲挹戶㤰㔷㕤攸ㄲ㠵㌶ぢ㤴㜱慢挵っ摢戶㜷㠲㝡㤴挸捡㕤〹挲ㄱ摡㌶㌸敢ㅦ㍢㕣㠲㐷戲扢ㄱ散昳㝣㄰㤹戴㕢㥡㘰换攰㍣搶㈳㉥慥㙤㑤挳ㄶ摤㐵㤷愲㘱扤愹㘹摥っ㥢㜶〴㡦㘸㥦愱挱㔳ㄴ㘵扢愷㑣昱晢挳㔷㈷摦晡敢改摡㍢搴㡢扦㥤㐲ㄴ㠳搳〵㤱㑤扢摢搹攴㡤㜰〷㠰ㅢ㐰ㅣ㐳〳戰㕥愱昷戰㘲〶ㄶ敢㌵㜸㍦㉦㈷愰づ愰㘶㡦戱㔲㈶ㄷ㙥愶捦㤸昳㑣摤㌲ㅤ〶㑦㠴戲㌳挸挱㉤戲㔵捡㈳㥣㜷㝤ㄳ愹摤㍥㘳挵搳ㅣ㥦㥣㉥捡〵㔶㜷户搴㌸戳㘴㘳摡㜴㐸㜹挲㙦愲㍣㘰攴换敥㌵捡づ㔷㙣㘷㑥㕢昷㜷〴愳㄰㈳㠶㑦愸㔱㤲㈸㐹㘲㐲㑡㙣昷㡣攲㡥㌵㥣〰㘱㤴搰㑡〰ㄱ扢㄰㠳㜶搱㔷㜰㉡捡攴㐰㕦戱慥㤶㙣㙢挷㌰戲㥥㕥㠷つ㔶㍦㡢㌹挳〴收攷㉥㉥㌴昲㝦㥦㈰㐷㉥㈳㘶敥㜲㄰㜰挱愸愷ㅡ㈰㤰晤愱戰愰つ戲愳㜲㥥愳搶㉥㠰㐹㠳㡦㠱㉣搲搹㠹攱㈸捥㔲ㄸ㤸㈲搵㈷挳㑢挱㌳昹敡晤㘱〵㕥㥤慤㔹㝥搴㤷㜳㙤㕢㠳㜰㐱㌰昳㘴戵㔹㠲扢搸㘴㑢㔴㠳〰㤷挰愸㐹摢愴㈶㙤㤳㌷搱㘱㡣昴㈱㉦〳㤷扢慡㜹㘶㔰戶捤㔲〲ㄵ愴昸㜶㠴㔴㤲〰昱㤰㤵〸㡡㠷㡢㈶昹慢敤愱㝡ㄸ㕤ㄲ戳戳ㄴ㐲㠰㜴㘰㍥挹慥挴㑦㜰㜱㥢戹ㄹㄲ㕥ㄵづ慥ち攱㤵昹㕤っ㠲㘶㍣㑤慥ㄷ戵㜰㌳㈴㈲㡤㠲㙥㜵㉣㉡愰ㄲ㐷搶愲㙢挰㡣愰㉥戹攸㙡晡㉣㘵㠱㕤慦㈷扡搱㐹㄰㙢㘱㔴扣㌴㔲㈴㌹捡㉦㔲摥㜲㠳㍣㘰㉦㠱㠶㍣愵ㅦ攲㐸慥㈸㈱て㐱ㅢ㐱㤶㝢ㄳ㥤扥戵㔰挳㜵㌰ち㈶㥢㙦愶ㄶ㙥挱晦摥㠵ㄳ愷戰昶㘴ㄲ㑥㠴㍡づ㌰㐱㐰㐴昲〵晢㘹ㅢ㜰っ〳㡥ㄳ㤰ㄱ㠵户㙢挹㤶〹〵摣扦挸㌶ㄲㅤ〹ㅢ摢㈱㘷㐳愱昴〷㈵㑣㠸㈴㑡㙦〲〹〷昵〴㠱摦摤戸㜱㤲㕥㠲昸㌰㠱摡昷㌹搹挲〵㑥㔲戳晡ㄸ〱ㄹ㜱挷㥤〵㍥㤸㥥㙥㡡㐶愱愳晥㉥攳㐲㐵戳攸㤲㘶㠹㍣愱〰㑤㍢㐱〹攲愱㍦摡㝥晦搰㝡㜷㐳㌱ㅤ摦挲㔳捦㈰ㅦ搲㑥㠳搶戱搱摥㝣㡣摣㥥扦㥡㤴㝦㐵愹㠱㍢晢ち㈴愹㘷〳挹慤㐲㠱㤲㍥㔴〳攳㤳敡攷〰改昴㠶㐷搵攵㌸㘸㜳摦㠰㙤戰㈱扥㌰㔴㐳ㄶ慥㔵㍢挹㝤敢愹〰ㄹㄲ㜱㌴〰㠷晡昹愸挰愵㄰ち㝥㕢㥢〲㐳㐴攱㈷㔹㤷㝣㔰戵挸愲愳㠸㜴㑥㔸㠲〸㠷摤戴㍣搷㈳攷㌴摥㥥扥慤捦㐵㑡愴㜷㑦㕢扡㥣㑦㐳て㡣㤷晣ㄶㄱ㜸换昹慤㌴挵ㅣ㍣捡㘹〲㝢捥㥡㈵捦昵㕤㈳挸攴挹㉦挹攰〲挵㈰㥣㔳昲㥢㠴戱攳㌷戱戱戸㠳摢㐸捥愶攴㥡攳㕥㜳昸㙡㘴ㅦ昷㐸㥣㕥㍤㍤昸っ晣㔶晥㝣㥡愸㤸㠶愱挳㘴㜵㥡㐰㕦㉣つ㑢㠱挱㑡㡥挰愱摣㜴㙥戹㔰㉣㡤㘸㈵挳㈸㑥戲昱ㄳ攳㘳㘳晡愴㘱戰㠹搲㘸㠹㡤㡣ㄸ㤳ㄳ攳ㄳ㘹㙥㔸㘸戸㍡㐳㈰つ㔳挲㍦㜷〶㌵搸ㄴ㕥㐳摦〰㑣〱扥てㄱ扡慢㑦ㅡ〶〴㜲愰捣ㄱ搸㤵㥢㉥戴㕥搹㉡昳搴㥣愲㘶㙥㙡㤷改昲㐶㔹愰㤶㝥㙡㘹㜲㔶搲戰㐰挰愲㍥〱㠰挴㌹扦〸ㄵ㈱攸㝣ㄷ㘷愹㠰〱昸㠹㕣ㅡ愹愰㥥㈳㠰〷慤㘹㐸㈵愷攸ㄲㄵ晡㘲㌲〸晢昸搶㤹㥣愶捦て㤱愲戴㕣㙦㥤愱敢慡㉡づ慤ㄸㅤㄳ㌲㕦㝡㕣㝡㙣㝢戸㘰㕡攰㔹昱摦㡦㐸㡥㍥〱ㅥ㤰愲㘱て㠰昱㈱晡愹ㄷ㠰ㅥ㝣敥ㄸ㑢㜵扢搹㠶㍣散戵ㄷ㝣㘲っ摤〷慣戸㔳昵摢昵㕤㌵㠶つ搵敥㈲づ㌵㕡㙡〹㡢摡戴㈵慦㍥㡦㤲敢㘴慥愸㘳〸㌷ㄷ㝢ㅢ戵愶戴晡㠱㐶㉢㘵愶㈸㘶㘶㝡つ愳㑦ㄹ昶戸ㄴㄳ㡦㜴㈲㜶㤴㍡愶㙣㙤つ挱ㄹ愷㘲攳㌸㍡搰攱㜰㥥㌶〳㙥挴㈰ㄳ愲㥡㈳愸攴〱㑥ㅥ捣ㅤㅣ㍢㈱晦㠰㔸昱㌱扥搲㑡㝡㝣ㄳ㉤㐹昵㈲㑡搰㌸攰㐳㤳〸ㄱ㐶昶㕢㍤〴昰〸挰㘱〲攲㜷㘸㐰挷㔴昱户愳㡥昶㔴㜱ㅡ㐲捦㈵晡㈹㈰㜹ㅡ攰ㄹ〲挹㜴㑤敥㘵㠸㝡挷㑤昰㤸㉤ㅢ扡戶㡤敢改〱ㅡ㉥ㅢ戰扢扤㐶㜸㍢っ改攴㜹㐱㡢ㅢ慤ㄴ㜹戹ㅥ㕤㄰㉦㔲搸㐶扥㉤晤㝦㐳愴捥ㄴ捥挱摢愸昹㔱㉡慦㘱戲㘲㉣㜹攴㔸昵ㄸぢ㍥〵㠷㝡㠲敥㕤〲扡戰㜷㜶挲改㑦挷㐸ㅣ㕡㑣㝡㡣扣愱搴搱㠲挳㌴户晢㕤㑤ㄱ㜰㠳ㅥ戵っ㠸〴攷㜸㝢㘷扦昲㈵晡㔸攳愶㜰〳慡攲㑢攲敢㈴〰㙦搲㉦昹昷搱㝤搱ㅤ㡢㈴愸㔷㘸㉣ㄷㅦ㤱敦㠱ㄲ挲㙡ㄱ㑤戸㡣攱㐰㤰愱昸敤㥢挲㔹㍡㡢ㄹ㙤昷㥢扤扤搸改捡昵㥦㥥晥敦搸㌳㔳㜱挸㙤㌷慤㠱㐹敤戱ぢ㜴晤愱㔵ㄳ㜶挱㘲捥㙡㔰慥晦扦ㄵ挹㍦摤㘶愹㍡つち〹㑣昲つ㈱㥤愶㥦昸㑤摡ちっㅤ㡣㜷㐲㔲㐴〸㉥敦㜸㌹敡㠰晤㑥㔰㈸〲㘱收ㅤ搷愳づ㑡㑢〸㙡㤹㠰㝣㠵挰ㅤ㜳〵㙡户㑤挷挶愴愹㘲ㄱ㠰㝥敡搵愸㠰捡〰㌶㠷〲晥㠱㐵ㄸ挰慡㉥搳㑦摡ㄴ㑢㔷昴㉢㔷㍥ㄸ㠸㘷昶挷扦㜰㍡㜵晤㑦扦㝤昷挵㜷㥥㍥㜹昳挳㔷㕥㜹攷㉦㉦摥昸昰㘷挵㤳扦㜹攳㡤㕦㍥昱敡㡤㜷㜷ㅢ慦㐹㍦晥㘰昱戵攷㐷搶㥥㝦搶戸㜸㘴敥昹㉦㕥扤㌰㜲㝥搷㔰㉣搶搳㜳㜸昰敤晢ㅥ㑤㝦昹搹㥦㠸㙦晤昱㕥㐷攴㉢愱て搴て㌵㉡ぢ㘹慣㠸㥢〰㡢ち㝤㌱ㄱ㉦㑥戲㤷㈲㤲愱㤲㄰㠵摥晦〱摦摡ㄹ戶</t>
  </si>
  <si>
    <t>CAPITAL PRESTADO $ 46.742</t>
  </si>
  <si>
    <t>TARGET (10%)</t>
  </si>
  <si>
    <t>PRECIO por FRASCO</t>
  </si>
  <si>
    <t>TOTAL COSTO DIRECTO ANUAL DEMANDADO</t>
  </si>
  <si>
    <t>CTO DE VTAS Y PUBLICIDAD</t>
  </si>
  <si>
    <t>No Factible</t>
  </si>
  <si>
    <t>Factible</t>
  </si>
  <si>
    <t>Costos Totales</t>
  </si>
  <si>
    <t>Resultado</t>
  </si>
  <si>
    <t>Variación</t>
  </si>
  <si>
    <t>Porcentaje</t>
  </si>
  <si>
    <t>Variable</t>
  </si>
  <si>
    <t>Demanda</t>
  </si>
  <si>
    <t>Precio Venta</t>
  </si>
  <si>
    <t>ANÁLISIS DE SENSIBILIDAD</t>
  </si>
  <si>
    <t>VALORES</t>
  </si>
  <si>
    <t>B=Bsin deuda(1+(1-Tcorporativa)(deuda/capital propio)</t>
  </si>
  <si>
    <t>TMAR</t>
  </si>
  <si>
    <t>ACTIVOS FIJOS</t>
  </si>
  <si>
    <t>VEHÍCULO</t>
  </si>
  <si>
    <t>ACTIVOS DIFERIDOS</t>
  </si>
  <si>
    <t>TOTAL GASTOS DIFERIDOS</t>
  </si>
  <si>
    <t>MARGEN DE GANANCIA POR UNIDAD</t>
  </si>
  <si>
    <t xml:space="preserve">DEMANDA SENSIBILIZADA </t>
  </si>
  <si>
    <t>VAN vs INGRESOS</t>
  </si>
  <si>
    <t>Resultado de las encuestas 86% lo redondeamos a 85%</t>
  </si>
  <si>
    <t>Tasa Corporativa</t>
  </si>
  <si>
    <t>Beta sin deuda</t>
  </si>
  <si>
    <t>(deuda/capital propio)</t>
  </si>
  <si>
    <t>años</t>
  </si>
  <si>
    <t>TABLA   DE   AMORTIZACIÓN</t>
  </si>
  <si>
    <t>AMORTIZACIÓN</t>
  </si>
  <si>
    <t>MANO INDIRECTOS DE PRODUCCION</t>
  </si>
  <si>
    <t>DEL PAYBACK ES DE 9 AÑOS 12 DÍAS DEL AÑO 10</t>
  </si>
  <si>
    <t>PUNTO DE EQUILIBRIO EN DÓLARES</t>
  </si>
  <si>
    <t>ANÁLISIS DE SENSIBILIDAD VAN vs TMAR</t>
  </si>
  <si>
    <t>ANÁLISIS DE SENSIBILIDAD VAN vs COSTOS TOTALES</t>
  </si>
  <si>
    <t>egún el análisis de Porter nuestro target  es de 12781 habitantes acaparando el 85% de aceptación del resultado de las encuestas.</t>
  </si>
  <si>
    <t>OFERTA ELEGIDA</t>
  </si>
  <si>
    <t>ANÁLISIS DE SENSIBILIDAD VAN vs DEMANDA</t>
  </si>
  <si>
    <t>g</t>
  </si>
  <si>
    <t>VENTAS ANUALES SEGÚN DEMANDA PONDERADO</t>
  </si>
</sst>
</file>

<file path=xl/styles.xml><?xml version="1.0" encoding="utf-8"?>
<styleSheet xmlns="http://schemas.openxmlformats.org/spreadsheetml/2006/main">
  <numFmts count="23">
    <numFmt numFmtId="164" formatCode="&quot;$&quot;\ #,##0_);[Red]\(&quot;$&quot;\ #,##0\)"/>
    <numFmt numFmtId="165" formatCode="&quot;$&quot;\ #,##0.00_);[Red]\(&quot;$&quot;\ #,##0.00\)"/>
    <numFmt numFmtId="166" formatCode="_(&quot;$&quot;\ * #,##0.00_);_(&quot;$&quot;\ * \(#,##0.00\);_(&quot;$&quot;\ * &quot;-&quot;??_);_(@_)"/>
    <numFmt numFmtId="167" formatCode="_(* #,##0.00_);_(* \(#,##0.00\);_(* &quot;-&quot;??_);_(@_)"/>
    <numFmt numFmtId="168" formatCode="_([$$-300A]\ * #,##0.00_);_([$$-300A]\ * \(#,##0.00\);_([$$-300A]\ * &quot;-&quot;??_);_(@_)"/>
    <numFmt numFmtId="169" formatCode="_-* #,##0\ _€_-;\-* #,##0\ _€_-;_-* &quot;-&quot;??\ _€_-;_-@_-"/>
    <numFmt numFmtId="170" formatCode="0.00000"/>
    <numFmt numFmtId="171" formatCode="&quot;$&quot;\ #,##0.000000_);[Red]\(&quot;$&quot;\ #,##0.000000\)"/>
    <numFmt numFmtId="172" formatCode="&quot;$&quot;\ #,##0.00000000000_);[Red]\(&quot;$&quot;\ #,##0.00000000000\)"/>
    <numFmt numFmtId="173" formatCode="0.00000000"/>
    <numFmt numFmtId="174" formatCode="0.0%"/>
    <numFmt numFmtId="175" formatCode="#,##0.00\ _€;[Red]#,##0.00\ _€"/>
    <numFmt numFmtId="176" formatCode="[$$-300A]\ #,##0.0_ ;[Red]\-[$$-300A]\ #,##0.0\ "/>
    <numFmt numFmtId="177" formatCode="0.000"/>
    <numFmt numFmtId="178" formatCode="&quot;$&quot;\ #,##0.0000000_);[Red]\(&quot;$&quot;\ #,##0.0000000\)"/>
    <numFmt numFmtId="179" formatCode="_(&quot;$&quot;\ * #,##0.000000_);_(&quot;$&quot;\ * \(#,##0.000000\);_(&quot;$&quot;\ * &quot;-&quot;??_);_(@_)"/>
    <numFmt numFmtId="180" formatCode="_(&quot;$&quot;\ * #,##0.0000000_);_(&quot;$&quot;\ * \(#,##0.0000000\);_(&quot;$&quot;\ * &quot;-&quot;??_);_(@_)"/>
    <numFmt numFmtId="181" formatCode="0.0000000"/>
    <numFmt numFmtId="182" formatCode="_(&quot;$&quot;\ * #,##0_);_(&quot;$&quot;\ * \(#,##0\);_(&quot;$&quot;\ * &quot;-&quot;??_);_(@_)"/>
    <numFmt numFmtId="183" formatCode="_-[$$-300A]\ * #,##0.00_ ;_-[$$-300A]\ * \-#,##0.00\ ;_-[$$-300A]\ * &quot;-&quot;??_ ;_-@_ "/>
    <numFmt numFmtId="184" formatCode="_-[$$-300A]\ * #,##0.000_ ;_-[$$-300A]\ * \-#,##0.000\ ;_-[$$-300A]\ * &quot;-&quot;??_ ;_-@_ "/>
    <numFmt numFmtId="185" formatCode="&quot;$&quot;\ #,##0.00000_);[Red]\(&quot;$&quot;\ #,##0.00000\)"/>
    <numFmt numFmtId="186" formatCode="&quot;$&quot;\ #,##0.00"/>
  </numFmts>
  <fonts count="51">
    <font>
      <sz val="11"/>
      <color theme="1"/>
      <name val="Calibri"/>
      <family val="2"/>
      <scheme val="minor"/>
    </font>
    <font>
      <b/>
      <sz val="11"/>
      <color indexed="8"/>
      <name val="Calibri"/>
      <family val="2"/>
    </font>
    <font>
      <sz val="11"/>
      <color indexed="8"/>
      <name val="Calibri"/>
      <family val="2"/>
    </font>
    <font>
      <sz val="10"/>
      <color indexed="8"/>
      <name val="Times New Roman"/>
      <family val="1"/>
    </font>
    <font>
      <b/>
      <sz val="10"/>
      <color indexed="8"/>
      <name val="Times New Roman"/>
      <family val="1"/>
    </font>
    <font>
      <sz val="12"/>
      <color indexed="8"/>
      <name val="Adobe Caslon Pro Bold"/>
      <family val="1"/>
    </font>
    <font>
      <b/>
      <sz val="10"/>
      <name val="Arial"/>
      <family val="2"/>
    </font>
    <font>
      <sz val="10"/>
      <name val="Arial"/>
      <family val="2"/>
    </font>
    <font>
      <sz val="10"/>
      <color indexed="10"/>
      <name val="Arial"/>
      <family val="2"/>
    </font>
    <font>
      <sz val="16"/>
      <color indexed="8"/>
      <name val="Algerian"/>
      <family val="5"/>
    </font>
    <font>
      <b/>
      <sz val="9"/>
      <name val="Tahoma"/>
      <family val="2"/>
    </font>
    <font>
      <sz val="12"/>
      <color indexed="8"/>
      <name val="Calibri"/>
      <family val="2"/>
    </font>
    <font>
      <b/>
      <sz val="12"/>
      <color indexed="8"/>
      <name val="Calibri"/>
      <family val="2"/>
    </font>
    <font>
      <sz val="12"/>
      <name val="Calibri"/>
      <family val="2"/>
    </font>
    <font>
      <sz val="10"/>
      <color indexed="8"/>
      <name val="Calibri"/>
      <family val="2"/>
    </font>
    <font>
      <b/>
      <sz val="10"/>
      <color indexed="8"/>
      <name val="Calibri"/>
      <family val="2"/>
    </font>
    <font>
      <b/>
      <u/>
      <sz val="10"/>
      <color indexed="8"/>
      <name val="Calibri"/>
      <family val="2"/>
    </font>
    <font>
      <sz val="10"/>
      <color indexed="8"/>
      <name val="Arial"/>
      <family val="2"/>
    </font>
    <font>
      <sz val="10"/>
      <color indexed="8"/>
      <name val="Arial"/>
      <family val="2"/>
    </font>
    <font>
      <u/>
      <sz val="10"/>
      <color indexed="8"/>
      <name val="Calibri"/>
      <family val="2"/>
    </font>
    <font>
      <b/>
      <sz val="10"/>
      <name val="Calibri"/>
      <family val="2"/>
    </font>
    <font>
      <b/>
      <u/>
      <sz val="10"/>
      <name val="Calibri"/>
      <family val="2"/>
    </font>
    <font>
      <b/>
      <sz val="11.5"/>
      <color indexed="8"/>
      <name val="Garamond"/>
      <family val="1"/>
    </font>
    <font>
      <sz val="8"/>
      <name val="Calibri"/>
      <family val="2"/>
    </font>
    <font>
      <b/>
      <sz val="10"/>
      <color indexed="8"/>
      <name val="Arial"/>
      <family val="2"/>
    </font>
    <font>
      <sz val="10"/>
      <color theme="1"/>
      <name val="Arial"/>
      <family val="2"/>
    </font>
    <font>
      <b/>
      <sz val="10"/>
      <color theme="1"/>
      <name val="Arial"/>
      <family val="2"/>
    </font>
    <font>
      <b/>
      <u/>
      <sz val="10"/>
      <name val="Arial"/>
      <family val="2"/>
    </font>
    <font>
      <u/>
      <sz val="10"/>
      <name val="Arial"/>
      <family val="2"/>
    </font>
    <font>
      <b/>
      <sz val="10"/>
      <color indexed="10"/>
      <name val="Arial"/>
      <family val="2"/>
    </font>
    <font>
      <sz val="12"/>
      <color indexed="8"/>
      <name val="Times New Roman"/>
      <family val="1"/>
    </font>
    <font>
      <b/>
      <sz val="11"/>
      <color theme="1"/>
      <name val="Calibri"/>
      <family val="2"/>
      <scheme val="minor"/>
    </font>
    <font>
      <b/>
      <sz val="7"/>
      <color indexed="8"/>
      <name val="Calibri"/>
      <family val="2"/>
    </font>
    <font>
      <sz val="7"/>
      <color theme="1"/>
      <name val="Calibri"/>
      <family val="2"/>
      <scheme val="minor"/>
    </font>
    <font>
      <b/>
      <sz val="7"/>
      <color theme="1"/>
      <name val="Calibri"/>
      <family val="2"/>
      <scheme val="minor"/>
    </font>
    <font>
      <b/>
      <sz val="7"/>
      <color indexed="8"/>
      <name val="Garamond"/>
      <family val="1"/>
    </font>
    <font>
      <sz val="7"/>
      <color theme="1"/>
      <name val="Arial"/>
      <family val="2"/>
    </font>
    <font>
      <b/>
      <sz val="8"/>
      <color indexed="8"/>
      <name val="Arial"/>
      <family val="2"/>
    </font>
    <font>
      <sz val="8"/>
      <color theme="1"/>
      <name val="Arial"/>
      <family val="2"/>
    </font>
    <font>
      <sz val="7"/>
      <color indexed="8"/>
      <name val="Calibri"/>
      <family val="2"/>
    </font>
    <font>
      <b/>
      <u/>
      <sz val="7"/>
      <color indexed="8"/>
      <name val="Calibri"/>
      <family val="2"/>
    </font>
    <font>
      <b/>
      <sz val="7"/>
      <name val="Calibri"/>
      <family val="2"/>
    </font>
    <font>
      <b/>
      <sz val="8"/>
      <name val="Arial"/>
      <family val="2"/>
    </font>
    <font>
      <sz val="8"/>
      <name val="Arial"/>
      <family val="2"/>
    </font>
    <font>
      <sz val="12"/>
      <name val="Arial"/>
      <family val="2"/>
    </font>
    <font>
      <b/>
      <sz val="12"/>
      <name val="Arial"/>
      <family val="2"/>
    </font>
    <font>
      <sz val="12"/>
      <color theme="1"/>
      <name val="Arial"/>
      <family val="2"/>
    </font>
    <font>
      <b/>
      <sz val="12"/>
      <color theme="1"/>
      <name val="Arial"/>
      <family val="2"/>
    </font>
    <font>
      <b/>
      <i/>
      <u/>
      <sz val="12"/>
      <name val="Arial"/>
      <family val="2"/>
    </font>
    <font>
      <b/>
      <sz val="9"/>
      <color indexed="8"/>
      <name val="Calibri"/>
      <family val="2"/>
    </font>
    <font>
      <sz val="9"/>
      <color indexed="8"/>
      <name val="Calibri"/>
      <family val="2"/>
    </font>
  </fonts>
  <fills count="14">
    <fill>
      <patternFill patternType="none"/>
    </fill>
    <fill>
      <patternFill patternType="gray125"/>
    </fill>
    <fill>
      <patternFill patternType="solid">
        <fgColor indexed="9"/>
        <bgColor indexed="64"/>
      </patternFill>
    </fill>
    <fill>
      <patternFill patternType="solid">
        <fgColor indexed="50"/>
        <bgColor indexed="64"/>
      </patternFill>
    </fill>
    <fill>
      <patternFill patternType="solid">
        <fgColor indexed="11"/>
        <bgColor indexed="64"/>
      </patternFill>
    </fill>
    <fill>
      <patternFill patternType="solid">
        <fgColor indexed="13"/>
        <bgColor indexed="64"/>
      </patternFill>
    </fill>
    <fill>
      <patternFill patternType="solid">
        <fgColor rgb="FF00FF00"/>
        <bgColor indexed="64"/>
      </patternFill>
    </fill>
    <fill>
      <patternFill patternType="solid">
        <fgColor indexed="65"/>
        <bgColor indexed="64"/>
      </patternFill>
    </fill>
    <fill>
      <patternFill patternType="solid">
        <fgColor rgb="FF00B0F0"/>
        <bgColor indexed="64"/>
      </patternFill>
    </fill>
    <fill>
      <patternFill patternType="solid">
        <fgColor rgb="FF00B050"/>
        <bgColor indexed="64"/>
      </patternFill>
    </fill>
    <fill>
      <patternFill patternType="solid">
        <fgColor theme="5"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rgb="FFC0000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double">
        <color indexed="36"/>
      </left>
      <right style="thin">
        <color indexed="64"/>
      </right>
      <top style="double">
        <color indexed="36"/>
      </top>
      <bottom style="thin">
        <color indexed="64"/>
      </bottom>
      <diagonal/>
    </border>
    <border>
      <left style="thin">
        <color indexed="64"/>
      </left>
      <right style="thin">
        <color indexed="64"/>
      </right>
      <top style="double">
        <color indexed="36"/>
      </top>
      <bottom style="thin">
        <color indexed="64"/>
      </bottom>
      <diagonal/>
    </border>
    <border>
      <left style="thin">
        <color indexed="64"/>
      </left>
      <right style="double">
        <color indexed="36"/>
      </right>
      <top style="double">
        <color indexed="36"/>
      </top>
      <bottom style="thin">
        <color indexed="64"/>
      </bottom>
      <diagonal/>
    </border>
    <border>
      <left style="double">
        <color indexed="36"/>
      </left>
      <right style="thin">
        <color indexed="64"/>
      </right>
      <top style="thin">
        <color indexed="64"/>
      </top>
      <bottom style="thin">
        <color indexed="64"/>
      </bottom>
      <diagonal/>
    </border>
    <border>
      <left style="thin">
        <color indexed="64"/>
      </left>
      <right style="double">
        <color indexed="36"/>
      </right>
      <top style="thin">
        <color indexed="64"/>
      </top>
      <bottom style="thin">
        <color indexed="64"/>
      </bottom>
      <diagonal/>
    </border>
    <border>
      <left style="double">
        <color indexed="36"/>
      </left>
      <right style="thin">
        <color indexed="64"/>
      </right>
      <top style="thin">
        <color indexed="64"/>
      </top>
      <bottom style="double">
        <color indexed="36"/>
      </bottom>
      <diagonal/>
    </border>
    <border>
      <left style="thin">
        <color indexed="64"/>
      </left>
      <right style="thin">
        <color indexed="64"/>
      </right>
      <top style="thin">
        <color indexed="64"/>
      </top>
      <bottom style="double">
        <color indexed="36"/>
      </bottom>
      <diagonal/>
    </border>
    <border>
      <left style="thin">
        <color indexed="64"/>
      </left>
      <right style="double">
        <color indexed="36"/>
      </right>
      <top style="thin">
        <color indexed="64"/>
      </top>
      <bottom style="double">
        <color indexed="36"/>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diagonal/>
    </border>
    <border>
      <left style="double">
        <color indexed="36"/>
      </left>
      <right/>
      <top/>
      <bottom/>
      <diagonal/>
    </border>
    <border>
      <left style="thin">
        <color indexed="64"/>
      </left>
      <right/>
      <top/>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thin">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67" fontId="2" fillId="0" borderId="0" applyFont="0" applyFill="0" applyBorder="0" applyAlignment="0" applyProtection="0"/>
    <xf numFmtId="166" fontId="2" fillId="0" borderId="0" applyFont="0" applyFill="0" applyBorder="0" applyAlignment="0" applyProtection="0"/>
    <xf numFmtId="0" fontId="7" fillId="0" borderId="0"/>
    <xf numFmtId="9" fontId="2" fillId="0" borderId="0" applyFont="0" applyFill="0" applyBorder="0" applyAlignment="0" applyProtection="0"/>
  </cellStyleXfs>
  <cellXfs count="489">
    <xf numFmtId="0" fontId="0" fillId="0" borderId="0" xfId="0"/>
    <xf numFmtId="165" fontId="0" fillId="0" borderId="0" xfId="0" applyNumberFormat="1"/>
    <xf numFmtId="0" fontId="1" fillId="0" borderId="0" xfId="0" applyFont="1"/>
    <xf numFmtId="0" fontId="0" fillId="0" borderId="1" xfId="0" applyBorder="1"/>
    <xf numFmtId="0" fontId="0" fillId="0" borderId="0" xfId="0" applyBorder="1"/>
    <xf numFmtId="0" fontId="5" fillId="0" borderId="0" xfId="0" applyFont="1"/>
    <xf numFmtId="9" fontId="0" fillId="0" borderId="0" xfId="0" applyNumberFormat="1"/>
    <xf numFmtId="0" fontId="0" fillId="0" borderId="0" xfId="0" applyFill="1" applyBorder="1"/>
    <xf numFmtId="0" fontId="0" fillId="0" borderId="4" xfId="0" applyBorder="1"/>
    <xf numFmtId="0" fontId="7" fillId="0" borderId="0" xfId="0" applyFont="1"/>
    <xf numFmtId="2" fontId="6" fillId="0" borderId="0" xfId="0" applyNumberFormat="1" applyFont="1" applyFill="1" applyBorder="1"/>
    <xf numFmtId="0" fontId="7" fillId="0" borderId="0" xfId="0" applyFont="1" applyFill="1" applyBorder="1"/>
    <xf numFmtId="2" fontId="7" fillId="0" borderId="0" xfId="0" applyNumberFormat="1" applyFont="1" applyFill="1" applyBorder="1"/>
    <xf numFmtId="0" fontId="6" fillId="0" borderId="1" xfId="0" applyFont="1" applyFill="1" applyBorder="1"/>
    <xf numFmtId="0" fontId="6" fillId="0" borderId="1" xfId="0" applyFont="1" applyBorder="1"/>
    <xf numFmtId="174" fontId="6" fillId="0" borderId="0" xfId="4" applyNumberFormat="1" applyFont="1" applyFill="1" applyBorder="1"/>
    <xf numFmtId="175" fontId="6" fillId="0" borderId="0" xfId="0" applyNumberFormat="1" applyFont="1" applyFill="1" applyBorder="1" applyAlignment="1">
      <alignment horizontal="right"/>
    </xf>
    <xf numFmtId="0" fontId="6" fillId="0" borderId="5" xfId="0" applyFont="1" applyFill="1" applyBorder="1"/>
    <xf numFmtId="0" fontId="6" fillId="0" borderId="6" xfId="0" applyFont="1" applyFill="1" applyBorder="1"/>
    <xf numFmtId="0" fontId="10" fillId="0" borderId="9" xfId="3" applyFont="1" applyFill="1" applyBorder="1" applyAlignment="1">
      <alignment horizontal="center" vertical="center" wrapText="1"/>
    </xf>
    <xf numFmtId="2" fontId="11" fillId="0" borderId="1" xfId="0" applyNumberFormat="1" applyFont="1" applyBorder="1" applyAlignment="1">
      <alignment horizontal="center"/>
    </xf>
    <xf numFmtId="2" fontId="0" fillId="0" borderId="0" xfId="0" applyNumberFormat="1"/>
    <xf numFmtId="0" fontId="6" fillId="0" borderId="2" xfId="0" applyFont="1" applyFill="1" applyBorder="1"/>
    <xf numFmtId="2" fontId="8" fillId="0" borderId="0" xfId="0" applyNumberFormat="1" applyFont="1" applyFill="1" applyBorder="1"/>
    <xf numFmtId="9" fontId="0" fillId="0" borderId="1" xfId="0" applyNumberFormat="1" applyBorder="1"/>
    <xf numFmtId="0" fontId="7" fillId="0" borderId="1" xfId="0" applyFont="1" applyFill="1" applyBorder="1" applyAlignment="1">
      <alignment horizontal="center"/>
    </xf>
    <xf numFmtId="0" fontId="0" fillId="0" borderId="0" xfId="0" applyBorder="1" applyAlignment="1"/>
    <xf numFmtId="0" fontId="0" fillId="0" borderId="0" xfId="0" applyBorder="1" applyAlignment="1">
      <alignment horizontal="left"/>
    </xf>
    <xf numFmtId="0" fontId="0" fillId="0" borderId="0" xfId="0" applyFill="1" applyBorder="1" applyAlignment="1">
      <alignment horizontal="left"/>
    </xf>
    <xf numFmtId="177" fontId="0" fillId="0" borderId="1" xfId="1" applyNumberFormat="1" applyFont="1" applyBorder="1" applyAlignment="1">
      <alignment horizontal="right"/>
    </xf>
    <xf numFmtId="177" fontId="2" fillId="0" borderId="1" xfId="1" applyNumberFormat="1" applyFont="1" applyBorder="1" applyAlignment="1">
      <alignment horizontal="right"/>
    </xf>
    <xf numFmtId="0" fontId="15" fillId="0" borderId="0" xfId="0" applyFont="1"/>
    <xf numFmtId="0" fontId="14" fillId="0" borderId="1" xfId="0" applyFont="1" applyBorder="1"/>
    <xf numFmtId="0" fontId="15" fillId="0" borderId="1" xfId="0" applyFont="1" applyBorder="1"/>
    <xf numFmtId="0" fontId="14" fillId="0" borderId="1" xfId="0" applyFont="1" applyBorder="1" applyAlignment="1">
      <alignment horizontal="left"/>
    </xf>
    <xf numFmtId="165" fontId="14" fillId="0" borderId="1" xfId="0" applyNumberFormat="1" applyFont="1" applyBorder="1"/>
    <xf numFmtId="0" fontId="14" fillId="0" borderId="1" xfId="0" applyFont="1" applyFill="1" applyBorder="1" applyAlignment="1">
      <alignment horizontal="left"/>
    </xf>
    <xf numFmtId="0" fontId="14" fillId="0" borderId="0" xfId="0" applyFont="1"/>
    <xf numFmtId="0" fontId="15" fillId="0" borderId="1" xfId="0" applyFont="1" applyBorder="1" applyAlignment="1">
      <alignment horizontal="center"/>
    </xf>
    <xf numFmtId="0" fontId="14" fillId="0" borderId="0" xfId="0" applyFont="1" applyFill="1" applyBorder="1" applyAlignment="1">
      <alignment horizontal="left"/>
    </xf>
    <xf numFmtId="165" fontId="14" fillId="0" borderId="0" xfId="0" applyNumberFormat="1" applyFont="1" applyBorder="1"/>
    <xf numFmtId="0" fontId="15" fillId="0" borderId="0" xfId="0" applyFont="1" applyBorder="1" applyAlignment="1"/>
    <xf numFmtId="0" fontId="14" fillId="0" borderId="0" xfId="0" applyFont="1" applyBorder="1"/>
    <xf numFmtId="0" fontId="15" fillId="0" borderId="1" xfId="0" applyFont="1" applyBorder="1" applyAlignment="1"/>
    <xf numFmtId="0" fontId="14" fillId="0" borderId="1" xfId="0" applyFont="1" applyBorder="1" applyAlignment="1"/>
    <xf numFmtId="9" fontId="14" fillId="0" borderId="1" xfId="0" applyNumberFormat="1" applyFont="1" applyBorder="1" applyAlignment="1"/>
    <xf numFmtId="1" fontId="14" fillId="0" borderId="1" xfId="0" applyNumberFormat="1" applyFont="1" applyBorder="1" applyAlignment="1"/>
    <xf numFmtId="0" fontId="14" fillId="0" borderId="0" xfId="0" applyFont="1" applyBorder="1" applyAlignment="1"/>
    <xf numFmtId="9" fontId="14" fillId="0" borderId="1" xfId="0" applyNumberFormat="1" applyFont="1" applyBorder="1"/>
    <xf numFmtId="0" fontId="14" fillId="0" borderId="4" xfId="0" applyFont="1" applyBorder="1"/>
    <xf numFmtId="0" fontId="14" fillId="0" borderId="0" xfId="0" applyFont="1" applyFill="1" applyBorder="1"/>
    <xf numFmtId="0" fontId="15" fillId="0" borderId="0" xfId="0" applyFont="1" applyBorder="1"/>
    <xf numFmtId="0" fontId="15" fillId="0" borderId="1" xfId="0" applyFont="1" applyFill="1" applyBorder="1"/>
    <xf numFmtId="166" fontId="14" fillId="0" borderId="1" xfId="2" applyFont="1" applyBorder="1"/>
    <xf numFmtId="0" fontId="14" fillId="0" borderId="1" xfId="0" applyFont="1" applyFill="1" applyBorder="1"/>
    <xf numFmtId="0" fontId="15" fillId="0" borderId="0" xfId="0" applyFont="1" applyFill="1" applyBorder="1"/>
    <xf numFmtId="182" fontId="6" fillId="0" borderId="8" xfId="2" applyNumberFormat="1" applyFont="1" applyFill="1" applyBorder="1"/>
    <xf numFmtId="1" fontId="15" fillId="0" borderId="0" xfId="0" applyNumberFormat="1" applyFont="1" applyBorder="1" applyAlignment="1"/>
    <xf numFmtId="1" fontId="15" fillId="0" borderId="1" xfId="0" applyNumberFormat="1" applyFont="1" applyBorder="1" applyAlignment="1"/>
    <xf numFmtId="0" fontId="14" fillId="0" borderId="3" xfId="0" applyFont="1" applyBorder="1" applyAlignment="1"/>
    <xf numFmtId="0" fontId="14" fillId="0" borderId="10" xfId="0" applyFont="1" applyBorder="1" applyAlignment="1"/>
    <xf numFmtId="0" fontId="14" fillId="0" borderId="36" xfId="0" applyFont="1" applyBorder="1" applyAlignment="1"/>
    <xf numFmtId="0" fontId="14" fillId="0" borderId="3" xfId="0" applyFont="1" applyFill="1" applyBorder="1" applyAlignment="1"/>
    <xf numFmtId="1" fontId="15" fillId="0" borderId="10" xfId="0" applyNumberFormat="1" applyFont="1" applyBorder="1" applyAlignment="1"/>
    <xf numFmtId="1" fontId="14" fillId="0" borderId="10" xfId="0" applyNumberFormat="1" applyFont="1" applyBorder="1" applyAlignment="1"/>
    <xf numFmtId="0" fontId="15" fillId="0" borderId="29" xfId="0" applyFont="1" applyBorder="1" applyAlignment="1">
      <alignment horizontal="left"/>
    </xf>
    <xf numFmtId="0" fontId="14" fillId="0" borderId="0" xfId="0" applyFont="1" applyAlignment="1">
      <alignment horizontal="left"/>
    </xf>
    <xf numFmtId="3" fontId="17" fillId="0" borderId="1" xfId="0" applyNumberFormat="1" applyFont="1" applyBorder="1"/>
    <xf numFmtId="4" fontId="18" fillId="0" borderId="1" xfId="0" applyNumberFormat="1" applyFont="1" applyBorder="1"/>
    <xf numFmtId="3" fontId="18" fillId="0" borderId="1" xfId="0" applyNumberFormat="1" applyFont="1" applyBorder="1"/>
    <xf numFmtId="0" fontId="14" fillId="0" borderId="0" xfId="0" applyFont="1" applyAlignment="1">
      <alignment horizontal="center"/>
    </xf>
    <xf numFmtId="165" fontId="14" fillId="0" borderId="0" xfId="0" applyNumberFormat="1" applyFont="1"/>
    <xf numFmtId="180" fontId="14" fillId="0" borderId="1" xfId="2" applyNumberFormat="1" applyFont="1" applyBorder="1"/>
    <xf numFmtId="0" fontId="14" fillId="0" borderId="1" xfId="0" applyFont="1" applyBorder="1" applyAlignment="1">
      <alignment horizontal="right"/>
    </xf>
    <xf numFmtId="167" fontId="14" fillId="0" borderId="1" xfId="1" applyFont="1" applyBorder="1"/>
    <xf numFmtId="0" fontId="19" fillId="0" borderId="0" xfId="0" applyFont="1"/>
    <xf numFmtId="170" fontId="14" fillId="0" borderId="1" xfId="0" applyNumberFormat="1" applyFont="1" applyBorder="1"/>
    <xf numFmtId="170" fontId="14" fillId="0" borderId="0" xfId="0" applyNumberFormat="1" applyFont="1" applyFill="1" applyBorder="1"/>
    <xf numFmtId="173" fontId="14" fillId="0" borderId="0" xfId="0" applyNumberFormat="1" applyFont="1" applyFill="1" applyBorder="1"/>
    <xf numFmtId="173" fontId="14" fillId="0" borderId="1" xfId="0" applyNumberFormat="1" applyFont="1" applyBorder="1"/>
    <xf numFmtId="0" fontId="16" fillId="0" borderId="0" xfId="0" applyFont="1"/>
    <xf numFmtId="3" fontId="14" fillId="0" borderId="1" xfId="0" applyNumberFormat="1" applyFont="1" applyBorder="1"/>
    <xf numFmtId="0" fontId="21" fillId="0" borderId="0" xfId="0" applyFont="1" applyFill="1"/>
    <xf numFmtId="177" fontId="6" fillId="0" borderId="0" xfId="0" applyNumberFormat="1" applyFont="1" applyFill="1" applyBorder="1"/>
    <xf numFmtId="0" fontId="22" fillId="0" borderId="0" xfId="0" applyFont="1"/>
    <xf numFmtId="177" fontId="0" fillId="0" borderId="1" xfId="0" applyNumberFormat="1" applyBorder="1"/>
    <xf numFmtId="9" fontId="14" fillId="5" borderId="0" xfId="0" applyNumberFormat="1" applyFont="1" applyFill="1" applyBorder="1"/>
    <xf numFmtId="0" fontId="6" fillId="0" borderId="0" xfId="0" applyFont="1" applyFill="1" applyBorder="1"/>
    <xf numFmtId="0" fontId="6" fillId="0" borderId="0" xfId="0" applyFont="1" applyFill="1" applyBorder="1" applyAlignment="1">
      <alignment horizontal="center"/>
    </xf>
    <xf numFmtId="0" fontId="25" fillId="0" borderId="0" xfId="0" applyFont="1"/>
    <xf numFmtId="0" fontId="25" fillId="0" borderId="0" xfId="0" applyFont="1" applyBorder="1"/>
    <xf numFmtId="0" fontId="24" fillId="0" borderId="0" xfId="0" applyFont="1"/>
    <xf numFmtId="0" fontId="25" fillId="0" borderId="1" xfId="0" applyFont="1" applyBorder="1"/>
    <xf numFmtId="2" fontId="25" fillId="0" borderId="0" xfId="0" applyNumberFormat="1" applyFont="1"/>
    <xf numFmtId="2" fontId="25" fillId="0" borderId="1" xfId="0" applyNumberFormat="1" applyFont="1" applyBorder="1"/>
    <xf numFmtId="2" fontId="25" fillId="0" borderId="0" xfId="0" applyNumberFormat="1" applyFont="1" applyFill="1" applyBorder="1"/>
    <xf numFmtId="0" fontId="25" fillId="0" borderId="0" xfId="0" applyFont="1" applyFill="1" applyBorder="1"/>
    <xf numFmtId="9" fontId="25" fillId="0" borderId="0" xfId="0" applyNumberFormat="1" applyFont="1"/>
    <xf numFmtId="0" fontId="25" fillId="2" borderId="1" xfId="0" applyFont="1" applyFill="1" applyBorder="1" applyAlignment="1">
      <alignment horizontal="center"/>
    </xf>
    <xf numFmtId="2" fontId="25" fillId="2" borderId="1" xfId="4" applyNumberFormat="1" applyFont="1" applyFill="1" applyBorder="1"/>
    <xf numFmtId="2" fontId="25" fillId="2" borderId="1" xfId="0" applyNumberFormat="1" applyFont="1" applyFill="1" applyBorder="1"/>
    <xf numFmtId="0" fontId="25" fillId="0" borderId="1" xfId="0" applyFont="1" applyFill="1" applyBorder="1" applyAlignment="1">
      <alignment horizontal="center"/>
    </xf>
    <xf numFmtId="0" fontId="25" fillId="0" borderId="1" xfId="0" applyFont="1" applyBorder="1" applyAlignment="1">
      <alignment horizontal="center"/>
    </xf>
    <xf numFmtId="0" fontId="25" fillId="0" borderId="0" xfId="0" applyFont="1" applyAlignment="1">
      <alignment vertical="center"/>
    </xf>
    <xf numFmtId="10" fontId="25" fillId="0" borderId="0" xfId="0" applyNumberFormat="1" applyFont="1"/>
    <xf numFmtId="0" fontId="25" fillId="0" borderId="6" xfId="0" applyFont="1" applyFill="1" applyBorder="1" applyAlignment="1">
      <alignment vertical="center"/>
    </xf>
    <xf numFmtId="182" fontId="25" fillId="0" borderId="26" xfId="2" applyNumberFormat="1" applyFont="1" applyFill="1" applyBorder="1"/>
    <xf numFmtId="0" fontId="25" fillId="0" borderId="2" xfId="0" applyFont="1" applyFill="1" applyBorder="1"/>
    <xf numFmtId="1" fontId="25" fillId="0" borderId="0" xfId="0" applyNumberFormat="1" applyFont="1"/>
    <xf numFmtId="0" fontId="25" fillId="0" borderId="11" xfId="0" applyFont="1" applyFill="1" applyBorder="1"/>
    <xf numFmtId="0" fontId="25" fillId="0" borderId="13" xfId="0" applyFont="1" applyFill="1" applyBorder="1"/>
    <xf numFmtId="165" fontId="25" fillId="0" borderId="0" xfId="0" applyNumberFormat="1" applyFont="1"/>
    <xf numFmtId="164" fontId="25" fillId="0" borderId="0" xfId="0" applyNumberFormat="1" applyFont="1"/>
    <xf numFmtId="182" fontId="25" fillId="0" borderId="0" xfId="0" applyNumberFormat="1" applyFont="1" applyAlignment="1">
      <alignment vertical="center"/>
    </xf>
    <xf numFmtId="2" fontId="25" fillId="0" borderId="0" xfId="0" applyNumberFormat="1" applyFont="1" applyAlignment="1">
      <alignment vertical="center"/>
    </xf>
    <xf numFmtId="1" fontId="25" fillId="0" borderId="0" xfId="0" applyNumberFormat="1" applyFont="1" applyAlignment="1">
      <alignment vertical="center"/>
    </xf>
    <xf numFmtId="0" fontId="17" fillId="0" borderId="0" xfId="0" applyFont="1"/>
    <xf numFmtId="0" fontId="17" fillId="0" borderId="0" xfId="0" applyFont="1" applyAlignment="1">
      <alignment vertical="center"/>
    </xf>
    <xf numFmtId="0" fontId="6" fillId="0" borderId="14" xfId="0" applyFont="1" applyBorder="1" applyAlignment="1">
      <alignment horizontal="center"/>
    </xf>
    <xf numFmtId="0" fontId="6" fillId="0" borderId="15" xfId="0" applyFont="1" applyBorder="1" applyAlignment="1">
      <alignment horizontal="center" vertical="center"/>
    </xf>
    <xf numFmtId="0" fontId="6" fillId="0" borderId="15" xfId="0" applyFont="1" applyBorder="1" applyAlignment="1">
      <alignment horizontal="center"/>
    </xf>
    <xf numFmtId="0" fontId="6" fillId="0" borderId="16" xfId="0" applyFont="1" applyBorder="1" applyAlignment="1">
      <alignment horizontal="center"/>
    </xf>
    <xf numFmtId="0" fontId="6" fillId="0" borderId="17" xfId="0" applyFont="1" applyFill="1" applyBorder="1"/>
    <xf numFmtId="2" fontId="17" fillId="0" borderId="1" xfId="0" applyNumberFormat="1" applyFont="1" applyBorder="1" applyAlignment="1">
      <alignment vertical="center"/>
    </xf>
    <xf numFmtId="2" fontId="17" fillId="0" borderId="1" xfId="0" applyNumberFormat="1" applyFont="1" applyBorder="1"/>
    <xf numFmtId="2" fontId="17" fillId="0" borderId="18" xfId="0" applyNumberFormat="1" applyFont="1" applyBorder="1"/>
    <xf numFmtId="0" fontId="17" fillId="0" borderId="17" xfId="0" applyFont="1" applyBorder="1"/>
    <xf numFmtId="2" fontId="17" fillId="5" borderId="1" xfId="0" applyNumberFormat="1" applyFont="1" applyFill="1" applyBorder="1" applyAlignment="1">
      <alignment vertical="center"/>
    </xf>
    <xf numFmtId="0" fontId="7" fillId="0" borderId="17" xfId="0" applyFont="1" applyBorder="1"/>
    <xf numFmtId="0" fontId="6" fillId="0" borderId="19" xfId="0" applyFont="1" applyBorder="1"/>
    <xf numFmtId="2" fontId="17" fillId="0" borderId="20" xfId="0" applyNumberFormat="1" applyFont="1" applyBorder="1" applyAlignment="1">
      <alignment vertical="center"/>
    </xf>
    <xf numFmtId="2" fontId="17" fillId="0" borderId="20" xfId="0" applyNumberFormat="1" applyFont="1" applyBorder="1"/>
    <xf numFmtId="2" fontId="17" fillId="0" borderId="21" xfId="0" applyNumberFormat="1" applyFont="1" applyBorder="1"/>
    <xf numFmtId="2" fontId="17" fillId="0" borderId="0" xfId="0" applyNumberFormat="1" applyFont="1" applyAlignment="1">
      <alignment vertical="center"/>
    </xf>
    <xf numFmtId="2" fontId="17" fillId="0" borderId="0" xfId="0" applyNumberFormat="1" applyFont="1"/>
    <xf numFmtId="2" fontId="17" fillId="0" borderId="1" xfId="0" applyNumberFormat="1" applyFont="1" applyFill="1" applyBorder="1" applyAlignment="1">
      <alignment vertical="center"/>
    </xf>
    <xf numFmtId="2" fontId="7" fillId="0" borderId="1" xfId="0" applyNumberFormat="1" applyFont="1" applyFill="1" applyBorder="1"/>
    <xf numFmtId="2" fontId="17" fillId="0" borderId="1" xfId="0" applyNumberFormat="1" applyFont="1" applyFill="1" applyBorder="1"/>
    <xf numFmtId="2" fontId="17" fillId="3" borderId="1" xfId="0" applyNumberFormat="1" applyFont="1" applyFill="1" applyBorder="1"/>
    <xf numFmtId="0" fontId="6" fillId="4" borderId="0" xfId="0" applyFont="1" applyFill="1" applyBorder="1"/>
    <xf numFmtId="2" fontId="17" fillId="4" borderId="0" xfId="0" applyNumberFormat="1" applyFont="1" applyFill="1" applyAlignment="1">
      <alignment vertical="center"/>
    </xf>
    <xf numFmtId="0" fontId="24" fillId="0" borderId="5" xfId="0" applyFont="1" applyBorder="1"/>
    <xf numFmtId="0" fontId="24" fillId="0" borderId="26" xfId="0" applyFont="1" applyBorder="1"/>
    <xf numFmtId="0" fontId="17" fillId="0" borderId="2" xfId="0" applyFont="1" applyBorder="1"/>
    <xf numFmtId="166" fontId="17" fillId="0" borderId="8" xfId="2" applyFont="1" applyBorder="1" applyAlignment="1">
      <alignment horizontal="right"/>
    </xf>
    <xf numFmtId="0" fontId="24" fillId="0" borderId="12" xfId="0" applyFont="1" applyBorder="1"/>
    <xf numFmtId="166" fontId="24" fillId="0" borderId="25" xfId="2" applyFont="1" applyFill="1" applyBorder="1" applyAlignment="1">
      <alignment horizontal="right"/>
    </xf>
    <xf numFmtId="0" fontId="24" fillId="0" borderId="6" xfId="0" applyFont="1" applyBorder="1"/>
    <xf numFmtId="0" fontId="17" fillId="0" borderId="1" xfId="0" applyFont="1" applyBorder="1"/>
    <xf numFmtId="166" fontId="17" fillId="0" borderId="8" xfId="2" applyFont="1" applyBorder="1"/>
    <xf numFmtId="0" fontId="17" fillId="0" borderId="13" xfId="0" applyFont="1" applyBorder="1"/>
    <xf numFmtId="0" fontId="17" fillId="0" borderId="3" xfId="0" applyFont="1" applyBorder="1"/>
    <xf numFmtId="166" fontId="17" fillId="0" borderId="22" xfId="2" applyFont="1" applyBorder="1"/>
    <xf numFmtId="0" fontId="17" fillId="0" borderId="23" xfId="0" applyFont="1" applyBorder="1"/>
    <xf numFmtId="0" fontId="17" fillId="0" borderId="10" xfId="0" applyFont="1" applyBorder="1"/>
    <xf numFmtId="166" fontId="17" fillId="0" borderId="24" xfId="2" applyFont="1" applyBorder="1"/>
    <xf numFmtId="0" fontId="24" fillId="0" borderId="7" xfId="0" applyFont="1" applyBorder="1"/>
    <xf numFmtId="166" fontId="24" fillId="0" borderId="25" xfId="2" applyFont="1" applyFill="1" applyBorder="1"/>
    <xf numFmtId="168" fontId="17" fillId="0" borderId="8" xfId="2" applyNumberFormat="1" applyFont="1" applyBorder="1"/>
    <xf numFmtId="168" fontId="17" fillId="0" borderId="22" xfId="2" applyNumberFormat="1" applyFont="1" applyBorder="1"/>
    <xf numFmtId="168" fontId="17" fillId="0" borderId="24" xfId="2" applyNumberFormat="1" applyFont="1" applyBorder="1"/>
    <xf numFmtId="168" fontId="17" fillId="0" borderId="8" xfId="2" applyNumberFormat="1" applyFont="1" applyBorder="1" applyAlignment="1">
      <alignment wrapText="1"/>
    </xf>
    <xf numFmtId="168" fontId="7" fillId="2" borderId="8" xfId="2" applyNumberFormat="1" applyFont="1" applyFill="1" applyBorder="1" applyAlignment="1">
      <alignment wrapText="1"/>
    </xf>
    <xf numFmtId="168" fontId="17" fillId="0" borderId="22" xfId="2" applyNumberFormat="1" applyFont="1" applyBorder="1" applyAlignment="1">
      <alignment wrapText="1"/>
    </xf>
    <xf numFmtId="168" fontId="24" fillId="0" borderId="25" xfId="0" applyNumberFormat="1" applyFont="1" applyFill="1" applyBorder="1"/>
    <xf numFmtId="165" fontId="17" fillId="0" borderId="8" xfId="0" applyNumberFormat="1" applyFont="1" applyBorder="1"/>
    <xf numFmtId="165" fontId="24" fillId="0" borderId="25" xfId="0" applyNumberFormat="1" applyFont="1" applyFill="1" applyBorder="1"/>
    <xf numFmtId="0" fontId="25" fillId="0" borderId="0" xfId="0" applyFont="1" applyFill="1"/>
    <xf numFmtId="0" fontId="24" fillId="0" borderId="0" xfId="0" applyFont="1" applyAlignment="1">
      <alignment wrapText="1"/>
    </xf>
    <xf numFmtId="2" fontId="6" fillId="0" borderId="1" xfId="0" applyNumberFormat="1" applyFont="1" applyFill="1" applyBorder="1"/>
    <xf numFmtId="2" fontId="25" fillId="0" borderId="1" xfId="0" applyNumberFormat="1" applyFont="1" applyFill="1" applyBorder="1"/>
    <xf numFmtId="0" fontId="25" fillId="0" borderId="27" xfId="0" applyFont="1" applyBorder="1"/>
    <xf numFmtId="2" fontId="6" fillId="0" borderId="31" xfId="0" applyNumberFormat="1" applyFont="1" applyFill="1" applyBorder="1"/>
    <xf numFmtId="0" fontId="25" fillId="0" borderId="32" xfId="0" applyFont="1" applyBorder="1"/>
    <xf numFmtId="0" fontId="25" fillId="0" borderId="35" xfId="0" applyFont="1" applyBorder="1"/>
    <xf numFmtId="2" fontId="25" fillId="0" borderId="0" xfId="0" applyNumberFormat="1" applyFont="1" applyBorder="1"/>
    <xf numFmtId="0" fontId="0" fillId="0" borderId="38" xfId="0" applyBorder="1"/>
    <xf numFmtId="0" fontId="0" fillId="0" borderId="41" xfId="0" applyBorder="1"/>
    <xf numFmtId="0" fontId="0" fillId="0" borderId="42" xfId="0" applyBorder="1"/>
    <xf numFmtId="0" fontId="0" fillId="0" borderId="43" xfId="0" applyBorder="1"/>
    <xf numFmtId="0" fontId="30" fillId="0" borderId="0" xfId="0" applyFont="1" applyBorder="1"/>
    <xf numFmtId="0" fontId="29" fillId="0" borderId="0" xfId="0" applyFont="1" applyBorder="1"/>
    <xf numFmtId="0" fontId="1" fillId="0" borderId="37" xfId="0" applyFont="1" applyBorder="1"/>
    <xf numFmtId="182" fontId="0" fillId="0" borderId="44" xfId="2" applyNumberFormat="1" applyFont="1" applyBorder="1" applyAlignment="1">
      <alignment horizontal="left"/>
    </xf>
    <xf numFmtId="0" fontId="0" fillId="0" borderId="33" xfId="0" applyBorder="1"/>
    <xf numFmtId="166" fontId="0" fillId="0" borderId="0" xfId="2" applyFont="1" applyBorder="1"/>
    <xf numFmtId="166" fontId="0" fillId="0" borderId="39" xfId="2" applyFont="1" applyBorder="1"/>
    <xf numFmtId="0" fontId="1" fillId="0" borderId="33" xfId="0" applyFont="1" applyBorder="1"/>
    <xf numFmtId="182" fontId="0" fillId="0" borderId="0" xfId="2" applyNumberFormat="1" applyFont="1" applyBorder="1" applyAlignment="1">
      <alignment horizontal="left"/>
    </xf>
    <xf numFmtId="0" fontId="22" fillId="0" borderId="37" xfId="0" applyFont="1" applyBorder="1"/>
    <xf numFmtId="182" fontId="0" fillId="0" borderId="38" xfId="0" applyNumberFormat="1" applyBorder="1"/>
    <xf numFmtId="0" fontId="22" fillId="0" borderId="33" xfId="0" applyFont="1" applyBorder="1"/>
    <xf numFmtId="170" fontId="0" fillId="0" borderId="43" xfId="0" applyNumberFormat="1" applyBorder="1"/>
    <xf numFmtId="0" fontId="31" fillId="0" borderId="0" xfId="0" applyFont="1"/>
    <xf numFmtId="0" fontId="0" fillId="0" borderId="0" xfId="0" quotePrefix="1"/>
    <xf numFmtId="0" fontId="25" fillId="6" borderId="0" xfId="0" applyFont="1" applyFill="1"/>
    <xf numFmtId="0" fontId="32" fillId="0" borderId="0" xfId="0" applyFont="1" applyBorder="1"/>
    <xf numFmtId="0" fontId="33" fillId="0" borderId="32" xfId="0" applyFont="1" applyBorder="1"/>
    <xf numFmtId="0" fontId="33" fillId="0" borderId="27" xfId="0" applyFont="1" applyBorder="1"/>
    <xf numFmtId="166" fontId="33" fillId="0" borderId="1" xfId="2" applyFont="1" applyBorder="1"/>
    <xf numFmtId="166" fontId="33" fillId="0" borderId="1" xfId="0" applyNumberFormat="1" applyFont="1" applyBorder="1"/>
    <xf numFmtId="0" fontId="34" fillId="0" borderId="1" xfId="0" applyFont="1" applyBorder="1"/>
    <xf numFmtId="0" fontId="35" fillId="0" borderId="31" xfId="0" applyFont="1" applyBorder="1"/>
    <xf numFmtId="0" fontId="34" fillId="0" borderId="1" xfId="0" applyFont="1" applyFill="1" applyBorder="1"/>
    <xf numFmtId="166" fontId="33" fillId="0" borderId="1" xfId="2" applyNumberFormat="1" applyFont="1" applyBorder="1"/>
    <xf numFmtId="1" fontId="34" fillId="0" borderId="1" xfId="2" applyNumberFormat="1" applyFont="1" applyFill="1" applyBorder="1"/>
    <xf numFmtId="0" fontId="36" fillId="0" borderId="1" xfId="0" applyFont="1" applyBorder="1"/>
    <xf numFmtId="2" fontId="36" fillId="0" borderId="1" xfId="0" applyNumberFormat="1" applyFont="1" applyBorder="1"/>
    <xf numFmtId="166" fontId="34" fillId="0" borderId="1" xfId="2" applyFont="1" applyFill="1" applyBorder="1"/>
    <xf numFmtId="182" fontId="34" fillId="0" borderId="1" xfId="2" applyNumberFormat="1" applyFont="1" applyFill="1" applyBorder="1"/>
    <xf numFmtId="0" fontId="35" fillId="0" borderId="33" xfId="0" applyFont="1" applyBorder="1"/>
    <xf numFmtId="0" fontId="25" fillId="0" borderId="1" xfId="0" applyFont="1" applyFill="1" applyBorder="1" applyAlignment="1">
      <alignment vertical="center"/>
    </xf>
    <xf numFmtId="182" fontId="6" fillId="0" borderId="1" xfId="2" applyNumberFormat="1" applyFont="1" applyFill="1" applyBorder="1" applyAlignment="1">
      <alignment vertical="center"/>
    </xf>
    <xf numFmtId="0" fontId="25" fillId="0" borderId="1" xfId="0" applyFont="1" applyFill="1" applyBorder="1"/>
    <xf numFmtId="182" fontId="25" fillId="0" borderId="8" xfId="2" applyNumberFormat="1" applyFont="1" applyFill="1" applyBorder="1"/>
    <xf numFmtId="182" fontId="25" fillId="0" borderId="1" xfId="2" applyNumberFormat="1" applyFont="1" applyFill="1" applyBorder="1" applyAlignment="1">
      <alignment vertical="center"/>
    </xf>
    <xf numFmtId="182" fontId="25" fillId="0" borderId="0" xfId="2" applyNumberFormat="1" applyFont="1" applyFill="1" applyBorder="1" applyAlignment="1">
      <alignment vertical="center"/>
    </xf>
    <xf numFmtId="182" fontId="25" fillId="0" borderId="3" xfId="2" applyNumberFormat="1" applyFont="1" applyFill="1" applyBorder="1" applyAlignment="1">
      <alignment vertical="center"/>
    </xf>
    <xf numFmtId="0" fontId="25" fillId="0" borderId="3" xfId="0" applyFont="1" applyFill="1" applyBorder="1"/>
    <xf numFmtId="182" fontId="25" fillId="0" borderId="22" xfId="2" applyNumberFormat="1" applyFont="1" applyFill="1" applyBorder="1"/>
    <xf numFmtId="0" fontId="6" fillId="0" borderId="12" xfId="0" applyFont="1" applyFill="1" applyBorder="1"/>
    <xf numFmtId="182" fontId="6" fillId="0" borderId="7" xfId="2" applyNumberFormat="1" applyFont="1" applyFill="1" applyBorder="1" applyAlignment="1">
      <alignment vertical="center"/>
    </xf>
    <xf numFmtId="0" fontId="25" fillId="0" borderId="7" xfId="0" applyFont="1" applyFill="1" applyBorder="1"/>
    <xf numFmtId="182" fontId="6" fillId="0" borderId="25" xfId="2" applyNumberFormat="1" applyFont="1" applyFill="1" applyBorder="1"/>
    <xf numFmtId="182" fontId="25" fillId="0" borderId="0" xfId="2" applyNumberFormat="1" applyFont="1" applyFill="1" applyAlignment="1">
      <alignment vertical="center"/>
    </xf>
    <xf numFmtId="0" fontId="25" fillId="0" borderId="0" xfId="0" applyFont="1" applyFill="1" applyAlignment="1">
      <alignment vertical="center"/>
    </xf>
    <xf numFmtId="0" fontId="11" fillId="0" borderId="10" xfId="0" applyFont="1" applyFill="1" applyBorder="1" applyAlignment="1">
      <alignment horizontal="center"/>
    </xf>
    <xf numFmtId="0" fontId="11" fillId="0" borderId="1" xfId="0" applyFont="1" applyFill="1" applyBorder="1" applyAlignment="1">
      <alignment horizontal="center"/>
    </xf>
    <xf numFmtId="0" fontId="11" fillId="0" borderId="3" xfId="0" applyFont="1" applyFill="1" applyBorder="1" applyAlignment="1">
      <alignment horizontal="center"/>
    </xf>
    <xf numFmtId="166" fontId="11" fillId="0" borderId="10" xfId="2" applyFont="1" applyFill="1" applyBorder="1" applyAlignment="1">
      <alignment horizontal="center"/>
    </xf>
    <xf numFmtId="166" fontId="12" fillId="0" borderId="10" xfId="2" applyFont="1" applyFill="1" applyBorder="1" applyAlignment="1">
      <alignment horizontal="right"/>
    </xf>
    <xf numFmtId="166" fontId="11" fillId="0" borderId="1" xfId="2" applyFont="1" applyFill="1" applyBorder="1" applyAlignment="1">
      <alignment horizontal="center"/>
    </xf>
    <xf numFmtId="166" fontId="11" fillId="0" borderId="1" xfId="2" applyFont="1" applyFill="1" applyBorder="1" applyAlignment="1">
      <alignment horizontal="right"/>
    </xf>
    <xf numFmtId="166" fontId="11" fillId="0" borderId="3" xfId="2" applyFont="1" applyFill="1" applyBorder="1" applyAlignment="1">
      <alignment horizontal="right"/>
    </xf>
    <xf numFmtId="166" fontId="13" fillId="0" borderId="1" xfId="2" applyFont="1" applyFill="1" applyBorder="1" applyAlignment="1">
      <alignment horizontal="right"/>
    </xf>
    <xf numFmtId="0" fontId="37" fillId="0" borderId="1" xfId="0" applyFont="1" applyBorder="1"/>
    <xf numFmtId="165" fontId="37" fillId="0" borderId="1" xfId="0" applyNumberFormat="1" applyFont="1" applyBorder="1"/>
    <xf numFmtId="164" fontId="38" fillId="0" borderId="1" xfId="0" applyNumberFormat="1" applyFont="1" applyBorder="1"/>
    <xf numFmtId="0" fontId="20" fillId="0" borderId="1" xfId="0" applyFont="1" applyBorder="1"/>
    <xf numFmtId="0" fontId="39" fillId="0" borderId="0" xfId="0" applyFont="1"/>
    <xf numFmtId="0" fontId="32" fillId="0" borderId="1" xfId="0" applyFont="1" applyBorder="1"/>
    <xf numFmtId="0" fontId="39" fillId="0" borderId="1" xfId="0" applyFont="1" applyBorder="1"/>
    <xf numFmtId="0" fontId="32" fillId="0" borderId="0" xfId="0" applyFont="1"/>
    <xf numFmtId="165" fontId="39" fillId="0" borderId="0" xfId="0" applyNumberFormat="1" applyFont="1"/>
    <xf numFmtId="165" fontId="32" fillId="0" borderId="0" xfId="0" applyNumberFormat="1" applyFont="1"/>
    <xf numFmtId="166" fontId="39" fillId="0" borderId="1" xfId="2" applyFont="1" applyBorder="1"/>
    <xf numFmtId="166" fontId="39" fillId="0" borderId="1" xfId="0" applyNumberFormat="1" applyFont="1" applyBorder="1"/>
    <xf numFmtId="0" fontId="40" fillId="0" borderId="0" xfId="0" applyFont="1" applyFill="1"/>
    <xf numFmtId="0" fontId="32" fillId="0" borderId="31" xfId="0" applyFont="1" applyBorder="1"/>
    <xf numFmtId="0" fontId="39" fillId="0" borderId="31" xfId="0" applyFont="1" applyBorder="1"/>
    <xf numFmtId="172" fontId="39" fillId="0" borderId="1" xfId="0" applyNumberFormat="1" applyFont="1" applyBorder="1"/>
    <xf numFmtId="0" fontId="39" fillId="0" borderId="27" xfId="0" applyFont="1" applyBorder="1"/>
    <xf numFmtId="179" fontId="39" fillId="0" borderId="1" xfId="2" applyNumberFormat="1" applyFont="1" applyBorder="1"/>
    <xf numFmtId="0" fontId="39" fillId="0" borderId="35" xfId="0" applyFont="1" applyBorder="1"/>
    <xf numFmtId="0" fontId="39" fillId="0" borderId="0" xfId="0" applyFont="1" applyBorder="1"/>
    <xf numFmtId="0" fontId="32" fillId="0" borderId="0" xfId="0" applyFont="1" applyFill="1"/>
    <xf numFmtId="165" fontId="32" fillId="0" borderId="1" xfId="0" applyNumberFormat="1" applyFont="1" applyBorder="1"/>
    <xf numFmtId="171" fontId="39" fillId="0" borderId="1" xfId="0" applyNumberFormat="1" applyFont="1" applyBorder="1"/>
    <xf numFmtId="171" fontId="39" fillId="0" borderId="0" xfId="0" applyNumberFormat="1" applyFont="1" applyBorder="1"/>
    <xf numFmtId="0" fontId="41" fillId="0" borderId="0" xfId="0" applyFont="1" applyFill="1" applyBorder="1"/>
    <xf numFmtId="0" fontId="32" fillId="0" borderId="1" xfId="0" applyFont="1" applyFill="1" applyBorder="1"/>
    <xf numFmtId="0" fontId="39" fillId="0" borderId="1" xfId="0" applyFont="1" applyFill="1" applyBorder="1"/>
    <xf numFmtId="170" fontId="39" fillId="0" borderId="1" xfId="0" applyNumberFormat="1" applyFont="1" applyBorder="1"/>
    <xf numFmtId="181" fontId="39" fillId="0" borderId="1" xfId="0" applyNumberFormat="1" applyFont="1" applyBorder="1"/>
    <xf numFmtId="0" fontId="39" fillId="0" borderId="0" xfId="0" applyFont="1" applyFill="1" applyBorder="1"/>
    <xf numFmtId="170" fontId="39" fillId="0" borderId="0" xfId="0" applyNumberFormat="1" applyFont="1" applyBorder="1"/>
    <xf numFmtId="0" fontId="39" fillId="0" borderId="31" xfId="0" applyFont="1" applyFill="1" applyBorder="1"/>
    <xf numFmtId="178" fontId="39" fillId="0" borderId="1" xfId="0" applyNumberFormat="1" applyFont="1" applyBorder="1"/>
    <xf numFmtId="0" fontId="6" fillId="0" borderId="0" xfId="0" applyFont="1" applyFill="1" applyBorder="1" applyAlignment="1">
      <alignment horizontal="center"/>
    </xf>
    <xf numFmtId="0" fontId="38" fillId="0" borderId="0" xfId="0" applyFont="1" applyFill="1"/>
    <xf numFmtId="0" fontId="42" fillId="0" borderId="1" xfId="0" applyFont="1" applyFill="1" applyBorder="1" applyAlignment="1">
      <alignment horizontal="center"/>
    </xf>
    <xf numFmtId="0" fontId="42" fillId="0" borderId="1" xfId="0" applyFont="1" applyFill="1" applyBorder="1"/>
    <xf numFmtId="0" fontId="38" fillId="0" borderId="1" xfId="0" applyFont="1" applyFill="1" applyBorder="1"/>
    <xf numFmtId="0" fontId="43" fillId="0" borderId="1" xfId="0" applyFont="1" applyFill="1" applyBorder="1"/>
    <xf numFmtId="166" fontId="38" fillId="0" borderId="1" xfId="2" applyFont="1" applyFill="1" applyBorder="1"/>
    <xf numFmtId="0" fontId="43" fillId="0" borderId="36" xfId="0" applyFont="1" applyFill="1" applyBorder="1"/>
    <xf numFmtId="166" fontId="38" fillId="0" borderId="0" xfId="2" applyFont="1" applyFill="1"/>
    <xf numFmtId="10" fontId="42" fillId="0" borderId="1" xfId="4" applyNumberFormat="1" applyFont="1" applyFill="1" applyBorder="1"/>
    <xf numFmtId="9" fontId="38" fillId="0" borderId="0" xfId="0" applyNumberFormat="1" applyFont="1" applyFill="1"/>
    <xf numFmtId="166" fontId="42" fillId="0" borderId="1" xfId="2" applyFont="1" applyFill="1" applyBorder="1" applyAlignment="1">
      <alignment horizontal="right"/>
    </xf>
    <xf numFmtId="182" fontId="42" fillId="0" borderId="1" xfId="2" applyNumberFormat="1" applyFont="1" applyFill="1" applyBorder="1"/>
    <xf numFmtId="182" fontId="43" fillId="0" borderId="1" xfId="2" applyNumberFormat="1" applyFont="1" applyFill="1" applyBorder="1"/>
    <xf numFmtId="182" fontId="38" fillId="0" borderId="1" xfId="2" applyNumberFormat="1" applyFont="1" applyFill="1" applyBorder="1"/>
    <xf numFmtId="182" fontId="38" fillId="0" borderId="0" xfId="2" applyNumberFormat="1" applyFont="1" applyFill="1"/>
    <xf numFmtId="0" fontId="39" fillId="0" borderId="0" xfId="0" applyFont="1" applyAlignment="1"/>
    <xf numFmtId="0" fontId="32" fillId="0" borderId="1" xfId="0" applyFont="1" applyBorder="1" applyAlignment="1"/>
    <xf numFmtId="0" fontId="39" fillId="0" borderId="1" xfId="0" applyFont="1" applyBorder="1" applyAlignment="1"/>
    <xf numFmtId="0" fontId="32" fillId="0" borderId="1" xfId="0" applyNumberFormat="1" applyFont="1" applyBorder="1" applyAlignment="1"/>
    <xf numFmtId="0" fontId="32" fillId="0" borderId="31" xfId="0" applyFont="1" applyBorder="1" applyAlignment="1"/>
    <xf numFmtId="0" fontId="44" fillId="7" borderId="0" xfId="3" applyFont="1" applyFill="1"/>
    <xf numFmtId="0" fontId="44" fillId="7" borderId="25" xfId="3" applyFont="1" applyFill="1" applyBorder="1" applyAlignment="1">
      <alignment horizontal="center"/>
    </xf>
    <xf numFmtId="0" fontId="44" fillId="7" borderId="7" xfId="3" applyFont="1" applyFill="1" applyBorder="1"/>
    <xf numFmtId="10" fontId="44" fillId="7" borderId="7" xfId="4" applyNumberFormat="1" applyFont="1" applyFill="1" applyBorder="1"/>
    <xf numFmtId="183" fontId="44" fillId="7" borderId="7" xfId="3" applyNumberFormat="1" applyFont="1" applyFill="1" applyBorder="1" applyAlignment="1">
      <alignment horizontal="center"/>
    </xf>
    <xf numFmtId="9" fontId="44" fillId="7" borderId="7" xfId="3" applyNumberFormat="1" applyFont="1" applyFill="1" applyBorder="1" applyAlignment="1">
      <alignment horizontal="center"/>
    </xf>
    <xf numFmtId="0" fontId="44" fillId="7" borderId="12" xfId="3" applyFont="1" applyFill="1" applyBorder="1" applyAlignment="1">
      <alignment horizontal="center"/>
    </xf>
    <xf numFmtId="0" fontId="44" fillId="7" borderId="8" xfId="3" applyFont="1" applyFill="1" applyBorder="1" applyAlignment="1">
      <alignment horizontal="center"/>
    </xf>
    <xf numFmtId="0" fontId="44" fillId="7" borderId="1" xfId="3" applyFont="1" applyFill="1" applyBorder="1"/>
    <xf numFmtId="10" fontId="44" fillId="7" borderId="1" xfId="4" applyNumberFormat="1" applyFont="1" applyFill="1" applyBorder="1"/>
    <xf numFmtId="183" fontId="44" fillId="7" borderId="1" xfId="3" applyNumberFormat="1" applyFont="1" applyFill="1" applyBorder="1" applyAlignment="1">
      <alignment horizontal="center"/>
    </xf>
    <xf numFmtId="9" fontId="44" fillId="7" borderId="1" xfId="3" applyNumberFormat="1" applyFont="1" applyFill="1" applyBorder="1" applyAlignment="1">
      <alignment horizontal="center"/>
    </xf>
    <xf numFmtId="0" fontId="44" fillId="7" borderId="2" xfId="3" applyFont="1" applyFill="1" applyBorder="1" applyAlignment="1">
      <alignment horizontal="center"/>
    </xf>
    <xf numFmtId="0" fontId="45" fillId="7" borderId="8" xfId="3" applyFont="1" applyFill="1" applyBorder="1" applyAlignment="1">
      <alignment horizontal="center"/>
    </xf>
    <xf numFmtId="183" fontId="45" fillId="7" borderId="1" xfId="3" applyNumberFormat="1" applyFont="1" applyFill="1" applyBorder="1"/>
    <xf numFmtId="10" fontId="45" fillId="7" borderId="1" xfId="4" applyNumberFormat="1" applyFont="1" applyFill="1" applyBorder="1"/>
    <xf numFmtId="183" fontId="45" fillId="7" borderId="1" xfId="3" applyNumberFormat="1" applyFont="1" applyFill="1" applyBorder="1" applyAlignment="1">
      <alignment horizontal="center"/>
    </xf>
    <xf numFmtId="0" fontId="45" fillId="7" borderId="1" xfId="3" applyFont="1" applyFill="1" applyBorder="1" applyAlignment="1">
      <alignment horizontal="center"/>
    </xf>
    <xf numFmtId="0" fontId="45" fillId="7" borderId="2" xfId="3" applyFont="1" applyFill="1" applyBorder="1" applyAlignment="1">
      <alignment horizontal="center"/>
    </xf>
    <xf numFmtId="0" fontId="44" fillId="7" borderId="41" xfId="3" applyFont="1" applyFill="1" applyBorder="1"/>
    <xf numFmtId="0" fontId="44" fillId="7" borderId="0" xfId="3" applyFont="1" applyFill="1" applyBorder="1"/>
    <xf numFmtId="0" fontId="44" fillId="7" borderId="33" xfId="3" applyFont="1" applyFill="1" applyBorder="1"/>
    <xf numFmtId="183" fontId="44" fillId="7" borderId="7" xfId="3" applyNumberFormat="1" applyFont="1" applyFill="1" applyBorder="1"/>
    <xf numFmtId="10" fontId="44" fillId="7" borderId="7" xfId="4" applyNumberFormat="1" applyFont="1" applyFill="1" applyBorder="1" applyAlignment="1">
      <alignment horizontal="center"/>
    </xf>
    <xf numFmtId="0" fontId="44" fillId="7" borderId="12" xfId="3" applyFont="1" applyFill="1" applyBorder="1"/>
    <xf numFmtId="183" fontId="44" fillId="7" borderId="1" xfId="3" applyNumberFormat="1" applyFont="1" applyFill="1" applyBorder="1"/>
    <xf numFmtId="10" fontId="44" fillId="7" borderId="1" xfId="4" applyNumberFormat="1" applyFont="1" applyFill="1" applyBorder="1" applyAlignment="1">
      <alignment horizontal="center"/>
    </xf>
    <xf numFmtId="0" fontId="44" fillId="7" borderId="2" xfId="3" applyFont="1" applyFill="1" applyBorder="1"/>
    <xf numFmtId="0" fontId="45" fillId="7" borderId="45" xfId="3" applyFont="1" applyFill="1" applyBorder="1" applyAlignment="1">
      <alignment horizontal="center"/>
    </xf>
    <xf numFmtId="10" fontId="45" fillId="7" borderId="1" xfId="4" applyNumberFormat="1" applyFont="1" applyFill="1" applyBorder="1" applyAlignment="1">
      <alignment horizontal="center"/>
    </xf>
    <xf numFmtId="183" fontId="45" fillId="7" borderId="31" xfId="3" applyNumberFormat="1" applyFont="1" applyFill="1" applyBorder="1" applyAlignment="1">
      <alignment horizontal="center"/>
    </xf>
    <xf numFmtId="0" fontId="44" fillId="7" borderId="45" xfId="3" applyFont="1" applyFill="1" applyBorder="1" applyAlignment="1">
      <alignment horizontal="center"/>
    </xf>
    <xf numFmtId="183" fontId="44" fillId="7" borderId="31" xfId="3" applyNumberFormat="1" applyFont="1" applyFill="1" applyBorder="1" applyAlignment="1">
      <alignment horizontal="center"/>
    </xf>
    <xf numFmtId="183" fontId="46" fillId="0" borderId="0" xfId="0" applyNumberFormat="1" applyFont="1" applyBorder="1"/>
    <xf numFmtId="184" fontId="46" fillId="0" borderId="1" xfId="0" applyNumberFormat="1" applyFont="1" applyBorder="1"/>
    <xf numFmtId="9" fontId="46" fillId="0" borderId="1" xfId="4" applyFont="1" applyBorder="1"/>
    <xf numFmtId="184" fontId="47" fillId="0" borderId="1" xfId="0" applyNumberFormat="1" applyFont="1" applyBorder="1"/>
    <xf numFmtId="9" fontId="47" fillId="0" borderId="1" xfId="4" applyFont="1" applyBorder="1"/>
    <xf numFmtId="183" fontId="46" fillId="0" borderId="1" xfId="0" applyNumberFormat="1" applyFont="1" applyBorder="1"/>
    <xf numFmtId="10" fontId="46" fillId="7" borderId="1" xfId="4" applyNumberFormat="1" applyFont="1" applyFill="1" applyBorder="1" applyAlignment="1">
      <alignment horizontal="center"/>
    </xf>
    <xf numFmtId="0" fontId="0" fillId="0" borderId="1" xfId="0" applyFill="1" applyBorder="1"/>
    <xf numFmtId="166" fontId="0" fillId="0" borderId="1" xfId="2" applyFont="1" applyBorder="1"/>
    <xf numFmtId="0" fontId="31" fillId="0" borderId="1" xfId="0" applyFont="1" applyBorder="1"/>
    <xf numFmtId="0" fontId="14" fillId="0" borderId="0" xfId="0" applyFont="1" applyFill="1"/>
    <xf numFmtId="9" fontId="14" fillId="0" borderId="0" xfId="0" applyNumberFormat="1" applyFont="1"/>
    <xf numFmtId="1" fontId="25" fillId="0" borderId="1" xfId="0" applyNumberFormat="1" applyFont="1" applyBorder="1"/>
    <xf numFmtId="0" fontId="25" fillId="0" borderId="30" xfId="0" applyFont="1" applyBorder="1"/>
    <xf numFmtId="1" fontId="14" fillId="0" borderId="0" xfId="0" applyNumberFormat="1" applyFont="1" applyBorder="1" applyAlignment="1"/>
    <xf numFmtId="9" fontId="14" fillId="0" borderId="0" xfId="0" applyNumberFormat="1" applyFont="1" applyBorder="1" applyAlignment="1"/>
    <xf numFmtId="1" fontId="14" fillId="0" borderId="1" xfId="0" applyNumberFormat="1" applyFont="1" applyBorder="1"/>
    <xf numFmtId="185" fontId="14" fillId="0" borderId="1" xfId="0" applyNumberFormat="1" applyFont="1" applyBorder="1"/>
    <xf numFmtId="185" fontId="15" fillId="0" borderId="1" xfId="0" applyNumberFormat="1" applyFont="1" applyBorder="1"/>
    <xf numFmtId="185" fontId="20" fillId="0" borderId="1" xfId="0" applyNumberFormat="1" applyFont="1" applyBorder="1"/>
    <xf numFmtId="0" fontId="49" fillId="0" borderId="29" xfId="0" applyFont="1" applyBorder="1" applyAlignment="1"/>
    <xf numFmtId="0" fontId="50" fillId="0" borderId="0" xfId="0" applyFont="1"/>
    <xf numFmtId="182" fontId="25" fillId="0" borderId="0" xfId="0" applyNumberFormat="1" applyFont="1"/>
    <xf numFmtId="0" fontId="44" fillId="7" borderId="1" xfId="3" applyFont="1" applyFill="1" applyBorder="1" applyAlignment="1">
      <alignment horizontal="center"/>
    </xf>
    <xf numFmtId="0" fontId="0" fillId="0" borderId="5" xfId="0" applyBorder="1"/>
    <xf numFmtId="169" fontId="0" fillId="0" borderId="26" xfId="0" applyNumberFormat="1" applyBorder="1"/>
    <xf numFmtId="0" fontId="0" fillId="0" borderId="2" xfId="0" applyBorder="1"/>
    <xf numFmtId="0" fontId="0" fillId="0" borderId="8" xfId="0" applyBorder="1"/>
    <xf numFmtId="0" fontId="0" fillId="0" borderId="12" xfId="0" applyBorder="1"/>
    <xf numFmtId="9" fontId="0" fillId="0" borderId="25" xfId="0" applyNumberFormat="1" applyBorder="1"/>
    <xf numFmtId="0" fontId="0" fillId="0" borderId="48" xfId="0" applyBorder="1" applyAlignment="1">
      <alignment horizontal="right"/>
    </xf>
    <xf numFmtId="176" fontId="0" fillId="0" borderId="49" xfId="0" applyNumberFormat="1" applyBorder="1"/>
    <xf numFmtId="186" fontId="39" fillId="0" borderId="1" xfId="2" applyNumberFormat="1" applyFont="1" applyBorder="1" applyAlignment="1"/>
    <xf numFmtId="186" fontId="39" fillId="0" borderId="1" xfId="2" applyNumberFormat="1" applyFont="1" applyBorder="1" applyAlignment="1">
      <alignment horizontal="right"/>
    </xf>
    <xf numFmtId="186" fontId="32" fillId="0" borderId="1" xfId="0" applyNumberFormat="1" applyFont="1" applyBorder="1" applyAlignment="1"/>
    <xf numFmtId="186" fontId="14" fillId="0" borderId="0" xfId="0" applyNumberFormat="1" applyFont="1"/>
    <xf numFmtId="186" fontId="39" fillId="0" borderId="0" xfId="0" applyNumberFormat="1" applyFont="1" applyAlignment="1"/>
    <xf numFmtId="186" fontId="32" fillId="0" borderId="1" xfId="2" applyNumberFormat="1" applyFont="1" applyBorder="1" applyAlignment="1"/>
    <xf numFmtId="186" fontId="0" fillId="0" borderId="0" xfId="0" applyNumberFormat="1"/>
    <xf numFmtId="186" fontId="32" fillId="0" borderId="27" xfId="0" applyNumberFormat="1" applyFont="1" applyBorder="1" applyAlignment="1"/>
    <xf numFmtId="186" fontId="14" fillId="0" borderId="1" xfId="0" applyNumberFormat="1" applyFont="1" applyBorder="1"/>
    <xf numFmtId="186" fontId="15" fillId="0" borderId="1" xfId="2" applyNumberFormat="1" applyFont="1" applyFill="1" applyBorder="1"/>
    <xf numFmtId="186" fontId="15" fillId="0" borderId="0" xfId="0" applyNumberFormat="1" applyFont="1" applyAlignment="1">
      <alignment horizontal="center"/>
    </xf>
    <xf numFmtId="186" fontId="15" fillId="0" borderId="1" xfId="0" applyNumberFormat="1" applyFont="1" applyBorder="1"/>
    <xf numFmtId="186" fontId="15" fillId="0" borderId="1" xfId="0" applyNumberFormat="1" applyFont="1" applyFill="1" applyBorder="1"/>
    <xf numFmtId="186" fontId="4" fillId="0" borderId="1" xfId="0" applyNumberFormat="1" applyFont="1" applyBorder="1"/>
    <xf numFmtId="186" fontId="15" fillId="0" borderId="0" xfId="0" applyNumberFormat="1" applyFont="1"/>
    <xf numFmtId="186" fontId="14" fillId="0" borderId="1" xfId="2" applyNumberFormat="1" applyFont="1" applyBorder="1"/>
    <xf numFmtId="186" fontId="15" fillId="0" borderId="0" xfId="0" applyNumberFormat="1" applyFont="1" applyFill="1"/>
    <xf numFmtId="186" fontId="15" fillId="0" borderId="1" xfId="0" applyNumberFormat="1" applyFont="1" applyBorder="1" applyAlignment="1">
      <alignment horizontal="center"/>
    </xf>
    <xf numFmtId="186" fontId="3" fillId="0" borderId="1" xfId="0" applyNumberFormat="1" applyFont="1" applyBorder="1"/>
    <xf numFmtId="186" fontId="3" fillId="0" borderId="1" xfId="2" applyNumberFormat="1" applyFont="1" applyBorder="1"/>
    <xf numFmtId="186" fontId="3" fillId="0" borderId="0" xfId="0" applyNumberFormat="1" applyFont="1"/>
    <xf numFmtId="186" fontId="4" fillId="0" borderId="1" xfId="0" applyNumberFormat="1" applyFont="1" applyBorder="1" applyAlignment="1">
      <alignment horizontal="right"/>
    </xf>
    <xf numFmtId="186" fontId="14" fillId="0" borderId="0" xfId="0" applyNumberFormat="1" applyFont="1" applyBorder="1"/>
    <xf numFmtId="186" fontId="4" fillId="0" borderId="0" xfId="0" applyNumberFormat="1" applyFont="1"/>
    <xf numFmtId="186" fontId="14" fillId="0" borderId="3" xfId="0" applyNumberFormat="1" applyFont="1" applyBorder="1"/>
    <xf numFmtId="186" fontId="14" fillId="0" borderId="10" xfId="0" applyNumberFormat="1" applyFont="1" applyBorder="1"/>
    <xf numFmtId="186" fontId="14" fillId="0" borderId="4" xfId="0" applyNumberFormat="1" applyFont="1" applyBorder="1"/>
    <xf numFmtId="186" fontId="14" fillId="0" borderId="0" xfId="0" applyNumberFormat="1" applyFont="1" applyFill="1" applyBorder="1"/>
    <xf numFmtId="186" fontId="15" fillId="0" borderId="34" xfId="0" applyNumberFormat="1" applyFont="1" applyBorder="1"/>
    <xf numFmtId="186" fontId="14" fillId="0" borderId="29" xfId="0" applyNumberFormat="1" applyFont="1" applyBorder="1"/>
    <xf numFmtId="186" fontId="15" fillId="0" borderId="0" xfId="0" applyNumberFormat="1" applyFont="1" applyBorder="1"/>
    <xf numFmtId="186" fontId="14" fillId="0" borderId="1" xfId="0" applyNumberFormat="1" applyFont="1" applyFill="1" applyBorder="1"/>
    <xf numFmtId="186" fontId="15" fillId="0" borderId="0" xfId="0" applyNumberFormat="1" applyFont="1" applyFill="1" applyBorder="1"/>
    <xf numFmtId="186" fontId="15" fillId="0" borderId="1" xfId="2" applyNumberFormat="1" applyFont="1" applyBorder="1"/>
    <xf numFmtId="186" fontId="3" fillId="0" borderId="4" xfId="0" applyNumberFormat="1" applyFont="1" applyBorder="1"/>
    <xf numFmtId="186" fontId="14" fillId="0" borderId="31" xfId="0" applyNumberFormat="1" applyFont="1" applyBorder="1"/>
    <xf numFmtId="186" fontId="14" fillId="0" borderId="32" xfId="0" applyNumberFormat="1" applyFont="1" applyBorder="1"/>
    <xf numFmtId="186" fontId="14" fillId="0" borderId="27" xfId="0" applyNumberFormat="1" applyFont="1" applyBorder="1"/>
    <xf numFmtId="186" fontId="14" fillId="0" borderId="1" xfId="1" applyNumberFormat="1" applyFont="1" applyBorder="1"/>
    <xf numFmtId="186" fontId="15" fillId="0" borderId="1" xfId="1" applyNumberFormat="1" applyFont="1" applyBorder="1"/>
    <xf numFmtId="186" fontId="15" fillId="0" borderId="28" xfId="0" applyNumberFormat="1" applyFont="1" applyFill="1" applyBorder="1"/>
    <xf numFmtId="186" fontId="15" fillId="0" borderId="30" xfId="0" applyNumberFormat="1" applyFont="1" applyBorder="1"/>
    <xf numFmtId="186" fontId="15" fillId="0" borderId="31" xfId="0" applyNumberFormat="1" applyFont="1" applyBorder="1"/>
    <xf numFmtId="186" fontId="15" fillId="0" borderId="27" xfId="2" applyNumberFormat="1" applyFont="1" applyBorder="1"/>
    <xf numFmtId="186" fontId="14" fillId="0" borderId="35" xfId="0" applyNumberFormat="1" applyFont="1" applyBorder="1"/>
    <xf numFmtId="186" fontId="15" fillId="0" borderId="32" xfId="0" applyNumberFormat="1" applyFont="1" applyBorder="1"/>
    <xf numFmtId="186" fontId="15" fillId="0" borderId="27" xfId="2" applyNumberFormat="1" applyFont="1" applyFill="1" applyBorder="1"/>
    <xf numFmtId="186" fontId="16" fillId="0" borderId="33" xfId="0" applyNumberFormat="1" applyFont="1" applyBorder="1"/>
    <xf numFmtId="186" fontId="14" fillId="0" borderId="33" xfId="0" applyNumberFormat="1" applyFont="1" applyBorder="1"/>
    <xf numFmtId="186" fontId="15" fillId="0" borderId="3" xfId="0" applyNumberFormat="1" applyFont="1" applyBorder="1"/>
    <xf numFmtId="186" fontId="3" fillId="0" borderId="3" xfId="0" applyNumberFormat="1" applyFont="1" applyBorder="1"/>
    <xf numFmtId="186" fontId="15" fillId="0" borderId="10" xfId="0" applyNumberFormat="1" applyFont="1" applyBorder="1"/>
    <xf numFmtId="186" fontId="3" fillId="0" borderId="10" xfId="0" applyNumberFormat="1" applyFont="1" applyBorder="1"/>
    <xf numFmtId="186" fontId="3" fillId="0" borderId="1" xfId="2" applyNumberFormat="1" applyFont="1" applyBorder="1" applyAlignment="1"/>
    <xf numFmtId="186" fontId="14" fillId="0" borderId="1" xfId="2" applyNumberFormat="1" applyFont="1" applyFill="1" applyBorder="1"/>
    <xf numFmtId="186" fontId="14" fillId="0" borderId="1" xfId="2" applyNumberFormat="1" applyFont="1" applyFill="1" applyBorder="1" applyAlignment="1"/>
    <xf numFmtId="186" fontId="25" fillId="0" borderId="0" xfId="0" applyNumberFormat="1" applyFont="1"/>
    <xf numFmtId="186" fontId="24" fillId="2" borderId="1" xfId="0" applyNumberFormat="1" applyFont="1" applyFill="1" applyBorder="1" applyAlignment="1">
      <alignment horizontal="center"/>
    </xf>
    <xf numFmtId="186" fontId="17" fillId="2" borderId="1" xfId="0" applyNumberFormat="1" applyFont="1" applyFill="1" applyBorder="1"/>
    <xf numFmtId="186" fontId="17" fillId="2" borderId="1" xfId="2" applyNumberFormat="1" applyFont="1" applyFill="1" applyBorder="1"/>
    <xf numFmtId="186" fontId="24" fillId="2" borderId="1" xfId="0" applyNumberFormat="1" applyFont="1" applyFill="1" applyBorder="1"/>
    <xf numFmtId="186" fontId="24" fillId="2" borderId="1" xfId="2" applyNumberFormat="1" applyFont="1" applyFill="1" applyBorder="1"/>
    <xf numFmtId="186" fontId="25" fillId="0" borderId="0" xfId="0" applyNumberFormat="1" applyFont="1" applyBorder="1"/>
    <xf numFmtId="186" fontId="25" fillId="2" borderId="0" xfId="0" applyNumberFormat="1" applyFont="1" applyFill="1" applyBorder="1"/>
    <xf numFmtId="186" fontId="24" fillId="2" borderId="0" xfId="0" applyNumberFormat="1" applyFont="1" applyFill="1" applyBorder="1"/>
    <xf numFmtId="186" fontId="24" fillId="2" borderId="0" xfId="2" applyNumberFormat="1" applyFont="1" applyFill="1" applyBorder="1"/>
    <xf numFmtId="186" fontId="26" fillId="0" borderId="1" xfId="0" applyNumberFormat="1" applyFont="1" applyBorder="1"/>
    <xf numFmtId="186" fontId="25" fillId="0" borderId="29" xfId="0" applyNumberFormat="1" applyFont="1" applyBorder="1"/>
    <xf numFmtId="186" fontId="24" fillId="0" borderId="1" xfId="0" applyNumberFormat="1" applyFont="1" applyBorder="1"/>
    <xf numFmtId="186" fontId="24" fillId="0" borderId="1" xfId="2" applyNumberFormat="1" applyFont="1" applyBorder="1"/>
    <xf numFmtId="186" fontId="24" fillId="0" borderId="0" xfId="0" applyNumberFormat="1" applyFont="1"/>
    <xf numFmtId="186" fontId="25" fillId="2" borderId="1" xfId="0" applyNumberFormat="1" applyFont="1" applyFill="1" applyBorder="1"/>
    <xf numFmtId="186" fontId="25" fillId="2" borderId="1" xfId="2" applyNumberFormat="1" applyFont="1" applyFill="1" applyBorder="1"/>
    <xf numFmtId="166" fontId="42" fillId="0" borderId="1" xfId="2" applyNumberFormat="1" applyFont="1" applyFill="1" applyBorder="1" applyAlignment="1">
      <alignment horizontal="right"/>
    </xf>
    <xf numFmtId="166" fontId="0" fillId="0" borderId="1" xfId="0" applyNumberFormat="1" applyBorder="1"/>
    <xf numFmtId="10" fontId="0" fillId="0" borderId="1" xfId="0" applyNumberFormat="1" applyBorder="1"/>
    <xf numFmtId="0" fontId="31" fillId="8" borderId="1" xfId="0" applyFont="1" applyFill="1" applyBorder="1"/>
    <xf numFmtId="0" fontId="31" fillId="9" borderId="1" xfId="0" applyFont="1" applyFill="1" applyBorder="1"/>
    <xf numFmtId="0" fontId="45" fillId="10" borderId="1" xfId="3" applyFont="1" applyFill="1" applyBorder="1" applyAlignment="1">
      <alignment horizontal="center"/>
    </xf>
    <xf numFmtId="0" fontId="45" fillId="10" borderId="1" xfId="3" applyFont="1" applyFill="1" applyBorder="1"/>
    <xf numFmtId="0" fontId="45" fillId="10" borderId="5" xfId="3" applyFont="1" applyFill="1" applyBorder="1" applyAlignment="1">
      <alignment horizontal="center"/>
    </xf>
    <xf numFmtId="0" fontId="45" fillId="10" borderId="6" xfId="3" applyFont="1" applyFill="1" applyBorder="1" applyAlignment="1">
      <alignment horizontal="center"/>
    </xf>
    <xf numFmtId="0" fontId="45" fillId="10" borderId="46" xfId="3" applyFont="1" applyFill="1" applyBorder="1" applyAlignment="1">
      <alignment horizontal="center"/>
    </xf>
    <xf numFmtId="0" fontId="45" fillId="10" borderId="26" xfId="3" applyFont="1" applyFill="1" applyBorder="1" applyAlignment="1">
      <alignment horizontal="center"/>
    </xf>
    <xf numFmtId="0" fontId="45" fillId="10" borderId="2" xfId="3" applyFont="1" applyFill="1" applyBorder="1"/>
    <xf numFmtId="0" fontId="45" fillId="10" borderId="2" xfId="3" applyFont="1" applyFill="1" applyBorder="1" applyAlignment="1">
      <alignment horizontal="left"/>
    </xf>
    <xf numFmtId="0" fontId="39" fillId="12" borderId="0" xfId="0" applyFont="1" applyFill="1"/>
    <xf numFmtId="0" fontId="39" fillId="12" borderId="1" xfId="0" applyFont="1" applyFill="1" applyBorder="1"/>
    <xf numFmtId="166" fontId="39" fillId="12" borderId="1" xfId="2" applyFont="1" applyFill="1" applyBorder="1"/>
    <xf numFmtId="166" fontId="39" fillId="12" borderId="1" xfId="0" applyNumberFormat="1" applyFont="1" applyFill="1" applyBorder="1"/>
    <xf numFmtId="178" fontId="39" fillId="12" borderId="1" xfId="0" applyNumberFormat="1" applyFont="1" applyFill="1" applyBorder="1"/>
    <xf numFmtId="0" fontId="32" fillId="12" borderId="0" xfId="0" applyFont="1" applyFill="1"/>
    <xf numFmtId="0" fontId="39" fillId="13" borderId="0" xfId="0" applyFont="1" applyFill="1"/>
    <xf numFmtId="0" fontId="0" fillId="0" borderId="0" xfId="0" applyAlignment="1">
      <alignment horizontal="left"/>
    </xf>
    <xf numFmtId="0" fontId="1" fillId="0" borderId="0" xfId="0" applyFont="1" applyAlignment="1">
      <alignment horizontal="center"/>
    </xf>
    <xf numFmtId="0" fontId="0" fillId="0" borderId="0" xfId="0" applyBorder="1" applyAlignment="1">
      <alignment horizontal="left"/>
    </xf>
    <xf numFmtId="0" fontId="0" fillId="0" borderId="0" xfId="0" applyBorder="1" applyAlignment="1">
      <alignment horizontal="center"/>
    </xf>
    <xf numFmtId="0" fontId="1" fillId="0" borderId="37" xfId="0" applyFont="1" applyBorder="1" applyAlignment="1">
      <alignment horizontal="center"/>
    </xf>
    <xf numFmtId="0" fontId="1" fillId="0" borderId="38" xfId="0" applyFont="1" applyBorder="1" applyAlignment="1">
      <alignment horizontal="center"/>
    </xf>
    <xf numFmtId="0" fontId="9" fillId="0" borderId="29" xfId="0"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left"/>
    </xf>
    <xf numFmtId="186" fontId="14" fillId="0" borderId="3" xfId="0" applyNumberFormat="1" applyFont="1" applyBorder="1" applyAlignment="1">
      <alignment horizontal="center"/>
    </xf>
    <xf numFmtId="186" fontId="14" fillId="0" borderId="10" xfId="0" applyNumberFormat="1" applyFont="1" applyBorder="1" applyAlignment="1">
      <alignment horizontal="center"/>
    </xf>
    <xf numFmtId="186" fontId="14" fillId="0" borderId="3" xfId="2" applyNumberFormat="1" applyFont="1" applyBorder="1" applyAlignment="1">
      <alignment horizontal="center"/>
    </xf>
    <xf numFmtId="186" fontId="14" fillId="0" borderId="10" xfId="2" applyNumberFormat="1" applyFont="1" applyBorder="1" applyAlignment="1">
      <alignment horizontal="center"/>
    </xf>
    <xf numFmtId="186" fontId="14" fillId="0" borderId="3" xfId="2" applyNumberFormat="1" applyFont="1" applyFill="1" applyBorder="1" applyAlignment="1">
      <alignment horizontal="center"/>
    </xf>
    <xf numFmtId="186" fontId="14" fillId="0" borderId="10" xfId="2" applyNumberFormat="1" applyFont="1" applyFill="1" applyBorder="1" applyAlignment="1">
      <alignment horizontal="center"/>
    </xf>
    <xf numFmtId="186" fontId="24" fillId="2" borderId="0" xfId="0" applyNumberFormat="1" applyFont="1" applyFill="1" applyBorder="1" applyAlignment="1">
      <alignment horizontal="center"/>
    </xf>
    <xf numFmtId="186" fontId="24" fillId="0" borderId="0" xfId="0" applyNumberFormat="1" applyFont="1" applyBorder="1" applyAlignment="1">
      <alignment horizontal="center"/>
    </xf>
    <xf numFmtId="0" fontId="6" fillId="0" borderId="0" xfId="0" applyFont="1" applyAlignment="1">
      <alignment horizontal="center"/>
    </xf>
    <xf numFmtId="0" fontId="7" fillId="0" borderId="0" xfId="0" applyFont="1" applyAlignment="1">
      <alignment horizontal="center"/>
    </xf>
    <xf numFmtId="0" fontId="26" fillId="0" borderId="39" xfId="0" applyFont="1" applyBorder="1" applyAlignment="1">
      <alignment horizontal="center"/>
    </xf>
    <xf numFmtId="0" fontId="25" fillId="0" borderId="30" xfId="0" applyFont="1" applyBorder="1" applyAlignment="1">
      <alignment horizontal="center"/>
    </xf>
    <xf numFmtId="0" fontId="25" fillId="0" borderId="40" xfId="0" applyFont="1" applyBorder="1" applyAlignment="1">
      <alignment horizontal="center"/>
    </xf>
    <xf numFmtId="0" fontId="25" fillId="0" borderId="1" xfId="0" applyFont="1" applyBorder="1" applyAlignment="1">
      <alignment horizontal="center"/>
    </xf>
    <xf numFmtId="0" fontId="37" fillId="0" borderId="29" xfId="0" applyFont="1" applyBorder="1" applyAlignment="1">
      <alignment horizontal="center"/>
    </xf>
    <xf numFmtId="0" fontId="24" fillId="0" borderId="0" xfId="0" applyFont="1" applyAlignment="1">
      <alignment horizontal="left" wrapText="1"/>
    </xf>
    <xf numFmtId="0" fontId="24" fillId="0" borderId="39" xfId="0" applyFont="1" applyBorder="1" applyAlignment="1">
      <alignment horizontal="left" wrapText="1"/>
    </xf>
    <xf numFmtId="0" fontId="6" fillId="0" borderId="0" xfId="0" applyFont="1" applyFill="1" applyBorder="1" applyAlignment="1">
      <alignment horizontal="center"/>
    </xf>
    <xf numFmtId="0" fontId="27" fillId="0" borderId="0" xfId="0" applyFont="1" applyAlignment="1">
      <alignment horizontal="center" wrapText="1"/>
    </xf>
    <xf numFmtId="0" fontId="28" fillId="0" borderId="0" xfId="0" applyFont="1" applyAlignment="1">
      <alignment horizontal="center" wrapText="1"/>
    </xf>
    <xf numFmtId="0" fontId="6" fillId="0" borderId="1" xfId="0" applyFont="1" applyBorder="1" applyAlignment="1">
      <alignment horizontal="center" vertical="justify" wrapText="1"/>
    </xf>
    <xf numFmtId="0" fontId="48" fillId="11" borderId="33" xfId="3" applyFont="1" applyFill="1" applyBorder="1" applyAlignment="1">
      <alignment horizontal="center"/>
    </xf>
    <xf numFmtId="0" fontId="48" fillId="11" borderId="0" xfId="3" applyFont="1" applyFill="1" applyBorder="1" applyAlignment="1">
      <alignment horizontal="center"/>
    </xf>
    <xf numFmtId="0" fontId="44" fillId="7" borderId="47" xfId="3" applyFont="1" applyFill="1" applyBorder="1" applyAlignment="1">
      <alignment horizontal="center"/>
    </xf>
    <xf numFmtId="0" fontId="44" fillId="7" borderId="29" xfId="3" applyFont="1" applyFill="1" applyBorder="1" applyAlignment="1">
      <alignment horizontal="center"/>
    </xf>
    <xf numFmtId="0" fontId="45" fillId="7" borderId="42" xfId="3" applyFont="1" applyFill="1" applyBorder="1" applyAlignment="1">
      <alignment horizontal="center"/>
    </xf>
    <xf numFmtId="0" fontId="45" fillId="7" borderId="39" xfId="3" applyFont="1" applyFill="1" applyBorder="1" applyAlignment="1">
      <alignment horizontal="center"/>
    </xf>
    <xf numFmtId="0" fontId="45" fillId="7" borderId="43" xfId="3" applyFont="1" applyFill="1" applyBorder="1" applyAlignment="1">
      <alignment horizontal="center"/>
    </xf>
    <xf numFmtId="0" fontId="14" fillId="0" borderId="0" xfId="0" applyFont="1" applyFill="1" applyAlignment="1">
      <alignment horizontal="center"/>
    </xf>
    <xf numFmtId="0" fontId="15" fillId="0" borderId="0" xfId="0" applyFont="1" applyAlignment="1">
      <alignment horizontal="center"/>
    </xf>
    <xf numFmtId="0" fontId="14" fillId="0" borderId="1" xfId="0" applyFont="1" applyBorder="1" applyAlignment="1">
      <alignment horizontal="left"/>
    </xf>
    <xf numFmtId="0" fontId="15" fillId="0" borderId="31" xfId="0" applyFont="1" applyBorder="1" applyAlignment="1">
      <alignment horizontal="center"/>
    </xf>
    <xf numFmtId="0" fontId="15" fillId="0" borderId="27" xfId="0" applyFont="1" applyBorder="1" applyAlignment="1">
      <alignment horizontal="center"/>
    </xf>
  </cellXfs>
  <cellStyles count="5">
    <cellStyle name="Millares" xfId="1" builtinId="3"/>
    <cellStyle name="Moneda" xfId="2" builtinId="4"/>
    <cellStyle name="Normal" xfId="0" builtinId="0"/>
    <cellStyle name="Normal 2" xfId="3"/>
    <cellStyle name="Porcentual" xfId="4" builtinId="5"/>
  </cellStyles>
  <dxfs count="0"/>
  <tableStyles count="0" defaultTableStyle="TableStyleMedium9" defaultPivotStyle="PivotStyleLight16"/>
  <colors>
    <mruColors>
      <color rgb="FFFF9900"/>
      <color rgb="FFFFFF66"/>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s-ES_tradnl"/>
  <c:chart>
    <c:title>
      <c:tx>
        <c:rich>
          <a:bodyPr/>
          <a:lstStyle/>
          <a:p>
            <a:pPr>
              <a:defRPr lang="es-ES"/>
            </a:pPr>
            <a:r>
              <a:rPr lang="es-ES"/>
              <a:t>PUNTO</a:t>
            </a:r>
            <a:r>
              <a:rPr lang="es-ES" baseline="0"/>
              <a:t> DE EQUILIBRIO DEL PROYECTO EN UNIDADES</a:t>
            </a:r>
          </a:p>
        </c:rich>
      </c:tx>
      <c:layout>
        <c:manualLayout>
          <c:xMode val="edge"/>
          <c:yMode val="edge"/>
          <c:x val="0.26582000100306036"/>
          <c:y val="0"/>
        </c:manualLayout>
      </c:layout>
    </c:title>
    <c:plotArea>
      <c:layout>
        <c:manualLayout>
          <c:layoutTarget val="inner"/>
          <c:xMode val="edge"/>
          <c:yMode val="edge"/>
          <c:x val="0.20365933645186579"/>
          <c:y val="0.17161297210730056"/>
          <c:w val="0.69279242872418889"/>
          <c:h val="0.64324395872929674"/>
        </c:manualLayout>
      </c:layout>
      <c:lineChart>
        <c:grouping val="standard"/>
        <c:ser>
          <c:idx val="0"/>
          <c:order val="0"/>
          <c:tx>
            <c:strRef>
              <c:f>'punto de equilibrio'!$B$56</c:f>
              <c:strCache>
                <c:ptCount val="1"/>
                <c:pt idx="0">
                  <c:v>TOTAL DE INGRESOS</c:v>
                </c:pt>
              </c:strCache>
            </c:strRef>
          </c:tx>
          <c:cat>
            <c:numRef>
              <c:f>INVERSIONES!$AF$18:$AO$18</c:f>
              <c:numCache>
                <c:formatCode>0</c:formatCode>
                <c:ptCount val="10"/>
                <c:pt idx="0">
                  <c:v>521471.55637228984</c:v>
                </c:pt>
                <c:pt idx="1">
                  <c:v>534508.34528159711</c:v>
                </c:pt>
                <c:pt idx="2">
                  <c:v>547871.05391363672</c:v>
                </c:pt>
                <c:pt idx="3">
                  <c:v>561567.83026147785</c:v>
                </c:pt>
                <c:pt idx="4">
                  <c:v>575607.02601801464</c:v>
                </c:pt>
                <c:pt idx="5">
                  <c:v>589997.20166846504</c:v>
                </c:pt>
                <c:pt idx="6">
                  <c:v>604747.13171017659</c:v>
                </c:pt>
                <c:pt idx="7">
                  <c:v>619865.81000293104</c:v>
                </c:pt>
                <c:pt idx="8">
                  <c:v>635362.45525300421</c:v>
                </c:pt>
                <c:pt idx="9">
                  <c:v>651246.51663432934</c:v>
                </c:pt>
              </c:numCache>
            </c:numRef>
          </c:cat>
          <c:val>
            <c:numRef>
              <c:f>'punto de equilibrio'!$C$56:$L$56</c:f>
              <c:numCache>
                <c:formatCode>0.00</c:formatCode>
                <c:ptCount val="10"/>
                <c:pt idx="0">
                  <c:v>408379.1661703951</c:v>
                </c:pt>
                <c:pt idx="1">
                  <c:v>418588.64532465499</c:v>
                </c:pt>
                <c:pt idx="2">
                  <c:v>429053.3614577711</c:v>
                </c:pt>
                <c:pt idx="3">
                  <c:v>439779.69549421553</c:v>
                </c:pt>
                <c:pt idx="4">
                  <c:v>450774.18788157083</c:v>
                </c:pt>
                <c:pt idx="5">
                  <c:v>462043.54257861013</c:v>
                </c:pt>
                <c:pt idx="6">
                  <c:v>473594.6311430753</c:v>
                </c:pt>
                <c:pt idx="7">
                  <c:v>485434.49692165223</c:v>
                </c:pt>
                <c:pt idx="8">
                  <c:v>497570.35934469342</c:v>
                </c:pt>
                <c:pt idx="9">
                  <c:v>510009.61832831078</c:v>
                </c:pt>
              </c:numCache>
            </c:numRef>
          </c:val>
        </c:ser>
        <c:ser>
          <c:idx val="1"/>
          <c:order val="1"/>
          <c:tx>
            <c:strRef>
              <c:f>'punto de equilibrio'!$B$57</c:f>
              <c:strCache>
                <c:ptCount val="1"/>
                <c:pt idx="0">
                  <c:v>TOTAL DE EGRESOS</c:v>
                </c:pt>
              </c:strCache>
            </c:strRef>
          </c:tx>
          <c:cat>
            <c:numRef>
              <c:f>INVERSIONES!$AF$18:$AO$18</c:f>
              <c:numCache>
                <c:formatCode>0</c:formatCode>
                <c:ptCount val="10"/>
                <c:pt idx="0">
                  <c:v>521471.55637228984</c:v>
                </c:pt>
                <c:pt idx="1">
                  <c:v>534508.34528159711</c:v>
                </c:pt>
                <c:pt idx="2">
                  <c:v>547871.05391363672</c:v>
                </c:pt>
                <c:pt idx="3">
                  <c:v>561567.83026147785</c:v>
                </c:pt>
                <c:pt idx="4">
                  <c:v>575607.02601801464</c:v>
                </c:pt>
                <c:pt idx="5">
                  <c:v>589997.20166846504</c:v>
                </c:pt>
                <c:pt idx="6">
                  <c:v>604747.13171017659</c:v>
                </c:pt>
                <c:pt idx="7">
                  <c:v>619865.81000293104</c:v>
                </c:pt>
                <c:pt idx="8">
                  <c:v>635362.45525300421</c:v>
                </c:pt>
                <c:pt idx="9">
                  <c:v>651246.51663432934</c:v>
                </c:pt>
              </c:numCache>
            </c:numRef>
          </c:cat>
          <c:val>
            <c:numRef>
              <c:f>'punto de equilibrio'!$C$57:$L$57</c:f>
              <c:numCache>
                <c:formatCode>0.00</c:formatCode>
                <c:ptCount val="10"/>
                <c:pt idx="0">
                  <c:v>433196.13157807704</c:v>
                </c:pt>
                <c:pt idx="1">
                  <c:v>434076.02858658001</c:v>
                </c:pt>
                <c:pt idx="2">
                  <c:v>435061.51323610335</c:v>
                </c:pt>
                <c:pt idx="3">
                  <c:v>436165.25604356948</c:v>
                </c:pt>
                <c:pt idx="4">
                  <c:v>437401.44798793155</c:v>
                </c:pt>
                <c:pt idx="5">
                  <c:v>425863.65650721878</c:v>
                </c:pt>
                <c:pt idx="6">
                  <c:v>425863.65650721878</c:v>
                </c:pt>
                <c:pt idx="7">
                  <c:v>425863.65650721878</c:v>
                </c:pt>
                <c:pt idx="8">
                  <c:v>425863.65650721878</c:v>
                </c:pt>
                <c:pt idx="9">
                  <c:v>425863.65650721878</c:v>
                </c:pt>
              </c:numCache>
            </c:numRef>
          </c:val>
        </c:ser>
        <c:marker val="1"/>
        <c:axId val="97220096"/>
        <c:axId val="97230848"/>
      </c:lineChart>
      <c:catAx>
        <c:axId val="97220096"/>
        <c:scaling>
          <c:orientation val="minMax"/>
        </c:scaling>
        <c:axPos val="b"/>
        <c:title>
          <c:tx>
            <c:rich>
              <a:bodyPr/>
              <a:lstStyle/>
              <a:p>
                <a:pPr>
                  <a:defRPr lang="es-ES"/>
                </a:pPr>
                <a:r>
                  <a:rPr lang="es-ES"/>
                  <a:t>CANTIDADES</a:t>
                </a:r>
              </a:p>
            </c:rich>
          </c:tx>
          <c:layout>
            <c:manualLayout>
              <c:xMode val="edge"/>
              <c:yMode val="edge"/>
              <c:x val="0.44086300717187432"/>
              <c:y val="0.94449987299974791"/>
            </c:manualLayout>
          </c:layout>
        </c:title>
        <c:numFmt formatCode="0" sourceLinked="1"/>
        <c:tickLblPos val="nextTo"/>
        <c:txPr>
          <a:bodyPr/>
          <a:lstStyle/>
          <a:p>
            <a:pPr>
              <a:defRPr lang="es-ES"/>
            </a:pPr>
            <a:endParaRPr lang="es-ES_tradnl"/>
          </a:p>
        </c:txPr>
        <c:crossAx val="97230848"/>
        <c:crosses val="autoZero"/>
        <c:auto val="1"/>
        <c:lblAlgn val="ctr"/>
        <c:lblOffset val="100"/>
      </c:catAx>
      <c:valAx>
        <c:axId val="97230848"/>
        <c:scaling>
          <c:orientation val="minMax"/>
        </c:scaling>
        <c:axPos val="l"/>
        <c:title>
          <c:tx>
            <c:rich>
              <a:bodyPr rot="-5400000" vert="horz"/>
              <a:lstStyle/>
              <a:p>
                <a:pPr>
                  <a:defRPr lang="es-ES"/>
                </a:pPr>
                <a:r>
                  <a:rPr lang="es-ES"/>
                  <a:t>DÓLARES</a:t>
                </a:r>
              </a:p>
            </c:rich>
          </c:tx>
          <c:layout>
            <c:manualLayout>
              <c:xMode val="edge"/>
              <c:yMode val="edge"/>
              <c:x val="6.1086187873012815E-2"/>
              <c:y val="0.40021920243840475"/>
            </c:manualLayout>
          </c:layout>
        </c:title>
        <c:numFmt formatCode="0.00" sourceLinked="1"/>
        <c:tickLblPos val="nextTo"/>
        <c:txPr>
          <a:bodyPr/>
          <a:lstStyle/>
          <a:p>
            <a:pPr>
              <a:defRPr lang="es-ES"/>
            </a:pPr>
            <a:endParaRPr lang="es-ES_tradnl"/>
          </a:p>
        </c:txPr>
        <c:crossAx val="97220096"/>
        <c:crosses val="autoZero"/>
        <c:crossBetween val="between"/>
      </c:valAx>
    </c:plotArea>
    <c:legend>
      <c:legendPos val="r"/>
      <c:txPr>
        <a:bodyPr/>
        <a:lstStyle/>
        <a:p>
          <a:pPr>
            <a:defRPr lang="es-ES"/>
          </a:pPr>
          <a:endParaRPr lang="es-ES_tradnl"/>
        </a:p>
      </c:txPr>
    </c:legend>
    <c:plotVisOnly val="1"/>
  </c:chart>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_tradnl"/>
  <c:chart>
    <c:title>
      <c:tx>
        <c:rich>
          <a:bodyPr/>
          <a:lstStyle/>
          <a:p>
            <a:pPr>
              <a:defRPr lang="es-EC"/>
            </a:pPr>
            <a:r>
              <a:rPr lang="es-ES"/>
              <a:t>PUNTO DE EQUILIBRIO EN DÓLARES</a:t>
            </a:r>
          </a:p>
          <a:p>
            <a:pPr>
              <a:defRPr lang="es-EC"/>
            </a:pPr>
            <a:endParaRPr lang="es-ES"/>
          </a:p>
        </c:rich>
      </c:tx>
      <c:layout>
        <c:manualLayout>
          <c:xMode val="edge"/>
          <c:yMode val="edge"/>
          <c:x val="0.38179223264072226"/>
          <c:y val="0"/>
        </c:manualLayout>
      </c:layout>
    </c:title>
    <c:plotArea>
      <c:layout>
        <c:manualLayout>
          <c:layoutTarget val="inner"/>
          <c:xMode val="edge"/>
          <c:yMode val="edge"/>
          <c:x val="0.19582841339654061"/>
          <c:y val="0.10071610770173127"/>
          <c:w val="0.64721981627296665"/>
          <c:h val="0.79822506561679785"/>
        </c:manualLayout>
      </c:layout>
      <c:lineChart>
        <c:grouping val="standard"/>
        <c:ser>
          <c:idx val="0"/>
          <c:order val="0"/>
          <c:tx>
            <c:v>DÓLARES</c:v>
          </c:tx>
          <c:dLbls>
            <c:txPr>
              <a:bodyPr/>
              <a:lstStyle/>
              <a:p>
                <a:pPr>
                  <a:defRPr lang="es-EC"/>
                </a:pPr>
                <a:endParaRPr lang="es-ES_tradnl"/>
              </a:p>
            </c:txPr>
            <c:showVal val="1"/>
          </c:dLbls>
          <c:cat>
            <c:numRef>
              <c:f>'[1]punto de equilibrio'!$C$11:$L$11</c:f>
              <c:numCache>
                <c:formatCode>General</c:formatCode>
                <c:ptCount val="10"/>
                <c:pt idx="0">
                  <c:v>521472</c:v>
                </c:pt>
                <c:pt idx="1">
                  <c:v>534508</c:v>
                </c:pt>
                <c:pt idx="2">
                  <c:v>547871</c:v>
                </c:pt>
                <c:pt idx="3">
                  <c:v>561568</c:v>
                </c:pt>
                <c:pt idx="4">
                  <c:v>575607</c:v>
                </c:pt>
                <c:pt idx="5">
                  <c:v>589997</c:v>
                </c:pt>
                <c:pt idx="6">
                  <c:v>604747</c:v>
                </c:pt>
                <c:pt idx="7">
                  <c:v>619866</c:v>
                </c:pt>
                <c:pt idx="8">
                  <c:v>635363</c:v>
                </c:pt>
                <c:pt idx="9">
                  <c:v>651247</c:v>
                </c:pt>
              </c:numCache>
            </c:numRef>
          </c:cat>
          <c:val>
            <c:numRef>
              <c:f>'[1]punto de equilibrio'!$O$6:$X$6</c:f>
              <c:numCache>
                <c:formatCode>General</c:formatCode>
                <c:ptCount val="10"/>
                <c:pt idx="0">
                  <c:v>553031.84504371486</c:v>
                </c:pt>
                <c:pt idx="1">
                  <c:v>499349.59067963262</c:v>
                </c:pt>
                <c:pt idx="2">
                  <c:v>457463.22424977535</c:v>
                </c:pt>
                <c:pt idx="3">
                  <c:v>424113.33178214228</c:v>
                </c:pt>
                <c:pt idx="4">
                  <c:v>397170.97272179014</c:v>
                </c:pt>
                <c:pt idx="5">
                  <c:v>326934.01659078099</c:v>
                </c:pt>
                <c:pt idx="6">
                  <c:v>306493.2891870109</c:v>
                </c:pt>
                <c:pt idx="7">
                  <c:v>288872.75943627593</c:v>
                </c:pt>
                <c:pt idx="8">
                  <c:v>273530.81567716814</c:v>
                </c:pt>
                <c:pt idx="9">
                  <c:v>260056.1776960158</c:v>
                </c:pt>
              </c:numCache>
            </c:numRef>
          </c:val>
        </c:ser>
        <c:ser>
          <c:idx val="1"/>
          <c:order val="1"/>
          <c:tx>
            <c:v>INGRESOS</c:v>
          </c:tx>
          <c:cat>
            <c:numRef>
              <c:f>'[1]punto de equilibrio'!$C$11:$L$11</c:f>
              <c:numCache>
                <c:formatCode>General</c:formatCode>
                <c:ptCount val="10"/>
                <c:pt idx="0">
                  <c:v>521472</c:v>
                </c:pt>
                <c:pt idx="1">
                  <c:v>534508</c:v>
                </c:pt>
                <c:pt idx="2">
                  <c:v>547871</c:v>
                </c:pt>
                <c:pt idx="3">
                  <c:v>561568</c:v>
                </c:pt>
                <c:pt idx="4">
                  <c:v>575607</c:v>
                </c:pt>
                <c:pt idx="5">
                  <c:v>589997</c:v>
                </c:pt>
                <c:pt idx="6">
                  <c:v>604747</c:v>
                </c:pt>
                <c:pt idx="7">
                  <c:v>619866</c:v>
                </c:pt>
                <c:pt idx="8">
                  <c:v>635363</c:v>
                </c:pt>
                <c:pt idx="9">
                  <c:v>651247</c:v>
                </c:pt>
              </c:numCache>
            </c:numRef>
          </c:cat>
          <c:val>
            <c:numRef>
              <c:f>'[1]SENSIBILIDAD TMAR VS VAN'!$D$189:$M$189</c:f>
              <c:numCache>
                <c:formatCode>General</c:formatCode>
                <c:ptCount val="10"/>
                <c:pt idx="0">
                  <c:v>408379.1661703951</c:v>
                </c:pt>
                <c:pt idx="1">
                  <c:v>418588.64532465499</c:v>
                </c:pt>
                <c:pt idx="2">
                  <c:v>429053.3614577711</c:v>
                </c:pt>
                <c:pt idx="3">
                  <c:v>439779.69549421553</c:v>
                </c:pt>
                <c:pt idx="4">
                  <c:v>450774.18788157083</c:v>
                </c:pt>
                <c:pt idx="5">
                  <c:v>462043.54257861013</c:v>
                </c:pt>
                <c:pt idx="6">
                  <c:v>473594.6311430753</c:v>
                </c:pt>
                <c:pt idx="7">
                  <c:v>485434.49692165223</c:v>
                </c:pt>
                <c:pt idx="8">
                  <c:v>497570.35934469342</c:v>
                </c:pt>
                <c:pt idx="9">
                  <c:v>510009.61832831078</c:v>
                </c:pt>
              </c:numCache>
            </c:numRef>
          </c:val>
        </c:ser>
        <c:marker val="1"/>
        <c:axId val="97252864"/>
        <c:axId val="97254400"/>
      </c:lineChart>
      <c:catAx>
        <c:axId val="97252864"/>
        <c:scaling>
          <c:orientation val="minMax"/>
        </c:scaling>
        <c:axPos val="b"/>
        <c:numFmt formatCode="General" sourceLinked="1"/>
        <c:tickLblPos val="nextTo"/>
        <c:txPr>
          <a:bodyPr/>
          <a:lstStyle/>
          <a:p>
            <a:pPr>
              <a:defRPr lang="es-EC"/>
            </a:pPr>
            <a:endParaRPr lang="es-ES_tradnl"/>
          </a:p>
        </c:txPr>
        <c:crossAx val="97254400"/>
        <c:crosses val="autoZero"/>
        <c:auto val="1"/>
        <c:lblAlgn val="ctr"/>
        <c:lblOffset val="100"/>
      </c:catAx>
      <c:valAx>
        <c:axId val="97254400"/>
        <c:scaling>
          <c:orientation val="minMax"/>
        </c:scaling>
        <c:axPos val="l"/>
        <c:majorGridlines/>
        <c:numFmt formatCode="General" sourceLinked="1"/>
        <c:tickLblPos val="nextTo"/>
        <c:txPr>
          <a:bodyPr/>
          <a:lstStyle/>
          <a:p>
            <a:pPr>
              <a:defRPr lang="es-EC"/>
            </a:pPr>
            <a:endParaRPr lang="es-ES_tradnl"/>
          </a:p>
        </c:txPr>
        <c:crossAx val="97252864"/>
        <c:crosses val="autoZero"/>
        <c:crossBetween val="between"/>
      </c:valAx>
    </c:plotArea>
    <c:legend>
      <c:legendPos val="r"/>
      <c:layout/>
      <c:txPr>
        <a:bodyPr/>
        <a:lstStyle/>
        <a:p>
          <a:pPr>
            <a:defRPr lang="es-EC"/>
          </a:pPr>
          <a:endParaRPr lang="es-ES_tradnl"/>
        </a:p>
      </c:txPr>
    </c:legend>
    <c:plotVisOnly val="1"/>
  </c:chart>
  <c:txPr>
    <a:bodyPr/>
    <a:lstStyle/>
    <a:p>
      <a:pPr>
        <a:defRPr sz="800"/>
      </a:pPr>
      <a:endParaRPr lang="es-ES_tradnl"/>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_tradnl"/>
  <c:chart>
    <c:plotArea>
      <c:layout/>
      <c:lineChart>
        <c:grouping val="standard"/>
        <c:ser>
          <c:idx val="0"/>
          <c:order val="0"/>
          <c:tx>
            <c:strRef>
              <c:f>'SENSIBILIDAD TMAR VS VAN'!$B$223</c:f>
              <c:strCache>
                <c:ptCount val="1"/>
                <c:pt idx="0">
                  <c:v>VAN</c:v>
                </c:pt>
              </c:strCache>
            </c:strRef>
          </c:tx>
          <c:marker>
            <c:symbol val="none"/>
          </c:marker>
          <c:cat>
            <c:numRef>
              <c:f>'SENSIBILIDAD TMAR VS VAN'!$C$224:$C$229</c:f>
              <c:numCache>
                <c:formatCode>0.00%</c:formatCode>
                <c:ptCount val="6"/>
                <c:pt idx="0">
                  <c:v>0.09</c:v>
                </c:pt>
                <c:pt idx="1">
                  <c:v>0.11</c:v>
                </c:pt>
                <c:pt idx="2">
                  <c:v>0.131961306</c:v>
                </c:pt>
                <c:pt idx="3">
                  <c:v>0.15</c:v>
                </c:pt>
                <c:pt idx="4">
                  <c:v>0.17</c:v>
                </c:pt>
                <c:pt idx="5">
                  <c:v>0.19</c:v>
                </c:pt>
              </c:numCache>
            </c:numRef>
          </c:cat>
          <c:val>
            <c:numRef>
              <c:f>'SENSIBILIDAD TMAR VS VAN'!$B$224:$B$229</c:f>
              <c:numCache>
                <c:formatCode>_("$"\ * #,##0.00_);_("$"\ * \(#,##0.00\);_("$"\ * "-"??_);_(@_)</c:formatCode>
                <c:ptCount val="6"/>
                <c:pt idx="0">
                  <c:v>61734.00967151596</c:v>
                </c:pt>
                <c:pt idx="1">
                  <c:v>42998.120279754497</c:v>
                </c:pt>
                <c:pt idx="2">
                  <c:v>25697.599615395986</c:v>
                </c:pt>
                <c:pt idx="3">
                  <c:v>13615.292283969655</c:v>
                </c:pt>
                <c:pt idx="4">
                  <c:v>2090.0832734709402</c:v>
                </c:pt>
                <c:pt idx="5">
                  <c:v>-7778.1564861607403</c:v>
                </c:pt>
              </c:numCache>
            </c:numRef>
          </c:val>
        </c:ser>
        <c:ser>
          <c:idx val="1"/>
          <c:order val="1"/>
          <c:tx>
            <c:strRef>
              <c:f>'SENSIBILIDAD TMAR VS VAN'!$C$223</c:f>
              <c:strCache>
                <c:ptCount val="1"/>
                <c:pt idx="0">
                  <c:v>TMAR</c:v>
                </c:pt>
              </c:strCache>
            </c:strRef>
          </c:tx>
          <c:marker>
            <c:symbol val="none"/>
          </c:marker>
          <c:cat>
            <c:numRef>
              <c:f>'SENSIBILIDAD TMAR VS VAN'!$C$224:$C$229</c:f>
              <c:numCache>
                <c:formatCode>0.00%</c:formatCode>
                <c:ptCount val="6"/>
                <c:pt idx="0">
                  <c:v>0.09</c:v>
                </c:pt>
                <c:pt idx="1">
                  <c:v>0.11</c:v>
                </c:pt>
                <c:pt idx="2">
                  <c:v>0.131961306</c:v>
                </c:pt>
                <c:pt idx="3">
                  <c:v>0.15</c:v>
                </c:pt>
                <c:pt idx="4">
                  <c:v>0.17</c:v>
                </c:pt>
                <c:pt idx="5">
                  <c:v>0.19</c:v>
                </c:pt>
              </c:numCache>
            </c:numRef>
          </c:cat>
          <c:val>
            <c:numRef>
              <c:f>'SENSIBILIDAD TMAR VS VAN'!$C$224:$C$229</c:f>
              <c:numCache>
                <c:formatCode>0.00%</c:formatCode>
                <c:ptCount val="6"/>
                <c:pt idx="0">
                  <c:v>0.09</c:v>
                </c:pt>
                <c:pt idx="1">
                  <c:v>0.11</c:v>
                </c:pt>
                <c:pt idx="2">
                  <c:v>0.131961306</c:v>
                </c:pt>
                <c:pt idx="3">
                  <c:v>0.15</c:v>
                </c:pt>
                <c:pt idx="4">
                  <c:v>0.17</c:v>
                </c:pt>
                <c:pt idx="5">
                  <c:v>0.19</c:v>
                </c:pt>
              </c:numCache>
            </c:numRef>
          </c:val>
        </c:ser>
        <c:marker val="1"/>
        <c:axId val="97763712"/>
        <c:axId val="97765248"/>
      </c:lineChart>
      <c:catAx>
        <c:axId val="97763712"/>
        <c:scaling>
          <c:orientation val="minMax"/>
        </c:scaling>
        <c:axPos val="b"/>
        <c:numFmt formatCode="0.00%" sourceLinked="1"/>
        <c:tickLblPos val="nextTo"/>
        <c:txPr>
          <a:bodyPr/>
          <a:lstStyle/>
          <a:p>
            <a:pPr>
              <a:defRPr lang="es-EC"/>
            </a:pPr>
            <a:endParaRPr lang="es-ES_tradnl"/>
          </a:p>
        </c:txPr>
        <c:crossAx val="97765248"/>
        <c:crosses val="autoZero"/>
        <c:auto val="1"/>
        <c:lblAlgn val="ctr"/>
        <c:lblOffset val="100"/>
      </c:catAx>
      <c:valAx>
        <c:axId val="97765248"/>
        <c:scaling>
          <c:orientation val="minMax"/>
        </c:scaling>
        <c:axPos val="l"/>
        <c:majorGridlines/>
        <c:numFmt formatCode="_(&quot;$&quot;\ * #,##0.00_);_(&quot;$&quot;\ * \(#,##0.00\);_(&quot;$&quot;\ * &quot;-&quot;??_);_(@_)" sourceLinked="1"/>
        <c:tickLblPos val="nextTo"/>
        <c:txPr>
          <a:bodyPr/>
          <a:lstStyle/>
          <a:p>
            <a:pPr>
              <a:defRPr lang="es-EC"/>
            </a:pPr>
            <a:endParaRPr lang="es-ES_tradnl"/>
          </a:p>
        </c:txPr>
        <c:crossAx val="97763712"/>
        <c:crosses val="autoZero"/>
        <c:crossBetween val="between"/>
      </c:valAx>
      <c:spPr>
        <a:solidFill>
          <a:schemeClr val="accent6">
            <a:lumMod val="60000"/>
            <a:lumOff val="40000"/>
          </a:schemeClr>
        </a:solidFill>
      </c:spPr>
    </c:plotArea>
    <c:legend>
      <c:legendPos val="r"/>
      <c:layout/>
      <c:txPr>
        <a:bodyPr/>
        <a:lstStyle/>
        <a:p>
          <a:pPr>
            <a:defRPr lang="es-EC"/>
          </a:pPr>
          <a:endParaRPr lang="es-ES_tradnl"/>
        </a:p>
      </c:txPr>
    </c:legend>
    <c:plotVisOnly val="1"/>
  </c:chart>
  <c:spPr>
    <a:solidFill>
      <a:schemeClr val="accent4">
        <a:lumMod val="60000"/>
        <a:lumOff val="40000"/>
      </a:schemeClr>
    </a:solidFill>
  </c:spPr>
  <c:txPr>
    <a:bodyPr/>
    <a:lstStyle/>
    <a:p>
      <a:pPr>
        <a:defRPr baseline="0">
          <a:solidFill>
            <a:schemeClr val="tx2">
              <a:lumMod val="50000"/>
            </a:schemeClr>
          </a:solidFill>
        </a:defRPr>
      </a:pPr>
      <a:endParaRPr lang="es-ES_tradnl"/>
    </a:p>
  </c:txPr>
  <c:printSettings>
    <c:headerFooter/>
    <c:pageMargins b="0.75000000000000011" l="0.70000000000000007" r="0.70000000000000007" t="0.75000000000000011" header="0.30000000000000004" footer="0.30000000000000004"/>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34</xdr:row>
      <xdr:rowOff>0</xdr:rowOff>
    </xdr:from>
    <xdr:to>
      <xdr:col>8</xdr:col>
      <xdr:colOff>365125</xdr:colOff>
      <xdr:row>51</xdr:row>
      <xdr:rowOff>133351</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xdr:colOff>
      <xdr:row>12</xdr:row>
      <xdr:rowOff>0</xdr:rowOff>
    </xdr:from>
    <xdr:to>
      <xdr:col>20</xdr:col>
      <xdr:colOff>219076</xdr:colOff>
      <xdr:row>37</xdr:row>
      <xdr:rowOff>104775</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733424</xdr:colOff>
      <xdr:row>221</xdr:row>
      <xdr:rowOff>9525</xdr:rowOff>
    </xdr:from>
    <xdr:to>
      <xdr:col>9</xdr:col>
      <xdr:colOff>495300</xdr:colOff>
      <xdr:row>233</xdr:row>
      <xdr:rowOff>114300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0.25067</cdr:x>
      <cdr:y>0</cdr:y>
    </cdr:from>
    <cdr:to>
      <cdr:x>0.89333</cdr:x>
      <cdr:y>0.12351</cdr:y>
    </cdr:to>
    <cdr:sp macro="" textlink="">
      <cdr:nvSpPr>
        <cdr:cNvPr id="2" name="1 CuadroTexto"/>
        <cdr:cNvSpPr txBox="1"/>
      </cdr:nvSpPr>
      <cdr:spPr>
        <a:xfrm xmlns:a="http://schemas.openxmlformats.org/drawingml/2006/main">
          <a:off x="895351" y="0"/>
          <a:ext cx="2295525" cy="295275"/>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es-EC" sz="1100"/>
            <a:t>ANÁLISIS DE SENSIBILIDAD VAN vs TMAR</a:t>
          </a:r>
        </a:p>
        <a:p xmlns:a="http://schemas.openxmlformats.org/drawingml/2006/main">
          <a:endParaRPr lang="es-EC" sz="11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NANCERO%20EXCEL%20FINAL%20(LISTO).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ÁLCULO DEL CAPM"/>
      <sheetName val="AMORTIZACIÓN DE LA DEUDA"/>
      <sheetName val="CB_DATA_"/>
      <sheetName val="DEPRECIACIONES"/>
      <sheetName val="MAQUINARIA,EQUIPO,SUMINISTR Y S"/>
      <sheetName val="SUELDOS Y SALARIOS"/>
      <sheetName val="INVERSIONES"/>
      <sheetName val="GASTOS PREOPERACIONALES"/>
      <sheetName val="punto de equilibrio"/>
      <sheetName val="FLUJO DE CAJA,PAYBACK"/>
      <sheetName val="Hoja10 (2)"/>
      <sheetName val="FLUJO DE CAJA,PAYBACK (2)"/>
      <sheetName val="Hoja10"/>
      <sheetName val="SENSIBILIDAD TMAR VS VAN"/>
      <sheetName val="COSTO DE PRODUCCIÓN"/>
      <sheetName val="FLUJO DE CAJA,PAYBACK (3)"/>
      <sheetName val="Hoja4"/>
    </sheetNames>
    <sheetDataSet>
      <sheetData sheetId="0"/>
      <sheetData sheetId="1"/>
      <sheetData sheetId="2"/>
      <sheetData sheetId="3"/>
      <sheetData sheetId="4"/>
      <sheetData sheetId="5"/>
      <sheetData sheetId="6"/>
      <sheetData sheetId="7"/>
      <sheetData sheetId="8">
        <row r="6">
          <cell r="O6">
            <v>553031.84504371486</v>
          </cell>
          <cell r="P6">
            <v>499349.59067963262</v>
          </cell>
          <cell r="Q6">
            <v>457463.22424977535</v>
          </cell>
          <cell r="R6">
            <v>424113.33178214228</v>
          </cell>
          <cell r="S6">
            <v>397170.97272179014</v>
          </cell>
          <cell r="T6">
            <v>326934.01659078099</v>
          </cell>
          <cell r="U6">
            <v>306493.2891870109</v>
          </cell>
          <cell r="V6">
            <v>288872.75943627593</v>
          </cell>
          <cell r="W6">
            <v>273530.81567716814</v>
          </cell>
          <cell r="X6">
            <v>260056.1776960158</v>
          </cell>
        </row>
        <row r="11">
          <cell r="C11">
            <v>521472</v>
          </cell>
          <cell r="D11">
            <v>534508</v>
          </cell>
          <cell r="E11">
            <v>547871</v>
          </cell>
          <cell r="F11">
            <v>561568</v>
          </cell>
          <cell r="G11">
            <v>575607</v>
          </cell>
          <cell r="H11">
            <v>589997</v>
          </cell>
          <cell r="I11">
            <v>604747</v>
          </cell>
          <cell r="J11">
            <v>619866</v>
          </cell>
          <cell r="K11">
            <v>635363</v>
          </cell>
          <cell r="L11">
            <v>651247</v>
          </cell>
        </row>
      </sheetData>
      <sheetData sheetId="9"/>
      <sheetData sheetId="10"/>
      <sheetData sheetId="11"/>
      <sheetData sheetId="12"/>
      <sheetData sheetId="13">
        <row r="189">
          <cell r="D189">
            <v>408379.1661703951</v>
          </cell>
          <cell r="E189">
            <v>418588.64532465499</v>
          </cell>
          <cell r="F189">
            <v>429053.3614577711</v>
          </cell>
          <cell r="G189">
            <v>439779.69549421553</v>
          </cell>
          <cell r="H189">
            <v>450774.18788157083</v>
          </cell>
          <cell r="I189">
            <v>462043.54257861013</v>
          </cell>
          <cell r="J189">
            <v>473594.6311430753</v>
          </cell>
          <cell r="K189">
            <v>485434.49692165223</v>
          </cell>
          <cell r="L189">
            <v>497570.35934469342</v>
          </cell>
          <cell r="M189">
            <v>510009.61832831078</v>
          </cell>
        </row>
      </sheetData>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4:H30"/>
  <sheetViews>
    <sheetView topLeftCell="A8" zoomScale="85" zoomScaleNormal="85" workbookViewId="0">
      <selection activeCell="D23" sqref="D23"/>
    </sheetView>
  </sheetViews>
  <sheetFormatPr baseColWidth="10" defaultRowHeight="15"/>
  <cols>
    <col min="1" max="1" width="22.7109375" bestFit="1" customWidth="1"/>
    <col min="2" max="2" width="12" bestFit="1" customWidth="1"/>
    <col min="6" max="6" width="13.28515625" customWidth="1"/>
    <col min="7" max="7" width="12" bestFit="1" customWidth="1"/>
  </cols>
  <sheetData>
    <row r="4" spans="1:8">
      <c r="A4" s="448" t="s">
        <v>365</v>
      </c>
      <c r="B4" s="448"/>
    </row>
    <row r="5" spans="1:8">
      <c r="A5" s="449" t="s">
        <v>366</v>
      </c>
      <c r="B5" s="449"/>
      <c r="C5" s="449"/>
      <c r="D5" s="4"/>
      <c r="E5" s="4"/>
      <c r="F5" s="4"/>
      <c r="G5" s="4"/>
      <c r="H5" s="4"/>
    </row>
    <row r="6" spans="1:8">
      <c r="A6" s="449" t="s">
        <v>389</v>
      </c>
      <c r="B6" s="449"/>
      <c r="C6" s="26"/>
      <c r="D6" s="26"/>
      <c r="E6" s="4"/>
      <c r="F6" s="4"/>
      <c r="G6" s="4"/>
      <c r="H6" s="4"/>
    </row>
    <row r="7" spans="1:8">
      <c r="A7" s="27" t="s">
        <v>392</v>
      </c>
      <c r="B7" s="26"/>
      <c r="C7" s="26"/>
      <c r="D7" s="26"/>
      <c r="E7" s="4"/>
      <c r="F7" s="4"/>
      <c r="G7" s="4"/>
      <c r="H7" s="4"/>
    </row>
    <row r="8" spans="1:8">
      <c r="A8" s="27" t="s">
        <v>393</v>
      </c>
      <c r="B8" s="26"/>
      <c r="C8" s="26"/>
      <c r="D8" s="26"/>
      <c r="E8" s="26"/>
      <c r="F8" s="26"/>
      <c r="G8" s="4"/>
      <c r="H8" s="4"/>
    </row>
    <row r="9" spans="1:8">
      <c r="A9" s="28" t="s">
        <v>390</v>
      </c>
      <c r="B9" s="449"/>
      <c r="C9" s="449"/>
      <c r="D9" s="4"/>
      <c r="E9" s="4"/>
      <c r="F9" s="4"/>
      <c r="G9" s="4"/>
      <c r="H9" s="4"/>
    </row>
    <row r="10" spans="1:8">
      <c r="A10" s="4" t="s">
        <v>391</v>
      </c>
      <c r="B10" s="450"/>
      <c r="C10" s="450"/>
      <c r="D10" s="450"/>
      <c r="E10" s="4"/>
      <c r="G10" s="4"/>
      <c r="H10" s="4"/>
    </row>
    <row r="11" spans="1:8">
      <c r="A11" s="4"/>
      <c r="B11" s="4"/>
      <c r="C11" s="4"/>
      <c r="D11" s="4"/>
      <c r="E11" s="4"/>
      <c r="F11" s="4"/>
      <c r="G11" s="4"/>
      <c r="H11" s="4"/>
    </row>
    <row r="12" spans="1:8" ht="15.75" thickBot="1">
      <c r="H12" s="4"/>
    </row>
    <row r="13" spans="1:8">
      <c r="A13" s="451" t="s">
        <v>367</v>
      </c>
      <c r="B13" s="452"/>
      <c r="C13" s="7"/>
      <c r="D13" s="7"/>
      <c r="E13" s="7"/>
      <c r="H13" s="4"/>
    </row>
    <row r="14" spans="1:8">
      <c r="A14" s="3" t="s">
        <v>368</v>
      </c>
      <c r="B14" s="85">
        <f>(B17+(B15)*(B16-B17))+B18</f>
        <v>0.131961306</v>
      </c>
      <c r="C14" s="7"/>
      <c r="D14" s="7"/>
      <c r="E14" s="7"/>
      <c r="H14" s="4"/>
    </row>
    <row r="15" spans="1:8">
      <c r="A15" s="3" t="s">
        <v>164</v>
      </c>
      <c r="B15" s="29">
        <f>B24</f>
        <v>2.4599999999999997E-2</v>
      </c>
      <c r="C15" s="7"/>
      <c r="E15" s="7"/>
      <c r="H15" s="4"/>
    </row>
    <row r="16" spans="1:8">
      <c r="A16" s="3" t="s">
        <v>165</v>
      </c>
      <c r="B16" s="29">
        <f>18.8/100</f>
        <v>0.188</v>
      </c>
      <c r="C16" s="7"/>
      <c r="E16" s="7"/>
      <c r="F16" s="4"/>
      <c r="G16" s="4"/>
      <c r="H16" s="4"/>
    </row>
    <row r="17" spans="1:8">
      <c r="A17" s="3" t="s">
        <v>166</v>
      </c>
      <c r="B17" s="30">
        <f>4.689%</f>
        <v>4.6890000000000001E-2</v>
      </c>
      <c r="H17" s="4"/>
    </row>
    <row r="18" spans="1:8">
      <c r="A18" s="3" t="s">
        <v>167</v>
      </c>
      <c r="B18" s="30">
        <f>8.16/100</f>
        <v>8.1600000000000006E-2</v>
      </c>
      <c r="G18" s="4"/>
      <c r="H18" s="1"/>
    </row>
    <row r="19" spans="1:8">
      <c r="G19" s="4"/>
    </row>
    <row r="20" spans="1:8">
      <c r="F20" s="7"/>
      <c r="G20" s="4"/>
    </row>
    <row r="21" spans="1:8">
      <c r="A21" s="4" t="s">
        <v>541</v>
      </c>
      <c r="B21" s="2"/>
      <c r="F21" s="7"/>
      <c r="G21" s="4"/>
    </row>
    <row r="22" spans="1:8">
      <c r="A22" s="447"/>
      <c r="B22" s="447"/>
      <c r="C22" s="447"/>
      <c r="D22" s="447"/>
      <c r="E22" s="447"/>
    </row>
    <row r="23" spans="1:8">
      <c r="A23" s="331" t="s">
        <v>57</v>
      </c>
      <c r="B23" s="331" t="s">
        <v>540</v>
      </c>
      <c r="F23" s="7"/>
      <c r="G23" s="7"/>
    </row>
    <row r="24" spans="1:8">
      <c r="A24" s="3" t="s">
        <v>164</v>
      </c>
      <c r="B24" s="3">
        <f>$B$29*(1+(1-$B$30)*($B$28))</f>
        <v>2.4599999999999997E-2</v>
      </c>
    </row>
    <row r="25" spans="1:8">
      <c r="A25" s="3" t="s">
        <v>279</v>
      </c>
      <c r="B25" s="330">
        <f>INVERSIONES!E5</f>
        <v>46582.094896167546</v>
      </c>
    </row>
    <row r="26" spans="1:8">
      <c r="A26" s="329" t="s">
        <v>283</v>
      </c>
      <c r="B26" s="330">
        <f>INVERSIONES!E10</f>
        <v>69873.142344251304</v>
      </c>
    </row>
    <row r="28" spans="1:8">
      <c r="A28" t="s">
        <v>553</v>
      </c>
      <c r="B28">
        <f>B25/B26</f>
        <v>0.66666666666666685</v>
      </c>
    </row>
    <row r="29" spans="1:8">
      <c r="A29" t="s">
        <v>552</v>
      </c>
      <c r="B29" s="7">
        <f>1.64/100</f>
        <v>1.6399999999999998E-2</v>
      </c>
    </row>
    <row r="30" spans="1:8">
      <c r="A30" t="s">
        <v>551</v>
      </c>
      <c r="B30" s="6">
        <v>0.25</v>
      </c>
    </row>
  </sheetData>
  <mergeCells count="7">
    <mergeCell ref="A22:E22"/>
    <mergeCell ref="A4:B4"/>
    <mergeCell ref="A5:C5"/>
    <mergeCell ref="B10:D10"/>
    <mergeCell ref="B9:C9"/>
    <mergeCell ref="A6:B6"/>
    <mergeCell ref="A13:B13"/>
  </mergeCells>
  <phoneticPr fontId="23" type="noConversion"/>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dimension ref="A2:T83"/>
  <sheetViews>
    <sheetView topLeftCell="B39" workbookViewId="0">
      <selection activeCell="B42" sqref="B42:I42"/>
    </sheetView>
  </sheetViews>
  <sheetFormatPr baseColWidth="10" defaultColWidth="18.85546875" defaultRowHeight="12.75"/>
  <cols>
    <col min="1" max="1" width="18.85546875" style="89" hidden="1" customWidth="1"/>
    <col min="2" max="2" width="28" style="89" bestFit="1" customWidth="1"/>
    <col min="3" max="3" width="15.140625" style="89" bestFit="1" customWidth="1"/>
    <col min="4" max="4" width="9.5703125" style="89" customWidth="1"/>
    <col min="5" max="5" width="9.7109375" style="89" customWidth="1"/>
    <col min="6" max="6" width="8.85546875" style="89" customWidth="1"/>
    <col min="7" max="7" width="9.85546875" style="89" customWidth="1"/>
    <col min="8" max="8" width="9.5703125" style="89" customWidth="1"/>
    <col min="9" max="9" width="9.7109375" style="89" customWidth="1"/>
    <col min="10" max="10" width="10" style="89" customWidth="1"/>
    <col min="11" max="11" width="12.5703125" style="89" bestFit="1" customWidth="1"/>
    <col min="12" max="12" width="8.85546875" style="89" customWidth="1"/>
    <col min="13" max="13" width="9" style="89" customWidth="1"/>
    <col min="14" max="19" width="12" style="89" bestFit="1" customWidth="1"/>
    <col min="20" max="16384" width="18.85546875" style="89"/>
  </cols>
  <sheetData>
    <row r="2" spans="1:14">
      <c r="D2" s="93"/>
      <c r="E2" s="93"/>
      <c r="F2" s="93"/>
      <c r="H2" s="93"/>
    </row>
    <row r="4" spans="1:14">
      <c r="B4" s="464" t="s">
        <v>100</v>
      </c>
      <c r="C4" s="464"/>
      <c r="D4" s="464"/>
      <c r="E4" s="464"/>
      <c r="F4" s="464"/>
      <c r="G4" s="464"/>
      <c r="H4" s="464"/>
      <c r="I4" s="464"/>
    </row>
    <row r="5" spans="1:14">
      <c r="A5" s="167"/>
      <c r="B5" s="269"/>
      <c r="C5" s="269"/>
      <c r="D5" s="269"/>
      <c r="E5" s="269"/>
      <c r="F5" s="269"/>
      <c r="G5" s="269"/>
      <c r="H5" s="269"/>
      <c r="I5" s="269"/>
      <c r="J5" s="269"/>
      <c r="K5" s="269"/>
      <c r="L5" s="269"/>
      <c r="M5" s="269"/>
    </row>
    <row r="6" spans="1:14">
      <c r="A6" s="167"/>
      <c r="B6" s="270" t="s">
        <v>144</v>
      </c>
      <c r="C6" s="270" t="s">
        <v>224</v>
      </c>
      <c r="D6" s="270" t="s">
        <v>242</v>
      </c>
      <c r="E6" s="270" t="s">
        <v>443</v>
      </c>
      <c r="F6" s="270" t="s">
        <v>243</v>
      </c>
      <c r="G6" s="270" t="s">
        <v>244</v>
      </c>
      <c r="H6" s="270" t="s">
        <v>245</v>
      </c>
      <c r="I6" s="270" t="s">
        <v>262</v>
      </c>
      <c r="J6" s="270" t="s">
        <v>263</v>
      </c>
      <c r="K6" s="270" t="s">
        <v>264</v>
      </c>
      <c r="L6" s="270" t="s">
        <v>265</v>
      </c>
      <c r="M6" s="270" t="s">
        <v>266</v>
      </c>
    </row>
    <row r="7" spans="1:14">
      <c r="A7" s="167"/>
      <c r="B7" s="271" t="s">
        <v>260</v>
      </c>
      <c r="C7" s="272"/>
      <c r="D7" s="280">
        <f>'COSTOS DE PRODUCCIÓN'!F4*INVERSIONES!AF18</f>
        <v>408379.1661703951</v>
      </c>
      <c r="E7" s="280">
        <f>'COSTOS DE PRODUCCIÓN'!F4*INVERSIONES!AG18</f>
        <v>418588.64532465499</v>
      </c>
      <c r="F7" s="280">
        <f>'COSTOS DE PRODUCCIÓN'!F4*INVERSIONES!AH18</f>
        <v>429053.3614577711</v>
      </c>
      <c r="G7" s="280">
        <f>'COSTOS DE PRODUCCIÓN'!F4*INVERSIONES!AI18</f>
        <v>439779.69549421553</v>
      </c>
      <c r="H7" s="280">
        <f>'COSTOS DE PRODUCCIÓN'!F4*INVERSIONES!AJ18</f>
        <v>450774.18788157083</v>
      </c>
      <c r="I7" s="280">
        <f>'COSTOS DE PRODUCCIÓN'!F4*INVERSIONES!AK18</f>
        <v>462043.54257861013</v>
      </c>
      <c r="J7" s="280">
        <f>'COSTOS DE PRODUCCIÓN'!F4*INVERSIONES!AL18</f>
        <v>473594.6311430753</v>
      </c>
      <c r="K7" s="280">
        <f>'COSTOS DE PRODUCCIÓN'!F4*INVERSIONES!AM18</f>
        <v>485434.49692165223</v>
      </c>
      <c r="L7" s="280">
        <f>'COSTOS DE PRODUCCIÓN'!F4*INVERSIONES!AN18</f>
        <v>497570.35934469342</v>
      </c>
      <c r="M7" s="280">
        <f>'COSTOS DE PRODUCCIÓN'!F4*INVERSIONES!AO18</f>
        <v>510009.61832831078</v>
      </c>
      <c r="N7" s="344">
        <f>SUM(D7:M7)</f>
        <v>4575227.7046449501</v>
      </c>
    </row>
    <row r="8" spans="1:14">
      <c r="A8" s="167"/>
      <c r="B8" s="271" t="s">
        <v>261</v>
      </c>
      <c r="C8" s="272"/>
      <c r="D8" s="280">
        <f t="shared" ref="D8:M8" si="0">D9+D14</f>
        <v>413609.32317388547</v>
      </c>
      <c r="E8" s="280">
        <f t="shared" si="0"/>
        <v>413609.32317388547</v>
      </c>
      <c r="F8" s="280">
        <f t="shared" si="0"/>
        <v>413609.32317388547</v>
      </c>
      <c r="G8" s="280">
        <f t="shared" si="0"/>
        <v>413609.32317388547</v>
      </c>
      <c r="H8" s="280">
        <f t="shared" si="0"/>
        <v>413609.32317388547</v>
      </c>
      <c r="I8" s="280">
        <f t="shared" si="0"/>
        <v>413609.32317388547</v>
      </c>
      <c r="J8" s="280">
        <f t="shared" si="0"/>
        <v>413609.32317388547</v>
      </c>
      <c r="K8" s="280">
        <f t="shared" si="0"/>
        <v>413609.32317388547</v>
      </c>
      <c r="L8" s="280">
        <f t="shared" si="0"/>
        <v>413609.32317388547</v>
      </c>
      <c r="M8" s="280">
        <f t="shared" si="0"/>
        <v>413609.32317388547</v>
      </c>
    </row>
    <row r="9" spans="1:14">
      <c r="A9" s="167"/>
      <c r="B9" s="271" t="s">
        <v>246</v>
      </c>
      <c r="C9" s="273"/>
      <c r="D9" s="281">
        <f>SUM(D10:D13)</f>
        <v>338316.64317388547</v>
      </c>
      <c r="E9" s="281">
        <f t="shared" ref="E9:M9" si="1">D9</f>
        <v>338316.64317388547</v>
      </c>
      <c r="F9" s="281">
        <f t="shared" si="1"/>
        <v>338316.64317388547</v>
      </c>
      <c r="G9" s="281">
        <f t="shared" si="1"/>
        <v>338316.64317388547</v>
      </c>
      <c r="H9" s="281">
        <f t="shared" si="1"/>
        <v>338316.64317388547</v>
      </c>
      <c r="I9" s="281">
        <f t="shared" si="1"/>
        <v>338316.64317388547</v>
      </c>
      <c r="J9" s="281">
        <f t="shared" si="1"/>
        <v>338316.64317388547</v>
      </c>
      <c r="K9" s="281">
        <f t="shared" si="1"/>
        <v>338316.64317388547</v>
      </c>
      <c r="L9" s="281">
        <f t="shared" si="1"/>
        <v>338316.64317388547</v>
      </c>
      <c r="M9" s="281">
        <f t="shared" si="1"/>
        <v>338316.64317388547</v>
      </c>
    </row>
    <row r="10" spans="1:14">
      <c r="A10" s="167"/>
      <c r="B10" s="273" t="s">
        <v>322</v>
      </c>
      <c r="C10" s="273"/>
      <c r="D10" s="281">
        <f>'SUELDOS Y SALARIOS'!E16+'SUELDOS Y SALARIOS'!E33</f>
        <v>29400</v>
      </c>
      <c r="E10" s="281">
        <f t="shared" ref="E10:M10" si="2">D10</f>
        <v>29400</v>
      </c>
      <c r="F10" s="281">
        <f t="shared" si="2"/>
        <v>29400</v>
      </c>
      <c r="G10" s="281">
        <f t="shared" si="2"/>
        <v>29400</v>
      </c>
      <c r="H10" s="281">
        <f t="shared" si="2"/>
        <v>29400</v>
      </c>
      <c r="I10" s="281">
        <f t="shared" si="2"/>
        <v>29400</v>
      </c>
      <c r="J10" s="281">
        <f t="shared" si="2"/>
        <v>29400</v>
      </c>
      <c r="K10" s="281">
        <f t="shared" si="2"/>
        <v>29400</v>
      </c>
      <c r="L10" s="281">
        <f t="shared" si="2"/>
        <v>29400</v>
      </c>
      <c r="M10" s="281">
        <f t="shared" si="2"/>
        <v>29400</v>
      </c>
    </row>
    <row r="11" spans="1:14">
      <c r="A11" s="167"/>
      <c r="B11" s="273" t="s">
        <v>510</v>
      </c>
      <c r="C11" s="273"/>
      <c r="D11" s="281">
        <f>'COSTOS DE PRODUCCIÓN'!$E$60*INVERSIONES!AF18</f>
        <v>134438.95172870115</v>
      </c>
      <c r="E11" s="281">
        <f>'COSTOS DE PRODUCCIÓN'!$E$60*INVERSIONES!AG18</f>
        <v>137799.92552191869</v>
      </c>
      <c r="F11" s="281">
        <f>'COSTOS DE PRODUCCIÓN'!$E$60*INVERSIONES!AH18</f>
        <v>141244.92365996659</v>
      </c>
      <c r="G11" s="281">
        <f>'COSTOS DE PRODUCCIÓN'!$E$60*INVERSIONES!AI18</f>
        <v>144776.04675146579</v>
      </c>
      <c r="H11" s="281">
        <f>'COSTOS DE PRODUCCIÓN'!$E$60*INVERSIONES!AJ18</f>
        <v>148395.44792025239</v>
      </c>
      <c r="I11" s="281">
        <f>'COSTOS DE PRODUCCIÓN'!$E$60*INVERSIONES!AK18</f>
        <v>152105.33411825873</v>
      </c>
      <c r="J11" s="281">
        <f>'COSTOS DE PRODUCCIÓN'!$E$60*INVERSIONES!AL18</f>
        <v>155907.96747121518</v>
      </c>
      <c r="K11" s="281">
        <f>'COSTOS DE PRODUCCIÓN'!$E$60*INVERSIONES!AM18</f>
        <v>159805.66665799555</v>
      </c>
      <c r="L11" s="281">
        <f>'COSTOS DE PRODUCCIÓN'!$E$60*INVERSIONES!AN18</f>
        <v>163800.80832444542</v>
      </c>
      <c r="M11" s="281">
        <f>'COSTOS DE PRODUCCIÓN'!$E$60*INVERSIONES!AO18</f>
        <v>167895.82853255657</v>
      </c>
    </row>
    <row r="12" spans="1:14">
      <c r="A12" s="167"/>
      <c r="B12" s="273" t="s">
        <v>323</v>
      </c>
      <c r="C12" s="273"/>
      <c r="D12" s="281">
        <f>'SUELDOS Y SALARIOS'!E41+'SUELDOS Y SALARIOS'!E23</f>
        <v>25320</v>
      </c>
      <c r="E12" s="281">
        <f t="shared" ref="E12:M12" si="3">D12</f>
        <v>25320</v>
      </c>
      <c r="F12" s="281">
        <f t="shared" si="3"/>
        <v>25320</v>
      </c>
      <c r="G12" s="281">
        <f t="shared" si="3"/>
        <v>25320</v>
      </c>
      <c r="H12" s="281">
        <f t="shared" si="3"/>
        <v>25320</v>
      </c>
      <c r="I12" s="281">
        <f t="shared" si="3"/>
        <v>25320</v>
      </c>
      <c r="J12" s="281">
        <f t="shared" si="3"/>
        <v>25320</v>
      </c>
      <c r="K12" s="281">
        <f t="shared" si="3"/>
        <v>25320</v>
      </c>
      <c r="L12" s="281">
        <f t="shared" si="3"/>
        <v>25320</v>
      </c>
      <c r="M12" s="281">
        <f t="shared" si="3"/>
        <v>25320</v>
      </c>
    </row>
    <row r="13" spans="1:14">
      <c r="A13" s="167"/>
      <c r="B13" s="273" t="s">
        <v>512</v>
      </c>
      <c r="C13" s="273"/>
      <c r="D13" s="281">
        <f>'COSTOS DE PRODUCCIÓN'!$C$137*INVERSIONES!AF18</f>
        <v>149157.69144518432</v>
      </c>
      <c r="E13" s="281">
        <f>'COSTOS DE PRODUCCIÓN'!$C$137*INVERSIONES!AG18</f>
        <v>152886.63373131395</v>
      </c>
      <c r="F13" s="281">
        <f>'COSTOS DE PRODUCCIÓN'!$C$137*INVERSIONES!AH18</f>
        <v>156708.79957459669</v>
      </c>
      <c r="G13" s="281">
        <f>'COSTOS DE PRODUCCIÓN'!$C$137*INVERSIONES!AI18</f>
        <v>160626.51956396169</v>
      </c>
      <c r="H13" s="281">
        <f>'COSTOS DE PRODUCCIÓN'!$C$137*INVERSIONES!AJ18</f>
        <v>164642.18255306067</v>
      </c>
      <c r="I13" s="281">
        <f>'COSTOS DE PRODUCCIÓN'!$C$137*INVERSIONES!AK18</f>
        <v>168758.23711688721</v>
      </c>
      <c r="J13" s="281">
        <f>'COSTOS DE PRODUCCIÓN'!$C$137*INVERSIONES!AL18</f>
        <v>172977.19304480936</v>
      </c>
      <c r="K13" s="281">
        <f>'COSTOS DE PRODUCCIÓN'!$C$137*INVERSIONES!AM18</f>
        <v>177301.62287092963</v>
      </c>
      <c r="L13" s="281">
        <f>'COSTOS DE PRODUCCIÓN'!$C$137*INVERSIONES!AN18</f>
        <v>181734.16344270282</v>
      </c>
      <c r="M13" s="281">
        <f>'COSTOS DE PRODUCCIÓN'!$C$137*INVERSIONES!AO18</f>
        <v>186277.5175287704</v>
      </c>
    </row>
    <row r="14" spans="1:14">
      <c r="A14" s="167"/>
      <c r="B14" s="271" t="s">
        <v>513</v>
      </c>
      <c r="C14" s="271"/>
      <c r="D14" s="280">
        <f t="shared" ref="D14:M14" si="4">SUM(D15:D17)</f>
        <v>75292.679999999993</v>
      </c>
      <c r="E14" s="280">
        <f t="shared" si="4"/>
        <v>75292.679999999993</v>
      </c>
      <c r="F14" s="280">
        <f t="shared" si="4"/>
        <v>75292.679999999993</v>
      </c>
      <c r="G14" s="280">
        <f t="shared" si="4"/>
        <v>75292.679999999993</v>
      </c>
      <c r="H14" s="280">
        <f t="shared" si="4"/>
        <v>75292.679999999993</v>
      </c>
      <c r="I14" s="280">
        <f t="shared" si="4"/>
        <v>75292.679999999993</v>
      </c>
      <c r="J14" s="280">
        <f t="shared" si="4"/>
        <v>75292.679999999993</v>
      </c>
      <c r="K14" s="280">
        <f t="shared" si="4"/>
        <v>75292.679999999993</v>
      </c>
      <c r="L14" s="280">
        <f t="shared" si="4"/>
        <v>75292.679999999993</v>
      </c>
      <c r="M14" s="280">
        <f t="shared" si="4"/>
        <v>75292.679999999993</v>
      </c>
    </row>
    <row r="15" spans="1:14">
      <c r="A15" s="167"/>
      <c r="B15" s="273" t="s">
        <v>259</v>
      </c>
      <c r="C15" s="273"/>
      <c r="D15" s="281">
        <f>'MAQUINARIA,EQUIPO,SUMINISTR Y S'!D93+'MAQUINARIA,EQUIPO,SUMINISTR Y S'!$C$18</f>
        <v>20770.68</v>
      </c>
      <c r="E15" s="281">
        <f t="shared" ref="E15:F17" si="5">D15</f>
        <v>20770.68</v>
      </c>
      <c r="F15" s="280">
        <f t="shared" si="5"/>
        <v>20770.68</v>
      </c>
      <c r="G15" s="281">
        <f>E15</f>
        <v>20770.68</v>
      </c>
      <c r="H15" s="281">
        <f t="shared" ref="H15:M17" si="6">G15</f>
        <v>20770.68</v>
      </c>
      <c r="I15" s="281">
        <f t="shared" si="6"/>
        <v>20770.68</v>
      </c>
      <c r="J15" s="281">
        <f t="shared" si="6"/>
        <v>20770.68</v>
      </c>
      <c r="K15" s="281">
        <f t="shared" si="6"/>
        <v>20770.68</v>
      </c>
      <c r="L15" s="281">
        <f t="shared" si="6"/>
        <v>20770.68</v>
      </c>
      <c r="M15" s="281">
        <f t="shared" si="6"/>
        <v>20770.68</v>
      </c>
    </row>
    <row r="16" spans="1:14">
      <c r="A16" s="167"/>
      <c r="B16" s="272" t="s">
        <v>247</v>
      </c>
      <c r="C16" s="272"/>
      <c r="D16" s="282">
        <f>'SUELDOS Y SALARIOS'!E16+'MAQUINARIA,EQUIPO,SUMINISTR Y S'!C84+'SUELDOS Y SALARIOS'!E23+'SUELDOS Y SALARIOS'!E41+'MAQUINARIA,EQUIPO,SUMINISTR Y S'!E60</f>
        <v>36954</v>
      </c>
      <c r="E16" s="282">
        <f t="shared" si="5"/>
        <v>36954</v>
      </c>
      <c r="F16" s="280">
        <f t="shared" si="5"/>
        <v>36954</v>
      </c>
      <c r="G16" s="282">
        <f>E16</f>
        <v>36954</v>
      </c>
      <c r="H16" s="282">
        <f t="shared" si="6"/>
        <v>36954</v>
      </c>
      <c r="I16" s="282">
        <f t="shared" si="6"/>
        <v>36954</v>
      </c>
      <c r="J16" s="282">
        <f t="shared" si="6"/>
        <v>36954</v>
      </c>
      <c r="K16" s="282">
        <f t="shared" si="6"/>
        <v>36954</v>
      </c>
      <c r="L16" s="282">
        <f t="shared" si="6"/>
        <v>36954</v>
      </c>
      <c r="M16" s="282">
        <f t="shared" si="6"/>
        <v>36954</v>
      </c>
    </row>
    <row r="17" spans="1:13">
      <c r="A17" s="167"/>
      <c r="B17" s="272" t="s">
        <v>248</v>
      </c>
      <c r="C17" s="272"/>
      <c r="D17" s="282">
        <f>'MAQUINARIA,EQUIPO,SUMINISTR Y S'!G47</f>
        <v>17568</v>
      </c>
      <c r="E17" s="282">
        <f t="shared" si="5"/>
        <v>17568</v>
      </c>
      <c r="F17" s="280">
        <f t="shared" si="5"/>
        <v>17568</v>
      </c>
      <c r="G17" s="282">
        <f>E17</f>
        <v>17568</v>
      </c>
      <c r="H17" s="282">
        <f t="shared" si="6"/>
        <v>17568</v>
      </c>
      <c r="I17" s="282">
        <f t="shared" si="6"/>
        <v>17568</v>
      </c>
      <c r="J17" s="282">
        <f t="shared" si="6"/>
        <v>17568</v>
      </c>
      <c r="K17" s="282">
        <f t="shared" si="6"/>
        <v>17568</v>
      </c>
      <c r="L17" s="282">
        <f t="shared" si="6"/>
        <v>17568</v>
      </c>
      <c r="M17" s="282">
        <f t="shared" si="6"/>
        <v>17568</v>
      </c>
    </row>
    <row r="18" spans="1:13">
      <c r="A18" s="167"/>
      <c r="B18" s="271" t="s">
        <v>267</v>
      </c>
      <c r="C18" s="272"/>
      <c r="D18" s="280">
        <f>+D7-D8</f>
        <v>-5230.1570034903707</v>
      </c>
      <c r="E18" s="280">
        <f t="shared" ref="E18:M18" si="7">E7-E8</f>
        <v>4979.3221507695271</v>
      </c>
      <c r="F18" s="280">
        <f t="shared" si="7"/>
        <v>15444.038283885631</v>
      </c>
      <c r="G18" s="280">
        <f t="shared" si="7"/>
        <v>26170.372320330061</v>
      </c>
      <c r="H18" s="280">
        <f t="shared" si="7"/>
        <v>37164.864707685367</v>
      </c>
      <c r="I18" s="280">
        <f t="shared" si="7"/>
        <v>48434.219404724659</v>
      </c>
      <c r="J18" s="280">
        <f t="shared" si="7"/>
        <v>59985.307969189831</v>
      </c>
      <c r="K18" s="280">
        <f t="shared" si="7"/>
        <v>71825.173747766763</v>
      </c>
      <c r="L18" s="280">
        <f t="shared" si="7"/>
        <v>83961.036170807958</v>
      </c>
      <c r="M18" s="280">
        <f t="shared" si="7"/>
        <v>96400.295154425316</v>
      </c>
    </row>
    <row r="19" spans="1:13">
      <c r="A19" s="167"/>
      <c r="B19" s="273" t="s">
        <v>249</v>
      </c>
      <c r="C19" s="272"/>
      <c r="D19" s="282">
        <f>'AMORTIZACIÓN DE LA DEUDA'!F10</f>
        <v>7332.4750708582296</v>
      </c>
      <c r="E19" s="282">
        <f>'AMORTIZACIÓN DE LA DEUDA'!F11</f>
        <v>8212.3720793612156</v>
      </c>
      <c r="F19" s="280">
        <f>'AMORTIZACIÓN DE LA DEUDA'!F12</f>
        <v>9197.8567288845625</v>
      </c>
      <c r="G19" s="280">
        <f>'AMORTIZACIÓN DE LA DEUDA'!F13</f>
        <v>10301.59953635071</v>
      </c>
      <c r="H19" s="280">
        <f>'AMORTIZACIÓN DE LA DEUDA'!F14</f>
        <v>11537.791480712795</v>
      </c>
      <c r="I19" s="282"/>
      <c r="J19" s="282"/>
      <c r="K19" s="282"/>
      <c r="L19" s="282"/>
      <c r="M19" s="282"/>
    </row>
    <row r="20" spans="1:13">
      <c r="A20" s="167"/>
      <c r="B20" s="273" t="s">
        <v>163</v>
      </c>
      <c r="C20" s="272"/>
      <c r="D20" s="282">
        <f>DEPRECIACIONES!E10</f>
        <v>12254.333333333332</v>
      </c>
      <c r="E20" s="282">
        <f t="shared" ref="E20:M20" si="8">D20</f>
        <v>12254.333333333332</v>
      </c>
      <c r="F20" s="282">
        <f t="shared" si="8"/>
        <v>12254.333333333332</v>
      </c>
      <c r="G20" s="282">
        <f t="shared" si="8"/>
        <v>12254.333333333332</v>
      </c>
      <c r="H20" s="282">
        <f t="shared" si="8"/>
        <v>12254.333333333332</v>
      </c>
      <c r="I20" s="282">
        <f t="shared" si="8"/>
        <v>12254.333333333332</v>
      </c>
      <c r="J20" s="282">
        <f t="shared" si="8"/>
        <v>12254.333333333332</v>
      </c>
      <c r="K20" s="282">
        <f t="shared" si="8"/>
        <v>12254.333333333332</v>
      </c>
      <c r="L20" s="282">
        <f t="shared" si="8"/>
        <v>12254.333333333332</v>
      </c>
      <c r="M20" s="282">
        <f t="shared" si="8"/>
        <v>12254.333333333332</v>
      </c>
    </row>
    <row r="21" spans="1:13">
      <c r="A21" s="167"/>
      <c r="B21" s="271" t="s">
        <v>268</v>
      </c>
      <c r="C21" s="272"/>
      <c r="D21" s="280">
        <f t="shared" ref="D21:M21" si="9">+D18-D19-D20</f>
        <v>-24816.965407681932</v>
      </c>
      <c r="E21" s="280">
        <f t="shared" si="9"/>
        <v>-15487.383261925021</v>
      </c>
      <c r="F21" s="280">
        <f t="shared" si="9"/>
        <v>-6008.1517783322633</v>
      </c>
      <c r="G21" s="280">
        <f t="shared" si="9"/>
        <v>3614.4394506460194</v>
      </c>
      <c r="H21" s="280">
        <f t="shared" si="9"/>
        <v>13372.739893639238</v>
      </c>
      <c r="I21" s="280">
        <f t="shared" si="9"/>
        <v>36179.886071391331</v>
      </c>
      <c r="J21" s="280">
        <f t="shared" si="9"/>
        <v>47730.974635856503</v>
      </c>
      <c r="K21" s="280">
        <f t="shared" si="9"/>
        <v>59570.840414433434</v>
      </c>
      <c r="L21" s="280">
        <f t="shared" si="9"/>
        <v>71706.70283747463</v>
      </c>
      <c r="M21" s="280">
        <f t="shared" si="9"/>
        <v>84145.961821091987</v>
      </c>
    </row>
    <row r="22" spans="1:13">
      <c r="A22" s="167"/>
      <c r="B22" s="273" t="s">
        <v>341</v>
      </c>
      <c r="C22" s="272"/>
      <c r="D22" s="282">
        <f>'AMORTIZACIÓN DE LA DEUDA'!E10</f>
        <v>5589.851387540105</v>
      </c>
      <c r="E22" s="282">
        <f>'AMORTIZACIÓN DE LA DEUDA'!E11</f>
        <v>4709.9543790371181</v>
      </c>
      <c r="F22" s="282">
        <f>'AMORTIZACIÓN DE LA DEUDA'!E12</f>
        <v>3724.4697295137721</v>
      </c>
      <c r="G22" s="282">
        <f>'AMORTIZACIÓN DE LA DEUDA'!E13</f>
        <v>2620.7269220476246</v>
      </c>
      <c r="H22" s="282">
        <f>'AMORTIZACIÓN DE LA DEUDA'!E14</f>
        <v>1384.5349776855394</v>
      </c>
      <c r="I22" s="282"/>
      <c r="J22" s="282"/>
      <c r="K22" s="282"/>
      <c r="L22" s="282"/>
      <c r="M22" s="282"/>
    </row>
    <row r="23" spans="1:13">
      <c r="A23" s="167"/>
      <c r="B23" s="273" t="s">
        <v>250</v>
      </c>
      <c r="C23" s="272"/>
      <c r="D23" s="280">
        <f t="shared" ref="D23:M23" si="10">+D21-D22</f>
        <v>-30406.816795222036</v>
      </c>
      <c r="E23" s="280">
        <f t="shared" si="10"/>
        <v>-20197.337640962138</v>
      </c>
      <c r="F23" s="280">
        <f t="shared" si="10"/>
        <v>-9732.6215078460355</v>
      </c>
      <c r="G23" s="280">
        <f t="shared" si="10"/>
        <v>993.71252859839478</v>
      </c>
      <c r="H23" s="280">
        <f t="shared" si="10"/>
        <v>11988.204915953698</v>
      </c>
      <c r="I23" s="280">
        <f t="shared" si="10"/>
        <v>36179.886071391331</v>
      </c>
      <c r="J23" s="280">
        <f t="shared" si="10"/>
        <v>47730.974635856503</v>
      </c>
      <c r="K23" s="280">
        <f t="shared" si="10"/>
        <v>59570.840414433434</v>
      </c>
      <c r="L23" s="280">
        <f t="shared" si="10"/>
        <v>71706.70283747463</v>
      </c>
      <c r="M23" s="280">
        <f t="shared" si="10"/>
        <v>84145.961821091987</v>
      </c>
    </row>
    <row r="24" spans="1:13">
      <c r="A24" s="167"/>
      <c r="B24" s="273" t="s">
        <v>252</v>
      </c>
      <c r="C24" s="272"/>
      <c r="D24" s="282">
        <f t="shared" ref="D24:M24" si="11">D23*15%</f>
        <v>-4561.022519283305</v>
      </c>
      <c r="E24" s="282">
        <f t="shared" si="11"/>
        <v>-3029.6006461443208</v>
      </c>
      <c r="F24" s="282">
        <f t="shared" si="11"/>
        <v>-1459.8932261769053</v>
      </c>
      <c r="G24" s="282">
        <f t="shared" si="11"/>
        <v>149.05687928975922</v>
      </c>
      <c r="H24" s="282">
        <f t="shared" si="11"/>
        <v>1798.2307373930546</v>
      </c>
      <c r="I24" s="282">
        <f t="shared" si="11"/>
        <v>5426.9829107086998</v>
      </c>
      <c r="J24" s="282">
        <f t="shared" si="11"/>
        <v>7159.6461953784756</v>
      </c>
      <c r="K24" s="282">
        <f t="shared" si="11"/>
        <v>8935.6260621650144</v>
      </c>
      <c r="L24" s="282">
        <f t="shared" si="11"/>
        <v>10756.005425621193</v>
      </c>
      <c r="M24" s="282">
        <f t="shared" si="11"/>
        <v>12621.894273163798</v>
      </c>
    </row>
    <row r="25" spans="1:13">
      <c r="A25" s="167"/>
      <c r="B25" s="275" t="s">
        <v>444</v>
      </c>
      <c r="C25" s="269"/>
      <c r="D25" s="283">
        <f t="shared" ref="D25:M25" si="12">D23-D24</f>
        <v>-25845.79427593873</v>
      </c>
      <c r="E25" s="283">
        <f t="shared" si="12"/>
        <v>-17167.736994817817</v>
      </c>
      <c r="F25" s="283">
        <f t="shared" si="12"/>
        <v>-8272.7282816691295</v>
      </c>
      <c r="G25" s="283">
        <f t="shared" si="12"/>
        <v>844.65564930863559</v>
      </c>
      <c r="H25" s="283">
        <f t="shared" si="12"/>
        <v>10189.974178560644</v>
      </c>
      <c r="I25" s="283">
        <f t="shared" si="12"/>
        <v>30752.903160682632</v>
      </c>
      <c r="J25" s="283">
        <f t="shared" si="12"/>
        <v>40571.328440478028</v>
      </c>
      <c r="K25" s="283">
        <f t="shared" si="12"/>
        <v>50635.21435226842</v>
      </c>
      <c r="L25" s="283">
        <f t="shared" si="12"/>
        <v>60950.697411853434</v>
      </c>
      <c r="M25" s="283">
        <f t="shared" si="12"/>
        <v>71524.067547928193</v>
      </c>
    </row>
    <row r="26" spans="1:13">
      <c r="A26" s="167"/>
      <c r="B26" s="273" t="s">
        <v>251</v>
      </c>
      <c r="C26" s="272"/>
      <c r="D26" s="282">
        <f t="shared" ref="D26:M26" si="13">D25*25%</f>
        <v>-6461.4485689846824</v>
      </c>
      <c r="E26" s="282">
        <f t="shared" si="13"/>
        <v>-4291.9342487044541</v>
      </c>
      <c r="F26" s="282">
        <f t="shared" si="13"/>
        <v>-2068.1820704172824</v>
      </c>
      <c r="G26" s="282">
        <f t="shared" si="13"/>
        <v>211.1639123271589</v>
      </c>
      <c r="H26" s="282">
        <f t="shared" si="13"/>
        <v>2547.493544640161</v>
      </c>
      <c r="I26" s="282">
        <f t="shared" si="13"/>
        <v>7688.225790170658</v>
      </c>
      <c r="J26" s="282">
        <f t="shared" si="13"/>
        <v>10142.832110119507</v>
      </c>
      <c r="K26" s="282">
        <f t="shared" si="13"/>
        <v>12658.803588067105</v>
      </c>
      <c r="L26" s="282">
        <f t="shared" si="13"/>
        <v>15237.674352963359</v>
      </c>
      <c r="M26" s="282">
        <f t="shared" si="13"/>
        <v>17881.016886982048</v>
      </c>
    </row>
    <row r="27" spans="1:13">
      <c r="A27" s="167"/>
      <c r="B27" s="273" t="s">
        <v>253</v>
      </c>
      <c r="C27" s="272"/>
      <c r="D27" s="280">
        <f t="shared" ref="D27:M27" si="14">D25-D26</f>
        <v>-19384.345706954045</v>
      </c>
      <c r="E27" s="280">
        <f t="shared" si="14"/>
        <v>-12875.802746113362</v>
      </c>
      <c r="F27" s="280">
        <f t="shared" si="14"/>
        <v>-6204.5462112518471</v>
      </c>
      <c r="G27" s="280">
        <f t="shared" si="14"/>
        <v>633.49173698147672</v>
      </c>
      <c r="H27" s="280">
        <f t="shared" si="14"/>
        <v>7642.4806339204824</v>
      </c>
      <c r="I27" s="280">
        <f t="shared" si="14"/>
        <v>23064.677370511974</v>
      </c>
      <c r="J27" s="280">
        <f t="shared" si="14"/>
        <v>30428.496330358521</v>
      </c>
      <c r="K27" s="280">
        <f t="shared" si="14"/>
        <v>37976.410764201311</v>
      </c>
      <c r="L27" s="280">
        <f t="shared" si="14"/>
        <v>45713.023058890074</v>
      </c>
      <c r="M27" s="280">
        <f t="shared" si="14"/>
        <v>53643.050660946144</v>
      </c>
    </row>
    <row r="28" spans="1:13">
      <c r="A28" s="167"/>
      <c r="B28" s="273" t="s">
        <v>254</v>
      </c>
      <c r="C28" s="272"/>
      <c r="D28" s="282">
        <f>+D19+D20</f>
        <v>19586.808404191561</v>
      </c>
      <c r="E28" s="282">
        <f t="shared" ref="E28:M28" si="15">E19+E20</f>
        <v>20466.705412694548</v>
      </c>
      <c r="F28" s="282">
        <f t="shared" si="15"/>
        <v>21452.190062217895</v>
      </c>
      <c r="G28" s="282">
        <f t="shared" si="15"/>
        <v>22555.932869684042</v>
      </c>
      <c r="H28" s="282">
        <f t="shared" si="15"/>
        <v>23792.124814046125</v>
      </c>
      <c r="I28" s="282">
        <f t="shared" si="15"/>
        <v>12254.333333333332</v>
      </c>
      <c r="J28" s="282">
        <f t="shared" si="15"/>
        <v>12254.333333333332</v>
      </c>
      <c r="K28" s="282">
        <f t="shared" si="15"/>
        <v>12254.333333333332</v>
      </c>
      <c r="L28" s="282">
        <f t="shared" si="15"/>
        <v>12254.333333333332</v>
      </c>
      <c r="M28" s="282">
        <f t="shared" si="15"/>
        <v>12254.333333333332</v>
      </c>
    </row>
    <row r="29" spans="1:13">
      <c r="A29" s="167"/>
      <c r="B29" s="273" t="s">
        <v>255</v>
      </c>
      <c r="C29" s="272"/>
      <c r="D29" s="282">
        <f>'AMORTIZACIÓN DE LA DEUDA'!D10</f>
        <v>12922.326458398335</v>
      </c>
      <c r="E29" s="282">
        <f>D29</f>
        <v>12922.326458398335</v>
      </c>
      <c r="F29" s="282">
        <f>E29</f>
        <v>12922.326458398335</v>
      </c>
      <c r="G29" s="282">
        <f>F29</f>
        <v>12922.326458398335</v>
      </c>
      <c r="H29" s="282">
        <f>G29</f>
        <v>12922.326458398335</v>
      </c>
      <c r="I29" s="280"/>
      <c r="J29" s="282"/>
      <c r="K29" s="282"/>
      <c r="L29" s="282"/>
      <c r="M29" s="282"/>
    </row>
    <row r="30" spans="1:13">
      <c r="A30" s="167"/>
      <c r="B30" s="273" t="s">
        <v>235</v>
      </c>
      <c r="C30" s="274">
        <f>'AMORTIZACIÓN DE LA DEUDA'!C3</f>
        <v>46582.094896167546</v>
      </c>
      <c r="D30" s="283"/>
      <c r="E30" s="282"/>
      <c r="F30" s="280"/>
      <c r="G30" s="282"/>
      <c r="H30" s="282"/>
      <c r="I30" s="282"/>
      <c r="J30" s="282"/>
      <c r="K30" s="282"/>
      <c r="L30" s="282"/>
      <c r="M30" s="282"/>
    </row>
    <row r="31" spans="1:13">
      <c r="A31" s="167"/>
      <c r="B31" s="273" t="s">
        <v>256</v>
      </c>
      <c r="C31" s="274">
        <f>-INVERSIONES!C22</f>
        <v>-110489.14</v>
      </c>
      <c r="D31" s="282"/>
      <c r="E31" s="282"/>
      <c r="F31" s="280"/>
      <c r="G31" s="282"/>
      <c r="H31" s="282"/>
      <c r="I31" s="282"/>
      <c r="J31" s="282"/>
      <c r="K31" s="282"/>
      <c r="L31" s="282"/>
      <c r="M31" s="282"/>
    </row>
    <row r="32" spans="1:13">
      <c r="A32" s="167"/>
      <c r="B32" s="273" t="s">
        <v>222</v>
      </c>
      <c r="C32" s="274"/>
      <c r="D32" s="282"/>
      <c r="E32" s="282"/>
      <c r="F32" s="280"/>
      <c r="G32" s="282"/>
      <c r="H32" s="282"/>
      <c r="I32" s="282"/>
      <c r="J32" s="282"/>
      <c r="K32" s="282"/>
      <c r="L32" s="282"/>
      <c r="M32" s="282"/>
    </row>
    <row r="33" spans="1:20">
      <c r="A33" s="167"/>
      <c r="B33" s="273" t="s">
        <v>223</v>
      </c>
      <c r="C33" s="274">
        <f>-INVERSIONES!C6</f>
        <v>-5966.0972404188506</v>
      </c>
      <c r="D33" s="282"/>
      <c r="E33" s="282"/>
      <c r="F33" s="280"/>
      <c r="G33" s="282"/>
      <c r="H33" s="282"/>
      <c r="I33" s="282"/>
      <c r="J33" s="282"/>
      <c r="K33" s="282"/>
      <c r="L33" s="282"/>
      <c r="M33" s="282">
        <f>-C33</f>
        <v>5966.0972404188506</v>
      </c>
    </row>
    <row r="34" spans="1:20">
      <c r="A34" s="167"/>
      <c r="B34" s="273" t="s">
        <v>222</v>
      </c>
      <c r="C34" s="276"/>
      <c r="D34" s="282"/>
      <c r="E34" s="282"/>
      <c r="F34" s="280"/>
      <c r="G34" s="282"/>
      <c r="H34" s="282"/>
      <c r="I34" s="282"/>
      <c r="J34" s="282"/>
      <c r="K34" s="282"/>
      <c r="L34" s="282"/>
      <c r="M34" s="282">
        <f>DEPRECIACIONES!H10</f>
        <v>75945.666666666672</v>
      </c>
    </row>
    <row r="35" spans="1:20">
      <c r="A35" s="167"/>
      <c r="B35" s="273" t="s">
        <v>257</v>
      </c>
      <c r="C35" s="274">
        <f>SUM(C30:C33)</f>
        <v>-69873.142344251304</v>
      </c>
      <c r="D35" s="282">
        <f t="shared" ref="D35:M35" si="16">+D27+D28-D29+D33</f>
        <v>-12719.863761160819</v>
      </c>
      <c r="E35" s="282">
        <f t="shared" si="16"/>
        <v>-5331.4237918171493</v>
      </c>
      <c r="F35" s="282">
        <f t="shared" si="16"/>
        <v>2325.3173925677129</v>
      </c>
      <c r="G35" s="282">
        <f t="shared" si="16"/>
        <v>10267.098148267183</v>
      </c>
      <c r="H35" s="282">
        <f t="shared" si="16"/>
        <v>18512.278989568273</v>
      </c>
      <c r="I35" s="282">
        <f t="shared" si="16"/>
        <v>35319.010703845306</v>
      </c>
      <c r="J35" s="282">
        <f t="shared" si="16"/>
        <v>42682.829663691853</v>
      </c>
      <c r="K35" s="282">
        <f t="shared" si="16"/>
        <v>50230.74409753464</v>
      </c>
      <c r="L35" s="282">
        <f t="shared" si="16"/>
        <v>57967.356392223403</v>
      </c>
      <c r="M35" s="282">
        <f t="shared" si="16"/>
        <v>71863.481234698324</v>
      </c>
    </row>
    <row r="36" spans="1:20">
      <c r="A36" s="167"/>
      <c r="B36" s="271" t="s">
        <v>258</v>
      </c>
      <c r="C36" s="277">
        <f>'CÁLCULO DEL CAPM'!B14</f>
        <v>0.131961306</v>
      </c>
      <c r="D36" s="269"/>
      <c r="E36" s="269"/>
      <c r="F36" s="269"/>
      <c r="G36" s="269"/>
      <c r="H36" s="269"/>
      <c r="I36" s="269"/>
      <c r="J36" s="269"/>
      <c r="K36" s="269"/>
      <c r="L36" s="269"/>
      <c r="M36" s="269"/>
    </row>
    <row r="37" spans="1:20">
      <c r="A37" s="167"/>
      <c r="B37" s="271" t="s">
        <v>178</v>
      </c>
      <c r="C37" s="277">
        <f>IRR(C35:M35)</f>
        <v>0.17398663764359965</v>
      </c>
      <c r="D37" s="269"/>
      <c r="E37" s="278"/>
      <c r="F37" s="278"/>
      <c r="G37" s="269"/>
      <c r="H37" s="269"/>
      <c r="I37" s="269"/>
      <c r="J37" s="269"/>
      <c r="K37" s="269"/>
      <c r="L37" s="269"/>
      <c r="M37" s="269"/>
    </row>
    <row r="38" spans="1:20">
      <c r="A38" s="167"/>
      <c r="B38" s="271" t="s">
        <v>177</v>
      </c>
      <c r="C38" s="279">
        <f>NPV(C36,D35:M35)+C35</f>
        <v>25697.599615395986</v>
      </c>
      <c r="D38" s="269"/>
      <c r="E38" s="269"/>
      <c r="F38" s="269"/>
      <c r="G38" s="269"/>
      <c r="H38" s="269"/>
      <c r="I38" s="269"/>
      <c r="J38" s="269"/>
      <c r="K38" s="269"/>
      <c r="L38" s="269"/>
      <c r="M38" s="269"/>
    </row>
    <row r="39" spans="1:20">
      <c r="A39" s="167"/>
    </row>
    <row r="40" spans="1:20">
      <c r="B40" s="87"/>
      <c r="C40" s="93"/>
      <c r="D40" s="93"/>
      <c r="E40" s="93"/>
      <c r="F40" s="93"/>
      <c r="G40" s="93"/>
    </row>
    <row r="41" spans="1:20">
      <c r="C41" s="93"/>
    </row>
    <row r="42" spans="1:20">
      <c r="B42" s="473"/>
      <c r="C42" s="473"/>
      <c r="D42" s="473"/>
      <c r="E42" s="473"/>
      <c r="F42" s="473"/>
      <c r="G42" s="473"/>
      <c r="H42" s="473"/>
      <c r="I42" s="473"/>
    </row>
    <row r="43" spans="1:20">
      <c r="B43" s="474" t="s">
        <v>358</v>
      </c>
      <c r="C43" s="475"/>
      <c r="D43" s="475"/>
      <c r="E43" s="475"/>
      <c r="F43" s="475"/>
      <c r="G43" s="96"/>
      <c r="H43" s="474" t="s">
        <v>358</v>
      </c>
      <c r="I43" s="475"/>
      <c r="J43" s="475"/>
      <c r="K43" s="475"/>
      <c r="L43" s="475"/>
    </row>
    <row r="44" spans="1:20">
      <c r="B44" s="475"/>
      <c r="C44" s="475"/>
      <c r="D44" s="475"/>
      <c r="E44" s="475"/>
      <c r="F44" s="475"/>
      <c r="G44" s="88"/>
      <c r="H44" s="475"/>
      <c r="I44" s="475"/>
      <c r="J44" s="475"/>
      <c r="K44" s="475"/>
      <c r="L44" s="475"/>
    </row>
    <row r="45" spans="1:20">
      <c r="G45" s="10"/>
      <c r="H45" s="10"/>
      <c r="I45" s="10" t="s">
        <v>469</v>
      </c>
      <c r="J45" s="10" t="s">
        <v>470</v>
      </c>
      <c r="K45" s="10" t="s">
        <v>471</v>
      </c>
      <c r="L45" s="10" t="s">
        <v>472</v>
      </c>
      <c r="M45" s="10" t="s">
        <v>473</v>
      </c>
      <c r="N45" s="10" t="s">
        <v>474</v>
      </c>
      <c r="O45" s="10" t="s">
        <v>475</v>
      </c>
      <c r="P45" s="10" t="s">
        <v>476</v>
      </c>
      <c r="Q45" s="10" t="s">
        <v>477</v>
      </c>
      <c r="R45" s="10" t="s">
        <v>478</v>
      </c>
      <c r="S45" s="10" t="s">
        <v>479</v>
      </c>
    </row>
    <row r="46" spans="1:20">
      <c r="B46" s="476" t="s">
        <v>359</v>
      </c>
      <c r="C46" s="476" t="s">
        <v>360</v>
      </c>
      <c r="D46" s="476" t="s">
        <v>176</v>
      </c>
      <c r="E46" s="476" t="s">
        <v>361</v>
      </c>
      <c r="F46" s="476" t="s">
        <v>362</v>
      </c>
      <c r="G46" s="10"/>
      <c r="H46" s="169" t="s">
        <v>466</v>
      </c>
      <c r="I46" s="169">
        <f>'SENSIBILIDAD TMAR VS VAN'!C217</f>
        <v>-69873.142344251304</v>
      </c>
      <c r="J46" s="169">
        <f>'SENSIBILIDAD TMAR VS VAN'!D217</f>
        <v>-12719.863761160819</v>
      </c>
      <c r="K46" s="169">
        <f>'SENSIBILIDAD TMAR VS VAN'!E217</f>
        <v>-5331.4237918171493</v>
      </c>
      <c r="L46" s="169">
        <f>'SENSIBILIDAD TMAR VS VAN'!F217</f>
        <v>2325.3173925677129</v>
      </c>
      <c r="M46" s="169">
        <f>'SENSIBILIDAD TMAR VS VAN'!G217</f>
        <v>10267.098148267183</v>
      </c>
      <c r="N46" s="169">
        <f>'SENSIBILIDAD TMAR VS VAN'!H217</f>
        <v>18512.278989568273</v>
      </c>
      <c r="O46" s="169">
        <f>'SENSIBILIDAD TMAR VS VAN'!I217</f>
        <v>35319.010703845306</v>
      </c>
      <c r="P46" s="169">
        <f>'SENSIBILIDAD TMAR VS VAN'!J217</f>
        <v>42682.829663691853</v>
      </c>
      <c r="Q46" s="169">
        <f>'SENSIBILIDAD TMAR VS VAN'!K217</f>
        <v>50230.74409753464</v>
      </c>
      <c r="R46" s="169">
        <f>'SENSIBILIDAD TMAR VS VAN'!L217</f>
        <v>57967.356392223403</v>
      </c>
      <c r="S46" s="169">
        <f>'SENSIBILIDAD TMAR VS VAN'!M217</f>
        <v>71863.481234698324</v>
      </c>
    </row>
    <row r="47" spans="1:20">
      <c r="B47" s="476"/>
      <c r="C47" s="476"/>
      <c r="D47" s="476"/>
      <c r="E47" s="476"/>
      <c r="F47" s="476"/>
      <c r="G47" s="12"/>
      <c r="H47" s="136" t="s">
        <v>467</v>
      </c>
      <c r="I47" s="136">
        <f>I46</f>
        <v>-69873.142344251304</v>
      </c>
      <c r="J47" s="92">
        <f>J46/(1+'SENSIBILIDAD TMAR VS VAN'!$C$218)</f>
        <v>-10688.961143832621</v>
      </c>
      <c r="K47" s="92">
        <f>K46/(1+'SENSIBILIDAD TMAR VS VAN'!$C$218)^2</f>
        <v>-3764.8639162609629</v>
      </c>
      <c r="L47" s="92">
        <f>L46/(1+'SENSIBILIDAD TMAR VS VAN'!$C$218)^3</f>
        <v>1379.8801137267837</v>
      </c>
      <c r="M47" s="92">
        <f>M46/(1+'SENSIBILIDAD TMAR VS VAN'!$C$218)^4</f>
        <v>5119.8810141787353</v>
      </c>
      <c r="N47" s="92">
        <f>N46/(1+'SENSIBILIDAD TMAR VS VAN'!$C$218)^5</f>
        <v>7757.5588650778736</v>
      </c>
      <c r="O47" s="92">
        <f>O46/(1+'SENSIBILIDAD TMAR VS VAN'!$C$218)^6</f>
        <v>12437.318670043582</v>
      </c>
      <c r="P47" s="92">
        <f>P46/(1+'SENSIBILIDAD TMAR VS VAN'!$C$218)^7</f>
        <v>12630.614306987767</v>
      </c>
      <c r="Q47" s="92">
        <f>Q46/(1+'SENSIBILIDAD TMAR VS VAN'!$C$218)^8</f>
        <v>12490.905437094221</v>
      </c>
      <c r="R47" s="92">
        <f>R46/(1+'SENSIBILIDAD TMAR VS VAN'!$C$218)^9</f>
        <v>12113.254510539729</v>
      </c>
      <c r="S47" s="92">
        <f>S46/(1+'SENSIBILIDAD TMAR VS VAN'!$C$218)^10</f>
        <v>12619.398000535455</v>
      </c>
    </row>
    <row r="48" spans="1:20">
      <c r="B48" s="98">
        <v>1</v>
      </c>
      <c r="C48" s="99">
        <f>INVERSIONES!E5</f>
        <v>46582.094896167546</v>
      </c>
      <c r="D48" s="100">
        <f>'SENSIBILIDAD TMAR VS VAN'!D217</f>
        <v>-12719.863761160819</v>
      </c>
      <c r="E48" s="100">
        <f>C48*'SENSIBILIDAD TMAR VS VAN'!$C$218</f>
        <v>8850.5980302718344</v>
      </c>
      <c r="F48" s="100">
        <f>+D48-E48</f>
        <v>-21570.461791432652</v>
      </c>
      <c r="G48" s="10"/>
      <c r="H48" s="136" t="s">
        <v>467</v>
      </c>
      <c r="I48" s="172"/>
      <c r="J48" s="173"/>
      <c r="K48" s="173"/>
      <c r="L48" s="173"/>
      <c r="M48" s="173"/>
      <c r="N48" s="173"/>
      <c r="O48" s="173"/>
      <c r="P48" s="173"/>
      <c r="Q48" s="173"/>
      <c r="R48" s="173"/>
      <c r="S48" s="171"/>
      <c r="T48" s="174"/>
    </row>
    <row r="49" spans="2:19">
      <c r="B49" s="25">
        <v>2</v>
      </c>
      <c r="C49" s="99">
        <f t="shared" ref="C49:C57" si="17">C48-F48</f>
        <v>68152.556687600198</v>
      </c>
      <c r="D49" s="100">
        <f>'SENSIBILIDAD TMAR VS VAN'!E217</f>
        <v>-5331.4237918171493</v>
      </c>
      <c r="E49" s="100">
        <f>C49*'SENSIBILIDAD TMAR VS VAN'!$C$218</f>
        <v>12948.985770644038</v>
      </c>
      <c r="F49" s="100">
        <f>+D49-E49</f>
        <v>-18280.409562461187</v>
      </c>
      <c r="G49" s="95"/>
      <c r="H49" s="170" t="s">
        <v>468</v>
      </c>
      <c r="I49" s="170">
        <f>I47</f>
        <v>-69873.142344251304</v>
      </c>
      <c r="J49" s="94">
        <f t="shared" ref="J49:S49" si="18">I49+J47</f>
        <v>-80562.103488083929</v>
      </c>
      <c r="K49" s="94">
        <f t="shared" si="18"/>
        <v>-84326.96740434489</v>
      </c>
      <c r="L49" s="94">
        <f t="shared" si="18"/>
        <v>-82947.087290618103</v>
      </c>
      <c r="M49" s="94">
        <f t="shared" si="18"/>
        <v>-77827.206276439363</v>
      </c>
      <c r="N49" s="94">
        <f t="shared" si="18"/>
        <v>-70069.647411361482</v>
      </c>
      <c r="O49" s="94">
        <f t="shared" si="18"/>
        <v>-57632.328741317899</v>
      </c>
      <c r="P49" s="94">
        <f t="shared" si="18"/>
        <v>-45001.714434330133</v>
      </c>
      <c r="Q49" s="94">
        <f t="shared" si="18"/>
        <v>-32510.808997235912</v>
      </c>
      <c r="R49" s="94">
        <f t="shared" si="18"/>
        <v>-20397.554486696183</v>
      </c>
      <c r="S49" s="94">
        <f t="shared" si="18"/>
        <v>-7778.1564861607276</v>
      </c>
    </row>
    <row r="50" spans="2:19">
      <c r="B50" s="101">
        <v>3</v>
      </c>
      <c r="C50" s="99">
        <f t="shared" si="17"/>
        <v>86432.966250061378</v>
      </c>
      <c r="D50" s="100">
        <f>'SENSIBILIDAD TMAR VS VAN'!F217</f>
        <v>2325.3173925677129</v>
      </c>
      <c r="E50" s="100">
        <f>C50*'SENSIBILIDAD TMAR VS VAN'!$C$218</f>
        <v>16422.263587511661</v>
      </c>
      <c r="F50" s="100">
        <f t="shared" ref="F50:F57" si="19">+D50-E50</f>
        <v>-14096.946194943948</v>
      </c>
      <c r="G50" s="95"/>
      <c r="H50" s="95"/>
      <c r="I50" s="95"/>
    </row>
    <row r="51" spans="2:19">
      <c r="B51" s="101">
        <v>4</v>
      </c>
      <c r="C51" s="99">
        <f t="shared" si="17"/>
        <v>100529.91244500532</v>
      </c>
      <c r="D51" s="100">
        <f>'SENSIBILIDAD TMAR VS VAN'!G217</f>
        <v>10267.098148267183</v>
      </c>
      <c r="E51" s="100">
        <f>C51*'SENSIBILIDAD TMAR VS VAN'!$C$218</f>
        <v>19100.683364551012</v>
      </c>
      <c r="F51" s="100">
        <f t="shared" si="19"/>
        <v>-8833.5852162838291</v>
      </c>
      <c r="G51" s="95"/>
      <c r="H51" s="96" t="s">
        <v>480</v>
      </c>
      <c r="I51" s="95"/>
    </row>
    <row r="52" spans="2:19">
      <c r="B52" s="102">
        <v>5</v>
      </c>
      <c r="C52" s="99">
        <f t="shared" si="17"/>
        <v>109363.49766128915</v>
      </c>
      <c r="D52" s="100">
        <f>'SENSIBILIDAD TMAR VS VAN'!H217</f>
        <v>18512.278989568273</v>
      </c>
      <c r="E52" s="100">
        <f>C52*'SENSIBILIDAD TMAR VS VAN'!$C$218</f>
        <v>20779.064555644938</v>
      </c>
      <c r="F52" s="100">
        <f t="shared" si="19"/>
        <v>-2266.7855660766654</v>
      </c>
      <c r="G52" s="95"/>
      <c r="H52" s="12" t="s">
        <v>558</v>
      </c>
      <c r="I52" s="12"/>
      <c r="J52" s="90"/>
      <c r="K52" s="90"/>
      <c r="L52" s="90"/>
      <c r="M52" s="90"/>
      <c r="N52" s="90"/>
      <c r="O52" s="90"/>
      <c r="P52" s="90"/>
      <c r="Q52" s="90"/>
      <c r="R52" s="90"/>
      <c r="S52" s="90"/>
    </row>
    <row r="53" spans="2:19">
      <c r="B53" s="25">
        <v>6</v>
      </c>
      <c r="C53" s="99">
        <f t="shared" si="17"/>
        <v>111630.28322736581</v>
      </c>
      <c r="D53" s="100">
        <f>'SENSIBILIDAD TMAR VS VAN'!I217</f>
        <v>35319.010703845306</v>
      </c>
      <c r="E53" s="100">
        <f>C53*'SENSIBILIDAD TMAR VS VAN'!$C$218</f>
        <v>21209.753813199506</v>
      </c>
      <c r="F53" s="100">
        <f t="shared" si="19"/>
        <v>14109.2568906458</v>
      </c>
      <c r="G53" s="95"/>
      <c r="H53" s="12"/>
      <c r="I53" s="10"/>
      <c r="J53" s="90"/>
      <c r="K53" s="90"/>
      <c r="L53" s="90"/>
      <c r="M53" s="90"/>
      <c r="N53" s="90"/>
      <c r="O53" s="90"/>
      <c r="P53" s="90"/>
      <c r="Q53" s="90"/>
      <c r="R53" s="90"/>
      <c r="S53" s="90"/>
    </row>
    <row r="54" spans="2:19">
      <c r="B54" s="25">
        <v>7</v>
      </c>
      <c r="C54" s="99">
        <f t="shared" si="17"/>
        <v>97521.02633672001</v>
      </c>
      <c r="D54" s="100">
        <f>'SENSIBILIDAD TMAR VS VAN'!J217</f>
        <v>42682.829663691853</v>
      </c>
      <c r="E54" s="100">
        <f>C54*'SENSIBILIDAD TMAR VS VAN'!$C$218</f>
        <v>18528.995003976801</v>
      </c>
      <c r="F54" s="100">
        <f t="shared" si="19"/>
        <v>24153.834659715052</v>
      </c>
      <c r="G54" s="95"/>
      <c r="H54" s="95"/>
      <c r="I54" s="95"/>
      <c r="J54" s="175"/>
      <c r="K54" s="175"/>
      <c r="L54" s="175"/>
      <c r="M54" s="175"/>
      <c r="N54" s="90"/>
      <c r="O54" s="175"/>
      <c r="P54" s="175"/>
      <c r="Q54" s="175"/>
      <c r="R54" s="175"/>
      <c r="S54" s="175"/>
    </row>
    <row r="55" spans="2:19">
      <c r="B55" s="25">
        <v>8</v>
      </c>
      <c r="C55" s="99">
        <f t="shared" si="17"/>
        <v>73367.191677004957</v>
      </c>
      <c r="D55" s="100">
        <f>'SENSIBILIDAD TMAR VS VAN'!K217</f>
        <v>50230.74409753464</v>
      </c>
      <c r="E55" s="100">
        <f>C55*'SENSIBILIDAD TMAR VS VAN'!$C$218</f>
        <v>13939.766418630941</v>
      </c>
      <c r="F55" s="100">
        <f t="shared" si="19"/>
        <v>36290.977678903699</v>
      </c>
      <c r="G55" s="95"/>
      <c r="H55" s="10"/>
      <c r="I55" s="10"/>
      <c r="J55" s="175"/>
      <c r="K55" s="90"/>
      <c r="L55" s="90"/>
      <c r="M55" s="90"/>
      <c r="N55" s="90"/>
      <c r="O55" s="175"/>
      <c r="P55" s="90"/>
      <c r="Q55" s="90"/>
      <c r="R55" s="90"/>
      <c r="S55" s="90"/>
    </row>
    <row r="56" spans="2:19">
      <c r="B56" s="25">
        <v>9</v>
      </c>
      <c r="C56" s="99">
        <f t="shared" si="17"/>
        <v>37076.213998101259</v>
      </c>
      <c r="D56" s="100">
        <f>'SENSIBILIDAD TMAR VS VAN'!L217</f>
        <v>57967.356392223403</v>
      </c>
      <c r="E56" s="100">
        <f>C56*'SENSIBILIDAD TMAR VS VAN'!$C$218</f>
        <v>7044.4806596392391</v>
      </c>
      <c r="F56" s="100">
        <f t="shared" si="19"/>
        <v>50922.875732584165</v>
      </c>
      <c r="G56" s="95"/>
      <c r="H56" s="96"/>
      <c r="I56" s="96"/>
      <c r="N56" s="90"/>
      <c r="O56" s="175"/>
    </row>
    <row r="57" spans="2:19">
      <c r="B57" s="25">
        <v>10</v>
      </c>
      <c r="C57" s="99">
        <f t="shared" si="17"/>
        <v>-13846.661734482906</v>
      </c>
      <c r="D57" s="100">
        <f>'SENSIBILIDAD TMAR VS VAN'!M217</f>
        <v>71863.481234698324</v>
      </c>
      <c r="E57" s="100">
        <f>C57*'SENSIBILIDAD TMAR VS VAN'!$C$218</f>
        <v>-2630.8657295517523</v>
      </c>
      <c r="F57" s="100">
        <f t="shared" si="19"/>
        <v>74494.346964250071</v>
      </c>
      <c r="G57" s="95"/>
      <c r="H57" s="96"/>
      <c r="I57" s="96"/>
      <c r="N57" s="90"/>
      <c r="O57" s="175"/>
    </row>
    <row r="58" spans="2:19">
      <c r="B58" s="11"/>
      <c r="C58" s="96"/>
      <c r="D58" s="10"/>
      <c r="E58" s="10"/>
      <c r="F58" s="10"/>
      <c r="G58" s="10"/>
      <c r="H58" s="10"/>
      <c r="I58" s="10"/>
      <c r="N58" s="90"/>
      <c r="O58" s="175"/>
    </row>
    <row r="59" spans="2:19">
      <c r="B59" s="11"/>
      <c r="C59" s="96"/>
      <c r="D59" s="95"/>
      <c r="E59" s="95"/>
      <c r="F59" s="95"/>
      <c r="G59" s="95"/>
      <c r="H59" s="95"/>
      <c r="I59" s="95"/>
      <c r="N59" s="90"/>
      <c r="O59" s="175"/>
    </row>
    <row r="60" spans="2:19">
      <c r="B60" s="11"/>
      <c r="C60" s="95"/>
      <c r="D60" s="96"/>
      <c r="E60" s="96"/>
      <c r="F60" s="96"/>
      <c r="G60" s="96"/>
      <c r="H60" s="96"/>
      <c r="I60" s="96"/>
      <c r="N60" s="90"/>
      <c r="O60" s="175"/>
    </row>
    <row r="61" spans="2:19">
      <c r="B61" s="11"/>
      <c r="C61" s="95"/>
      <c r="D61" s="96"/>
      <c r="E61" s="96"/>
      <c r="F61" s="95"/>
      <c r="G61" s="96"/>
      <c r="H61" s="96"/>
      <c r="I61" s="95"/>
      <c r="N61" s="90"/>
      <c r="O61" s="175"/>
    </row>
    <row r="62" spans="2:19">
      <c r="B62" s="11"/>
      <c r="C62" s="95"/>
      <c r="D62" s="96"/>
      <c r="E62" s="96"/>
      <c r="F62" s="95"/>
      <c r="G62" s="96"/>
      <c r="H62" s="96"/>
      <c r="I62" s="96"/>
      <c r="N62" s="90"/>
      <c r="O62" s="175"/>
    </row>
    <row r="63" spans="2:19">
      <c r="B63" s="11"/>
      <c r="C63" s="96"/>
      <c r="D63" s="96"/>
      <c r="E63" s="96"/>
      <c r="F63" s="95"/>
      <c r="G63" s="96"/>
      <c r="H63" s="96"/>
      <c r="I63" s="23"/>
      <c r="N63" s="90"/>
      <c r="O63" s="175"/>
    </row>
    <row r="64" spans="2:19">
      <c r="B64" s="11"/>
      <c r="C64" s="95"/>
      <c r="D64" s="95"/>
      <c r="E64" s="95"/>
      <c r="F64" s="95"/>
      <c r="G64" s="95"/>
      <c r="H64" s="95"/>
      <c r="I64" s="95"/>
      <c r="N64" s="90"/>
      <c r="O64" s="175"/>
    </row>
    <row r="65" spans="2:15">
      <c r="B65" s="87"/>
      <c r="C65" s="10"/>
      <c r="D65" s="10"/>
      <c r="E65" s="87"/>
      <c r="F65" s="95"/>
      <c r="G65" s="96"/>
      <c r="H65" s="96"/>
      <c r="I65" s="96"/>
      <c r="N65" s="90"/>
      <c r="O65" s="175"/>
    </row>
    <row r="66" spans="2:15">
      <c r="B66" s="87"/>
      <c r="C66" s="15"/>
      <c r="D66" s="96"/>
      <c r="E66" s="96"/>
      <c r="F66" s="95"/>
      <c r="G66" s="96"/>
      <c r="H66" s="96"/>
      <c r="I66" s="96"/>
      <c r="N66" s="90"/>
      <c r="O66" s="175"/>
    </row>
    <row r="67" spans="2:15">
      <c r="B67" s="87"/>
      <c r="C67" s="16"/>
      <c r="D67" s="96"/>
      <c r="E67" s="96"/>
      <c r="F67" s="95"/>
      <c r="G67" s="96"/>
      <c r="H67" s="96"/>
      <c r="I67" s="96"/>
      <c r="N67" s="90"/>
      <c r="O67" s="175"/>
    </row>
    <row r="68" spans="2:15">
      <c r="B68" s="96"/>
      <c r="C68" s="96"/>
      <c r="D68" s="96"/>
      <c r="E68" s="96"/>
      <c r="F68" s="95"/>
      <c r="G68" s="96"/>
      <c r="H68" s="96"/>
      <c r="I68" s="96"/>
      <c r="N68" s="90"/>
      <c r="O68" s="175"/>
    </row>
    <row r="69" spans="2:15">
      <c r="F69" s="95"/>
      <c r="N69" s="90"/>
      <c r="O69" s="175"/>
    </row>
    <row r="70" spans="2:15">
      <c r="F70" s="95"/>
      <c r="N70" s="90"/>
      <c r="O70" s="175"/>
    </row>
    <row r="71" spans="2:15">
      <c r="F71" s="95"/>
      <c r="N71" s="90"/>
      <c r="O71" s="175"/>
    </row>
    <row r="72" spans="2:15">
      <c r="F72" s="95"/>
      <c r="N72" s="90"/>
      <c r="O72" s="175"/>
    </row>
    <row r="73" spans="2:15">
      <c r="N73" s="90"/>
      <c r="O73" s="175"/>
    </row>
    <row r="74" spans="2:15">
      <c r="N74" s="90"/>
      <c r="O74" s="175"/>
    </row>
    <row r="75" spans="2:15">
      <c r="N75" s="90"/>
      <c r="O75" s="175"/>
    </row>
    <row r="76" spans="2:15">
      <c r="N76" s="90"/>
      <c r="O76" s="175"/>
    </row>
    <row r="77" spans="2:15">
      <c r="N77" s="90"/>
      <c r="O77" s="175"/>
    </row>
    <row r="78" spans="2:15">
      <c r="N78" s="90"/>
      <c r="O78" s="175"/>
    </row>
    <row r="79" spans="2:15">
      <c r="N79" s="90"/>
      <c r="O79" s="175"/>
    </row>
    <row r="80" spans="2:15">
      <c r="N80" s="90"/>
      <c r="O80" s="175"/>
    </row>
    <row r="81" spans="14:15">
      <c r="N81" s="90"/>
      <c r="O81" s="175"/>
    </row>
    <row r="82" spans="14:15">
      <c r="N82" s="90"/>
      <c r="O82" s="175"/>
    </row>
    <row r="83" spans="14:15">
      <c r="N83" s="175"/>
    </row>
  </sheetData>
  <mergeCells count="9">
    <mergeCell ref="B4:I4"/>
    <mergeCell ref="B42:I42"/>
    <mergeCell ref="B43:F44"/>
    <mergeCell ref="B46:B47"/>
    <mergeCell ref="C46:C47"/>
    <mergeCell ref="D46:D47"/>
    <mergeCell ref="E46:E47"/>
    <mergeCell ref="F46:F47"/>
    <mergeCell ref="H43:L44"/>
  </mergeCells>
  <phoneticPr fontId="23" type="noConversion"/>
  <pageMargins left="0.7" right="0.7" top="0.75" bottom="0.75" header="0.3" footer="0.3"/>
  <pageSetup paperSize="9" orientation="portrait" horizontalDpi="300" verticalDpi="300" r:id="rId1"/>
</worksheet>
</file>

<file path=xl/worksheets/sheet11.xml><?xml version="1.0" encoding="utf-8"?>
<worksheet xmlns="http://schemas.openxmlformats.org/spreadsheetml/2006/main" xmlns:r="http://schemas.openxmlformats.org/officeDocument/2006/relationships">
  <dimension ref="B3:H28"/>
  <sheetViews>
    <sheetView topLeftCell="A7" workbookViewId="0">
      <selection activeCell="B14" sqref="B14"/>
    </sheetView>
  </sheetViews>
  <sheetFormatPr baseColWidth="10" defaultRowHeight="15"/>
  <cols>
    <col min="2" max="2" width="17.85546875" bestFit="1" customWidth="1"/>
    <col min="4" max="4" width="17.85546875" bestFit="1" customWidth="1"/>
    <col min="5" max="5" width="11.7109375" bestFit="1" customWidth="1"/>
    <col min="6" max="6" width="17.85546875" bestFit="1" customWidth="1"/>
    <col min="7" max="7" width="15.5703125" bestFit="1" customWidth="1"/>
    <col min="8" max="8" width="13.5703125" customWidth="1"/>
  </cols>
  <sheetData>
    <row r="3" spans="2:8" ht="15.75">
      <c r="B3" s="477" t="s">
        <v>539</v>
      </c>
      <c r="C3" s="478"/>
      <c r="D3" s="478"/>
      <c r="E3" s="478"/>
      <c r="F3" s="478"/>
      <c r="G3" s="478"/>
      <c r="H3" s="478"/>
    </row>
    <row r="4" spans="2:8" ht="15.75">
      <c r="B4" s="479" t="s">
        <v>549</v>
      </c>
      <c r="C4" s="480"/>
      <c r="D4" s="480"/>
      <c r="E4" s="480"/>
      <c r="F4" s="480"/>
      <c r="G4" s="480"/>
      <c r="H4" s="480"/>
    </row>
    <row r="5" spans="2:8" ht="15.75">
      <c r="B5" s="432" t="s">
        <v>536</v>
      </c>
      <c r="C5" s="432" t="s">
        <v>535</v>
      </c>
      <c r="D5" s="432" t="s">
        <v>534</v>
      </c>
      <c r="E5" s="432" t="s">
        <v>178</v>
      </c>
      <c r="F5" s="432" t="s">
        <v>177</v>
      </c>
      <c r="G5" s="432" t="s">
        <v>260</v>
      </c>
      <c r="H5" s="432" t="s">
        <v>533</v>
      </c>
    </row>
    <row r="6" spans="2:8" ht="15.75">
      <c r="B6" s="297"/>
      <c r="C6" s="324">
        <v>-0.1</v>
      </c>
      <c r="D6" s="323">
        <f>+$D$8*(1+C6)</f>
        <v>0.70200000000000007</v>
      </c>
      <c r="E6" s="315">
        <v>0.18467890739259757</v>
      </c>
      <c r="F6" s="314">
        <v>-36392.23178323207</v>
      </c>
      <c r="G6" s="3">
        <f>D6*INVERSIONES!$AQ$18</f>
        <v>4101255.9388353783</v>
      </c>
      <c r="H6" s="345" t="s">
        <v>530</v>
      </c>
    </row>
    <row r="7" spans="2:8" ht="15.75">
      <c r="B7" s="297"/>
      <c r="C7" s="324">
        <v>-0.05</v>
      </c>
      <c r="D7" s="323">
        <f>+$D$8*(1+C7)</f>
        <v>0.74099999999999999</v>
      </c>
      <c r="E7" s="328">
        <v>0.28518128445416802</v>
      </c>
      <c r="F7" s="327">
        <v>201718.03466695899</v>
      </c>
      <c r="G7" s="3">
        <f>D7*INVERSIONES!$AQ$18</f>
        <v>4329103.4909928991</v>
      </c>
      <c r="H7" s="345" t="s">
        <v>531</v>
      </c>
    </row>
    <row r="8" spans="2:8" ht="15.75">
      <c r="B8" s="433" t="s">
        <v>538</v>
      </c>
      <c r="C8" s="326">
        <v>0</v>
      </c>
      <c r="D8" s="325">
        <v>0.78</v>
      </c>
      <c r="E8" s="318">
        <f>'FLUJO DE CAJA,PAYBACK'!C36</f>
        <v>0.131961306</v>
      </c>
      <c r="F8" s="303">
        <f>'SENSIBILIDAD TMAR VS VAN'!C110</f>
        <v>25697.599615395986</v>
      </c>
      <c r="G8" s="3">
        <f>D8*INVERSIONES!$AQ$18</f>
        <v>4556951.0431504203</v>
      </c>
      <c r="H8" s="306" t="s">
        <v>531</v>
      </c>
    </row>
    <row r="9" spans="2:8" ht="15.75">
      <c r="B9" s="297"/>
      <c r="C9" s="324">
        <v>0.05</v>
      </c>
      <c r="D9" s="323">
        <f>+$D$8*(1+C9)</f>
        <v>0.81900000000000006</v>
      </c>
      <c r="E9" s="315">
        <v>0.47598235400661298</v>
      </c>
      <c r="F9" s="314">
        <v>652125.35072989948</v>
      </c>
      <c r="G9" s="3">
        <f>D9*INVERSIONES!$AQ$18</f>
        <v>4784798.5953079415</v>
      </c>
      <c r="H9" s="345" t="s">
        <v>531</v>
      </c>
    </row>
    <row r="10" spans="2:8" ht="15.75">
      <c r="B10" s="297"/>
      <c r="C10" s="324">
        <v>0.1</v>
      </c>
      <c r="D10" s="323">
        <f>+$D$8*(1+C10)</f>
        <v>0.8580000000000001</v>
      </c>
      <c r="E10" s="315">
        <v>0.57471692128248097</v>
      </c>
      <c r="F10" s="314">
        <v>877328.54159079376</v>
      </c>
      <c r="G10" s="3">
        <f>D10*INVERSIONES!$AQ$18</f>
        <v>5012646.1474654619</v>
      </c>
      <c r="H10" s="345" t="s">
        <v>531</v>
      </c>
    </row>
    <row r="11" spans="2:8" ht="15.75">
      <c r="B11" s="297"/>
      <c r="C11" s="324">
        <v>0.15</v>
      </c>
      <c r="D11" s="323">
        <f>+$D$8*(1+C11)</f>
        <v>0.89699999999999991</v>
      </c>
      <c r="E11" s="315">
        <v>0.67681507322618972</v>
      </c>
      <c r="F11" s="314">
        <v>1102531.7324516869</v>
      </c>
      <c r="G11" s="3">
        <f>D11*INVERSIONES!$AQ$18</f>
        <v>5240493.6996229822</v>
      </c>
      <c r="H11" s="345" t="s">
        <v>531</v>
      </c>
    </row>
    <row r="12" spans="2:8" ht="15.75">
      <c r="B12" s="310"/>
      <c r="C12" s="309"/>
      <c r="D12" s="322"/>
      <c r="E12" s="309"/>
      <c r="F12" s="309"/>
      <c r="G12" s="308"/>
    </row>
    <row r="13" spans="2:8" ht="16.5" thickBot="1">
      <c r="B13" s="481" t="s">
        <v>564</v>
      </c>
      <c r="C13" s="482"/>
      <c r="D13" s="482"/>
      <c r="E13" s="482"/>
      <c r="F13" s="482"/>
      <c r="G13" s="483"/>
    </row>
    <row r="14" spans="2:8" ht="15.75">
      <c r="B14" s="434" t="s">
        <v>565</v>
      </c>
      <c r="C14" s="435" t="s">
        <v>535</v>
      </c>
      <c r="D14" s="435" t="s">
        <v>534</v>
      </c>
      <c r="E14" s="436" t="s">
        <v>178</v>
      </c>
      <c r="F14" s="436" t="s">
        <v>177</v>
      </c>
      <c r="G14" s="437" t="s">
        <v>533</v>
      </c>
    </row>
    <row r="15" spans="2:8" ht="15.75">
      <c r="B15" s="316"/>
      <c r="C15" s="300">
        <v>-0.2</v>
      </c>
      <c r="D15" s="321">
        <f>D16*(1+C15)</f>
        <v>3384550.9440000001</v>
      </c>
      <c r="E15" s="315">
        <v>0.17748663962213096</v>
      </c>
      <c r="F15" s="314">
        <v>-61977.066082761332</v>
      </c>
      <c r="G15" s="320" t="s">
        <v>530</v>
      </c>
    </row>
    <row r="16" spans="2:8" ht="15.75">
      <c r="B16" s="316"/>
      <c r="C16" s="300">
        <v>-0.15</v>
      </c>
      <c r="D16" s="321">
        <f>D17*(1+C16)</f>
        <v>4230688.68</v>
      </c>
      <c r="E16" s="315">
        <v>0.215731124993852</v>
      </c>
      <c r="F16" s="314">
        <v>43553.076510968909</v>
      </c>
      <c r="G16" s="320" t="s">
        <v>531</v>
      </c>
    </row>
    <row r="17" spans="2:7" ht="15.75">
      <c r="B17" s="438" t="s">
        <v>537</v>
      </c>
      <c r="C17" s="306">
        <v>0</v>
      </c>
      <c r="D17" s="319">
        <v>4977280.8</v>
      </c>
      <c r="E17" s="318">
        <f>E8</f>
        <v>0.131961306</v>
      </c>
      <c r="F17" s="303">
        <f>F8</f>
        <v>25697.599615395986</v>
      </c>
      <c r="G17" s="317" t="s">
        <v>531</v>
      </c>
    </row>
    <row r="18" spans="2:7" ht="15.75">
      <c r="B18" s="316"/>
      <c r="C18" s="300">
        <v>0.15</v>
      </c>
      <c r="D18" s="299">
        <f>+D17*(1+C18)</f>
        <v>5723872.919999999</v>
      </c>
      <c r="E18" s="315">
        <v>0.42680243127021589</v>
      </c>
      <c r="F18" s="314">
        <v>648737.81546349614</v>
      </c>
      <c r="G18" s="296" t="s">
        <v>531</v>
      </c>
    </row>
    <row r="19" spans="2:7" ht="16.5" thickBot="1">
      <c r="B19" s="313"/>
      <c r="C19" s="294">
        <v>0.2</v>
      </c>
      <c r="D19" s="293">
        <f>+D18*(1+C19)</f>
        <v>6868647.5039999988</v>
      </c>
      <c r="E19" s="312">
        <v>0.46109503746733188</v>
      </c>
      <c r="F19" s="311">
        <v>748968.926956421</v>
      </c>
      <c r="G19" s="290" t="s">
        <v>531</v>
      </c>
    </row>
    <row r="20" spans="2:7" ht="15.75">
      <c r="B20" s="310"/>
      <c r="C20" s="309"/>
      <c r="D20" s="309"/>
      <c r="E20" s="309"/>
      <c r="F20" s="309"/>
      <c r="G20" s="308"/>
    </row>
    <row r="21" spans="2:7" ht="16.5" thickBot="1">
      <c r="B21" s="481" t="s">
        <v>561</v>
      </c>
      <c r="C21" s="482"/>
      <c r="D21" s="482"/>
      <c r="E21" s="482"/>
      <c r="F21" s="482"/>
      <c r="G21" s="483"/>
    </row>
    <row r="22" spans="2:7" ht="15.75">
      <c r="B22" s="434" t="s">
        <v>536</v>
      </c>
      <c r="C22" s="435" t="s">
        <v>535</v>
      </c>
      <c r="D22" s="435" t="s">
        <v>534</v>
      </c>
      <c r="E22" s="435" t="s">
        <v>178</v>
      </c>
      <c r="F22" s="435" t="s">
        <v>177</v>
      </c>
      <c r="G22" s="437" t="s">
        <v>533</v>
      </c>
    </row>
    <row r="23" spans="2:7" ht="15.75">
      <c r="B23" s="307"/>
      <c r="C23" s="300">
        <v>-0.7</v>
      </c>
      <c r="D23" s="299">
        <f>$D$25*(1+C23)</f>
        <v>261424.90145983509</v>
      </c>
      <c r="E23" s="298">
        <v>0.55859336085317535</v>
      </c>
      <c r="F23" s="297">
        <v>672102.43175264308</v>
      </c>
      <c r="G23" s="296" t="s">
        <v>531</v>
      </c>
    </row>
    <row r="24" spans="2:7" ht="15.75">
      <c r="B24" s="307"/>
      <c r="C24" s="300">
        <v>-0.4</v>
      </c>
      <c r="D24" s="299">
        <f>$D$25*(1+C24)</f>
        <v>522849.80291967007</v>
      </c>
      <c r="E24" s="298">
        <v>0.43479126861327105</v>
      </c>
      <c r="F24" s="297">
        <v>533220.45285210595</v>
      </c>
      <c r="G24" s="296" t="s">
        <v>531</v>
      </c>
    </row>
    <row r="25" spans="2:7" ht="15.75">
      <c r="B25" s="439" t="s">
        <v>532</v>
      </c>
      <c r="C25" s="306">
        <v>0</v>
      </c>
      <c r="D25" s="305">
        <v>871416.33819945017</v>
      </c>
      <c r="E25" s="304">
        <f>E17</f>
        <v>0.131961306</v>
      </c>
      <c r="F25" s="303">
        <f>F17</f>
        <v>25697.599615395986</v>
      </c>
      <c r="G25" s="302" t="s">
        <v>531</v>
      </c>
    </row>
    <row r="26" spans="2:7" ht="15.75">
      <c r="B26" s="301"/>
      <c r="C26" s="300">
        <v>0.4</v>
      </c>
      <c r="D26" s="299">
        <f>$D$25*(1+C26)</f>
        <v>1219982.8734792301</v>
      </c>
      <c r="E26" s="298">
        <v>0.23172898286617089</v>
      </c>
      <c r="F26" s="297">
        <v>111718.9725203925</v>
      </c>
      <c r="G26" s="296" t="s">
        <v>531</v>
      </c>
    </row>
    <row r="27" spans="2:7" ht="16.5" thickBot="1">
      <c r="B27" s="295"/>
      <c r="C27" s="294">
        <v>0.7</v>
      </c>
      <c r="D27" s="293">
        <f>$D$25*(1+C27)</f>
        <v>1481407.7749390653</v>
      </c>
      <c r="E27" s="292">
        <v>0.18187478038211694</v>
      </c>
      <c r="F27" s="291">
        <v>-73456.999346990779</v>
      </c>
      <c r="G27" s="290" t="s">
        <v>530</v>
      </c>
    </row>
    <row r="28" spans="2:7" ht="15.75">
      <c r="B28" s="289"/>
      <c r="C28" s="289"/>
      <c r="D28" s="289"/>
      <c r="E28" s="289"/>
      <c r="F28" s="289"/>
      <c r="G28" s="289"/>
    </row>
  </sheetData>
  <mergeCells count="4">
    <mergeCell ref="B3:H3"/>
    <mergeCell ref="B4:H4"/>
    <mergeCell ref="B21:G21"/>
    <mergeCell ref="B13:G1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B2:N229"/>
  <sheetViews>
    <sheetView topLeftCell="A217" workbookViewId="0">
      <selection activeCell="D228" sqref="D228"/>
    </sheetView>
  </sheetViews>
  <sheetFormatPr baseColWidth="10" defaultRowHeight="15"/>
  <cols>
    <col min="2" max="2" width="12" bestFit="1" customWidth="1"/>
    <col min="3" max="3" width="13.7109375" customWidth="1"/>
    <col min="4" max="4" width="13" customWidth="1"/>
  </cols>
  <sheetData>
    <row r="2" spans="2:13">
      <c r="B2" s="464" t="s">
        <v>100</v>
      </c>
      <c r="C2" s="464"/>
      <c r="D2" s="464"/>
      <c r="E2" s="464"/>
      <c r="F2" s="464"/>
      <c r="G2" s="464"/>
      <c r="H2" s="464"/>
      <c r="I2" s="464"/>
      <c r="J2" s="89"/>
      <c r="K2" s="89"/>
      <c r="L2" s="89"/>
      <c r="M2" s="89"/>
    </row>
    <row r="3" spans="2:13">
      <c r="B3" s="269"/>
      <c r="C3" s="269"/>
      <c r="D3" s="269"/>
      <c r="E3" s="269"/>
      <c r="F3" s="269"/>
      <c r="G3" s="269"/>
      <c r="H3" s="269"/>
      <c r="I3" s="269"/>
      <c r="J3" s="269"/>
      <c r="K3" s="269"/>
      <c r="L3" s="269"/>
      <c r="M3" s="269"/>
    </row>
    <row r="4" spans="2:13">
      <c r="B4" s="270" t="s">
        <v>144</v>
      </c>
      <c r="C4" s="270" t="s">
        <v>224</v>
      </c>
      <c r="D4" s="270" t="s">
        <v>242</v>
      </c>
      <c r="E4" s="270" t="s">
        <v>443</v>
      </c>
      <c r="F4" s="270" t="s">
        <v>243</v>
      </c>
      <c r="G4" s="270" t="s">
        <v>244</v>
      </c>
      <c r="H4" s="270" t="s">
        <v>245</v>
      </c>
      <c r="I4" s="270" t="s">
        <v>262</v>
      </c>
      <c r="J4" s="270" t="s">
        <v>263</v>
      </c>
      <c r="K4" s="270" t="s">
        <v>264</v>
      </c>
      <c r="L4" s="270" t="s">
        <v>265</v>
      </c>
      <c r="M4" s="270" t="s">
        <v>266</v>
      </c>
    </row>
    <row r="5" spans="2:13">
      <c r="B5" s="271" t="s">
        <v>260</v>
      </c>
      <c r="C5" s="272"/>
      <c r="D5" s="280">
        <f>'FLUJO DE CAJA,PAYBACK'!D7</f>
        <v>408379.1661703951</v>
      </c>
      <c r="E5" s="280">
        <f>'COSTOS DE PRODUCCIÓN'!F4*INVERSIONES!AG18</f>
        <v>418588.64532465499</v>
      </c>
      <c r="F5" s="280">
        <f>'COSTOS DE PRODUCCIÓN'!F4*INVERSIONES!AH18</f>
        <v>429053.3614577711</v>
      </c>
      <c r="G5" s="280">
        <f>'COSTOS DE PRODUCCIÓN'!F4*INVERSIONES!AI18</f>
        <v>439779.69549421553</v>
      </c>
      <c r="H5" s="280">
        <f>'COSTOS DE PRODUCCIÓN'!F4*INVERSIONES!AJ18</f>
        <v>450774.18788157083</v>
      </c>
      <c r="I5" s="280">
        <f>'COSTOS DE PRODUCCIÓN'!F4*INVERSIONES!AK18</f>
        <v>462043.54257861013</v>
      </c>
      <c r="J5" s="280">
        <f>'COSTOS DE PRODUCCIÓN'!F4*INVERSIONES!AL18</f>
        <v>473594.6311430753</v>
      </c>
      <c r="K5" s="280">
        <f>'COSTOS DE PRODUCCIÓN'!F4*INVERSIONES!AM18</f>
        <v>485434.49692165223</v>
      </c>
      <c r="L5" s="280">
        <f>'COSTOS DE PRODUCCIÓN'!F4*INVERSIONES!AN18</f>
        <v>497570.35934469342</v>
      </c>
      <c r="M5" s="280">
        <f>'COSTOS DE PRODUCCIÓN'!F4*INVERSIONES!AO18</f>
        <v>510009.61832831078</v>
      </c>
    </row>
    <row r="6" spans="2:13">
      <c r="B6" s="271" t="s">
        <v>261</v>
      </c>
      <c r="C6" s="272"/>
      <c r="D6" s="280">
        <f t="shared" ref="D6:M6" si="0">D7+D12</f>
        <v>413609.32317388547</v>
      </c>
      <c r="E6" s="280">
        <f t="shared" si="0"/>
        <v>413609.32317388547</v>
      </c>
      <c r="F6" s="280">
        <f t="shared" si="0"/>
        <v>413609.32317388547</v>
      </c>
      <c r="G6" s="280">
        <f t="shared" si="0"/>
        <v>413609.32317388547</v>
      </c>
      <c r="H6" s="280">
        <f t="shared" si="0"/>
        <v>413609.32317388547</v>
      </c>
      <c r="I6" s="280">
        <f t="shared" si="0"/>
        <v>413609.32317388547</v>
      </c>
      <c r="J6" s="280">
        <f t="shared" si="0"/>
        <v>413609.32317388547</v>
      </c>
      <c r="K6" s="280">
        <f t="shared" si="0"/>
        <v>413609.32317388547</v>
      </c>
      <c r="L6" s="280">
        <f t="shared" si="0"/>
        <v>413609.32317388547</v>
      </c>
      <c r="M6" s="280">
        <f t="shared" si="0"/>
        <v>413609.32317388547</v>
      </c>
    </row>
    <row r="7" spans="2:13">
      <c r="B7" s="271" t="s">
        <v>246</v>
      </c>
      <c r="C7" s="273"/>
      <c r="D7" s="281">
        <f>SUM(D8:D11)</f>
        <v>338316.64317388547</v>
      </c>
      <c r="E7" s="281">
        <f t="shared" ref="E7:M7" si="1">D7</f>
        <v>338316.64317388547</v>
      </c>
      <c r="F7" s="281">
        <f t="shared" si="1"/>
        <v>338316.64317388547</v>
      </c>
      <c r="G7" s="281">
        <f t="shared" si="1"/>
        <v>338316.64317388547</v>
      </c>
      <c r="H7" s="281">
        <f t="shared" si="1"/>
        <v>338316.64317388547</v>
      </c>
      <c r="I7" s="281">
        <f t="shared" si="1"/>
        <v>338316.64317388547</v>
      </c>
      <c r="J7" s="281">
        <f t="shared" si="1"/>
        <v>338316.64317388547</v>
      </c>
      <c r="K7" s="281">
        <f t="shared" si="1"/>
        <v>338316.64317388547</v>
      </c>
      <c r="L7" s="281">
        <f t="shared" si="1"/>
        <v>338316.64317388547</v>
      </c>
      <c r="M7" s="281">
        <f t="shared" si="1"/>
        <v>338316.64317388547</v>
      </c>
    </row>
    <row r="8" spans="2:13">
      <c r="B8" s="273" t="s">
        <v>322</v>
      </c>
      <c r="C8" s="273"/>
      <c r="D8" s="281">
        <f>'SUELDOS Y SALARIOS'!E16+'SUELDOS Y SALARIOS'!E33</f>
        <v>29400</v>
      </c>
      <c r="E8" s="281">
        <f t="shared" ref="E8:M8" si="2">D8</f>
        <v>29400</v>
      </c>
      <c r="F8" s="281">
        <f t="shared" si="2"/>
        <v>29400</v>
      </c>
      <c r="G8" s="281">
        <f t="shared" si="2"/>
        <v>29400</v>
      </c>
      <c r="H8" s="281">
        <f t="shared" si="2"/>
        <v>29400</v>
      </c>
      <c r="I8" s="281">
        <f t="shared" si="2"/>
        <v>29400</v>
      </c>
      <c r="J8" s="281">
        <f t="shared" si="2"/>
        <v>29400</v>
      </c>
      <c r="K8" s="281">
        <f t="shared" si="2"/>
        <v>29400</v>
      </c>
      <c r="L8" s="281">
        <f t="shared" si="2"/>
        <v>29400</v>
      </c>
      <c r="M8" s="281">
        <f t="shared" si="2"/>
        <v>29400</v>
      </c>
    </row>
    <row r="9" spans="2:13">
      <c r="B9" s="273" t="s">
        <v>510</v>
      </c>
      <c r="C9" s="273"/>
      <c r="D9" s="281">
        <f>'COSTOS DE PRODUCCIÓN'!$E$60*INVERSIONES!AF18</f>
        <v>134438.95172870115</v>
      </c>
      <c r="E9" s="281">
        <f>'COSTOS DE PRODUCCIÓN'!$E$60*INVERSIONES!AG18</f>
        <v>137799.92552191869</v>
      </c>
      <c r="F9" s="281">
        <f>'COSTOS DE PRODUCCIÓN'!$E$60*INVERSIONES!AH18</f>
        <v>141244.92365996659</v>
      </c>
      <c r="G9" s="281">
        <f>'COSTOS DE PRODUCCIÓN'!$E$60*INVERSIONES!AI18</f>
        <v>144776.04675146579</v>
      </c>
      <c r="H9" s="281">
        <f>'COSTOS DE PRODUCCIÓN'!$E$60*INVERSIONES!AJ18</f>
        <v>148395.44792025239</v>
      </c>
      <c r="I9" s="281">
        <f>'COSTOS DE PRODUCCIÓN'!$E$60*INVERSIONES!AK18</f>
        <v>152105.33411825873</v>
      </c>
      <c r="J9" s="281">
        <f>'COSTOS DE PRODUCCIÓN'!$E$60*INVERSIONES!AL18</f>
        <v>155907.96747121518</v>
      </c>
      <c r="K9" s="281">
        <f>'COSTOS DE PRODUCCIÓN'!$E$60*INVERSIONES!AM18</f>
        <v>159805.66665799555</v>
      </c>
      <c r="L9" s="281">
        <f>'COSTOS DE PRODUCCIÓN'!$E$60*INVERSIONES!AN18</f>
        <v>163800.80832444542</v>
      </c>
      <c r="M9" s="281">
        <f>'COSTOS DE PRODUCCIÓN'!$E$60*INVERSIONES!AO18</f>
        <v>167895.82853255657</v>
      </c>
    </row>
    <row r="10" spans="2:13">
      <c r="B10" s="273" t="s">
        <v>511</v>
      </c>
      <c r="C10" s="273"/>
      <c r="D10" s="281">
        <f>'SUELDOS Y SALARIOS'!E41+'SUELDOS Y SALARIOS'!E23</f>
        <v>25320</v>
      </c>
      <c r="E10" s="281">
        <f t="shared" ref="E10:M10" si="3">D10</f>
        <v>25320</v>
      </c>
      <c r="F10" s="281">
        <f t="shared" si="3"/>
        <v>25320</v>
      </c>
      <c r="G10" s="281">
        <f t="shared" si="3"/>
        <v>25320</v>
      </c>
      <c r="H10" s="281">
        <f t="shared" si="3"/>
        <v>25320</v>
      </c>
      <c r="I10" s="281">
        <f t="shared" si="3"/>
        <v>25320</v>
      </c>
      <c r="J10" s="281">
        <f t="shared" si="3"/>
        <v>25320</v>
      </c>
      <c r="K10" s="281">
        <f t="shared" si="3"/>
        <v>25320</v>
      </c>
      <c r="L10" s="281">
        <f t="shared" si="3"/>
        <v>25320</v>
      </c>
      <c r="M10" s="281">
        <f t="shared" si="3"/>
        <v>25320</v>
      </c>
    </row>
    <row r="11" spans="2:13">
      <c r="B11" s="273" t="s">
        <v>512</v>
      </c>
      <c r="C11" s="273"/>
      <c r="D11" s="281">
        <f>'COSTOS DE PRODUCCIÓN'!$C$137*INVERSIONES!AF18</f>
        <v>149157.69144518432</v>
      </c>
      <c r="E11" s="281">
        <f>'COSTOS DE PRODUCCIÓN'!$C$137*INVERSIONES!AG18</f>
        <v>152886.63373131395</v>
      </c>
      <c r="F11" s="281">
        <f>'COSTOS DE PRODUCCIÓN'!$C$137*INVERSIONES!AH18</f>
        <v>156708.79957459669</v>
      </c>
      <c r="G11" s="281">
        <f>'COSTOS DE PRODUCCIÓN'!$C$137*INVERSIONES!AI18</f>
        <v>160626.51956396169</v>
      </c>
      <c r="H11" s="281">
        <f>'COSTOS DE PRODUCCIÓN'!$C$137*INVERSIONES!AJ18</f>
        <v>164642.18255306067</v>
      </c>
      <c r="I11" s="281">
        <f>'COSTOS DE PRODUCCIÓN'!$C$137*INVERSIONES!AK18</f>
        <v>168758.23711688721</v>
      </c>
      <c r="J11" s="281">
        <f>'COSTOS DE PRODUCCIÓN'!$C$137*INVERSIONES!AL18</f>
        <v>172977.19304480936</v>
      </c>
      <c r="K11" s="281">
        <f>'COSTOS DE PRODUCCIÓN'!$C$137*INVERSIONES!AM18</f>
        <v>177301.62287092963</v>
      </c>
      <c r="L11" s="281">
        <f>'COSTOS DE PRODUCCIÓN'!$C$137*INVERSIONES!AN18</f>
        <v>181734.16344270282</v>
      </c>
      <c r="M11" s="281">
        <f>'COSTOS DE PRODUCCIÓN'!$C$137*INVERSIONES!AO18</f>
        <v>186277.5175287704</v>
      </c>
    </row>
    <row r="12" spans="2:13">
      <c r="B12" s="271" t="s">
        <v>513</v>
      </c>
      <c r="C12" s="271"/>
      <c r="D12" s="280">
        <f t="shared" ref="D12:M12" si="4">SUM(D13:D15)</f>
        <v>75292.679999999993</v>
      </c>
      <c r="E12" s="280">
        <f t="shared" si="4"/>
        <v>75292.679999999993</v>
      </c>
      <c r="F12" s="280">
        <f t="shared" si="4"/>
        <v>75292.679999999993</v>
      </c>
      <c r="G12" s="280">
        <f t="shared" si="4"/>
        <v>75292.679999999993</v>
      </c>
      <c r="H12" s="280">
        <f t="shared" si="4"/>
        <v>75292.679999999993</v>
      </c>
      <c r="I12" s="280">
        <f t="shared" si="4"/>
        <v>75292.679999999993</v>
      </c>
      <c r="J12" s="280">
        <f t="shared" si="4"/>
        <v>75292.679999999993</v>
      </c>
      <c r="K12" s="280">
        <f t="shared" si="4"/>
        <v>75292.679999999993</v>
      </c>
      <c r="L12" s="280">
        <f t="shared" si="4"/>
        <v>75292.679999999993</v>
      </c>
      <c r="M12" s="280">
        <f t="shared" si="4"/>
        <v>75292.679999999993</v>
      </c>
    </row>
    <row r="13" spans="2:13">
      <c r="B13" s="273" t="s">
        <v>259</v>
      </c>
      <c r="C13" s="273"/>
      <c r="D13" s="281">
        <f>'MAQUINARIA,EQUIPO,SUMINISTR Y S'!D93+'MAQUINARIA,EQUIPO,SUMINISTR Y S'!$C$18</f>
        <v>20770.68</v>
      </c>
      <c r="E13" s="281">
        <f t="shared" ref="E13:F15" si="5">D13</f>
        <v>20770.68</v>
      </c>
      <c r="F13" s="280">
        <f t="shared" si="5"/>
        <v>20770.68</v>
      </c>
      <c r="G13" s="281">
        <f>E13</f>
        <v>20770.68</v>
      </c>
      <c r="H13" s="281">
        <f t="shared" ref="H13:M15" si="6">G13</f>
        <v>20770.68</v>
      </c>
      <c r="I13" s="281">
        <f t="shared" si="6"/>
        <v>20770.68</v>
      </c>
      <c r="J13" s="281">
        <f t="shared" si="6"/>
        <v>20770.68</v>
      </c>
      <c r="K13" s="281">
        <f t="shared" si="6"/>
        <v>20770.68</v>
      </c>
      <c r="L13" s="281">
        <f t="shared" si="6"/>
        <v>20770.68</v>
      </c>
      <c r="M13" s="281">
        <f t="shared" si="6"/>
        <v>20770.68</v>
      </c>
    </row>
    <row r="14" spans="2:13">
      <c r="B14" s="272" t="s">
        <v>247</v>
      </c>
      <c r="C14" s="272"/>
      <c r="D14" s="282">
        <f>'SUELDOS Y SALARIOS'!E16+'MAQUINARIA,EQUIPO,SUMINISTR Y S'!C84+'SUELDOS Y SALARIOS'!E23+'SUELDOS Y SALARIOS'!E41+'MAQUINARIA,EQUIPO,SUMINISTR Y S'!E60</f>
        <v>36954</v>
      </c>
      <c r="E14" s="282">
        <f t="shared" si="5"/>
        <v>36954</v>
      </c>
      <c r="F14" s="280">
        <f t="shared" si="5"/>
        <v>36954</v>
      </c>
      <c r="G14" s="282">
        <f>E14</f>
        <v>36954</v>
      </c>
      <c r="H14" s="282">
        <f t="shared" si="6"/>
        <v>36954</v>
      </c>
      <c r="I14" s="282">
        <f t="shared" si="6"/>
        <v>36954</v>
      </c>
      <c r="J14" s="282">
        <f t="shared" si="6"/>
        <v>36954</v>
      </c>
      <c r="K14" s="282">
        <f t="shared" si="6"/>
        <v>36954</v>
      </c>
      <c r="L14" s="282">
        <f t="shared" si="6"/>
        <v>36954</v>
      </c>
      <c r="M14" s="282">
        <f t="shared" si="6"/>
        <v>36954</v>
      </c>
    </row>
    <row r="15" spans="2:13">
      <c r="B15" s="272" t="s">
        <v>248</v>
      </c>
      <c r="C15" s="272"/>
      <c r="D15" s="282">
        <f>'MAQUINARIA,EQUIPO,SUMINISTR Y S'!G47</f>
        <v>17568</v>
      </c>
      <c r="E15" s="282">
        <f t="shared" si="5"/>
        <v>17568</v>
      </c>
      <c r="F15" s="280">
        <f t="shared" si="5"/>
        <v>17568</v>
      </c>
      <c r="G15" s="282">
        <f>E15</f>
        <v>17568</v>
      </c>
      <c r="H15" s="282">
        <f t="shared" si="6"/>
        <v>17568</v>
      </c>
      <c r="I15" s="282">
        <f t="shared" si="6"/>
        <v>17568</v>
      </c>
      <c r="J15" s="282">
        <f t="shared" si="6"/>
        <v>17568</v>
      </c>
      <c r="K15" s="282">
        <f t="shared" si="6"/>
        <v>17568</v>
      </c>
      <c r="L15" s="282">
        <f t="shared" si="6"/>
        <v>17568</v>
      </c>
      <c r="M15" s="282">
        <f t="shared" si="6"/>
        <v>17568</v>
      </c>
    </row>
    <row r="16" spans="2:13">
      <c r="B16" s="271" t="s">
        <v>267</v>
      </c>
      <c r="C16" s="272"/>
      <c r="D16" s="280">
        <f>+D5-D6</f>
        <v>-5230.1570034903707</v>
      </c>
      <c r="E16" s="280">
        <f t="shared" ref="E16:M16" si="7">E5-E6</f>
        <v>4979.3221507695271</v>
      </c>
      <c r="F16" s="280">
        <f t="shared" si="7"/>
        <v>15444.038283885631</v>
      </c>
      <c r="G16" s="280">
        <f t="shared" si="7"/>
        <v>26170.372320330061</v>
      </c>
      <c r="H16" s="280">
        <f t="shared" si="7"/>
        <v>37164.864707685367</v>
      </c>
      <c r="I16" s="280">
        <f t="shared" si="7"/>
        <v>48434.219404724659</v>
      </c>
      <c r="J16" s="280">
        <f t="shared" si="7"/>
        <v>59985.307969189831</v>
      </c>
      <c r="K16" s="280">
        <f t="shared" si="7"/>
        <v>71825.173747766763</v>
      </c>
      <c r="L16" s="280">
        <f t="shared" si="7"/>
        <v>83961.036170807958</v>
      </c>
      <c r="M16" s="280">
        <f t="shared" si="7"/>
        <v>96400.295154425316</v>
      </c>
    </row>
    <row r="17" spans="2:13">
      <c r="B17" s="273" t="s">
        <v>249</v>
      </c>
      <c r="C17" s="272"/>
      <c r="D17" s="282">
        <f>'AMORTIZACIÓN DE LA DEUDA'!F10</f>
        <v>7332.4750708582296</v>
      </c>
      <c r="E17" s="282">
        <f>'AMORTIZACIÓN DE LA DEUDA'!F11</f>
        <v>8212.3720793612156</v>
      </c>
      <c r="F17" s="280">
        <f>'AMORTIZACIÓN DE LA DEUDA'!F12</f>
        <v>9197.8567288845625</v>
      </c>
      <c r="G17" s="280">
        <f>'AMORTIZACIÓN DE LA DEUDA'!F13</f>
        <v>10301.59953635071</v>
      </c>
      <c r="H17" s="280">
        <f>'AMORTIZACIÓN DE LA DEUDA'!F14</f>
        <v>11537.791480712795</v>
      </c>
      <c r="I17" s="282"/>
      <c r="J17" s="282"/>
      <c r="K17" s="282"/>
      <c r="L17" s="282"/>
      <c r="M17" s="282"/>
    </row>
    <row r="18" spans="2:13">
      <c r="B18" s="273" t="s">
        <v>163</v>
      </c>
      <c r="C18" s="272"/>
      <c r="D18" s="282">
        <f>DEPRECIACIONES!E10</f>
        <v>12254.333333333332</v>
      </c>
      <c r="E18" s="282">
        <f t="shared" ref="E18:M18" si="8">D18</f>
        <v>12254.333333333332</v>
      </c>
      <c r="F18" s="282">
        <f t="shared" si="8"/>
        <v>12254.333333333332</v>
      </c>
      <c r="G18" s="282">
        <f t="shared" si="8"/>
        <v>12254.333333333332</v>
      </c>
      <c r="H18" s="282">
        <f t="shared" si="8"/>
        <v>12254.333333333332</v>
      </c>
      <c r="I18" s="282">
        <f t="shared" si="8"/>
        <v>12254.333333333332</v>
      </c>
      <c r="J18" s="282">
        <f t="shared" si="8"/>
        <v>12254.333333333332</v>
      </c>
      <c r="K18" s="282">
        <f t="shared" si="8"/>
        <v>12254.333333333332</v>
      </c>
      <c r="L18" s="282">
        <f t="shared" si="8"/>
        <v>12254.333333333332</v>
      </c>
      <c r="M18" s="282">
        <f t="shared" si="8"/>
        <v>12254.333333333332</v>
      </c>
    </row>
    <row r="19" spans="2:13">
      <c r="B19" s="271" t="s">
        <v>268</v>
      </c>
      <c r="C19" s="272"/>
      <c r="D19" s="280">
        <f t="shared" ref="D19:M19" si="9">+D16-D17-D18</f>
        <v>-24816.965407681932</v>
      </c>
      <c r="E19" s="280">
        <f t="shared" si="9"/>
        <v>-15487.383261925021</v>
      </c>
      <c r="F19" s="280">
        <f t="shared" si="9"/>
        <v>-6008.1517783322633</v>
      </c>
      <c r="G19" s="280">
        <f t="shared" si="9"/>
        <v>3614.4394506460194</v>
      </c>
      <c r="H19" s="280">
        <f t="shared" si="9"/>
        <v>13372.739893639238</v>
      </c>
      <c r="I19" s="280">
        <f t="shared" si="9"/>
        <v>36179.886071391331</v>
      </c>
      <c r="J19" s="280">
        <f t="shared" si="9"/>
        <v>47730.974635856503</v>
      </c>
      <c r="K19" s="280">
        <f t="shared" si="9"/>
        <v>59570.840414433434</v>
      </c>
      <c r="L19" s="280">
        <f t="shared" si="9"/>
        <v>71706.70283747463</v>
      </c>
      <c r="M19" s="280">
        <f t="shared" si="9"/>
        <v>84145.961821091987</v>
      </c>
    </row>
    <row r="20" spans="2:13">
      <c r="B20" s="273" t="s">
        <v>341</v>
      </c>
      <c r="C20" s="272"/>
      <c r="D20" s="282">
        <f>'AMORTIZACIÓN DE LA DEUDA'!E10</f>
        <v>5589.851387540105</v>
      </c>
      <c r="E20" s="282">
        <f>'AMORTIZACIÓN DE LA DEUDA'!E11</f>
        <v>4709.9543790371181</v>
      </c>
      <c r="F20" s="282">
        <f>'AMORTIZACIÓN DE LA DEUDA'!E12</f>
        <v>3724.4697295137721</v>
      </c>
      <c r="G20" s="282">
        <f>'AMORTIZACIÓN DE LA DEUDA'!E13</f>
        <v>2620.7269220476246</v>
      </c>
      <c r="H20" s="282">
        <f>'AMORTIZACIÓN DE LA DEUDA'!E14</f>
        <v>1384.5349776855394</v>
      </c>
      <c r="I20" s="282"/>
      <c r="J20" s="282"/>
      <c r="K20" s="282"/>
      <c r="L20" s="282"/>
      <c r="M20" s="282"/>
    </row>
    <row r="21" spans="2:13">
      <c r="B21" s="273" t="s">
        <v>250</v>
      </c>
      <c r="C21" s="272"/>
      <c r="D21" s="280">
        <f t="shared" ref="D21:M21" si="10">+D19-D20</f>
        <v>-30406.816795222036</v>
      </c>
      <c r="E21" s="280">
        <f t="shared" si="10"/>
        <v>-20197.337640962138</v>
      </c>
      <c r="F21" s="280">
        <f t="shared" si="10"/>
        <v>-9732.6215078460355</v>
      </c>
      <c r="G21" s="280">
        <f t="shared" si="10"/>
        <v>993.71252859839478</v>
      </c>
      <c r="H21" s="280">
        <f t="shared" si="10"/>
        <v>11988.204915953698</v>
      </c>
      <c r="I21" s="280">
        <f t="shared" si="10"/>
        <v>36179.886071391331</v>
      </c>
      <c r="J21" s="280">
        <f t="shared" si="10"/>
        <v>47730.974635856503</v>
      </c>
      <c r="K21" s="280">
        <f t="shared" si="10"/>
        <v>59570.840414433434</v>
      </c>
      <c r="L21" s="280">
        <f t="shared" si="10"/>
        <v>71706.70283747463</v>
      </c>
      <c r="M21" s="280">
        <f t="shared" si="10"/>
        <v>84145.961821091987</v>
      </c>
    </row>
    <row r="22" spans="2:13">
      <c r="B22" s="273" t="s">
        <v>252</v>
      </c>
      <c r="C22" s="272"/>
      <c r="D22" s="282">
        <f t="shared" ref="D22:M22" si="11">D21*15%</f>
        <v>-4561.022519283305</v>
      </c>
      <c r="E22" s="282">
        <f t="shared" si="11"/>
        <v>-3029.6006461443208</v>
      </c>
      <c r="F22" s="282">
        <f t="shared" si="11"/>
        <v>-1459.8932261769053</v>
      </c>
      <c r="G22" s="282">
        <f t="shared" si="11"/>
        <v>149.05687928975922</v>
      </c>
      <c r="H22" s="282">
        <f t="shared" si="11"/>
        <v>1798.2307373930546</v>
      </c>
      <c r="I22" s="282">
        <f t="shared" si="11"/>
        <v>5426.9829107086998</v>
      </c>
      <c r="J22" s="282">
        <f t="shared" si="11"/>
        <v>7159.6461953784756</v>
      </c>
      <c r="K22" s="282">
        <f t="shared" si="11"/>
        <v>8935.6260621650144</v>
      </c>
      <c r="L22" s="282">
        <f t="shared" si="11"/>
        <v>10756.005425621193</v>
      </c>
      <c r="M22" s="282">
        <f t="shared" si="11"/>
        <v>12621.894273163798</v>
      </c>
    </row>
    <row r="23" spans="2:13">
      <c r="B23" s="275" t="s">
        <v>444</v>
      </c>
      <c r="C23" s="269"/>
      <c r="D23" s="283">
        <f t="shared" ref="D23:M23" si="12">D21-D22</f>
        <v>-25845.79427593873</v>
      </c>
      <c r="E23" s="283">
        <f t="shared" si="12"/>
        <v>-17167.736994817817</v>
      </c>
      <c r="F23" s="283">
        <f t="shared" si="12"/>
        <v>-8272.7282816691295</v>
      </c>
      <c r="G23" s="283">
        <f t="shared" si="12"/>
        <v>844.65564930863559</v>
      </c>
      <c r="H23" s="283">
        <f t="shared" si="12"/>
        <v>10189.974178560644</v>
      </c>
      <c r="I23" s="283">
        <f t="shared" si="12"/>
        <v>30752.903160682632</v>
      </c>
      <c r="J23" s="283">
        <f t="shared" si="12"/>
        <v>40571.328440478028</v>
      </c>
      <c r="K23" s="283">
        <f t="shared" si="12"/>
        <v>50635.21435226842</v>
      </c>
      <c r="L23" s="283">
        <f t="shared" si="12"/>
        <v>60950.697411853434</v>
      </c>
      <c r="M23" s="283">
        <f t="shared" si="12"/>
        <v>71524.067547928193</v>
      </c>
    </row>
    <row r="24" spans="2:13">
      <c r="B24" s="273" t="s">
        <v>251</v>
      </c>
      <c r="C24" s="272"/>
      <c r="D24" s="282">
        <f t="shared" ref="D24:M24" si="13">D23*25%</f>
        <v>-6461.4485689846824</v>
      </c>
      <c r="E24" s="282">
        <f t="shared" si="13"/>
        <v>-4291.9342487044541</v>
      </c>
      <c r="F24" s="282">
        <f t="shared" si="13"/>
        <v>-2068.1820704172824</v>
      </c>
      <c r="G24" s="282">
        <f t="shared" si="13"/>
        <v>211.1639123271589</v>
      </c>
      <c r="H24" s="282">
        <f t="shared" si="13"/>
        <v>2547.493544640161</v>
      </c>
      <c r="I24" s="282">
        <f t="shared" si="13"/>
        <v>7688.225790170658</v>
      </c>
      <c r="J24" s="282">
        <f t="shared" si="13"/>
        <v>10142.832110119507</v>
      </c>
      <c r="K24" s="282">
        <f t="shared" si="13"/>
        <v>12658.803588067105</v>
      </c>
      <c r="L24" s="282">
        <f t="shared" si="13"/>
        <v>15237.674352963359</v>
      </c>
      <c r="M24" s="282">
        <f t="shared" si="13"/>
        <v>17881.016886982048</v>
      </c>
    </row>
    <row r="25" spans="2:13">
      <c r="B25" s="273" t="s">
        <v>253</v>
      </c>
      <c r="C25" s="272"/>
      <c r="D25" s="280">
        <f t="shared" ref="D25:M25" si="14">D23-D24</f>
        <v>-19384.345706954045</v>
      </c>
      <c r="E25" s="280">
        <f t="shared" si="14"/>
        <v>-12875.802746113362</v>
      </c>
      <c r="F25" s="280">
        <f t="shared" si="14"/>
        <v>-6204.5462112518471</v>
      </c>
      <c r="G25" s="280">
        <f t="shared" si="14"/>
        <v>633.49173698147672</v>
      </c>
      <c r="H25" s="280">
        <f t="shared" si="14"/>
        <v>7642.4806339204824</v>
      </c>
      <c r="I25" s="280">
        <f t="shared" si="14"/>
        <v>23064.677370511974</v>
      </c>
      <c r="J25" s="280">
        <f t="shared" si="14"/>
        <v>30428.496330358521</v>
      </c>
      <c r="K25" s="280">
        <f t="shared" si="14"/>
        <v>37976.410764201311</v>
      </c>
      <c r="L25" s="280">
        <f t="shared" si="14"/>
        <v>45713.023058890074</v>
      </c>
      <c r="M25" s="280">
        <f t="shared" si="14"/>
        <v>53643.050660946144</v>
      </c>
    </row>
    <row r="26" spans="2:13">
      <c r="B26" s="273" t="s">
        <v>254</v>
      </c>
      <c r="C26" s="272"/>
      <c r="D26" s="282">
        <f>+D17+D18</f>
        <v>19586.808404191561</v>
      </c>
      <c r="E26" s="282">
        <f t="shared" ref="E26:M26" si="15">E17+E18</f>
        <v>20466.705412694548</v>
      </c>
      <c r="F26" s="282">
        <f t="shared" si="15"/>
        <v>21452.190062217895</v>
      </c>
      <c r="G26" s="282">
        <f t="shared" si="15"/>
        <v>22555.932869684042</v>
      </c>
      <c r="H26" s="282">
        <f t="shared" si="15"/>
        <v>23792.124814046125</v>
      </c>
      <c r="I26" s="282">
        <f t="shared" si="15"/>
        <v>12254.333333333332</v>
      </c>
      <c r="J26" s="282">
        <f t="shared" si="15"/>
        <v>12254.333333333332</v>
      </c>
      <c r="K26" s="282">
        <f t="shared" si="15"/>
        <v>12254.333333333332</v>
      </c>
      <c r="L26" s="282">
        <f t="shared" si="15"/>
        <v>12254.333333333332</v>
      </c>
      <c r="M26" s="282">
        <f t="shared" si="15"/>
        <v>12254.333333333332</v>
      </c>
    </row>
    <row r="27" spans="2:13">
      <c r="B27" s="273" t="s">
        <v>255</v>
      </c>
      <c r="C27" s="272"/>
      <c r="D27" s="282">
        <f>'AMORTIZACIÓN DE LA DEUDA'!D10</f>
        <v>12922.326458398335</v>
      </c>
      <c r="E27" s="282">
        <f>D27</f>
        <v>12922.326458398335</v>
      </c>
      <c r="F27" s="282">
        <f>E27</f>
        <v>12922.326458398335</v>
      </c>
      <c r="G27" s="282">
        <f>F27</f>
        <v>12922.326458398335</v>
      </c>
      <c r="H27" s="282">
        <f>G27</f>
        <v>12922.326458398335</v>
      </c>
      <c r="I27" s="280"/>
      <c r="J27" s="282"/>
      <c r="K27" s="282"/>
      <c r="L27" s="282"/>
      <c r="M27" s="282"/>
    </row>
    <row r="28" spans="2:13">
      <c r="B28" s="273" t="s">
        <v>235</v>
      </c>
      <c r="C28" s="274">
        <f>'AMORTIZACIÓN DE LA DEUDA'!C3</f>
        <v>46582.094896167546</v>
      </c>
      <c r="D28" s="283"/>
      <c r="E28" s="282"/>
      <c r="F28" s="280"/>
      <c r="G28" s="282"/>
      <c r="H28" s="282"/>
      <c r="I28" s="282"/>
      <c r="J28" s="282"/>
      <c r="K28" s="282"/>
      <c r="L28" s="282"/>
      <c r="M28" s="282"/>
    </row>
    <row r="29" spans="2:13">
      <c r="B29" s="273" t="s">
        <v>256</v>
      </c>
      <c r="C29" s="274">
        <f>-INVERSIONES!C22</f>
        <v>-110489.14</v>
      </c>
      <c r="D29" s="282"/>
      <c r="E29" s="282"/>
      <c r="F29" s="280"/>
      <c r="G29" s="282"/>
      <c r="H29" s="282"/>
      <c r="I29" s="282"/>
      <c r="J29" s="282"/>
      <c r="K29" s="282"/>
      <c r="L29" s="282"/>
      <c r="M29" s="282"/>
    </row>
    <row r="30" spans="2:13">
      <c r="B30" s="273" t="s">
        <v>222</v>
      </c>
      <c r="C30" s="274"/>
      <c r="D30" s="282"/>
      <c r="E30" s="282"/>
      <c r="F30" s="280"/>
      <c r="G30" s="282"/>
      <c r="H30" s="282"/>
      <c r="I30" s="282"/>
      <c r="J30" s="282"/>
      <c r="K30" s="282"/>
      <c r="L30" s="282"/>
      <c r="M30" s="282"/>
    </row>
    <row r="31" spans="2:13">
      <c r="B31" s="273" t="s">
        <v>223</v>
      </c>
      <c r="C31" s="274">
        <f>-INVERSIONES!C6</f>
        <v>-5966.0972404188506</v>
      </c>
      <c r="D31" s="282"/>
      <c r="E31" s="282"/>
      <c r="F31" s="280"/>
      <c r="G31" s="282"/>
      <c r="H31" s="282"/>
      <c r="I31" s="282"/>
      <c r="J31" s="282"/>
      <c r="K31" s="282"/>
      <c r="L31" s="282"/>
      <c r="M31" s="282">
        <f>-C31</f>
        <v>5966.0972404188506</v>
      </c>
    </row>
    <row r="32" spans="2:13">
      <c r="B32" s="273" t="s">
        <v>222</v>
      </c>
      <c r="C32" s="276"/>
      <c r="D32" s="282"/>
      <c r="E32" s="282"/>
      <c r="F32" s="280"/>
      <c r="G32" s="282"/>
      <c r="H32" s="282"/>
      <c r="I32" s="282"/>
      <c r="J32" s="282"/>
      <c r="K32" s="282"/>
      <c r="L32" s="282"/>
      <c r="M32" s="282">
        <f>DEPRECIACIONES!H10</f>
        <v>75945.666666666672</v>
      </c>
    </row>
    <row r="33" spans="2:14">
      <c r="B33" s="273" t="s">
        <v>257</v>
      </c>
      <c r="C33" s="274">
        <f>SUM(C28:C31)</f>
        <v>-69873.142344251304</v>
      </c>
      <c r="D33" s="282">
        <f t="shared" ref="D33:M33" si="16">+D25+D26-D27+D31</f>
        <v>-12719.863761160819</v>
      </c>
      <c r="E33" s="282">
        <f t="shared" si="16"/>
        <v>-5331.4237918171493</v>
      </c>
      <c r="F33" s="282">
        <f t="shared" si="16"/>
        <v>2325.3173925677129</v>
      </c>
      <c r="G33" s="282">
        <f t="shared" si="16"/>
        <v>10267.098148267183</v>
      </c>
      <c r="H33" s="282">
        <f t="shared" si="16"/>
        <v>18512.278989568273</v>
      </c>
      <c r="I33" s="282">
        <f t="shared" si="16"/>
        <v>35319.010703845306</v>
      </c>
      <c r="J33" s="282">
        <f t="shared" si="16"/>
        <v>42682.829663691853</v>
      </c>
      <c r="K33" s="282">
        <f t="shared" si="16"/>
        <v>50230.74409753464</v>
      </c>
      <c r="L33" s="282">
        <f t="shared" si="16"/>
        <v>57967.356392223403</v>
      </c>
      <c r="M33" s="282">
        <f t="shared" si="16"/>
        <v>71863.481234698324</v>
      </c>
    </row>
    <row r="34" spans="2:14">
      <c r="B34" s="271" t="s">
        <v>258</v>
      </c>
      <c r="C34" s="277">
        <v>0.09</v>
      </c>
      <c r="D34" s="269"/>
      <c r="E34" s="269"/>
      <c r="F34" s="269"/>
      <c r="G34" s="269"/>
      <c r="H34" s="269"/>
      <c r="I34" s="269"/>
      <c r="J34" s="269"/>
      <c r="K34" s="269"/>
      <c r="L34" s="269"/>
      <c r="M34" s="269"/>
    </row>
    <row r="35" spans="2:14">
      <c r="B35" s="271" t="s">
        <v>178</v>
      </c>
      <c r="C35" s="277">
        <f>IRR(C33:M33)</f>
        <v>0.17398663764359965</v>
      </c>
      <c r="D35" s="269"/>
      <c r="E35" s="278"/>
      <c r="F35" s="278"/>
      <c r="G35" s="269"/>
      <c r="H35" s="269"/>
      <c r="I35" s="269"/>
      <c r="J35" s="269"/>
      <c r="K35" s="269"/>
      <c r="L35" s="269"/>
      <c r="M35" s="269"/>
    </row>
    <row r="36" spans="2:14">
      <c r="B36" s="271" t="s">
        <v>177</v>
      </c>
      <c r="C36" s="279">
        <f>NPV(C34,D33:M33)+C33</f>
        <v>61734.00967151596</v>
      </c>
      <c r="D36" s="269"/>
      <c r="E36" s="269"/>
      <c r="F36" s="269"/>
      <c r="G36" s="269"/>
      <c r="H36" s="269"/>
      <c r="I36" s="269"/>
      <c r="J36" s="269"/>
      <c r="K36" s="269"/>
      <c r="L36" s="269"/>
      <c r="M36" s="269"/>
    </row>
    <row r="37" spans="2:14">
      <c r="B37" s="167"/>
      <c r="C37" s="167"/>
      <c r="D37" s="167"/>
      <c r="E37" s="167"/>
      <c r="F37" s="167"/>
      <c r="G37" s="167"/>
      <c r="H37" s="167"/>
      <c r="I37" s="167"/>
      <c r="J37" s="167"/>
      <c r="K37" s="167"/>
      <c r="L37" s="167"/>
      <c r="M37" s="167"/>
    </row>
    <row r="39" spans="2:14">
      <c r="B39" s="464" t="s">
        <v>100</v>
      </c>
      <c r="C39" s="464"/>
      <c r="D39" s="464"/>
      <c r="E39" s="464"/>
      <c r="F39" s="464"/>
      <c r="G39" s="464"/>
      <c r="H39" s="464"/>
      <c r="I39" s="464"/>
      <c r="J39" s="89"/>
      <c r="K39" s="89"/>
      <c r="L39" s="89"/>
      <c r="M39" s="89"/>
      <c r="N39" s="89"/>
    </row>
    <row r="40" spans="2:14">
      <c r="B40" s="269"/>
      <c r="C40" s="269"/>
      <c r="D40" s="269"/>
      <c r="E40" s="269"/>
      <c r="F40" s="269"/>
      <c r="G40" s="269"/>
      <c r="H40" s="269"/>
      <c r="I40" s="269"/>
      <c r="J40" s="269"/>
      <c r="K40" s="269"/>
      <c r="L40" s="269"/>
      <c r="M40" s="269"/>
      <c r="N40" s="89"/>
    </row>
    <row r="41" spans="2:14">
      <c r="B41" s="270" t="s">
        <v>144</v>
      </c>
      <c r="C41" s="270" t="s">
        <v>224</v>
      </c>
      <c r="D41" s="270" t="s">
        <v>242</v>
      </c>
      <c r="E41" s="270" t="s">
        <v>443</v>
      </c>
      <c r="F41" s="270" t="s">
        <v>243</v>
      </c>
      <c r="G41" s="270" t="s">
        <v>244</v>
      </c>
      <c r="H41" s="270" t="s">
        <v>245</v>
      </c>
      <c r="I41" s="270" t="s">
        <v>262</v>
      </c>
      <c r="J41" s="270" t="s">
        <v>263</v>
      </c>
      <c r="K41" s="270" t="s">
        <v>264</v>
      </c>
      <c r="L41" s="270" t="s">
        <v>265</v>
      </c>
      <c r="M41" s="270" t="s">
        <v>266</v>
      </c>
      <c r="N41" s="268"/>
    </row>
    <row r="42" spans="2:14">
      <c r="B42" s="271" t="s">
        <v>260</v>
      </c>
      <c r="C42" s="272"/>
      <c r="D42" s="280">
        <f>'COSTOS DE PRODUCCIÓN'!F4*INVERSIONES!AF18</f>
        <v>408379.1661703951</v>
      </c>
      <c r="E42" s="280">
        <f>'COSTOS DE PRODUCCIÓN'!F4*INVERSIONES!AG18</f>
        <v>418588.64532465499</v>
      </c>
      <c r="F42" s="280">
        <f>'COSTOS DE PRODUCCIÓN'!F4*INVERSIONES!AH18</f>
        <v>429053.3614577711</v>
      </c>
      <c r="G42" s="280">
        <f>'COSTOS DE PRODUCCIÓN'!F4*INVERSIONES!AI18</f>
        <v>439779.69549421553</v>
      </c>
      <c r="H42" s="280">
        <f>'COSTOS DE PRODUCCIÓN'!F4*INVERSIONES!AJ18</f>
        <v>450774.18788157083</v>
      </c>
      <c r="I42" s="280">
        <f>'COSTOS DE PRODUCCIÓN'!F4*INVERSIONES!AK18</f>
        <v>462043.54257861013</v>
      </c>
      <c r="J42" s="280">
        <f>'COSTOS DE PRODUCCIÓN'!F4*INVERSIONES!AL18</f>
        <v>473594.6311430753</v>
      </c>
      <c r="K42" s="280">
        <f>'COSTOS DE PRODUCCIÓN'!F4*INVERSIONES!AM18</f>
        <v>485434.49692165223</v>
      </c>
      <c r="L42" s="280">
        <f>'COSTOS DE PRODUCCIÓN'!F4*INVERSIONES!AN18</f>
        <v>497570.35934469342</v>
      </c>
      <c r="M42" s="280">
        <f>'COSTOS DE PRODUCCIÓN'!F4*INVERSIONES!AO18</f>
        <v>510009.61832831078</v>
      </c>
      <c r="N42" s="10"/>
    </row>
    <row r="43" spans="2:14">
      <c r="B43" s="271" t="s">
        <v>261</v>
      </c>
      <c r="C43" s="272"/>
      <c r="D43" s="280">
        <f t="shared" ref="D43:M43" si="17">D44+D49</f>
        <v>413609.32317388547</v>
      </c>
      <c r="E43" s="280">
        <f t="shared" si="17"/>
        <v>413609.32317388547</v>
      </c>
      <c r="F43" s="280">
        <f t="shared" si="17"/>
        <v>413609.32317388547</v>
      </c>
      <c r="G43" s="280">
        <f t="shared" si="17"/>
        <v>413609.32317388547</v>
      </c>
      <c r="H43" s="280">
        <f t="shared" si="17"/>
        <v>413609.32317388547</v>
      </c>
      <c r="I43" s="280">
        <f t="shared" si="17"/>
        <v>413609.32317388547</v>
      </c>
      <c r="J43" s="280">
        <f t="shared" si="17"/>
        <v>413609.32317388547</v>
      </c>
      <c r="K43" s="280">
        <f t="shared" si="17"/>
        <v>413609.32317388547</v>
      </c>
      <c r="L43" s="280">
        <f t="shared" si="17"/>
        <v>413609.32317388547</v>
      </c>
      <c r="M43" s="280">
        <f t="shared" si="17"/>
        <v>413609.32317388547</v>
      </c>
      <c r="N43" s="10"/>
    </row>
    <row r="44" spans="2:14">
      <c r="B44" s="271" t="s">
        <v>246</v>
      </c>
      <c r="C44" s="273"/>
      <c r="D44" s="281">
        <f>SUM(D45:D48)</f>
        <v>338316.64317388547</v>
      </c>
      <c r="E44" s="281">
        <f t="shared" ref="E44:M44" si="18">D44</f>
        <v>338316.64317388547</v>
      </c>
      <c r="F44" s="281">
        <f t="shared" si="18"/>
        <v>338316.64317388547</v>
      </c>
      <c r="G44" s="281">
        <f t="shared" si="18"/>
        <v>338316.64317388547</v>
      </c>
      <c r="H44" s="281">
        <f t="shared" si="18"/>
        <v>338316.64317388547</v>
      </c>
      <c r="I44" s="281">
        <f t="shared" si="18"/>
        <v>338316.64317388547</v>
      </c>
      <c r="J44" s="281">
        <f t="shared" si="18"/>
        <v>338316.64317388547</v>
      </c>
      <c r="K44" s="281">
        <f t="shared" si="18"/>
        <v>338316.64317388547</v>
      </c>
      <c r="L44" s="281">
        <f t="shared" si="18"/>
        <v>338316.64317388547</v>
      </c>
      <c r="M44" s="281">
        <f t="shared" si="18"/>
        <v>338316.64317388547</v>
      </c>
      <c r="N44" s="10"/>
    </row>
    <row r="45" spans="2:14">
      <c r="B45" s="273" t="s">
        <v>322</v>
      </c>
      <c r="C45" s="273"/>
      <c r="D45" s="281">
        <f>'SUELDOS Y SALARIOS'!E16+'SUELDOS Y SALARIOS'!E33</f>
        <v>29400</v>
      </c>
      <c r="E45" s="281">
        <f t="shared" ref="E45:M45" si="19">D45</f>
        <v>29400</v>
      </c>
      <c r="F45" s="281">
        <f t="shared" si="19"/>
        <v>29400</v>
      </c>
      <c r="G45" s="281">
        <f t="shared" si="19"/>
        <v>29400</v>
      </c>
      <c r="H45" s="281">
        <f t="shared" si="19"/>
        <v>29400</v>
      </c>
      <c r="I45" s="281">
        <f t="shared" si="19"/>
        <v>29400</v>
      </c>
      <c r="J45" s="281">
        <f t="shared" si="19"/>
        <v>29400</v>
      </c>
      <c r="K45" s="281">
        <f t="shared" si="19"/>
        <v>29400</v>
      </c>
      <c r="L45" s="281">
        <f t="shared" si="19"/>
        <v>29400</v>
      </c>
      <c r="M45" s="281">
        <f t="shared" si="19"/>
        <v>29400</v>
      </c>
      <c r="N45" s="10"/>
    </row>
    <row r="46" spans="2:14">
      <c r="B46" s="273" t="s">
        <v>510</v>
      </c>
      <c r="C46" s="273"/>
      <c r="D46" s="281">
        <f>'COSTOS DE PRODUCCIÓN'!$E$60*INVERSIONES!AF18</f>
        <v>134438.95172870115</v>
      </c>
      <c r="E46" s="281">
        <f>'COSTOS DE PRODUCCIÓN'!$E$60*INVERSIONES!AG18</f>
        <v>137799.92552191869</v>
      </c>
      <c r="F46" s="281">
        <f>'COSTOS DE PRODUCCIÓN'!$E$60*INVERSIONES!AH18</f>
        <v>141244.92365996659</v>
      </c>
      <c r="G46" s="281">
        <f>'COSTOS DE PRODUCCIÓN'!$E$60*INVERSIONES!AI18</f>
        <v>144776.04675146579</v>
      </c>
      <c r="H46" s="281">
        <f>'COSTOS DE PRODUCCIÓN'!$E$60*INVERSIONES!AJ18</f>
        <v>148395.44792025239</v>
      </c>
      <c r="I46" s="281">
        <f>'COSTOS DE PRODUCCIÓN'!$E$60*INVERSIONES!AK18</f>
        <v>152105.33411825873</v>
      </c>
      <c r="J46" s="281">
        <f>'COSTOS DE PRODUCCIÓN'!$E$60*INVERSIONES!AL18</f>
        <v>155907.96747121518</v>
      </c>
      <c r="K46" s="281">
        <f>'COSTOS DE PRODUCCIÓN'!$E$60*INVERSIONES!AM18</f>
        <v>159805.66665799555</v>
      </c>
      <c r="L46" s="281">
        <f>'COSTOS DE PRODUCCIÓN'!$E$60*INVERSIONES!AN18</f>
        <v>163800.80832444542</v>
      </c>
      <c r="M46" s="281">
        <f>'COSTOS DE PRODUCCIÓN'!$E$60*INVERSIONES!AO18</f>
        <v>167895.82853255657</v>
      </c>
      <c r="N46" s="10"/>
    </row>
    <row r="47" spans="2:14">
      <c r="B47" s="273" t="s">
        <v>511</v>
      </c>
      <c r="C47" s="273"/>
      <c r="D47" s="281">
        <f>'SUELDOS Y SALARIOS'!E41+'SUELDOS Y SALARIOS'!E23</f>
        <v>25320</v>
      </c>
      <c r="E47" s="281">
        <f t="shared" ref="E47:M47" si="20">D47</f>
        <v>25320</v>
      </c>
      <c r="F47" s="281">
        <f t="shared" si="20"/>
        <v>25320</v>
      </c>
      <c r="G47" s="281">
        <f t="shared" si="20"/>
        <v>25320</v>
      </c>
      <c r="H47" s="281">
        <f t="shared" si="20"/>
        <v>25320</v>
      </c>
      <c r="I47" s="281">
        <f t="shared" si="20"/>
        <v>25320</v>
      </c>
      <c r="J47" s="281">
        <f t="shared" si="20"/>
        <v>25320</v>
      </c>
      <c r="K47" s="281">
        <f t="shared" si="20"/>
        <v>25320</v>
      </c>
      <c r="L47" s="281">
        <f t="shared" si="20"/>
        <v>25320</v>
      </c>
      <c r="M47" s="281">
        <f t="shared" si="20"/>
        <v>25320</v>
      </c>
      <c r="N47" s="10"/>
    </row>
    <row r="48" spans="2:14">
      <c r="B48" s="273" t="s">
        <v>512</v>
      </c>
      <c r="C48" s="273"/>
      <c r="D48" s="281">
        <f>'COSTOS DE PRODUCCIÓN'!$C$137*INVERSIONES!AF18</f>
        <v>149157.69144518432</v>
      </c>
      <c r="E48" s="281">
        <f>'COSTOS DE PRODUCCIÓN'!$C$137*INVERSIONES!AG18</f>
        <v>152886.63373131395</v>
      </c>
      <c r="F48" s="281">
        <f>'COSTOS DE PRODUCCIÓN'!$C$137*INVERSIONES!AH18</f>
        <v>156708.79957459669</v>
      </c>
      <c r="G48" s="281">
        <f>'COSTOS DE PRODUCCIÓN'!$C$137*INVERSIONES!AI18</f>
        <v>160626.51956396169</v>
      </c>
      <c r="H48" s="281">
        <f>'COSTOS DE PRODUCCIÓN'!$C$137*INVERSIONES!AJ18</f>
        <v>164642.18255306067</v>
      </c>
      <c r="I48" s="281">
        <f>'COSTOS DE PRODUCCIÓN'!$C$137*INVERSIONES!AK18</f>
        <v>168758.23711688721</v>
      </c>
      <c r="J48" s="281">
        <f>'COSTOS DE PRODUCCIÓN'!$C$137*INVERSIONES!AL18</f>
        <v>172977.19304480936</v>
      </c>
      <c r="K48" s="281">
        <f>'COSTOS DE PRODUCCIÓN'!$C$137*INVERSIONES!AM18</f>
        <v>177301.62287092963</v>
      </c>
      <c r="L48" s="281">
        <f>'COSTOS DE PRODUCCIÓN'!$C$137*INVERSIONES!AN18</f>
        <v>181734.16344270282</v>
      </c>
      <c r="M48" s="281">
        <f>'COSTOS DE PRODUCCIÓN'!$C$137*INVERSIONES!AO18</f>
        <v>186277.5175287704</v>
      </c>
      <c r="N48" s="10"/>
    </row>
    <row r="49" spans="2:14">
      <c r="B49" s="271" t="s">
        <v>513</v>
      </c>
      <c r="C49" s="271"/>
      <c r="D49" s="280">
        <f t="shared" ref="D49:M49" si="21">SUM(D50:D52)</f>
        <v>75292.679999999993</v>
      </c>
      <c r="E49" s="280">
        <f t="shared" si="21"/>
        <v>75292.679999999993</v>
      </c>
      <c r="F49" s="280">
        <f t="shared" si="21"/>
        <v>75292.679999999993</v>
      </c>
      <c r="G49" s="280">
        <f t="shared" si="21"/>
        <v>75292.679999999993</v>
      </c>
      <c r="H49" s="280">
        <f t="shared" si="21"/>
        <v>75292.679999999993</v>
      </c>
      <c r="I49" s="280">
        <f t="shared" si="21"/>
        <v>75292.679999999993</v>
      </c>
      <c r="J49" s="280">
        <f t="shared" si="21"/>
        <v>75292.679999999993</v>
      </c>
      <c r="K49" s="280">
        <f t="shared" si="21"/>
        <v>75292.679999999993</v>
      </c>
      <c r="L49" s="280">
        <f t="shared" si="21"/>
        <v>75292.679999999993</v>
      </c>
      <c r="M49" s="280">
        <f t="shared" si="21"/>
        <v>75292.679999999993</v>
      </c>
      <c r="N49" s="10"/>
    </row>
    <row r="50" spans="2:14">
      <c r="B50" s="273" t="s">
        <v>259</v>
      </c>
      <c r="C50" s="273"/>
      <c r="D50" s="281">
        <f>'MAQUINARIA,EQUIPO,SUMINISTR Y S'!D93+'MAQUINARIA,EQUIPO,SUMINISTR Y S'!$C$18</f>
        <v>20770.68</v>
      </c>
      <c r="E50" s="281">
        <f t="shared" ref="E50:F52" si="22">D50</f>
        <v>20770.68</v>
      </c>
      <c r="F50" s="280">
        <f t="shared" si="22"/>
        <v>20770.68</v>
      </c>
      <c r="G50" s="281">
        <f>E50</f>
        <v>20770.68</v>
      </c>
      <c r="H50" s="281">
        <f t="shared" ref="H50:M52" si="23">G50</f>
        <v>20770.68</v>
      </c>
      <c r="I50" s="281">
        <f t="shared" si="23"/>
        <v>20770.68</v>
      </c>
      <c r="J50" s="281">
        <f t="shared" si="23"/>
        <v>20770.68</v>
      </c>
      <c r="K50" s="281">
        <f t="shared" si="23"/>
        <v>20770.68</v>
      </c>
      <c r="L50" s="281">
        <f t="shared" si="23"/>
        <v>20770.68</v>
      </c>
      <c r="M50" s="281">
        <f t="shared" si="23"/>
        <v>20770.68</v>
      </c>
      <c r="N50" s="12"/>
    </row>
    <row r="51" spans="2:14">
      <c r="B51" s="272" t="s">
        <v>247</v>
      </c>
      <c r="C51" s="272"/>
      <c r="D51" s="282">
        <f>'SUELDOS Y SALARIOS'!E16+'MAQUINARIA,EQUIPO,SUMINISTR Y S'!C84+'SUELDOS Y SALARIOS'!E23+'SUELDOS Y SALARIOS'!E41+'MAQUINARIA,EQUIPO,SUMINISTR Y S'!E60</f>
        <v>36954</v>
      </c>
      <c r="E51" s="282">
        <f t="shared" si="22"/>
        <v>36954</v>
      </c>
      <c r="F51" s="280">
        <f t="shared" si="22"/>
        <v>36954</v>
      </c>
      <c r="G51" s="282">
        <f>E51</f>
        <v>36954</v>
      </c>
      <c r="H51" s="282">
        <f t="shared" si="23"/>
        <v>36954</v>
      </c>
      <c r="I51" s="282">
        <f t="shared" si="23"/>
        <v>36954</v>
      </c>
      <c r="J51" s="282">
        <f t="shared" si="23"/>
        <v>36954</v>
      </c>
      <c r="K51" s="282">
        <f t="shared" si="23"/>
        <v>36954</v>
      </c>
      <c r="L51" s="282">
        <f t="shared" si="23"/>
        <v>36954</v>
      </c>
      <c r="M51" s="282">
        <f t="shared" si="23"/>
        <v>36954</v>
      </c>
      <c r="N51" s="95"/>
    </row>
    <row r="52" spans="2:14">
      <c r="B52" s="272" t="s">
        <v>248</v>
      </c>
      <c r="C52" s="272"/>
      <c r="D52" s="282">
        <f>'MAQUINARIA,EQUIPO,SUMINISTR Y S'!G47</f>
        <v>17568</v>
      </c>
      <c r="E52" s="282">
        <f t="shared" si="22"/>
        <v>17568</v>
      </c>
      <c r="F52" s="280">
        <f t="shared" si="22"/>
        <v>17568</v>
      </c>
      <c r="G52" s="282">
        <f>E52</f>
        <v>17568</v>
      </c>
      <c r="H52" s="282">
        <f t="shared" si="23"/>
        <v>17568</v>
      </c>
      <c r="I52" s="282">
        <f t="shared" si="23"/>
        <v>17568</v>
      </c>
      <c r="J52" s="282">
        <f t="shared" si="23"/>
        <v>17568</v>
      </c>
      <c r="K52" s="282">
        <f t="shared" si="23"/>
        <v>17568</v>
      </c>
      <c r="L52" s="282">
        <f t="shared" si="23"/>
        <v>17568</v>
      </c>
      <c r="M52" s="282">
        <f t="shared" si="23"/>
        <v>17568</v>
      </c>
      <c r="N52" s="96"/>
    </row>
    <row r="53" spans="2:14">
      <c r="B53" s="271" t="s">
        <v>267</v>
      </c>
      <c r="C53" s="272"/>
      <c r="D53" s="280">
        <f>+D42-D43</f>
        <v>-5230.1570034903707</v>
      </c>
      <c r="E53" s="280">
        <f t="shared" ref="E53:M53" si="24">E42-E43</f>
        <v>4979.3221507695271</v>
      </c>
      <c r="F53" s="280">
        <f t="shared" si="24"/>
        <v>15444.038283885631</v>
      </c>
      <c r="G53" s="280">
        <f t="shared" si="24"/>
        <v>26170.372320330061</v>
      </c>
      <c r="H53" s="280">
        <f t="shared" si="24"/>
        <v>37164.864707685367</v>
      </c>
      <c r="I53" s="280">
        <f t="shared" si="24"/>
        <v>48434.219404724659</v>
      </c>
      <c r="J53" s="280">
        <f t="shared" si="24"/>
        <v>59985.307969189831</v>
      </c>
      <c r="K53" s="280">
        <f t="shared" si="24"/>
        <v>71825.173747766763</v>
      </c>
      <c r="L53" s="280">
        <f t="shared" si="24"/>
        <v>83961.036170807958</v>
      </c>
      <c r="M53" s="280">
        <f t="shared" si="24"/>
        <v>96400.295154425316</v>
      </c>
      <c r="N53" s="83"/>
    </row>
    <row r="54" spans="2:14">
      <c r="B54" s="273" t="s">
        <v>249</v>
      </c>
      <c r="C54" s="272"/>
      <c r="D54" s="282">
        <f>'AMORTIZACIÓN DE LA DEUDA'!F10</f>
        <v>7332.4750708582296</v>
      </c>
      <c r="E54" s="282">
        <f>'AMORTIZACIÓN DE LA DEUDA'!F11</f>
        <v>8212.3720793612156</v>
      </c>
      <c r="F54" s="280">
        <f>'AMORTIZACIÓN DE LA DEUDA'!F12</f>
        <v>9197.8567288845625</v>
      </c>
      <c r="G54" s="280">
        <f>'AMORTIZACIÓN DE LA DEUDA'!F13</f>
        <v>10301.59953635071</v>
      </c>
      <c r="H54" s="280">
        <f>'AMORTIZACIÓN DE LA DEUDA'!F14</f>
        <v>11537.791480712795</v>
      </c>
      <c r="I54" s="282"/>
      <c r="J54" s="282"/>
      <c r="K54" s="282"/>
      <c r="L54" s="282"/>
      <c r="M54" s="282"/>
      <c r="N54" s="95"/>
    </row>
    <row r="55" spans="2:14">
      <c r="B55" s="273" t="s">
        <v>163</v>
      </c>
      <c r="C55" s="272"/>
      <c r="D55" s="282">
        <f>DEPRECIACIONES!E10</f>
        <v>12254.333333333332</v>
      </c>
      <c r="E55" s="282">
        <f t="shared" ref="E55:M55" si="25">D55</f>
        <v>12254.333333333332</v>
      </c>
      <c r="F55" s="282">
        <f t="shared" si="25"/>
        <v>12254.333333333332</v>
      </c>
      <c r="G55" s="282">
        <f t="shared" si="25"/>
        <v>12254.333333333332</v>
      </c>
      <c r="H55" s="282">
        <f t="shared" si="25"/>
        <v>12254.333333333332</v>
      </c>
      <c r="I55" s="282">
        <f t="shared" si="25"/>
        <v>12254.333333333332</v>
      </c>
      <c r="J55" s="282">
        <f t="shared" si="25"/>
        <v>12254.333333333332</v>
      </c>
      <c r="K55" s="282">
        <f t="shared" si="25"/>
        <v>12254.333333333332</v>
      </c>
      <c r="L55" s="282">
        <f t="shared" si="25"/>
        <v>12254.333333333332</v>
      </c>
      <c r="M55" s="282">
        <f t="shared" si="25"/>
        <v>12254.333333333332</v>
      </c>
      <c r="N55" s="95"/>
    </row>
    <row r="56" spans="2:14">
      <c r="B56" s="271" t="s">
        <v>268</v>
      </c>
      <c r="C56" s="272"/>
      <c r="D56" s="280">
        <f t="shared" ref="D56:M56" si="26">+D53-D54-D55</f>
        <v>-24816.965407681932</v>
      </c>
      <c r="E56" s="280">
        <f t="shared" si="26"/>
        <v>-15487.383261925021</v>
      </c>
      <c r="F56" s="280">
        <f t="shared" si="26"/>
        <v>-6008.1517783322633</v>
      </c>
      <c r="G56" s="280">
        <f t="shared" si="26"/>
        <v>3614.4394506460194</v>
      </c>
      <c r="H56" s="280">
        <f t="shared" si="26"/>
        <v>13372.739893639238</v>
      </c>
      <c r="I56" s="280">
        <f t="shared" si="26"/>
        <v>36179.886071391331</v>
      </c>
      <c r="J56" s="280">
        <f t="shared" si="26"/>
        <v>47730.974635856503</v>
      </c>
      <c r="K56" s="280">
        <f t="shared" si="26"/>
        <v>59570.840414433434</v>
      </c>
      <c r="L56" s="280">
        <f t="shared" si="26"/>
        <v>71706.70283747463</v>
      </c>
      <c r="M56" s="280">
        <f t="shared" si="26"/>
        <v>84145.961821091987</v>
      </c>
      <c r="N56" s="10"/>
    </row>
    <row r="57" spans="2:14">
      <c r="B57" s="273" t="s">
        <v>341</v>
      </c>
      <c r="C57" s="272"/>
      <c r="D57" s="282">
        <f>'AMORTIZACIÓN DE LA DEUDA'!E10</f>
        <v>5589.851387540105</v>
      </c>
      <c r="E57" s="282">
        <f>'AMORTIZACIÓN DE LA DEUDA'!E11</f>
        <v>4709.9543790371181</v>
      </c>
      <c r="F57" s="282">
        <f>'AMORTIZACIÓN DE LA DEUDA'!E12</f>
        <v>3724.4697295137721</v>
      </c>
      <c r="G57" s="282">
        <f>'AMORTIZACIÓN DE LA DEUDA'!E13</f>
        <v>2620.7269220476246</v>
      </c>
      <c r="H57" s="282">
        <f>'AMORTIZACIÓN DE LA DEUDA'!E14</f>
        <v>1384.5349776855394</v>
      </c>
      <c r="I57" s="282"/>
      <c r="J57" s="282"/>
      <c r="K57" s="282"/>
      <c r="L57" s="282"/>
      <c r="M57" s="282"/>
      <c r="N57" s="95"/>
    </row>
    <row r="58" spans="2:14">
      <c r="B58" s="273" t="s">
        <v>250</v>
      </c>
      <c r="C58" s="272"/>
      <c r="D58" s="280">
        <f t="shared" ref="D58:M58" si="27">+D56-D57</f>
        <v>-30406.816795222036</v>
      </c>
      <c r="E58" s="280">
        <f t="shared" si="27"/>
        <v>-20197.337640962138</v>
      </c>
      <c r="F58" s="280">
        <f t="shared" si="27"/>
        <v>-9732.6215078460355</v>
      </c>
      <c r="G58" s="280">
        <f t="shared" si="27"/>
        <v>993.71252859839478</v>
      </c>
      <c r="H58" s="280">
        <f t="shared" si="27"/>
        <v>11988.204915953698</v>
      </c>
      <c r="I58" s="280">
        <f t="shared" si="27"/>
        <v>36179.886071391331</v>
      </c>
      <c r="J58" s="280">
        <f t="shared" si="27"/>
        <v>47730.974635856503</v>
      </c>
      <c r="K58" s="280">
        <f t="shared" si="27"/>
        <v>59570.840414433434</v>
      </c>
      <c r="L58" s="280">
        <f t="shared" si="27"/>
        <v>71706.70283747463</v>
      </c>
      <c r="M58" s="280">
        <f t="shared" si="27"/>
        <v>84145.961821091987</v>
      </c>
      <c r="N58" s="10"/>
    </row>
    <row r="59" spans="2:14">
      <c r="B59" s="273" t="s">
        <v>252</v>
      </c>
      <c r="C59" s="272"/>
      <c r="D59" s="282">
        <f t="shared" ref="D59:M59" si="28">D58*15%</f>
        <v>-4561.022519283305</v>
      </c>
      <c r="E59" s="282">
        <f t="shared" si="28"/>
        <v>-3029.6006461443208</v>
      </c>
      <c r="F59" s="282">
        <f t="shared" si="28"/>
        <v>-1459.8932261769053</v>
      </c>
      <c r="G59" s="282">
        <f t="shared" si="28"/>
        <v>149.05687928975922</v>
      </c>
      <c r="H59" s="282">
        <f t="shared" si="28"/>
        <v>1798.2307373930546</v>
      </c>
      <c r="I59" s="282">
        <f t="shared" si="28"/>
        <v>5426.9829107086998</v>
      </c>
      <c r="J59" s="282">
        <f t="shared" si="28"/>
        <v>7159.6461953784756</v>
      </c>
      <c r="K59" s="282">
        <f t="shared" si="28"/>
        <v>8935.6260621650144</v>
      </c>
      <c r="L59" s="282">
        <f t="shared" si="28"/>
        <v>10756.005425621193</v>
      </c>
      <c r="M59" s="282">
        <f t="shared" si="28"/>
        <v>12621.894273163798</v>
      </c>
      <c r="N59" s="10"/>
    </row>
    <row r="60" spans="2:14">
      <c r="B60" s="275" t="s">
        <v>444</v>
      </c>
      <c r="C60" s="269"/>
      <c r="D60" s="283">
        <f t="shared" ref="D60:M60" si="29">D58-D59</f>
        <v>-25845.79427593873</v>
      </c>
      <c r="E60" s="283">
        <f t="shared" si="29"/>
        <v>-17167.736994817817</v>
      </c>
      <c r="F60" s="283">
        <f t="shared" si="29"/>
        <v>-8272.7282816691295</v>
      </c>
      <c r="G60" s="283">
        <f t="shared" si="29"/>
        <v>844.65564930863559</v>
      </c>
      <c r="H60" s="283">
        <f t="shared" si="29"/>
        <v>10189.974178560644</v>
      </c>
      <c r="I60" s="283">
        <f t="shared" si="29"/>
        <v>30752.903160682632</v>
      </c>
      <c r="J60" s="283">
        <f t="shared" si="29"/>
        <v>40571.328440478028</v>
      </c>
      <c r="K60" s="283">
        <f t="shared" si="29"/>
        <v>50635.21435226842</v>
      </c>
      <c r="L60" s="283">
        <f t="shared" si="29"/>
        <v>60950.697411853434</v>
      </c>
      <c r="M60" s="283">
        <f t="shared" si="29"/>
        <v>71524.067547928193</v>
      </c>
      <c r="N60" s="96"/>
    </row>
    <row r="61" spans="2:14">
      <c r="B61" s="273" t="s">
        <v>251</v>
      </c>
      <c r="C61" s="272"/>
      <c r="D61" s="282">
        <f t="shared" ref="D61:M61" si="30">D60*25%</f>
        <v>-6461.4485689846824</v>
      </c>
      <c r="E61" s="282">
        <f t="shared" si="30"/>
        <v>-4291.9342487044541</v>
      </c>
      <c r="F61" s="282">
        <f t="shared" si="30"/>
        <v>-2068.1820704172824</v>
      </c>
      <c r="G61" s="282">
        <f t="shared" si="30"/>
        <v>211.1639123271589</v>
      </c>
      <c r="H61" s="282">
        <f t="shared" si="30"/>
        <v>2547.493544640161</v>
      </c>
      <c r="I61" s="282">
        <f t="shared" si="30"/>
        <v>7688.225790170658</v>
      </c>
      <c r="J61" s="282">
        <f t="shared" si="30"/>
        <v>10142.832110119507</v>
      </c>
      <c r="K61" s="282">
        <f t="shared" si="30"/>
        <v>12658.803588067105</v>
      </c>
      <c r="L61" s="282">
        <f t="shared" si="30"/>
        <v>15237.674352963359</v>
      </c>
      <c r="M61" s="282">
        <f t="shared" si="30"/>
        <v>17881.016886982048</v>
      </c>
      <c r="N61" s="96"/>
    </row>
    <row r="62" spans="2:14">
      <c r="B62" s="273" t="s">
        <v>253</v>
      </c>
      <c r="C62" s="272"/>
      <c r="D62" s="280">
        <f t="shared" ref="D62:M62" si="31">D60-D61</f>
        <v>-19384.345706954045</v>
      </c>
      <c r="E62" s="280">
        <f t="shared" si="31"/>
        <v>-12875.802746113362</v>
      </c>
      <c r="F62" s="280">
        <f t="shared" si="31"/>
        <v>-6204.5462112518471</v>
      </c>
      <c r="G62" s="280">
        <f t="shared" si="31"/>
        <v>633.49173698147672</v>
      </c>
      <c r="H62" s="280">
        <f t="shared" si="31"/>
        <v>7642.4806339204824</v>
      </c>
      <c r="I62" s="280">
        <f t="shared" si="31"/>
        <v>23064.677370511974</v>
      </c>
      <c r="J62" s="280">
        <f t="shared" si="31"/>
        <v>30428.496330358521</v>
      </c>
      <c r="K62" s="280">
        <f t="shared" si="31"/>
        <v>37976.410764201311</v>
      </c>
      <c r="L62" s="280">
        <f t="shared" si="31"/>
        <v>45713.023058890074</v>
      </c>
      <c r="M62" s="280">
        <f t="shared" si="31"/>
        <v>53643.050660946144</v>
      </c>
      <c r="N62" s="10"/>
    </row>
    <row r="63" spans="2:14">
      <c r="B63" s="273" t="s">
        <v>254</v>
      </c>
      <c r="C63" s="272"/>
      <c r="D63" s="282">
        <f>+D54+D55</f>
        <v>19586.808404191561</v>
      </c>
      <c r="E63" s="282">
        <f t="shared" ref="E63:M63" si="32">E54+E55</f>
        <v>20466.705412694548</v>
      </c>
      <c r="F63" s="282">
        <f t="shared" si="32"/>
        <v>21452.190062217895</v>
      </c>
      <c r="G63" s="282">
        <f t="shared" si="32"/>
        <v>22555.932869684042</v>
      </c>
      <c r="H63" s="282">
        <f t="shared" si="32"/>
        <v>23792.124814046125</v>
      </c>
      <c r="I63" s="282">
        <f t="shared" si="32"/>
        <v>12254.333333333332</v>
      </c>
      <c r="J63" s="282">
        <f t="shared" si="32"/>
        <v>12254.333333333332</v>
      </c>
      <c r="K63" s="282">
        <f t="shared" si="32"/>
        <v>12254.333333333332</v>
      </c>
      <c r="L63" s="282">
        <f t="shared" si="32"/>
        <v>12254.333333333332</v>
      </c>
      <c r="M63" s="282">
        <f t="shared" si="32"/>
        <v>12254.333333333332</v>
      </c>
      <c r="N63" s="95"/>
    </row>
    <row r="64" spans="2:14">
      <c r="B64" s="273" t="s">
        <v>255</v>
      </c>
      <c r="C64" s="272"/>
      <c r="D64" s="282">
        <f>'AMORTIZACIÓN DE LA DEUDA'!D10</f>
        <v>12922.326458398335</v>
      </c>
      <c r="E64" s="282">
        <f>D64</f>
        <v>12922.326458398335</v>
      </c>
      <c r="F64" s="282">
        <f>E64</f>
        <v>12922.326458398335</v>
      </c>
      <c r="G64" s="282">
        <f>F64</f>
        <v>12922.326458398335</v>
      </c>
      <c r="H64" s="282">
        <f>G64</f>
        <v>12922.326458398335</v>
      </c>
      <c r="I64" s="280"/>
      <c r="J64" s="282"/>
      <c r="K64" s="282"/>
      <c r="L64" s="282"/>
      <c r="M64" s="282"/>
      <c r="N64" s="95"/>
    </row>
    <row r="65" spans="2:14">
      <c r="B65" s="273" t="s">
        <v>235</v>
      </c>
      <c r="C65" s="274">
        <f>'AMORTIZACIÓN DE LA DEUDA'!C3</f>
        <v>46582.094896167546</v>
      </c>
      <c r="D65" s="283"/>
      <c r="E65" s="282"/>
      <c r="F65" s="280"/>
      <c r="G65" s="282"/>
      <c r="H65" s="282"/>
      <c r="I65" s="282"/>
      <c r="J65" s="282"/>
      <c r="K65" s="282"/>
      <c r="L65" s="282"/>
      <c r="M65" s="282"/>
      <c r="N65" s="96"/>
    </row>
    <row r="66" spans="2:14">
      <c r="B66" s="273" t="s">
        <v>256</v>
      </c>
      <c r="C66" s="274">
        <f>-INVERSIONES!C22</f>
        <v>-110489.14</v>
      </c>
      <c r="D66" s="282"/>
      <c r="E66" s="282"/>
      <c r="F66" s="280"/>
      <c r="G66" s="282"/>
      <c r="H66" s="282"/>
      <c r="I66" s="282"/>
      <c r="J66" s="282"/>
      <c r="K66" s="282"/>
      <c r="L66" s="282"/>
      <c r="M66" s="282"/>
      <c r="N66" s="96"/>
    </row>
    <row r="67" spans="2:14">
      <c r="B67" s="273" t="s">
        <v>222</v>
      </c>
      <c r="C67" s="274"/>
      <c r="D67" s="282"/>
      <c r="E67" s="282"/>
      <c r="F67" s="280"/>
      <c r="G67" s="282"/>
      <c r="H67" s="282"/>
      <c r="I67" s="282"/>
      <c r="J67" s="282"/>
      <c r="K67" s="282"/>
      <c r="L67" s="282"/>
      <c r="M67" s="282"/>
      <c r="N67" s="95"/>
    </row>
    <row r="68" spans="2:14">
      <c r="B68" s="273" t="s">
        <v>223</v>
      </c>
      <c r="C68" s="274">
        <f>-INVERSIONES!C6</f>
        <v>-5966.0972404188506</v>
      </c>
      <c r="D68" s="282"/>
      <c r="E68" s="282"/>
      <c r="F68" s="280"/>
      <c r="G68" s="282"/>
      <c r="H68" s="282"/>
      <c r="I68" s="282"/>
      <c r="J68" s="282"/>
      <c r="K68" s="282"/>
      <c r="L68" s="282"/>
      <c r="M68" s="282">
        <f>-C68</f>
        <v>5966.0972404188506</v>
      </c>
      <c r="N68" s="96"/>
    </row>
    <row r="69" spans="2:14">
      <c r="B69" s="273" t="s">
        <v>222</v>
      </c>
      <c r="C69" s="276"/>
      <c r="D69" s="282"/>
      <c r="E69" s="282"/>
      <c r="F69" s="280"/>
      <c r="G69" s="282"/>
      <c r="H69" s="282"/>
      <c r="I69" s="282"/>
      <c r="J69" s="282"/>
      <c r="K69" s="282"/>
      <c r="L69" s="282"/>
      <c r="M69" s="282">
        <f>DEPRECIACIONES!H10</f>
        <v>75945.666666666672</v>
      </c>
      <c r="N69" s="95"/>
    </row>
    <row r="70" spans="2:14">
      <c r="B70" s="273" t="s">
        <v>257</v>
      </c>
      <c r="C70" s="274">
        <f>SUM(C65:C68)</f>
        <v>-69873.142344251304</v>
      </c>
      <c r="D70" s="282">
        <f t="shared" ref="D70:M70" si="33">+D62+D63-D64+D68</f>
        <v>-12719.863761160819</v>
      </c>
      <c r="E70" s="282">
        <f t="shared" si="33"/>
        <v>-5331.4237918171493</v>
      </c>
      <c r="F70" s="282">
        <f t="shared" si="33"/>
        <v>2325.3173925677129</v>
      </c>
      <c r="G70" s="282">
        <f t="shared" si="33"/>
        <v>10267.098148267183</v>
      </c>
      <c r="H70" s="282">
        <f t="shared" si="33"/>
        <v>18512.278989568273</v>
      </c>
      <c r="I70" s="282">
        <f t="shared" si="33"/>
        <v>35319.010703845306</v>
      </c>
      <c r="J70" s="282">
        <f t="shared" si="33"/>
        <v>42682.829663691853</v>
      </c>
      <c r="K70" s="282">
        <f t="shared" si="33"/>
        <v>50230.74409753464</v>
      </c>
      <c r="L70" s="282">
        <f t="shared" si="33"/>
        <v>57967.356392223403</v>
      </c>
      <c r="M70" s="282">
        <f t="shared" si="33"/>
        <v>71863.481234698324</v>
      </c>
      <c r="N70" s="95"/>
    </row>
    <row r="71" spans="2:14">
      <c r="B71" s="271" t="s">
        <v>258</v>
      </c>
      <c r="C71" s="277">
        <v>0.11</v>
      </c>
      <c r="D71" s="269"/>
      <c r="E71" s="269"/>
      <c r="F71" s="269"/>
      <c r="G71" s="269"/>
      <c r="H71" s="269"/>
      <c r="I71" s="269"/>
      <c r="J71" s="269"/>
      <c r="K71" s="269"/>
      <c r="L71" s="269"/>
      <c r="M71" s="269"/>
      <c r="N71" s="89"/>
    </row>
    <row r="72" spans="2:14">
      <c r="B72" s="271" t="s">
        <v>178</v>
      </c>
      <c r="C72" s="277">
        <f>IRR(C70:M70)</f>
        <v>0.17398663764359965</v>
      </c>
      <c r="D72" s="269"/>
      <c r="E72" s="278"/>
      <c r="F72" s="278"/>
      <c r="G72" s="269"/>
      <c r="H72" s="269"/>
      <c r="I72" s="269"/>
      <c r="J72" s="269"/>
      <c r="K72" s="269"/>
      <c r="L72" s="269"/>
      <c r="M72" s="269"/>
      <c r="N72" s="89"/>
    </row>
    <row r="73" spans="2:14">
      <c r="B73" s="271" t="s">
        <v>177</v>
      </c>
      <c r="C73" s="279">
        <f>NPV(C71,D70:M70)+C70</f>
        <v>42998.120279754497</v>
      </c>
      <c r="D73" s="269"/>
      <c r="E73" s="269"/>
      <c r="F73" s="269"/>
      <c r="G73" s="269"/>
      <c r="H73" s="269"/>
      <c r="I73" s="269"/>
      <c r="J73" s="269"/>
      <c r="K73" s="269"/>
      <c r="L73" s="269"/>
      <c r="M73" s="269"/>
      <c r="N73" s="89"/>
    </row>
    <row r="74" spans="2:14">
      <c r="B74" s="167"/>
      <c r="C74" s="167"/>
      <c r="D74" s="167"/>
      <c r="E74" s="167"/>
      <c r="F74" s="167"/>
      <c r="G74" s="167"/>
      <c r="H74" s="167"/>
      <c r="I74" s="167"/>
      <c r="J74" s="167"/>
      <c r="K74" s="167"/>
      <c r="L74" s="167"/>
      <c r="M74" s="167"/>
      <c r="N74" s="89"/>
    </row>
    <row r="75" spans="2:14">
      <c r="B75" s="89"/>
      <c r="C75" s="89"/>
      <c r="D75" s="89"/>
      <c r="E75" s="89"/>
      <c r="F75" s="89"/>
      <c r="G75" s="89"/>
      <c r="H75" s="89"/>
      <c r="I75" s="89"/>
      <c r="J75" s="89"/>
      <c r="K75" s="89"/>
      <c r="L75" s="89"/>
      <c r="M75" s="89"/>
      <c r="N75" s="89"/>
    </row>
    <row r="76" spans="2:14">
      <c r="B76" s="464" t="s">
        <v>100</v>
      </c>
      <c r="C76" s="464"/>
      <c r="D76" s="464"/>
      <c r="E76" s="464"/>
      <c r="F76" s="464"/>
      <c r="G76" s="464"/>
      <c r="H76" s="464"/>
      <c r="I76" s="464"/>
      <c r="J76" s="89"/>
      <c r="K76" s="89"/>
      <c r="L76" s="89"/>
      <c r="M76" s="89"/>
      <c r="N76" s="89"/>
    </row>
    <row r="77" spans="2:14">
      <c r="B77" s="269"/>
      <c r="C77" s="269"/>
      <c r="D77" s="269"/>
      <c r="E77" s="269"/>
      <c r="F77" s="269"/>
      <c r="G77" s="269"/>
      <c r="H77" s="269"/>
      <c r="I77" s="269"/>
      <c r="J77" s="269"/>
      <c r="K77" s="269"/>
      <c r="L77" s="269"/>
      <c r="M77" s="269"/>
      <c r="N77" s="89"/>
    </row>
    <row r="78" spans="2:14">
      <c r="B78" s="270" t="s">
        <v>144</v>
      </c>
      <c r="C78" s="270" t="s">
        <v>224</v>
      </c>
      <c r="D78" s="270" t="s">
        <v>242</v>
      </c>
      <c r="E78" s="270" t="s">
        <v>443</v>
      </c>
      <c r="F78" s="270" t="s">
        <v>243</v>
      </c>
      <c r="G78" s="270" t="s">
        <v>244</v>
      </c>
      <c r="H78" s="270" t="s">
        <v>245</v>
      </c>
      <c r="I78" s="270" t="s">
        <v>262</v>
      </c>
      <c r="J78" s="270" t="s">
        <v>263</v>
      </c>
      <c r="K78" s="270" t="s">
        <v>264</v>
      </c>
      <c r="L78" s="270" t="s">
        <v>265</v>
      </c>
      <c r="M78" s="270" t="s">
        <v>266</v>
      </c>
      <c r="N78" s="89"/>
    </row>
    <row r="79" spans="2:14">
      <c r="B79" s="271" t="s">
        <v>260</v>
      </c>
      <c r="C79" s="272"/>
      <c r="D79" s="280">
        <f>'COSTOS DE PRODUCCIÓN'!F4*INVERSIONES!AF18</f>
        <v>408379.1661703951</v>
      </c>
      <c r="E79" s="280">
        <f>'COSTOS DE PRODUCCIÓN'!F4*INVERSIONES!AG18</f>
        <v>418588.64532465499</v>
      </c>
      <c r="F79" s="280">
        <f>'COSTOS DE PRODUCCIÓN'!F4*INVERSIONES!AH18</f>
        <v>429053.3614577711</v>
      </c>
      <c r="G79" s="280">
        <f>'COSTOS DE PRODUCCIÓN'!F4*INVERSIONES!AI18</f>
        <v>439779.69549421553</v>
      </c>
      <c r="H79" s="280">
        <f>'COSTOS DE PRODUCCIÓN'!F4*INVERSIONES!AJ18</f>
        <v>450774.18788157083</v>
      </c>
      <c r="I79" s="280">
        <f>'COSTOS DE PRODUCCIÓN'!F4*INVERSIONES!AK18</f>
        <v>462043.54257861013</v>
      </c>
      <c r="J79" s="280">
        <f>'COSTOS DE PRODUCCIÓN'!F4*INVERSIONES!AL18</f>
        <v>473594.6311430753</v>
      </c>
      <c r="K79" s="280">
        <f>'COSTOS DE PRODUCCIÓN'!F4*INVERSIONES!AM18</f>
        <v>485434.49692165223</v>
      </c>
      <c r="L79" s="280">
        <f>'COSTOS DE PRODUCCIÓN'!F4*INVERSIONES!AN18</f>
        <v>497570.35934469342</v>
      </c>
      <c r="M79" s="280">
        <f>'COSTOS DE PRODUCCIÓN'!F4*INVERSIONES!AO18</f>
        <v>510009.61832831078</v>
      </c>
      <c r="N79" s="89"/>
    </row>
    <row r="80" spans="2:14">
      <c r="B80" s="271" t="s">
        <v>261</v>
      </c>
      <c r="C80" s="272"/>
      <c r="D80" s="280">
        <f t="shared" ref="D80:M80" si="34">D81+D86</f>
        <v>413609.32317388547</v>
      </c>
      <c r="E80" s="280">
        <f t="shared" si="34"/>
        <v>413609.32317388547</v>
      </c>
      <c r="F80" s="280">
        <f t="shared" si="34"/>
        <v>413609.32317388547</v>
      </c>
      <c r="G80" s="280">
        <f t="shared" si="34"/>
        <v>413609.32317388547</v>
      </c>
      <c r="H80" s="280">
        <f t="shared" si="34"/>
        <v>413609.32317388547</v>
      </c>
      <c r="I80" s="280">
        <f t="shared" si="34"/>
        <v>413609.32317388547</v>
      </c>
      <c r="J80" s="280">
        <f t="shared" si="34"/>
        <v>413609.32317388547</v>
      </c>
      <c r="K80" s="280">
        <f t="shared" si="34"/>
        <v>413609.32317388547</v>
      </c>
      <c r="L80" s="280">
        <f t="shared" si="34"/>
        <v>413609.32317388547</v>
      </c>
      <c r="M80" s="280">
        <f t="shared" si="34"/>
        <v>413609.32317388547</v>
      </c>
      <c r="N80" s="89"/>
    </row>
    <row r="81" spans="2:14">
      <c r="B81" s="271" t="s">
        <v>246</v>
      </c>
      <c r="C81" s="273"/>
      <c r="D81" s="281">
        <f>SUM(D82:D85)</f>
        <v>338316.64317388547</v>
      </c>
      <c r="E81" s="281">
        <f t="shared" ref="E81:M81" si="35">D81</f>
        <v>338316.64317388547</v>
      </c>
      <c r="F81" s="281">
        <f t="shared" si="35"/>
        <v>338316.64317388547</v>
      </c>
      <c r="G81" s="281">
        <f t="shared" si="35"/>
        <v>338316.64317388547</v>
      </c>
      <c r="H81" s="281">
        <f t="shared" si="35"/>
        <v>338316.64317388547</v>
      </c>
      <c r="I81" s="281">
        <f t="shared" si="35"/>
        <v>338316.64317388547</v>
      </c>
      <c r="J81" s="281">
        <f t="shared" si="35"/>
        <v>338316.64317388547</v>
      </c>
      <c r="K81" s="281">
        <f t="shared" si="35"/>
        <v>338316.64317388547</v>
      </c>
      <c r="L81" s="281">
        <f t="shared" si="35"/>
        <v>338316.64317388547</v>
      </c>
      <c r="M81" s="281">
        <f t="shared" si="35"/>
        <v>338316.64317388547</v>
      </c>
      <c r="N81" s="89"/>
    </row>
    <row r="82" spans="2:14">
      <c r="B82" s="273" t="s">
        <v>322</v>
      </c>
      <c r="C82" s="273"/>
      <c r="D82" s="281">
        <f>'SUELDOS Y SALARIOS'!E16+'SUELDOS Y SALARIOS'!E33</f>
        <v>29400</v>
      </c>
      <c r="E82" s="281">
        <f t="shared" ref="E82:M82" si="36">D82</f>
        <v>29400</v>
      </c>
      <c r="F82" s="281">
        <f t="shared" si="36"/>
        <v>29400</v>
      </c>
      <c r="G82" s="281">
        <f t="shared" si="36"/>
        <v>29400</v>
      </c>
      <c r="H82" s="281">
        <f t="shared" si="36"/>
        <v>29400</v>
      </c>
      <c r="I82" s="281">
        <f t="shared" si="36"/>
        <v>29400</v>
      </c>
      <c r="J82" s="281">
        <f t="shared" si="36"/>
        <v>29400</v>
      </c>
      <c r="K82" s="281">
        <f t="shared" si="36"/>
        <v>29400</v>
      </c>
      <c r="L82" s="281">
        <f t="shared" si="36"/>
        <v>29400</v>
      </c>
      <c r="M82" s="281">
        <f t="shared" si="36"/>
        <v>29400</v>
      </c>
      <c r="N82" s="89"/>
    </row>
    <row r="83" spans="2:14">
      <c r="B83" s="273" t="s">
        <v>510</v>
      </c>
      <c r="C83" s="273"/>
      <c r="D83" s="281">
        <f>'COSTOS DE PRODUCCIÓN'!$E$60*INVERSIONES!AF18</f>
        <v>134438.95172870115</v>
      </c>
      <c r="E83" s="281">
        <f>'COSTOS DE PRODUCCIÓN'!$E$60*INVERSIONES!AG18</f>
        <v>137799.92552191869</v>
      </c>
      <c r="F83" s="281">
        <f>'COSTOS DE PRODUCCIÓN'!$E$60*INVERSIONES!AH18</f>
        <v>141244.92365996659</v>
      </c>
      <c r="G83" s="281">
        <f>'COSTOS DE PRODUCCIÓN'!$E$60*INVERSIONES!AI18</f>
        <v>144776.04675146579</v>
      </c>
      <c r="H83" s="281">
        <f>'COSTOS DE PRODUCCIÓN'!$E$60*INVERSIONES!AJ18</f>
        <v>148395.44792025239</v>
      </c>
      <c r="I83" s="281">
        <f>'COSTOS DE PRODUCCIÓN'!$E$60*INVERSIONES!AK18</f>
        <v>152105.33411825873</v>
      </c>
      <c r="J83" s="281">
        <f>'COSTOS DE PRODUCCIÓN'!$E$60*INVERSIONES!AL18</f>
        <v>155907.96747121518</v>
      </c>
      <c r="K83" s="281">
        <f>'COSTOS DE PRODUCCIÓN'!$E$60*INVERSIONES!AM18</f>
        <v>159805.66665799555</v>
      </c>
      <c r="L83" s="281">
        <f>'COSTOS DE PRODUCCIÓN'!$E$60*INVERSIONES!AN18</f>
        <v>163800.80832444542</v>
      </c>
      <c r="M83" s="281">
        <f>'COSTOS DE PRODUCCIÓN'!$E$60*INVERSIONES!AO18</f>
        <v>167895.82853255657</v>
      </c>
      <c r="N83" s="89"/>
    </row>
    <row r="84" spans="2:14">
      <c r="B84" s="273" t="s">
        <v>511</v>
      </c>
      <c r="C84" s="273"/>
      <c r="D84" s="281">
        <f>'SUELDOS Y SALARIOS'!E41+'SUELDOS Y SALARIOS'!E23</f>
        <v>25320</v>
      </c>
      <c r="E84" s="281">
        <f t="shared" ref="E84:M84" si="37">D84</f>
        <v>25320</v>
      </c>
      <c r="F84" s="281">
        <f t="shared" si="37"/>
        <v>25320</v>
      </c>
      <c r="G84" s="281">
        <f t="shared" si="37"/>
        <v>25320</v>
      </c>
      <c r="H84" s="281">
        <f t="shared" si="37"/>
        <v>25320</v>
      </c>
      <c r="I84" s="281">
        <f t="shared" si="37"/>
        <v>25320</v>
      </c>
      <c r="J84" s="281">
        <f t="shared" si="37"/>
        <v>25320</v>
      </c>
      <c r="K84" s="281">
        <f t="shared" si="37"/>
        <v>25320</v>
      </c>
      <c r="L84" s="281">
        <f t="shared" si="37"/>
        <v>25320</v>
      </c>
      <c r="M84" s="281">
        <f t="shared" si="37"/>
        <v>25320</v>
      </c>
      <c r="N84" s="89"/>
    </row>
    <row r="85" spans="2:14">
      <c r="B85" s="273" t="s">
        <v>512</v>
      </c>
      <c r="C85" s="273"/>
      <c r="D85" s="281">
        <f>'COSTOS DE PRODUCCIÓN'!$C$137*INVERSIONES!AF18</f>
        <v>149157.69144518432</v>
      </c>
      <c r="E85" s="281">
        <f>'COSTOS DE PRODUCCIÓN'!$C$137*INVERSIONES!AG18</f>
        <v>152886.63373131395</v>
      </c>
      <c r="F85" s="281">
        <f>'COSTOS DE PRODUCCIÓN'!$C$137*INVERSIONES!AH18</f>
        <v>156708.79957459669</v>
      </c>
      <c r="G85" s="281">
        <f>'COSTOS DE PRODUCCIÓN'!$C$137*INVERSIONES!AI18</f>
        <v>160626.51956396169</v>
      </c>
      <c r="H85" s="281">
        <f>'COSTOS DE PRODUCCIÓN'!$C$137*INVERSIONES!AJ18</f>
        <v>164642.18255306067</v>
      </c>
      <c r="I85" s="281">
        <f>'COSTOS DE PRODUCCIÓN'!$C$137*INVERSIONES!AK18</f>
        <v>168758.23711688721</v>
      </c>
      <c r="J85" s="281">
        <f>'COSTOS DE PRODUCCIÓN'!$C$137*INVERSIONES!AL18</f>
        <v>172977.19304480936</v>
      </c>
      <c r="K85" s="281">
        <f>'COSTOS DE PRODUCCIÓN'!$C$137*INVERSIONES!AM18</f>
        <v>177301.62287092963</v>
      </c>
      <c r="L85" s="281">
        <f>'COSTOS DE PRODUCCIÓN'!$C$137*INVERSIONES!AN18</f>
        <v>181734.16344270282</v>
      </c>
      <c r="M85" s="281">
        <f>'COSTOS DE PRODUCCIÓN'!$C$137*INVERSIONES!AO18</f>
        <v>186277.5175287704</v>
      </c>
      <c r="N85" s="89"/>
    </row>
    <row r="86" spans="2:14">
      <c r="B86" s="271" t="s">
        <v>513</v>
      </c>
      <c r="C86" s="271"/>
      <c r="D86" s="280">
        <f t="shared" ref="D86:M86" si="38">SUM(D87:D89)</f>
        <v>75292.679999999993</v>
      </c>
      <c r="E86" s="280">
        <f t="shared" si="38"/>
        <v>75292.679999999993</v>
      </c>
      <c r="F86" s="280">
        <f t="shared" si="38"/>
        <v>75292.679999999993</v>
      </c>
      <c r="G86" s="280">
        <f t="shared" si="38"/>
        <v>75292.679999999993</v>
      </c>
      <c r="H86" s="280">
        <f t="shared" si="38"/>
        <v>75292.679999999993</v>
      </c>
      <c r="I86" s="280">
        <f t="shared" si="38"/>
        <v>75292.679999999993</v>
      </c>
      <c r="J86" s="280">
        <f t="shared" si="38"/>
        <v>75292.679999999993</v>
      </c>
      <c r="K86" s="280">
        <f t="shared" si="38"/>
        <v>75292.679999999993</v>
      </c>
      <c r="L86" s="280">
        <f t="shared" si="38"/>
        <v>75292.679999999993</v>
      </c>
      <c r="M86" s="280">
        <f t="shared" si="38"/>
        <v>75292.679999999993</v>
      </c>
      <c r="N86" s="89"/>
    </row>
    <row r="87" spans="2:14">
      <c r="B87" s="273" t="s">
        <v>259</v>
      </c>
      <c r="C87" s="273"/>
      <c r="D87" s="281">
        <f>'MAQUINARIA,EQUIPO,SUMINISTR Y S'!D93+'MAQUINARIA,EQUIPO,SUMINISTR Y S'!$C$18</f>
        <v>20770.68</v>
      </c>
      <c r="E87" s="281">
        <f t="shared" ref="E87:F89" si="39">D87</f>
        <v>20770.68</v>
      </c>
      <c r="F87" s="280">
        <f t="shared" si="39"/>
        <v>20770.68</v>
      </c>
      <c r="G87" s="281">
        <f>E87</f>
        <v>20770.68</v>
      </c>
      <c r="H87" s="281">
        <f t="shared" ref="H87:M89" si="40">G87</f>
        <v>20770.68</v>
      </c>
      <c r="I87" s="281">
        <f t="shared" si="40"/>
        <v>20770.68</v>
      </c>
      <c r="J87" s="281">
        <f t="shared" si="40"/>
        <v>20770.68</v>
      </c>
      <c r="K87" s="281">
        <f t="shared" si="40"/>
        <v>20770.68</v>
      </c>
      <c r="L87" s="281">
        <f t="shared" si="40"/>
        <v>20770.68</v>
      </c>
      <c r="M87" s="281">
        <f t="shared" si="40"/>
        <v>20770.68</v>
      </c>
      <c r="N87" s="89"/>
    </row>
    <row r="88" spans="2:14">
      <c r="B88" s="272" t="s">
        <v>247</v>
      </c>
      <c r="C88" s="272"/>
      <c r="D88" s="282">
        <f>'SUELDOS Y SALARIOS'!E16+'MAQUINARIA,EQUIPO,SUMINISTR Y S'!C84+'SUELDOS Y SALARIOS'!E23+'SUELDOS Y SALARIOS'!E41+'MAQUINARIA,EQUIPO,SUMINISTR Y S'!E60</f>
        <v>36954</v>
      </c>
      <c r="E88" s="282">
        <f t="shared" si="39"/>
        <v>36954</v>
      </c>
      <c r="F88" s="280">
        <f t="shared" si="39"/>
        <v>36954</v>
      </c>
      <c r="G88" s="282">
        <f>E88</f>
        <v>36954</v>
      </c>
      <c r="H88" s="282">
        <f t="shared" si="40"/>
        <v>36954</v>
      </c>
      <c r="I88" s="282">
        <f t="shared" si="40"/>
        <v>36954</v>
      </c>
      <c r="J88" s="282">
        <f t="shared" si="40"/>
        <v>36954</v>
      </c>
      <c r="K88" s="282">
        <f t="shared" si="40"/>
        <v>36954</v>
      </c>
      <c r="L88" s="282">
        <f t="shared" si="40"/>
        <v>36954</v>
      </c>
      <c r="M88" s="282">
        <f t="shared" si="40"/>
        <v>36954</v>
      </c>
      <c r="N88" s="89"/>
    </row>
    <row r="89" spans="2:14">
      <c r="B89" s="272" t="s">
        <v>248</v>
      </c>
      <c r="C89" s="272"/>
      <c r="D89" s="282">
        <f>'MAQUINARIA,EQUIPO,SUMINISTR Y S'!G47</f>
        <v>17568</v>
      </c>
      <c r="E89" s="282">
        <f t="shared" si="39"/>
        <v>17568</v>
      </c>
      <c r="F89" s="280">
        <f t="shared" si="39"/>
        <v>17568</v>
      </c>
      <c r="G89" s="282">
        <f>E89</f>
        <v>17568</v>
      </c>
      <c r="H89" s="282">
        <f t="shared" si="40"/>
        <v>17568</v>
      </c>
      <c r="I89" s="282">
        <f t="shared" si="40"/>
        <v>17568</v>
      </c>
      <c r="J89" s="282">
        <f t="shared" si="40"/>
        <v>17568</v>
      </c>
      <c r="K89" s="282">
        <f t="shared" si="40"/>
        <v>17568</v>
      </c>
      <c r="L89" s="282">
        <f t="shared" si="40"/>
        <v>17568</v>
      </c>
      <c r="M89" s="282">
        <f t="shared" si="40"/>
        <v>17568</v>
      </c>
      <c r="N89" s="89"/>
    </row>
    <row r="90" spans="2:14">
      <c r="B90" s="271" t="s">
        <v>267</v>
      </c>
      <c r="C90" s="272"/>
      <c r="D90" s="280">
        <f>+D79-D80</f>
        <v>-5230.1570034903707</v>
      </c>
      <c r="E90" s="280">
        <f t="shared" ref="E90:M90" si="41">E79-E80</f>
        <v>4979.3221507695271</v>
      </c>
      <c r="F90" s="280">
        <f t="shared" si="41"/>
        <v>15444.038283885631</v>
      </c>
      <c r="G90" s="280">
        <f t="shared" si="41"/>
        <v>26170.372320330061</v>
      </c>
      <c r="H90" s="280">
        <f t="shared" si="41"/>
        <v>37164.864707685367</v>
      </c>
      <c r="I90" s="280">
        <f t="shared" si="41"/>
        <v>48434.219404724659</v>
      </c>
      <c r="J90" s="280">
        <f t="shared" si="41"/>
        <v>59985.307969189831</v>
      </c>
      <c r="K90" s="280">
        <f t="shared" si="41"/>
        <v>71825.173747766763</v>
      </c>
      <c r="L90" s="280">
        <f t="shared" si="41"/>
        <v>83961.036170807958</v>
      </c>
      <c r="M90" s="280">
        <f t="shared" si="41"/>
        <v>96400.295154425316</v>
      </c>
      <c r="N90" s="89"/>
    </row>
    <row r="91" spans="2:14">
      <c r="B91" s="273" t="s">
        <v>249</v>
      </c>
      <c r="C91" s="272"/>
      <c r="D91" s="282">
        <f>'AMORTIZACIÓN DE LA DEUDA'!F10</f>
        <v>7332.4750708582296</v>
      </c>
      <c r="E91" s="282">
        <f>'AMORTIZACIÓN DE LA DEUDA'!F11</f>
        <v>8212.3720793612156</v>
      </c>
      <c r="F91" s="280">
        <f>'AMORTIZACIÓN DE LA DEUDA'!F12</f>
        <v>9197.8567288845625</v>
      </c>
      <c r="G91" s="280">
        <f>'AMORTIZACIÓN DE LA DEUDA'!F13</f>
        <v>10301.59953635071</v>
      </c>
      <c r="H91" s="280">
        <f>'AMORTIZACIÓN DE LA DEUDA'!F14</f>
        <v>11537.791480712795</v>
      </c>
      <c r="I91" s="282"/>
      <c r="J91" s="282"/>
      <c r="K91" s="282"/>
      <c r="L91" s="282"/>
      <c r="M91" s="282"/>
      <c r="N91" s="89"/>
    </row>
    <row r="92" spans="2:14">
      <c r="B92" s="273" t="s">
        <v>163</v>
      </c>
      <c r="C92" s="272"/>
      <c r="D92" s="282">
        <f>DEPRECIACIONES!E10</f>
        <v>12254.333333333332</v>
      </c>
      <c r="E92" s="282">
        <f t="shared" ref="E92:M92" si="42">D92</f>
        <v>12254.333333333332</v>
      </c>
      <c r="F92" s="282">
        <f t="shared" si="42"/>
        <v>12254.333333333332</v>
      </c>
      <c r="G92" s="282">
        <f t="shared" si="42"/>
        <v>12254.333333333332</v>
      </c>
      <c r="H92" s="282">
        <f t="shared" si="42"/>
        <v>12254.333333333332</v>
      </c>
      <c r="I92" s="282">
        <f t="shared" si="42"/>
        <v>12254.333333333332</v>
      </c>
      <c r="J92" s="282">
        <f t="shared" si="42"/>
        <v>12254.333333333332</v>
      </c>
      <c r="K92" s="282">
        <f t="shared" si="42"/>
        <v>12254.333333333332</v>
      </c>
      <c r="L92" s="282">
        <f t="shared" si="42"/>
        <v>12254.333333333332</v>
      </c>
      <c r="M92" s="282">
        <f t="shared" si="42"/>
        <v>12254.333333333332</v>
      </c>
      <c r="N92" s="89"/>
    </row>
    <row r="93" spans="2:14">
      <c r="B93" s="271" t="s">
        <v>268</v>
      </c>
      <c r="C93" s="272"/>
      <c r="D93" s="280">
        <f t="shared" ref="D93:M93" si="43">+D90-D91-D92</f>
        <v>-24816.965407681932</v>
      </c>
      <c r="E93" s="280">
        <f t="shared" si="43"/>
        <v>-15487.383261925021</v>
      </c>
      <c r="F93" s="280">
        <f t="shared" si="43"/>
        <v>-6008.1517783322633</v>
      </c>
      <c r="G93" s="280">
        <f t="shared" si="43"/>
        <v>3614.4394506460194</v>
      </c>
      <c r="H93" s="280">
        <f t="shared" si="43"/>
        <v>13372.739893639238</v>
      </c>
      <c r="I93" s="280">
        <f t="shared" si="43"/>
        <v>36179.886071391331</v>
      </c>
      <c r="J93" s="280">
        <f t="shared" si="43"/>
        <v>47730.974635856503</v>
      </c>
      <c r="K93" s="280">
        <f t="shared" si="43"/>
        <v>59570.840414433434</v>
      </c>
      <c r="L93" s="280">
        <f t="shared" si="43"/>
        <v>71706.70283747463</v>
      </c>
      <c r="M93" s="280">
        <f t="shared" si="43"/>
        <v>84145.961821091987</v>
      </c>
      <c r="N93" s="89"/>
    </row>
    <row r="94" spans="2:14">
      <c r="B94" s="273" t="s">
        <v>341</v>
      </c>
      <c r="C94" s="272"/>
      <c r="D94" s="282">
        <f>'AMORTIZACIÓN DE LA DEUDA'!E10</f>
        <v>5589.851387540105</v>
      </c>
      <c r="E94" s="282">
        <f>'AMORTIZACIÓN DE LA DEUDA'!E11</f>
        <v>4709.9543790371181</v>
      </c>
      <c r="F94" s="282">
        <f>'AMORTIZACIÓN DE LA DEUDA'!E12</f>
        <v>3724.4697295137721</v>
      </c>
      <c r="G94" s="282">
        <f>'AMORTIZACIÓN DE LA DEUDA'!E13</f>
        <v>2620.7269220476246</v>
      </c>
      <c r="H94" s="282">
        <f>'AMORTIZACIÓN DE LA DEUDA'!E14</f>
        <v>1384.5349776855394</v>
      </c>
      <c r="I94" s="282"/>
      <c r="J94" s="282"/>
      <c r="K94" s="282"/>
      <c r="L94" s="282"/>
      <c r="M94" s="282"/>
      <c r="N94" s="89"/>
    </row>
    <row r="95" spans="2:14">
      <c r="B95" s="273" t="s">
        <v>250</v>
      </c>
      <c r="C95" s="272"/>
      <c r="D95" s="280">
        <f t="shared" ref="D95:M95" si="44">+D93-D94</f>
        <v>-30406.816795222036</v>
      </c>
      <c r="E95" s="280">
        <f t="shared" si="44"/>
        <v>-20197.337640962138</v>
      </c>
      <c r="F95" s="280">
        <f t="shared" si="44"/>
        <v>-9732.6215078460355</v>
      </c>
      <c r="G95" s="280">
        <f t="shared" si="44"/>
        <v>993.71252859839478</v>
      </c>
      <c r="H95" s="280">
        <f t="shared" si="44"/>
        <v>11988.204915953698</v>
      </c>
      <c r="I95" s="280">
        <f t="shared" si="44"/>
        <v>36179.886071391331</v>
      </c>
      <c r="J95" s="280">
        <f t="shared" si="44"/>
        <v>47730.974635856503</v>
      </c>
      <c r="K95" s="280">
        <f t="shared" si="44"/>
        <v>59570.840414433434</v>
      </c>
      <c r="L95" s="280">
        <f t="shared" si="44"/>
        <v>71706.70283747463</v>
      </c>
      <c r="M95" s="280">
        <f t="shared" si="44"/>
        <v>84145.961821091987</v>
      </c>
      <c r="N95" s="89"/>
    </row>
    <row r="96" spans="2:14">
      <c r="B96" s="273" t="s">
        <v>252</v>
      </c>
      <c r="C96" s="272"/>
      <c r="D96" s="282">
        <f t="shared" ref="D96:M96" si="45">D95*15%</f>
        <v>-4561.022519283305</v>
      </c>
      <c r="E96" s="282">
        <f t="shared" si="45"/>
        <v>-3029.6006461443208</v>
      </c>
      <c r="F96" s="282">
        <f t="shared" si="45"/>
        <v>-1459.8932261769053</v>
      </c>
      <c r="G96" s="282">
        <f t="shared" si="45"/>
        <v>149.05687928975922</v>
      </c>
      <c r="H96" s="282">
        <f t="shared" si="45"/>
        <v>1798.2307373930546</v>
      </c>
      <c r="I96" s="282">
        <f t="shared" si="45"/>
        <v>5426.9829107086998</v>
      </c>
      <c r="J96" s="282">
        <f t="shared" si="45"/>
        <v>7159.6461953784756</v>
      </c>
      <c r="K96" s="282">
        <f t="shared" si="45"/>
        <v>8935.6260621650144</v>
      </c>
      <c r="L96" s="282">
        <f t="shared" si="45"/>
        <v>10756.005425621193</v>
      </c>
      <c r="M96" s="282">
        <f t="shared" si="45"/>
        <v>12621.894273163798</v>
      </c>
      <c r="N96" s="89"/>
    </row>
    <row r="97" spans="2:14">
      <c r="B97" s="275" t="s">
        <v>444</v>
      </c>
      <c r="C97" s="269"/>
      <c r="D97" s="283">
        <f t="shared" ref="D97:M97" si="46">D95-D96</f>
        <v>-25845.79427593873</v>
      </c>
      <c r="E97" s="283">
        <f t="shared" si="46"/>
        <v>-17167.736994817817</v>
      </c>
      <c r="F97" s="283">
        <f t="shared" si="46"/>
        <v>-8272.7282816691295</v>
      </c>
      <c r="G97" s="283">
        <f t="shared" si="46"/>
        <v>844.65564930863559</v>
      </c>
      <c r="H97" s="283">
        <f t="shared" si="46"/>
        <v>10189.974178560644</v>
      </c>
      <c r="I97" s="283">
        <f t="shared" si="46"/>
        <v>30752.903160682632</v>
      </c>
      <c r="J97" s="283">
        <f t="shared" si="46"/>
        <v>40571.328440478028</v>
      </c>
      <c r="K97" s="283">
        <f t="shared" si="46"/>
        <v>50635.21435226842</v>
      </c>
      <c r="L97" s="283">
        <f t="shared" si="46"/>
        <v>60950.697411853434</v>
      </c>
      <c r="M97" s="283">
        <f t="shared" si="46"/>
        <v>71524.067547928193</v>
      </c>
      <c r="N97" s="89"/>
    </row>
    <row r="98" spans="2:14">
      <c r="B98" s="273" t="s">
        <v>251</v>
      </c>
      <c r="C98" s="272"/>
      <c r="D98" s="282">
        <f t="shared" ref="D98:M98" si="47">D97*25%</f>
        <v>-6461.4485689846824</v>
      </c>
      <c r="E98" s="282">
        <f t="shared" si="47"/>
        <v>-4291.9342487044541</v>
      </c>
      <c r="F98" s="282">
        <f t="shared" si="47"/>
        <v>-2068.1820704172824</v>
      </c>
      <c r="G98" s="282">
        <f t="shared" si="47"/>
        <v>211.1639123271589</v>
      </c>
      <c r="H98" s="282">
        <f t="shared" si="47"/>
        <v>2547.493544640161</v>
      </c>
      <c r="I98" s="282">
        <f t="shared" si="47"/>
        <v>7688.225790170658</v>
      </c>
      <c r="J98" s="282">
        <f t="shared" si="47"/>
        <v>10142.832110119507</v>
      </c>
      <c r="K98" s="282">
        <f t="shared" si="47"/>
        <v>12658.803588067105</v>
      </c>
      <c r="L98" s="282">
        <f t="shared" si="47"/>
        <v>15237.674352963359</v>
      </c>
      <c r="M98" s="282">
        <f t="shared" si="47"/>
        <v>17881.016886982048</v>
      </c>
      <c r="N98" s="89"/>
    </row>
    <row r="99" spans="2:14">
      <c r="B99" s="273" t="s">
        <v>253</v>
      </c>
      <c r="C99" s="272"/>
      <c r="D99" s="280">
        <f t="shared" ref="D99:M99" si="48">D97-D98</f>
        <v>-19384.345706954045</v>
      </c>
      <c r="E99" s="280">
        <f t="shared" si="48"/>
        <v>-12875.802746113362</v>
      </c>
      <c r="F99" s="280">
        <f t="shared" si="48"/>
        <v>-6204.5462112518471</v>
      </c>
      <c r="G99" s="280">
        <f t="shared" si="48"/>
        <v>633.49173698147672</v>
      </c>
      <c r="H99" s="280">
        <f t="shared" si="48"/>
        <v>7642.4806339204824</v>
      </c>
      <c r="I99" s="280">
        <f t="shared" si="48"/>
        <v>23064.677370511974</v>
      </c>
      <c r="J99" s="280">
        <f t="shared" si="48"/>
        <v>30428.496330358521</v>
      </c>
      <c r="K99" s="280">
        <f t="shared" si="48"/>
        <v>37976.410764201311</v>
      </c>
      <c r="L99" s="280">
        <f t="shared" si="48"/>
        <v>45713.023058890074</v>
      </c>
      <c r="M99" s="280">
        <f t="shared" si="48"/>
        <v>53643.050660946144</v>
      </c>
      <c r="N99" s="89"/>
    </row>
    <row r="100" spans="2:14">
      <c r="B100" s="273" t="s">
        <v>254</v>
      </c>
      <c r="C100" s="272"/>
      <c r="D100" s="282">
        <f>+D91+D92</f>
        <v>19586.808404191561</v>
      </c>
      <c r="E100" s="282">
        <f t="shared" ref="E100:M100" si="49">E91+E92</f>
        <v>20466.705412694548</v>
      </c>
      <c r="F100" s="282">
        <f t="shared" si="49"/>
        <v>21452.190062217895</v>
      </c>
      <c r="G100" s="282">
        <f t="shared" si="49"/>
        <v>22555.932869684042</v>
      </c>
      <c r="H100" s="282">
        <f t="shared" si="49"/>
        <v>23792.124814046125</v>
      </c>
      <c r="I100" s="282">
        <f t="shared" si="49"/>
        <v>12254.333333333332</v>
      </c>
      <c r="J100" s="282">
        <f t="shared" si="49"/>
        <v>12254.333333333332</v>
      </c>
      <c r="K100" s="282">
        <f t="shared" si="49"/>
        <v>12254.333333333332</v>
      </c>
      <c r="L100" s="282">
        <f t="shared" si="49"/>
        <v>12254.333333333332</v>
      </c>
      <c r="M100" s="282">
        <f t="shared" si="49"/>
        <v>12254.333333333332</v>
      </c>
      <c r="N100" s="89"/>
    </row>
    <row r="101" spans="2:14">
      <c r="B101" s="273" t="s">
        <v>255</v>
      </c>
      <c r="C101" s="272"/>
      <c r="D101" s="282">
        <f>'AMORTIZACIÓN DE LA DEUDA'!D10</f>
        <v>12922.326458398335</v>
      </c>
      <c r="E101" s="282">
        <f>D101</f>
        <v>12922.326458398335</v>
      </c>
      <c r="F101" s="282">
        <f>E101</f>
        <v>12922.326458398335</v>
      </c>
      <c r="G101" s="282">
        <f>F101</f>
        <v>12922.326458398335</v>
      </c>
      <c r="H101" s="282">
        <f>G101</f>
        <v>12922.326458398335</v>
      </c>
      <c r="I101" s="280"/>
      <c r="J101" s="282"/>
      <c r="K101" s="282"/>
      <c r="L101" s="282"/>
      <c r="M101" s="282"/>
      <c r="N101" s="89"/>
    </row>
    <row r="102" spans="2:14">
      <c r="B102" s="273" t="s">
        <v>235</v>
      </c>
      <c r="C102" s="274">
        <f>'AMORTIZACIÓN DE LA DEUDA'!C3</f>
        <v>46582.094896167546</v>
      </c>
      <c r="D102" s="283"/>
      <c r="E102" s="282"/>
      <c r="F102" s="280"/>
      <c r="G102" s="282"/>
      <c r="H102" s="282"/>
      <c r="I102" s="282"/>
      <c r="J102" s="282"/>
      <c r="K102" s="282"/>
      <c r="L102" s="282"/>
      <c r="M102" s="282"/>
      <c r="N102" s="89"/>
    </row>
    <row r="103" spans="2:14">
      <c r="B103" s="273" t="s">
        <v>256</v>
      </c>
      <c r="C103" s="274">
        <f>-INVERSIONES!C22</f>
        <v>-110489.14</v>
      </c>
      <c r="D103" s="282"/>
      <c r="E103" s="282"/>
      <c r="F103" s="280"/>
      <c r="G103" s="282"/>
      <c r="H103" s="282"/>
      <c r="I103" s="282"/>
      <c r="J103" s="282"/>
      <c r="K103" s="282"/>
      <c r="L103" s="282"/>
      <c r="M103" s="282"/>
      <c r="N103" s="89"/>
    </row>
    <row r="104" spans="2:14">
      <c r="B104" s="273" t="s">
        <v>222</v>
      </c>
      <c r="C104" s="274"/>
      <c r="D104" s="282"/>
      <c r="E104" s="282"/>
      <c r="F104" s="280"/>
      <c r="G104" s="282"/>
      <c r="H104" s="282"/>
      <c r="I104" s="282"/>
      <c r="J104" s="282"/>
      <c r="K104" s="282"/>
      <c r="L104" s="282"/>
      <c r="M104" s="282"/>
      <c r="N104" s="89"/>
    </row>
    <row r="105" spans="2:14">
      <c r="B105" s="273" t="s">
        <v>223</v>
      </c>
      <c r="C105" s="274">
        <f>-INVERSIONES!C6</f>
        <v>-5966.0972404188506</v>
      </c>
      <c r="D105" s="282"/>
      <c r="E105" s="282"/>
      <c r="F105" s="280"/>
      <c r="G105" s="282"/>
      <c r="H105" s="282"/>
      <c r="I105" s="282"/>
      <c r="J105" s="282"/>
      <c r="K105" s="282"/>
      <c r="L105" s="282"/>
      <c r="M105" s="282">
        <f>-C105</f>
        <v>5966.0972404188506</v>
      </c>
      <c r="N105" s="89"/>
    </row>
    <row r="106" spans="2:14">
      <c r="B106" s="273" t="s">
        <v>222</v>
      </c>
      <c r="C106" s="276"/>
      <c r="D106" s="282"/>
      <c r="E106" s="282"/>
      <c r="F106" s="280"/>
      <c r="G106" s="282"/>
      <c r="H106" s="282"/>
      <c r="I106" s="282"/>
      <c r="J106" s="282"/>
      <c r="K106" s="282"/>
      <c r="L106" s="282"/>
      <c r="M106" s="282">
        <f>DEPRECIACIONES!H10</f>
        <v>75945.666666666672</v>
      </c>
      <c r="N106" s="89"/>
    </row>
    <row r="107" spans="2:14">
      <c r="B107" s="273" t="s">
        <v>257</v>
      </c>
      <c r="C107" s="274">
        <f>SUM(C102:C105)</f>
        <v>-69873.142344251304</v>
      </c>
      <c r="D107" s="282">
        <f t="shared" ref="D107:M107" si="50">+D99+D100-D101+D105</f>
        <v>-12719.863761160819</v>
      </c>
      <c r="E107" s="282">
        <f t="shared" si="50"/>
        <v>-5331.4237918171493</v>
      </c>
      <c r="F107" s="282">
        <f t="shared" si="50"/>
        <v>2325.3173925677129</v>
      </c>
      <c r="G107" s="282">
        <f t="shared" si="50"/>
        <v>10267.098148267183</v>
      </c>
      <c r="H107" s="282">
        <f t="shared" si="50"/>
        <v>18512.278989568273</v>
      </c>
      <c r="I107" s="282">
        <f t="shared" si="50"/>
        <v>35319.010703845306</v>
      </c>
      <c r="J107" s="282">
        <f t="shared" si="50"/>
        <v>42682.829663691853</v>
      </c>
      <c r="K107" s="282">
        <f t="shared" si="50"/>
        <v>50230.74409753464</v>
      </c>
      <c r="L107" s="282">
        <f t="shared" si="50"/>
        <v>57967.356392223403</v>
      </c>
      <c r="M107" s="282">
        <f t="shared" si="50"/>
        <v>71863.481234698324</v>
      </c>
      <c r="N107" s="89"/>
    </row>
    <row r="108" spans="2:14">
      <c r="B108" s="271" t="s">
        <v>258</v>
      </c>
      <c r="C108" s="277">
        <f>'CÁLCULO DEL CAPM'!B14</f>
        <v>0.131961306</v>
      </c>
      <c r="D108" s="269"/>
      <c r="E108" s="269"/>
      <c r="F108" s="269"/>
      <c r="G108" s="269"/>
      <c r="H108" s="269"/>
      <c r="I108" s="269"/>
      <c r="J108" s="269"/>
      <c r="K108" s="269"/>
      <c r="L108" s="269"/>
      <c r="M108" s="269"/>
      <c r="N108" s="89"/>
    </row>
    <row r="109" spans="2:14">
      <c r="B109" s="271" t="s">
        <v>178</v>
      </c>
      <c r="C109" s="277">
        <f>IRR(C107:M107)</f>
        <v>0.17398663764359965</v>
      </c>
      <c r="D109" s="269"/>
      <c r="E109" s="278"/>
      <c r="F109" s="278"/>
      <c r="G109" s="269"/>
      <c r="H109" s="269"/>
      <c r="I109" s="269"/>
      <c r="J109" s="269"/>
      <c r="K109" s="269"/>
      <c r="L109" s="269"/>
      <c r="M109" s="269"/>
      <c r="N109" s="89"/>
    </row>
    <row r="110" spans="2:14">
      <c r="B110" s="271" t="s">
        <v>177</v>
      </c>
      <c r="C110" s="279">
        <f>NPV(C108,D107:M107)+C107</f>
        <v>25697.599615395986</v>
      </c>
      <c r="D110" s="269"/>
      <c r="E110" s="269"/>
      <c r="F110" s="269"/>
      <c r="G110" s="269"/>
      <c r="H110" s="269"/>
      <c r="I110" s="269"/>
      <c r="J110" s="269"/>
      <c r="K110" s="269"/>
      <c r="L110" s="269"/>
      <c r="M110" s="269"/>
      <c r="N110" s="89"/>
    </row>
    <row r="111" spans="2:14">
      <c r="B111" s="167"/>
      <c r="C111" s="167"/>
      <c r="D111" s="167"/>
      <c r="E111" s="167"/>
      <c r="F111" s="167"/>
      <c r="G111" s="167"/>
      <c r="H111" s="167"/>
      <c r="I111" s="167"/>
      <c r="J111" s="167"/>
      <c r="K111" s="167"/>
      <c r="L111" s="167"/>
      <c r="M111" s="167"/>
      <c r="N111" s="89"/>
    </row>
    <row r="112" spans="2:14">
      <c r="B112" s="89"/>
      <c r="C112" s="89"/>
      <c r="D112" s="89"/>
      <c r="E112" s="89"/>
      <c r="F112" s="89"/>
      <c r="G112" s="89"/>
      <c r="H112" s="89"/>
      <c r="I112" s="89"/>
      <c r="J112" s="89"/>
      <c r="K112" s="89"/>
      <c r="L112" s="89"/>
      <c r="M112" s="89"/>
      <c r="N112" s="89"/>
    </row>
    <row r="113" spans="2:14">
      <c r="B113" s="464" t="s">
        <v>100</v>
      </c>
      <c r="C113" s="464"/>
      <c r="D113" s="464"/>
      <c r="E113" s="464"/>
      <c r="F113" s="464"/>
      <c r="G113" s="464"/>
      <c r="H113" s="464"/>
      <c r="I113" s="464"/>
      <c r="J113" s="89"/>
      <c r="K113" s="89"/>
      <c r="L113" s="89"/>
      <c r="M113" s="89"/>
      <c r="N113" s="89"/>
    </row>
    <row r="114" spans="2:14">
      <c r="B114" s="269"/>
      <c r="C114" s="269"/>
      <c r="D114" s="269"/>
      <c r="E114" s="269"/>
      <c r="F114" s="269"/>
      <c r="G114" s="269"/>
      <c r="H114" s="269"/>
      <c r="I114" s="269"/>
      <c r="J114" s="269"/>
      <c r="K114" s="269"/>
      <c r="L114" s="269"/>
      <c r="M114" s="269"/>
      <c r="N114" s="89"/>
    </row>
    <row r="115" spans="2:14">
      <c r="B115" s="270" t="s">
        <v>144</v>
      </c>
      <c r="C115" s="270" t="s">
        <v>224</v>
      </c>
      <c r="D115" s="270" t="s">
        <v>242</v>
      </c>
      <c r="E115" s="270" t="s">
        <v>443</v>
      </c>
      <c r="F115" s="270" t="s">
        <v>243</v>
      </c>
      <c r="G115" s="270" t="s">
        <v>244</v>
      </c>
      <c r="H115" s="270" t="s">
        <v>245</v>
      </c>
      <c r="I115" s="270" t="s">
        <v>262</v>
      </c>
      <c r="J115" s="270" t="s">
        <v>263</v>
      </c>
      <c r="K115" s="270" t="s">
        <v>264</v>
      </c>
      <c r="L115" s="270" t="s">
        <v>265</v>
      </c>
      <c r="M115" s="270" t="s">
        <v>266</v>
      </c>
      <c r="N115" s="268"/>
    </row>
    <row r="116" spans="2:14">
      <c r="B116" s="271" t="s">
        <v>260</v>
      </c>
      <c r="C116" s="272"/>
      <c r="D116" s="280">
        <f>'COSTOS DE PRODUCCIÓN'!F4*INVERSIONES!AF18</f>
        <v>408379.1661703951</v>
      </c>
      <c r="E116" s="280">
        <f>'COSTOS DE PRODUCCIÓN'!F4*INVERSIONES!AG18</f>
        <v>418588.64532465499</v>
      </c>
      <c r="F116" s="280">
        <f>'COSTOS DE PRODUCCIÓN'!F4*INVERSIONES!AH18</f>
        <v>429053.3614577711</v>
      </c>
      <c r="G116" s="280">
        <f>'COSTOS DE PRODUCCIÓN'!F4*INVERSIONES!AI18</f>
        <v>439779.69549421553</v>
      </c>
      <c r="H116" s="280">
        <f>'COSTOS DE PRODUCCIÓN'!F4*INVERSIONES!AJ18</f>
        <v>450774.18788157083</v>
      </c>
      <c r="I116" s="280">
        <f>'COSTOS DE PRODUCCIÓN'!F4*INVERSIONES!AK18</f>
        <v>462043.54257861013</v>
      </c>
      <c r="J116" s="280">
        <f>'COSTOS DE PRODUCCIÓN'!F4*INVERSIONES!AL18</f>
        <v>473594.6311430753</v>
      </c>
      <c r="K116" s="280">
        <f>'COSTOS DE PRODUCCIÓN'!F4*INVERSIONES!AM18</f>
        <v>485434.49692165223</v>
      </c>
      <c r="L116" s="280">
        <f>'COSTOS DE PRODUCCIÓN'!F4*INVERSIONES!AN18</f>
        <v>497570.35934469342</v>
      </c>
      <c r="M116" s="280">
        <f>'COSTOS DE PRODUCCIÓN'!F4*INVERSIONES!AO18</f>
        <v>510009.61832831078</v>
      </c>
      <c r="N116" s="10"/>
    </row>
    <row r="117" spans="2:14">
      <c r="B117" s="271" t="s">
        <v>261</v>
      </c>
      <c r="C117" s="272"/>
      <c r="D117" s="280">
        <f t="shared" ref="D117:M117" si="51">D118+D123</f>
        <v>413609.32317388547</v>
      </c>
      <c r="E117" s="280">
        <f t="shared" si="51"/>
        <v>413609.32317388547</v>
      </c>
      <c r="F117" s="280">
        <f t="shared" si="51"/>
        <v>413609.32317388547</v>
      </c>
      <c r="G117" s="280">
        <f t="shared" si="51"/>
        <v>413609.32317388547</v>
      </c>
      <c r="H117" s="280">
        <f t="shared" si="51"/>
        <v>413609.32317388547</v>
      </c>
      <c r="I117" s="280">
        <f t="shared" si="51"/>
        <v>413609.32317388547</v>
      </c>
      <c r="J117" s="280">
        <f t="shared" si="51"/>
        <v>413609.32317388547</v>
      </c>
      <c r="K117" s="280">
        <f t="shared" si="51"/>
        <v>413609.32317388547</v>
      </c>
      <c r="L117" s="280">
        <f t="shared" si="51"/>
        <v>413609.32317388547</v>
      </c>
      <c r="M117" s="280">
        <f t="shared" si="51"/>
        <v>413609.32317388547</v>
      </c>
      <c r="N117" s="10"/>
    </row>
    <row r="118" spans="2:14">
      <c r="B118" s="271" t="s">
        <v>246</v>
      </c>
      <c r="C118" s="273"/>
      <c r="D118" s="281">
        <f>SUM(D119:D122)</f>
        <v>338316.64317388547</v>
      </c>
      <c r="E118" s="281">
        <f t="shared" ref="E118:M118" si="52">D118</f>
        <v>338316.64317388547</v>
      </c>
      <c r="F118" s="281">
        <f t="shared" si="52"/>
        <v>338316.64317388547</v>
      </c>
      <c r="G118" s="281">
        <f t="shared" si="52"/>
        <v>338316.64317388547</v>
      </c>
      <c r="H118" s="281">
        <f t="shared" si="52"/>
        <v>338316.64317388547</v>
      </c>
      <c r="I118" s="281">
        <f t="shared" si="52"/>
        <v>338316.64317388547</v>
      </c>
      <c r="J118" s="281">
        <f t="shared" si="52"/>
        <v>338316.64317388547</v>
      </c>
      <c r="K118" s="281">
        <f t="shared" si="52"/>
        <v>338316.64317388547</v>
      </c>
      <c r="L118" s="281">
        <f t="shared" si="52"/>
        <v>338316.64317388547</v>
      </c>
      <c r="M118" s="281">
        <f t="shared" si="52"/>
        <v>338316.64317388547</v>
      </c>
      <c r="N118" s="10"/>
    </row>
    <row r="119" spans="2:14">
      <c r="B119" s="273" t="s">
        <v>322</v>
      </c>
      <c r="C119" s="273"/>
      <c r="D119" s="281">
        <f>'SUELDOS Y SALARIOS'!E16+'SUELDOS Y SALARIOS'!E33</f>
        <v>29400</v>
      </c>
      <c r="E119" s="281">
        <f t="shared" ref="E119:M119" si="53">D119</f>
        <v>29400</v>
      </c>
      <c r="F119" s="281">
        <f t="shared" si="53"/>
        <v>29400</v>
      </c>
      <c r="G119" s="281">
        <f t="shared" si="53"/>
        <v>29400</v>
      </c>
      <c r="H119" s="281">
        <f t="shared" si="53"/>
        <v>29400</v>
      </c>
      <c r="I119" s="281">
        <f t="shared" si="53"/>
        <v>29400</v>
      </c>
      <c r="J119" s="281">
        <f t="shared" si="53"/>
        <v>29400</v>
      </c>
      <c r="K119" s="281">
        <f t="shared" si="53"/>
        <v>29400</v>
      </c>
      <c r="L119" s="281">
        <f t="shared" si="53"/>
        <v>29400</v>
      </c>
      <c r="M119" s="281">
        <f t="shared" si="53"/>
        <v>29400</v>
      </c>
      <c r="N119" s="10"/>
    </row>
    <row r="120" spans="2:14">
      <c r="B120" s="273" t="s">
        <v>510</v>
      </c>
      <c r="C120" s="273"/>
      <c r="D120" s="281">
        <f>'COSTOS DE PRODUCCIÓN'!$E$60*INVERSIONES!AF18</f>
        <v>134438.95172870115</v>
      </c>
      <c r="E120" s="281">
        <f>'COSTOS DE PRODUCCIÓN'!$E$60*INVERSIONES!AG18</f>
        <v>137799.92552191869</v>
      </c>
      <c r="F120" s="281">
        <f>'COSTOS DE PRODUCCIÓN'!$E$60*INVERSIONES!AH18</f>
        <v>141244.92365996659</v>
      </c>
      <c r="G120" s="281">
        <f>'COSTOS DE PRODUCCIÓN'!$E$60*INVERSIONES!AI18</f>
        <v>144776.04675146579</v>
      </c>
      <c r="H120" s="281">
        <f>'COSTOS DE PRODUCCIÓN'!$E$60*INVERSIONES!AJ18</f>
        <v>148395.44792025239</v>
      </c>
      <c r="I120" s="281">
        <f>'COSTOS DE PRODUCCIÓN'!$E$60*INVERSIONES!AK18</f>
        <v>152105.33411825873</v>
      </c>
      <c r="J120" s="281">
        <f>'COSTOS DE PRODUCCIÓN'!$E$60*INVERSIONES!AL18</f>
        <v>155907.96747121518</v>
      </c>
      <c r="K120" s="281">
        <f>'COSTOS DE PRODUCCIÓN'!$E$60*INVERSIONES!AM18</f>
        <v>159805.66665799555</v>
      </c>
      <c r="L120" s="281">
        <f>'COSTOS DE PRODUCCIÓN'!$E$60*INVERSIONES!AN18</f>
        <v>163800.80832444542</v>
      </c>
      <c r="M120" s="281">
        <f>'COSTOS DE PRODUCCIÓN'!$E$60*INVERSIONES!AO18</f>
        <v>167895.82853255657</v>
      </c>
      <c r="N120" s="10"/>
    </row>
    <row r="121" spans="2:14">
      <c r="B121" s="273" t="s">
        <v>511</v>
      </c>
      <c r="C121" s="273"/>
      <c r="D121" s="281">
        <f>'SUELDOS Y SALARIOS'!E41+'SUELDOS Y SALARIOS'!E23</f>
        <v>25320</v>
      </c>
      <c r="E121" s="281">
        <f t="shared" ref="E121:M121" si="54">D121</f>
        <v>25320</v>
      </c>
      <c r="F121" s="281">
        <f t="shared" si="54"/>
        <v>25320</v>
      </c>
      <c r="G121" s="281">
        <f t="shared" si="54"/>
        <v>25320</v>
      </c>
      <c r="H121" s="281">
        <f t="shared" si="54"/>
        <v>25320</v>
      </c>
      <c r="I121" s="281">
        <f t="shared" si="54"/>
        <v>25320</v>
      </c>
      <c r="J121" s="281">
        <f t="shared" si="54"/>
        <v>25320</v>
      </c>
      <c r="K121" s="281">
        <f t="shared" si="54"/>
        <v>25320</v>
      </c>
      <c r="L121" s="281">
        <f t="shared" si="54"/>
        <v>25320</v>
      </c>
      <c r="M121" s="281">
        <f t="shared" si="54"/>
        <v>25320</v>
      </c>
      <c r="N121" s="10"/>
    </row>
    <row r="122" spans="2:14">
      <c r="B122" s="273" t="s">
        <v>512</v>
      </c>
      <c r="C122" s="273"/>
      <c r="D122" s="281">
        <f>'COSTOS DE PRODUCCIÓN'!$C$137*INVERSIONES!AF18</f>
        <v>149157.69144518432</v>
      </c>
      <c r="E122" s="281">
        <f>'COSTOS DE PRODUCCIÓN'!$C$137*INVERSIONES!AG18</f>
        <v>152886.63373131395</v>
      </c>
      <c r="F122" s="281">
        <f>'COSTOS DE PRODUCCIÓN'!$C$137*INVERSIONES!AH18</f>
        <v>156708.79957459669</v>
      </c>
      <c r="G122" s="281">
        <f>'COSTOS DE PRODUCCIÓN'!$C$137*INVERSIONES!AI18</f>
        <v>160626.51956396169</v>
      </c>
      <c r="H122" s="281">
        <f>'COSTOS DE PRODUCCIÓN'!$C$137*INVERSIONES!AJ18</f>
        <v>164642.18255306067</v>
      </c>
      <c r="I122" s="281">
        <f>'COSTOS DE PRODUCCIÓN'!$C$137*INVERSIONES!AK18</f>
        <v>168758.23711688721</v>
      </c>
      <c r="J122" s="281">
        <f>'COSTOS DE PRODUCCIÓN'!$C$137*INVERSIONES!AL18</f>
        <v>172977.19304480936</v>
      </c>
      <c r="K122" s="281">
        <f>'COSTOS DE PRODUCCIÓN'!$C$137*INVERSIONES!AM18</f>
        <v>177301.62287092963</v>
      </c>
      <c r="L122" s="281">
        <f>'COSTOS DE PRODUCCIÓN'!$C$137*INVERSIONES!AN18</f>
        <v>181734.16344270282</v>
      </c>
      <c r="M122" s="281">
        <f>'COSTOS DE PRODUCCIÓN'!$C$137*INVERSIONES!AO18</f>
        <v>186277.5175287704</v>
      </c>
      <c r="N122" s="10"/>
    </row>
    <row r="123" spans="2:14">
      <c r="B123" s="271" t="s">
        <v>513</v>
      </c>
      <c r="C123" s="271"/>
      <c r="D123" s="280">
        <f t="shared" ref="D123:M123" si="55">SUM(D124:D126)</f>
        <v>75292.679999999993</v>
      </c>
      <c r="E123" s="280">
        <f t="shared" si="55"/>
        <v>75292.679999999993</v>
      </c>
      <c r="F123" s="280">
        <f t="shared" si="55"/>
        <v>75292.679999999993</v>
      </c>
      <c r="G123" s="280">
        <f t="shared" si="55"/>
        <v>75292.679999999993</v>
      </c>
      <c r="H123" s="280">
        <f t="shared" si="55"/>
        <v>75292.679999999993</v>
      </c>
      <c r="I123" s="280">
        <f t="shared" si="55"/>
        <v>75292.679999999993</v>
      </c>
      <c r="J123" s="280">
        <f t="shared" si="55"/>
        <v>75292.679999999993</v>
      </c>
      <c r="K123" s="280">
        <f t="shared" si="55"/>
        <v>75292.679999999993</v>
      </c>
      <c r="L123" s="280">
        <f t="shared" si="55"/>
        <v>75292.679999999993</v>
      </c>
      <c r="M123" s="280">
        <f t="shared" si="55"/>
        <v>75292.679999999993</v>
      </c>
      <c r="N123" s="10"/>
    </row>
    <row r="124" spans="2:14">
      <c r="B124" s="273" t="s">
        <v>259</v>
      </c>
      <c r="C124" s="273"/>
      <c r="D124" s="281">
        <f>'MAQUINARIA,EQUIPO,SUMINISTR Y S'!D93+'MAQUINARIA,EQUIPO,SUMINISTR Y S'!$C$18</f>
        <v>20770.68</v>
      </c>
      <c r="E124" s="281">
        <f t="shared" ref="E124:F126" si="56">D124</f>
        <v>20770.68</v>
      </c>
      <c r="F124" s="280">
        <f t="shared" si="56"/>
        <v>20770.68</v>
      </c>
      <c r="G124" s="281">
        <f>E124</f>
        <v>20770.68</v>
      </c>
      <c r="H124" s="281">
        <f t="shared" ref="H124:M126" si="57">G124</f>
        <v>20770.68</v>
      </c>
      <c r="I124" s="281">
        <f t="shared" si="57"/>
        <v>20770.68</v>
      </c>
      <c r="J124" s="281">
        <f t="shared" si="57"/>
        <v>20770.68</v>
      </c>
      <c r="K124" s="281">
        <f t="shared" si="57"/>
        <v>20770.68</v>
      </c>
      <c r="L124" s="281">
        <f t="shared" si="57"/>
        <v>20770.68</v>
      </c>
      <c r="M124" s="281">
        <f t="shared" si="57"/>
        <v>20770.68</v>
      </c>
      <c r="N124" s="12"/>
    </row>
    <row r="125" spans="2:14">
      <c r="B125" s="272" t="s">
        <v>247</v>
      </c>
      <c r="C125" s="272"/>
      <c r="D125" s="282">
        <f>'SUELDOS Y SALARIOS'!E16+'MAQUINARIA,EQUIPO,SUMINISTR Y S'!C84+'SUELDOS Y SALARIOS'!E23+'SUELDOS Y SALARIOS'!E41+'MAQUINARIA,EQUIPO,SUMINISTR Y S'!E60</f>
        <v>36954</v>
      </c>
      <c r="E125" s="282">
        <f t="shared" si="56"/>
        <v>36954</v>
      </c>
      <c r="F125" s="280">
        <f t="shared" si="56"/>
        <v>36954</v>
      </c>
      <c r="G125" s="282">
        <f>E125</f>
        <v>36954</v>
      </c>
      <c r="H125" s="282">
        <f t="shared" si="57"/>
        <v>36954</v>
      </c>
      <c r="I125" s="282">
        <f t="shared" si="57"/>
        <v>36954</v>
      </c>
      <c r="J125" s="282">
        <f t="shared" si="57"/>
        <v>36954</v>
      </c>
      <c r="K125" s="282">
        <f t="shared" si="57"/>
        <v>36954</v>
      </c>
      <c r="L125" s="282">
        <f t="shared" si="57"/>
        <v>36954</v>
      </c>
      <c r="M125" s="282">
        <f t="shared" si="57"/>
        <v>36954</v>
      </c>
      <c r="N125" s="95"/>
    </row>
    <row r="126" spans="2:14">
      <c r="B126" s="272" t="s">
        <v>248</v>
      </c>
      <c r="C126" s="272"/>
      <c r="D126" s="282">
        <f>'MAQUINARIA,EQUIPO,SUMINISTR Y S'!G47</f>
        <v>17568</v>
      </c>
      <c r="E126" s="282">
        <f t="shared" si="56"/>
        <v>17568</v>
      </c>
      <c r="F126" s="280">
        <f t="shared" si="56"/>
        <v>17568</v>
      </c>
      <c r="G126" s="282">
        <f>E126</f>
        <v>17568</v>
      </c>
      <c r="H126" s="282">
        <f t="shared" si="57"/>
        <v>17568</v>
      </c>
      <c r="I126" s="282">
        <f t="shared" si="57"/>
        <v>17568</v>
      </c>
      <c r="J126" s="282">
        <f t="shared" si="57"/>
        <v>17568</v>
      </c>
      <c r="K126" s="282">
        <f t="shared" si="57"/>
        <v>17568</v>
      </c>
      <c r="L126" s="282">
        <f t="shared" si="57"/>
        <v>17568</v>
      </c>
      <c r="M126" s="282">
        <f t="shared" si="57"/>
        <v>17568</v>
      </c>
      <c r="N126" s="96"/>
    </row>
    <row r="127" spans="2:14">
      <c r="B127" s="271" t="s">
        <v>267</v>
      </c>
      <c r="C127" s="272"/>
      <c r="D127" s="280">
        <f>+D116-D117</f>
        <v>-5230.1570034903707</v>
      </c>
      <c r="E127" s="280">
        <f t="shared" ref="E127:M127" si="58">E116-E117</f>
        <v>4979.3221507695271</v>
      </c>
      <c r="F127" s="280">
        <f t="shared" si="58"/>
        <v>15444.038283885631</v>
      </c>
      <c r="G127" s="280">
        <f t="shared" si="58"/>
        <v>26170.372320330061</v>
      </c>
      <c r="H127" s="280">
        <f t="shared" si="58"/>
        <v>37164.864707685367</v>
      </c>
      <c r="I127" s="280">
        <f t="shared" si="58"/>
        <v>48434.219404724659</v>
      </c>
      <c r="J127" s="280">
        <f t="shared" si="58"/>
        <v>59985.307969189831</v>
      </c>
      <c r="K127" s="280">
        <f t="shared" si="58"/>
        <v>71825.173747766763</v>
      </c>
      <c r="L127" s="280">
        <f t="shared" si="58"/>
        <v>83961.036170807958</v>
      </c>
      <c r="M127" s="280">
        <f t="shared" si="58"/>
        <v>96400.295154425316</v>
      </c>
      <c r="N127" s="83"/>
    </row>
    <row r="128" spans="2:14">
      <c r="B128" s="273" t="s">
        <v>249</v>
      </c>
      <c r="C128" s="272"/>
      <c r="D128" s="282">
        <f>'AMORTIZACIÓN DE LA DEUDA'!F10</f>
        <v>7332.4750708582296</v>
      </c>
      <c r="E128" s="282">
        <f>'AMORTIZACIÓN DE LA DEUDA'!F11</f>
        <v>8212.3720793612156</v>
      </c>
      <c r="F128" s="280">
        <f>'AMORTIZACIÓN DE LA DEUDA'!F12</f>
        <v>9197.8567288845625</v>
      </c>
      <c r="G128" s="280">
        <f>'AMORTIZACIÓN DE LA DEUDA'!F13</f>
        <v>10301.59953635071</v>
      </c>
      <c r="H128" s="280">
        <f>'AMORTIZACIÓN DE LA DEUDA'!F14</f>
        <v>11537.791480712795</v>
      </c>
      <c r="I128" s="282"/>
      <c r="J128" s="282"/>
      <c r="K128" s="282"/>
      <c r="L128" s="282"/>
      <c r="M128" s="282"/>
      <c r="N128" s="95"/>
    </row>
    <row r="129" spans="2:14">
      <c r="B129" s="273" t="s">
        <v>163</v>
      </c>
      <c r="C129" s="272"/>
      <c r="D129" s="282">
        <f>DEPRECIACIONES!E10</f>
        <v>12254.333333333332</v>
      </c>
      <c r="E129" s="282">
        <f t="shared" ref="E129:M129" si="59">D129</f>
        <v>12254.333333333332</v>
      </c>
      <c r="F129" s="282">
        <f t="shared" si="59"/>
        <v>12254.333333333332</v>
      </c>
      <c r="G129" s="282">
        <f t="shared" si="59"/>
        <v>12254.333333333332</v>
      </c>
      <c r="H129" s="282">
        <f t="shared" si="59"/>
        <v>12254.333333333332</v>
      </c>
      <c r="I129" s="282">
        <f t="shared" si="59"/>
        <v>12254.333333333332</v>
      </c>
      <c r="J129" s="282">
        <f t="shared" si="59"/>
        <v>12254.333333333332</v>
      </c>
      <c r="K129" s="282">
        <f t="shared" si="59"/>
        <v>12254.333333333332</v>
      </c>
      <c r="L129" s="282">
        <f t="shared" si="59"/>
        <v>12254.333333333332</v>
      </c>
      <c r="M129" s="282">
        <f t="shared" si="59"/>
        <v>12254.333333333332</v>
      </c>
      <c r="N129" s="95"/>
    </row>
    <row r="130" spans="2:14">
      <c r="B130" s="271" t="s">
        <v>268</v>
      </c>
      <c r="C130" s="272"/>
      <c r="D130" s="280">
        <f t="shared" ref="D130:M130" si="60">+D127-D128-D129</f>
        <v>-24816.965407681932</v>
      </c>
      <c r="E130" s="280">
        <f t="shared" si="60"/>
        <v>-15487.383261925021</v>
      </c>
      <c r="F130" s="280">
        <f t="shared" si="60"/>
        <v>-6008.1517783322633</v>
      </c>
      <c r="G130" s="280">
        <f t="shared" si="60"/>
        <v>3614.4394506460194</v>
      </c>
      <c r="H130" s="280">
        <f t="shared" si="60"/>
        <v>13372.739893639238</v>
      </c>
      <c r="I130" s="280">
        <f t="shared" si="60"/>
        <v>36179.886071391331</v>
      </c>
      <c r="J130" s="280">
        <f t="shared" si="60"/>
        <v>47730.974635856503</v>
      </c>
      <c r="K130" s="280">
        <f t="shared" si="60"/>
        <v>59570.840414433434</v>
      </c>
      <c r="L130" s="280">
        <f t="shared" si="60"/>
        <v>71706.70283747463</v>
      </c>
      <c r="M130" s="280">
        <f t="shared" si="60"/>
        <v>84145.961821091987</v>
      </c>
      <c r="N130" s="10"/>
    </row>
    <row r="131" spans="2:14">
      <c r="B131" s="273" t="s">
        <v>341</v>
      </c>
      <c r="C131" s="272"/>
      <c r="D131" s="282">
        <f>'AMORTIZACIÓN DE LA DEUDA'!E10</f>
        <v>5589.851387540105</v>
      </c>
      <c r="E131" s="282">
        <f>'AMORTIZACIÓN DE LA DEUDA'!E11</f>
        <v>4709.9543790371181</v>
      </c>
      <c r="F131" s="282">
        <f>'AMORTIZACIÓN DE LA DEUDA'!E12</f>
        <v>3724.4697295137721</v>
      </c>
      <c r="G131" s="282">
        <f>'AMORTIZACIÓN DE LA DEUDA'!E13</f>
        <v>2620.7269220476246</v>
      </c>
      <c r="H131" s="282">
        <f>'AMORTIZACIÓN DE LA DEUDA'!E14</f>
        <v>1384.5349776855394</v>
      </c>
      <c r="I131" s="282"/>
      <c r="J131" s="282"/>
      <c r="K131" s="282"/>
      <c r="L131" s="282"/>
      <c r="M131" s="282"/>
      <c r="N131" s="95"/>
    </row>
    <row r="132" spans="2:14">
      <c r="B132" s="273" t="s">
        <v>250</v>
      </c>
      <c r="C132" s="272"/>
      <c r="D132" s="280">
        <f t="shared" ref="D132:M132" si="61">+D130-D131</f>
        <v>-30406.816795222036</v>
      </c>
      <c r="E132" s="280">
        <f t="shared" si="61"/>
        <v>-20197.337640962138</v>
      </c>
      <c r="F132" s="280">
        <f t="shared" si="61"/>
        <v>-9732.6215078460355</v>
      </c>
      <c r="G132" s="280">
        <f t="shared" si="61"/>
        <v>993.71252859839478</v>
      </c>
      <c r="H132" s="280">
        <f t="shared" si="61"/>
        <v>11988.204915953698</v>
      </c>
      <c r="I132" s="280">
        <f t="shared" si="61"/>
        <v>36179.886071391331</v>
      </c>
      <c r="J132" s="280">
        <f t="shared" si="61"/>
        <v>47730.974635856503</v>
      </c>
      <c r="K132" s="280">
        <f t="shared" si="61"/>
        <v>59570.840414433434</v>
      </c>
      <c r="L132" s="280">
        <f t="shared" si="61"/>
        <v>71706.70283747463</v>
      </c>
      <c r="M132" s="280">
        <f t="shared" si="61"/>
        <v>84145.961821091987</v>
      </c>
      <c r="N132" s="10"/>
    </row>
    <row r="133" spans="2:14">
      <c r="B133" s="273" t="s">
        <v>252</v>
      </c>
      <c r="C133" s="272"/>
      <c r="D133" s="282">
        <f t="shared" ref="D133:M133" si="62">D132*15%</f>
        <v>-4561.022519283305</v>
      </c>
      <c r="E133" s="282">
        <f t="shared" si="62"/>
        <v>-3029.6006461443208</v>
      </c>
      <c r="F133" s="282">
        <f t="shared" si="62"/>
        <v>-1459.8932261769053</v>
      </c>
      <c r="G133" s="282">
        <f t="shared" si="62"/>
        <v>149.05687928975922</v>
      </c>
      <c r="H133" s="282">
        <f t="shared" si="62"/>
        <v>1798.2307373930546</v>
      </c>
      <c r="I133" s="282">
        <f t="shared" si="62"/>
        <v>5426.9829107086998</v>
      </c>
      <c r="J133" s="282">
        <f t="shared" si="62"/>
        <v>7159.6461953784756</v>
      </c>
      <c r="K133" s="282">
        <f t="shared" si="62"/>
        <v>8935.6260621650144</v>
      </c>
      <c r="L133" s="282">
        <f t="shared" si="62"/>
        <v>10756.005425621193</v>
      </c>
      <c r="M133" s="282">
        <f t="shared" si="62"/>
        <v>12621.894273163798</v>
      </c>
      <c r="N133" s="10"/>
    </row>
    <row r="134" spans="2:14">
      <c r="B134" s="275" t="s">
        <v>444</v>
      </c>
      <c r="C134" s="269"/>
      <c r="D134" s="283">
        <f t="shared" ref="D134:M134" si="63">D132-D133</f>
        <v>-25845.79427593873</v>
      </c>
      <c r="E134" s="283">
        <f t="shared" si="63"/>
        <v>-17167.736994817817</v>
      </c>
      <c r="F134" s="283">
        <f t="shared" si="63"/>
        <v>-8272.7282816691295</v>
      </c>
      <c r="G134" s="283">
        <f t="shared" si="63"/>
        <v>844.65564930863559</v>
      </c>
      <c r="H134" s="283">
        <f t="shared" si="63"/>
        <v>10189.974178560644</v>
      </c>
      <c r="I134" s="283">
        <f t="shared" si="63"/>
        <v>30752.903160682632</v>
      </c>
      <c r="J134" s="283">
        <f t="shared" si="63"/>
        <v>40571.328440478028</v>
      </c>
      <c r="K134" s="283">
        <f t="shared" si="63"/>
        <v>50635.21435226842</v>
      </c>
      <c r="L134" s="283">
        <f t="shared" si="63"/>
        <v>60950.697411853434</v>
      </c>
      <c r="M134" s="283">
        <f t="shared" si="63"/>
        <v>71524.067547928193</v>
      </c>
      <c r="N134" s="96"/>
    </row>
    <row r="135" spans="2:14">
      <c r="B135" s="273" t="s">
        <v>251</v>
      </c>
      <c r="C135" s="272"/>
      <c r="D135" s="282">
        <f t="shared" ref="D135:M135" si="64">D134*25%</f>
        <v>-6461.4485689846824</v>
      </c>
      <c r="E135" s="282">
        <f t="shared" si="64"/>
        <v>-4291.9342487044541</v>
      </c>
      <c r="F135" s="282">
        <f t="shared" si="64"/>
        <v>-2068.1820704172824</v>
      </c>
      <c r="G135" s="282">
        <f t="shared" si="64"/>
        <v>211.1639123271589</v>
      </c>
      <c r="H135" s="282">
        <f t="shared" si="64"/>
        <v>2547.493544640161</v>
      </c>
      <c r="I135" s="282">
        <f t="shared" si="64"/>
        <v>7688.225790170658</v>
      </c>
      <c r="J135" s="282">
        <f t="shared" si="64"/>
        <v>10142.832110119507</v>
      </c>
      <c r="K135" s="282">
        <f t="shared" si="64"/>
        <v>12658.803588067105</v>
      </c>
      <c r="L135" s="282">
        <f t="shared" si="64"/>
        <v>15237.674352963359</v>
      </c>
      <c r="M135" s="282">
        <f t="shared" si="64"/>
        <v>17881.016886982048</v>
      </c>
      <c r="N135" s="96"/>
    </row>
    <row r="136" spans="2:14">
      <c r="B136" s="273" t="s">
        <v>253</v>
      </c>
      <c r="C136" s="272"/>
      <c r="D136" s="280">
        <f t="shared" ref="D136:M136" si="65">D134-D135</f>
        <v>-19384.345706954045</v>
      </c>
      <c r="E136" s="280">
        <f t="shared" si="65"/>
        <v>-12875.802746113362</v>
      </c>
      <c r="F136" s="280">
        <f t="shared" si="65"/>
        <v>-6204.5462112518471</v>
      </c>
      <c r="G136" s="280">
        <f t="shared" si="65"/>
        <v>633.49173698147672</v>
      </c>
      <c r="H136" s="280">
        <f t="shared" si="65"/>
        <v>7642.4806339204824</v>
      </c>
      <c r="I136" s="280">
        <f t="shared" si="65"/>
        <v>23064.677370511974</v>
      </c>
      <c r="J136" s="280">
        <f t="shared" si="65"/>
        <v>30428.496330358521</v>
      </c>
      <c r="K136" s="280">
        <f t="shared" si="65"/>
        <v>37976.410764201311</v>
      </c>
      <c r="L136" s="280">
        <f t="shared" si="65"/>
        <v>45713.023058890074</v>
      </c>
      <c r="M136" s="280">
        <f t="shared" si="65"/>
        <v>53643.050660946144</v>
      </c>
      <c r="N136" s="10"/>
    </row>
    <row r="137" spans="2:14">
      <c r="B137" s="273" t="s">
        <v>254</v>
      </c>
      <c r="C137" s="272"/>
      <c r="D137" s="282">
        <f>+D128+D129</f>
        <v>19586.808404191561</v>
      </c>
      <c r="E137" s="282">
        <f t="shared" ref="E137:M137" si="66">E128+E129</f>
        <v>20466.705412694548</v>
      </c>
      <c r="F137" s="282">
        <f t="shared" si="66"/>
        <v>21452.190062217895</v>
      </c>
      <c r="G137" s="282">
        <f t="shared" si="66"/>
        <v>22555.932869684042</v>
      </c>
      <c r="H137" s="282">
        <f t="shared" si="66"/>
        <v>23792.124814046125</v>
      </c>
      <c r="I137" s="282">
        <f t="shared" si="66"/>
        <v>12254.333333333332</v>
      </c>
      <c r="J137" s="282">
        <f t="shared" si="66"/>
        <v>12254.333333333332</v>
      </c>
      <c r="K137" s="282">
        <f t="shared" si="66"/>
        <v>12254.333333333332</v>
      </c>
      <c r="L137" s="282">
        <f t="shared" si="66"/>
        <v>12254.333333333332</v>
      </c>
      <c r="M137" s="282">
        <f t="shared" si="66"/>
        <v>12254.333333333332</v>
      </c>
      <c r="N137" s="95"/>
    </row>
    <row r="138" spans="2:14">
      <c r="B138" s="273" t="s">
        <v>255</v>
      </c>
      <c r="C138" s="272"/>
      <c r="D138" s="282">
        <f>'AMORTIZACIÓN DE LA DEUDA'!D10</f>
        <v>12922.326458398335</v>
      </c>
      <c r="E138" s="282">
        <f>D138</f>
        <v>12922.326458398335</v>
      </c>
      <c r="F138" s="282">
        <f>E138</f>
        <v>12922.326458398335</v>
      </c>
      <c r="G138" s="282">
        <f>F138</f>
        <v>12922.326458398335</v>
      </c>
      <c r="H138" s="282">
        <f>G138</f>
        <v>12922.326458398335</v>
      </c>
      <c r="I138" s="280"/>
      <c r="J138" s="282"/>
      <c r="K138" s="282"/>
      <c r="L138" s="282"/>
      <c r="M138" s="282"/>
      <c r="N138" s="95"/>
    </row>
    <row r="139" spans="2:14">
      <c r="B139" s="273" t="s">
        <v>235</v>
      </c>
      <c r="C139" s="274">
        <f>'AMORTIZACIÓN DE LA DEUDA'!C3</f>
        <v>46582.094896167546</v>
      </c>
      <c r="D139" s="283"/>
      <c r="E139" s="282"/>
      <c r="F139" s="280"/>
      <c r="G139" s="282"/>
      <c r="H139" s="282"/>
      <c r="I139" s="282"/>
      <c r="J139" s="282"/>
      <c r="K139" s="282"/>
      <c r="L139" s="282"/>
      <c r="M139" s="282"/>
      <c r="N139" s="96"/>
    </row>
    <row r="140" spans="2:14">
      <c r="B140" s="273" t="s">
        <v>256</v>
      </c>
      <c r="C140" s="274">
        <f>-INVERSIONES!C22</f>
        <v>-110489.14</v>
      </c>
      <c r="D140" s="282"/>
      <c r="E140" s="282"/>
      <c r="F140" s="280"/>
      <c r="G140" s="282"/>
      <c r="H140" s="282"/>
      <c r="I140" s="282"/>
      <c r="J140" s="282"/>
      <c r="K140" s="282"/>
      <c r="L140" s="282"/>
      <c r="M140" s="282"/>
      <c r="N140" s="96"/>
    </row>
    <row r="141" spans="2:14">
      <c r="B141" s="273" t="s">
        <v>222</v>
      </c>
      <c r="C141" s="274"/>
      <c r="D141" s="282"/>
      <c r="E141" s="282"/>
      <c r="F141" s="280"/>
      <c r="G141" s="282"/>
      <c r="H141" s="282"/>
      <c r="I141" s="282"/>
      <c r="J141" s="282"/>
      <c r="K141" s="282"/>
      <c r="L141" s="282"/>
      <c r="M141" s="282"/>
      <c r="N141" s="95"/>
    </row>
    <row r="142" spans="2:14">
      <c r="B142" s="273" t="s">
        <v>223</v>
      </c>
      <c r="C142" s="274">
        <f>-INVERSIONES!C6</f>
        <v>-5966.0972404188506</v>
      </c>
      <c r="D142" s="282"/>
      <c r="E142" s="282"/>
      <c r="F142" s="280"/>
      <c r="G142" s="282"/>
      <c r="H142" s="282"/>
      <c r="I142" s="282"/>
      <c r="J142" s="282"/>
      <c r="K142" s="282"/>
      <c r="L142" s="282"/>
      <c r="M142" s="282">
        <f>-C142</f>
        <v>5966.0972404188506</v>
      </c>
      <c r="N142" s="96"/>
    </row>
    <row r="143" spans="2:14">
      <c r="B143" s="273" t="s">
        <v>222</v>
      </c>
      <c r="C143" s="276"/>
      <c r="D143" s="282"/>
      <c r="E143" s="282"/>
      <c r="F143" s="280"/>
      <c r="G143" s="282"/>
      <c r="H143" s="282"/>
      <c r="I143" s="282"/>
      <c r="J143" s="282"/>
      <c r="K143" s="282"/>
      <c r="L143" s="282"/>
      <c r="M143" s="282">
        <f>DEPRECIACIONES!H10</f>
        <v>75945.666666666672</v>
      </c>
      <c r="N143" s="95"/>
    </row>
    <row r="144" spans="2:14">
      <c r="B144" s="273" t="s">
        <v>257</v>
      </c>
      <c r="C144" s="274">
        <f>SUM(C139:C142)</f>
        <v>-69873.142344251304</v>
      </c>
      <c r="D144" s="282">
        <f t="shared" ref="D144:M144" si="67">+D136+D137-D138+D142</f>
        <v>-12719.863761160819</v>
      </c>
      <c r="E144" s="282">
        <f t="shared" si="67"/>
        <v>-5331.4237918171493</v>
      </c>
      <c r="F144" s="282">
        <f t="shared" si="67"/>
        <v>2325.3173925677129</v>
      </c>
      <c r="G144" s="282">
        <f t="shared" si="67"/>
        <v>10267.098148267183</v>
      </c>
      <c r="H144" s="282">
        <f t="shared" si="67"/>
        <v>18512.278989568273</v>
      </c>
      <c r="I144" s="282">
        <f t="shared" si="67"/>
        <v>35319.010703845306</v>
      </c>
      <c r="J144" s="282">
        <f t="shared" si="67"/>
        <v>42682.829663691853</v>
      </c>
      <c r="K144" s="282">
        <f t="shared" si="67"/>
        <v>50230.74409753464</v>
      </c>
      <c r="L144" s="282">
        <f t="shared" si="67"/>
        <v>57967.356392223403</v>
      </c>
      <c r="M144" s="282">
        <f t="shared" si="67"/>
        <v>71863.481234698324</v>
      </c>
      <c r="N144" s="95"/>
    </row>
    <row r="145" spans="2:14">
      <c r="B145" s="271" t="s">
        <v>258</v>
      </c>
      <c r="C145" s="277">
        <v>0.15</v>
      </c>
      <c r="D145" s="269"/>
      <c r="E145" s="269"/>
      <c r="F145" s="269"/>
      <c r="G145" s="269"/>
      <c r="H145" s="269"/>
      <c r="I145" s="269"/>
      <c r="J145" s="269"/>
      <c r="K145" s="269"/>
      <c r="L145" s="269"/>
      <c r="M145" s="269"/>
      <c r="N145" s="89"/>
    </row>
    <row r="146" spans="2:14">
      <c r="B146" s="271" t="s">
        <v>178</v>
      </c>
      <c r="C146" s="277">
        <f>IRR(C144:M144)</f>
        <v>0.17398663764359965</v>
      </c>
      <c r="D146" s="269"/>
      <c r="E146" s="278"/>
      <c r="F146" s="278"/>
      <c r="G146" s="269"/>
      <c r="H146" s="269"/>
      <c r="I146" s="269"/>
      <c r="J146" s="269"/>
      <c r="K146" s="269"/>
      <c r="L146" s="269"/>
      <c r="M146" s="269"/>
      <c r="N146" s="89"/>
    </row>
    <row r="147" spans="2:14">
      <c r="B147" s="271" t="s">
        <v>177</v>
      </c>
      <c r="C147" s="279">
        <f>NPV(C145,D144:M144)+C144</f>
        <v>13615.292283969655</v>
      </c>
      <c r="D147" s="269"/>
      <c r="E147" s="269"/>
      <c r="F147" s="269"/>
      <c r="G147" s="269"/>
      <c r="H147" s="269"/>
      <c r="I147" s="269"/>
      <c r="J147" s="269"/>
      <c r="K147" s="269"/>
      <c r="L147" s="269"/>
      <c r="M147" s="269"/>
      <c r="N147" s="89"/>
    </row>
    <row r="148" spans="2:14">
      <c r="B148" s="167"/>
      <c r="C148" s="167"/>
      <c r="D148" s="167"/>
      <c r="E148" s="167"/>
      <c r="F148" s="167"/>
      <c r="G148" s="167"/>
      <c r="H148" s="167"/>
      <c r="I148" s="167"/>
      <c r="J148" s="167"/>
      <c r="K148" s="167"/>
      <c r="L148" s="167"/>
      <c r="M148" s="167"/>
      <c r="N148" s="89"/>
    </row>
    <row r="149" spans="2:14">
      <c r="B149" s="87"/>
      <c r="C149" s="93"/>
      <c r="D149" s="93"/>
      <c r="E149" s="93"/>
      <c r="F149" s="93"/>
      <c r="G149" s="93"/>
      <c r="H149" s="89"/>
      <c r="I149" s="89"/>
      <c r="J149" s="89"/>
      <c r="K149" s="89"/>
      <c r="L149" s="89"/>
      <c r="M149" s="89"/>
      <c r="N149" s="89"/>
    </row>
    <row r="150" spans="2:14">
      <c r="B150" s="464" t="s">
        <v>100</v>
      </c>
      <c r="C150" s="464"/>
      <c r="D150" s="464"/>
      <c r="E150" s="464"/>
      <c r="F150" s="464"/>
      <c r="G150" s="464"/>
      <c r="H150" s="464"/>
      <c r="I150" s="464"/>
      <c r="J150" s="89"/>
      <c r="K150" s="89"/>
      <c r="L150" s="89"/>
      <c r="M150" s="89"/>
      <c r="N150" s="89"/>
    </row>
    <row r="151" spans="2:14">
      <c r="B151" s="269"/>
      <c r="C151" s="269"/>
      <c r="D151" s="269"/>
      <c r="E151" s="269"/>
      <c r="F151" s="269"/>
      <c r="G151" s="269"/>
      <c r="H151" s="269"/>
      <c r="I151" s="269"/>
      <c r="J151" s="269"/>
      <c r="K151" s="269"/>
      <c r="L151" s="269"/>
      <c r="M151" s="269"/>
      <c r="N151" s="89"/>
    </row>
    <row r="152" spans="2:14">
      <c r="B152" s="270" t="s">
        <v>144</v>
      </c>
      <c r="C152" s="270" t="s">
        <v>224</v>
      </c>
      <c r="D152" s="270" t="s">
        <v>242</v>
      </c>
      <c r="E152" s="270" t="s">
        <v>443</v>
      </c>
      <c r="F152" s="270" t="s">
        <v>243</v>
      </c>
      <c r="G152" s="270" t="s">
        <v>244</v>
      </c>
      <c r="H152" s="270" t="s">
        <v>245</v>
      </c>
      <c r="I152" s="270" t="s">
        <v>262</v>
      </c>
      <c r="J152" s="270" t="s">
        <v>263</v>
      </c>
      <c r="K152" s="270" t="s">
        <v>264</v>
      </c>
      <c r="L152" s="270" t="s">
        <v>265</v>
      </c>
      <c r="M152" s="270" t="s">
        <v>266</v>
      </c>
      <c r="N152" s="268"/>
    </row>
    <row r="153" spans="2:14">
      <c r="B153" s="271" t="s">
        <v>260</v>
      </c>
      <c r="C153" s="272"/>
      <c r="D153" s="280">
        <f>'COSTOS DE PRODUCCIÓN'!F4*INVERSIONES!AF18</f>
        <v>408379.1661703951</v>
      </c>
      <c r="E153" s="280">
        <f>'COSTOS DE PRODUCCIÓN'!F4*INVERSIONES!AG18</f>
        <v>418588.64532465499</v>
      </c>
      <c r="F153" s="280">
        <f>'COSTOS DE PRODUCCIÓN'!F4*INVERSIONES!AH18</f>
        <v>429053.3614577711</v>
      </c>
      <c r="G153" s="280">
        <f>'COSTOS DE PRODUCCIÓN'!F4*INVERSIONES!AI18</f>
        <v>439779.69549421553</v>
      </c>
      <c r="H153" s="280">
        <f>'COSTOS DE PRODUCCIÓN'!F4*INVERSIONES!AJ18</f>
        <v>450774.18788157083</v>
      </c>
      <c r="I153" s="280">
        <f>'COSTOS DE PRODUCCIÓN'!F4*INVERSIONES!AK18</f>
        <v>462043.54257861013</v>
      </c>
      <c r="J153" s="280">
        <f>'COSTOS DE PRODUCCIÓN'!F4*INVERSIONES!AL18</f>
        <v>473594.6311430753</v>
      </c>
      <c r="K153" s="280">
        <f>'COSTOS DE PRODUCCIÓN'!F4*INVERSIONES!AM18</f>
        <v>485434.49692165223</v>
      </c>
      <c r="L153" s="280">
        <f>'COSTOS DE PRODUCCIÓN'!F4*INVERSIONES!AN18</f>
        <v>497570.35934469342</v>
      </c>
      <c r="M153" s="280">
        <f>'COSTOS DE PRODUCCIÓN'!F4*INVERSIONES!AO18</f>
        <v>510009.61832831078</v>
      </c>
      <c r="N153" s="10"/>
    </row>
    <row r="154" spans="2:14">
      <c r="B154" s="271" t="s">
        <v>261</v>
      </c>
      <c r="C154" s="272"/>
      <c r="D154" s="280">
        <f t="shared" ref="D154:M154" si="68">D155+D160</f>
        <v>413609.32317388547</v>
      </c>
      <c r="E154" s="280">
        <f t="shared" si="68"/>
        <v>413609.32317388547</v>
      </c>
      <c r="F154" s="280">
        <f t="shared" si="68"/>
        <v>413609.32317388547</v>
      </c>
      <c r="G154" s="280">
        <f t="shared" si="68"/>
        <v>413609.32317388547</v>
      </c>
      <c r="H154" s="280">
        <f t="shared" si="68"/>
        <v>413609.32317388547</v>
      </c>
      <c r="I154" s="280">
        <f t="shared" si="68"/>
        <v>413609.32317388547</v>
      </c>
      <c r="J154" s="280">
        <f t="shared" si="68"/>
        <v>413609.32317388547</v>
      </c>
      <c r="K154" s="280">
        <f t="shared" si="68"/>
        <v>413609.32317388547</v>
      </c>
      <c r="L154" s="280">
        <f t="shared" si="68"/>
        <v>413609.32317388547</v>
      </c>
      <c r="M154" s="280">
        <f t="shared" si="68"/>
        <v>413609.32317388547</v>
      </c>
      <c r="N154" s="10"/>
    </row>
    <row r="155" spans="2:14">
      <c r="B155" s="271" t="s">
        <v>246</v>
      </c>
      <c r="C155" s="273"/>
      <c r="D155" s="281">
        <f>SUM(D156:D159)</f>
        <v>338316.64317388547</v>
      </c>
      <c r="E155" s="281">
        <f t="shared" ref="E155:M155" si="69">D155</f>
        <v>338316.64317388547</v>
      </c>
      <c r="F155" s="281">
        <f t="shared" si="69"/>
        <v>338316.64317388547</v>
      </c>
      <c r="G155" s="281">
        <f t="shared" si="69"/>
        <v>338316.64317388547</v>
      </c>
      <c r="H155" s="281">
        <f t="shared" si="69"/>
        <v>338316.64317388547</v>
      </c>
      <c r="I155" s="281">
        <f t="shared" si="69"/>
        <v>338316.64317388547</v>
      </c>
      <c r="J155" s="281">
        <f t="shared" si="69"/>
        <v>338316.64317388547</v>
      </c>
      <c r="K155" s="281">
        <f t="shared" si="69"/>
        <v>338316.64317388547</v>
      </c>
      <c r="L155" s="281">
        <f t="shared" si="69"/>
        <v>338316.64317388547</v>
      </c>
      <c r="M155" s="281">
        <f t="shared" si="69"/>
        <v>338316.64317388547</v>
      </c>
      <c r="N155" s="10"/>
    </row>
    <row r="156" spans="2:14">
      <c r="B156" s="273" t="s">
        <v>322</v>
      </c>
      <c r="C156" s="273"/>
      <c r="D156" s="281">
        <f>'SUELDOS Y SALARIOS'!E16+'SUELDOS Y SALARIOS'!E33</f>
        <v>29400</v>
      </c>
      <c r="E156" s="281">
        <f t="shared" ref="E156:M156" si="70">D156</f>
        <v>29400</v>
      </c>
      <c r="F156" s="281">
        <f t="shared" si="70"/>
        <v>29400</v>
      </c>
      <c r="G156" s="281">
        <f t="shared" si="70"/>
        <v>29400</v>
      </c>
      <c r="H156" s="281">
        <f t="shared" si="70"/>
        <v>29400</v>
      </c>
      <c r="I156" s="281">
        <f t="shared" si="70"/>
        <v>29400</v>
      </c>
      <c r="J156" s="281">
        <f t="shared" si="70"/>
        <v>29400</v>
      </c>
      <c r="K156" s="281">
        <f t="shared" si="70"/>
        <v>29400</v>
      </c>
      <c r="L156" s="281">
        <f t="shared" si="70"/>
        <v>29400</v>
      </c>
      <c r="M156" s="281">
        <f t="shared" si="70"/>
        <v>29400</v>
      </c>
      <c r="N156" s="10"/>
    </row>
    <row r="157" spans="2:14">
      <c r="B157" s="273" t="s">
        <v>510</v>
      </c>
      <c r="C157" s="273"/>
      <c r="D157" s="281">
        <f>'COSTOS DE PRODUCCIÓN'!$E$60*INVERSIONES!AF18</f>
        <v>134438.95172870115</v>
      </c>
      <c r="E157" s="281">
        <f>'COSTOS DE PRODUCCIÓN'!$E$60*INVERSIONES!AG18</f>
        <v>137799.92552191869</v>
      </c>
      <c r="F157" s="281">
        <f>'COSTOS DE PRODUCCIÓN'!$E$60*INVERSIONES!AH18</f>
        <v>141244.92365996659</v>
      </c>
      <c r="G157" s="281">
        <f>'COSTOS DE PRODUCCIÓN'!$E$60*INVERSIONES!AI18</f>
        <v>144776.04675146579</v>
      </c>
      <c r="H157" s="281">
        <f>'COSTOS DE PRODUCCIÓN'!$E$60*INVERSIONES!AJ18</f>
        <v>148395.44792025239</v>
      </c>
      <c r="I157" s="281">
        <f>'COSTOS DE PRODUCCIÓN'!$E$60*INVERSIONES!AK18</f>
        <v>152105.33411825873</v>
      </c>
      <c r="J157" s="281">
        <f>'COSTOS DE PRODUCCIÓN'!$E$60*INVERSIONES!AL18</f>
        <v>155907.96747121518</v>
      </c>
      <c r="K157" s="281">
        <f>'COSTOS DE PRODUCCIÓN'!$E$60*INVERSIONES!AM18</f>
        <v>159805.66665799555</v>
      </c>
      <c r="L157" s="281">
        <f>'COSTOS DE PRODUCCIÓN'!$E$60*INVERSIONES!AN18</f>
        <v>163800.80832444542</v>
      </c>
      <c r="M157" s="281">
        <f>'COSTOS DE PRODUCCIÓN'!$E$60*INVERSIONES!AO18</f>
        <v>167895.82853255657</v>
      </c>
      <c r="N157" s="10"/>
    </row>
    <row r="158" spans="2:14">
      <c r="B158" s="273" t="s">
        <v>511</v>
      </c>
      <c r="C158" s="273"/>
      <c r="D158" s="281">
        <f>'SUELDOS Y SALARIOS'!E41+'SUELDOS Y SALARIOS'!E23</f>
        <v>25320</v>
      </c>
      <c r="E158" s="281">
        <f t="shared" ref="E158:M158" si="71">D158</f>
        <v>25320</v>
      </c>
      <c r="F158" s="281">
        <f t="shared" si="71"/>
        <v>25320</v>
      </c>
      <c r="G158" s="281">
        <f t="shared" si="71"/>
        <v>25320</v>
      </c>
      <c r="H158" s="281">
        <f t="shared" si="71"/>
        <v>25320</v>
      </c>
      <c r="I158" s="281">
        <f t="shared" si="71"/>
        <v>25320</v>
      </c>
      <c r="J158" s="281">
        <f t="shared" si="71"/>
        <v>25320</v>
      </c>
      <c r="K158" s="281">
        <f t="shared" si="71"/>
        <v>25320</v>
      </c>
      <c r="L158" s="281">
        <f t="shared" si="71"/>
        <v>25320</v>
      </c>
      <c r="M158" s="281">
        <f t="shared" si="71"/>
        <v>25320</v>
      </c>
      <c r="N158" s="10"/>
    </row>
    <row r="159" spans="2:14">
      <c r="B159" s="273" t="s">
        <v>512</v>
      </c>
      <c r="C159" s="273"/>
      <c r="D159" s="281">
        <f>'COSTOS DE PRODUCCIÓN'!$C$137*INVERSIONES!AF18</f>
        <v>149157.69144518432</v>
      </c>
      <c r="E159" s="281">
        <f>'COSTOS DE PRODUCCIÓN'!$C$137*INVERSIONES!AG18</f>
        <v>152886.63373131395</v>
      </c>
      <c r="F159" s="281">
        <f>'COSTOS DE PRODUCCIÓN'!$C$137*INVERSIONES!AH18</f>
        <v>156708.79957459669</v>
      </c>
      <c r="G159" s="281">
        <f>'COSTOS DE PRODUCCIÓN'!$C$137*INVERSIONES!AI18</f>
        <v>160626.51956396169</v>
      </c>
      <c r="H159" s="281">
        <f>'COSTOS DE PRODUCCIÓN'!$C$137*INVERSIONES!AJ18</f>
        <v>164642.18255306067</v>
      </c>
      <c r="I159" s="281">
        <f>'COSTOS DE PRODUCCIÓN'!$C$137*INVERSIONES!AK18</f>
        <v>168758.23711688721</v>
      </c>
      <c r="J159" s="281">
        <f>'COSTOS DE PRODUCCIÓN'!$C$137*INVERSIONES!AL18</f>
        <v>172977.19304480936</v>
      </c>
      <c r="K159" s="281">
        <f>'COSTOS DE PRODUCCIÓN'!$C$137*INVERSIONES!AM18</f>
        <v>177301.62287092963</v>
      </c>
      <c r="L159" s="281">
        <f>'COSTOS DE PRODUCCIÓN'!$C$137*INVERSIONES!AN18</f>
        <v>181734.16344270282</v>
      </c>
      <c r="M159" s="281">
        <f>'COSTOS DE PRODUCCIÓN'!$C$137*INVERSIONES!AO18</f>
        <v>186277.5175287704</v>
      </c>
      <c r="N159" s="10"/>
    </row>
    <row r="160" spans="2:14">
      <c r="B160" s="271" t="s">
        <v>513</v>
      </c>
      <c r="C160" s="271"/>
      <c r="D160" s="280">
        <f t="shared" ref="D160:M160" si="72">SUM(D161:D163)</f>
        <v>75292.679999999993</v>
      </c>
      <c r="E160" s="280">
        <f t="shared" si="72"/>
        <v>75292.679999999993</v>
      </c>
      <c r="F160" s="280">
        <f t="shared" si="72"/>
        <v>75292.679999999993</v>
      </c>
      <c r="G160" s="280">
        <f t="shared" si="72"/>
        <v>75292.679999999993</v>
      </c>
      <c r="H160" s="280">
        <f t="shared" si="72"/>
        <v>75292.679999999993</v>
      </c>
      <c r="I160" s="280">
        <f t="shared" si="72"/>
        <v>75292.679999999993</v>
      </c>
      <c r="J160" s="280">
        <f t="shared" si="72"/>
        <v>75292.679999999993</v>
      </c>
      <c r="K160" s="280">
        <f t="shared" si="72"/>
        <v>75292.679999999993</v>
      </c>
      <c r="L160" s="280">
        <f t="shared" si="72"/>
        <v>75292.679999999993</v>
      </c>
      <c r="M160" s="280">
        <f t="shared" si="72"/>
        <v>75292.679999999993</v>
      </c>
      <c r="N160" s="10"/>
    </row>
    <row r="161" spans="2:14">
      <c r="B161" s="273" t="s">
        <v>259</v>
      </c>
      <c r="C161" s="273"/>
      <c r="D161" s="281">
        <f>'MAQUINARIA,EQUIPO,SUMINISTR Y S'!D93+'MAQUINARIA,EQUIPO,SUMINISTR Y S'!$C$18</f>
        <v>20770.68</v>
      </c>
      <c r="E161" s="281">
        <f t="shared" ref="E161:F163" si="73">D161</f>
        <v>20770.68</v>
      </c>
      <c r="F161" s="280">
        <f t="shared" si="73"/>
        <v>20770.68</v>
      </c>
      <c r="G161" s="281">
        <f>E161</f>
        <v>20770.68</v>
      </c>
      <c r="H161" s="281">
        <f t="shared" ref="H161:M163" si="74">G161</f>
        <v>20770.68</v>
      </c>
      <c r="I161" s="281">
        <f t="shared" si="74"/>
        <v>20770.68</v>
      </c>
      <c r="J161" s="281">
        <f t="shared" si="74"/>
        <v>20770.68</v>
      </c>
      <c r="K161" s="281">
        <f t="shared" si="74"/>
        <v>20770.68</v>
      </c>
      <c r="L161" s="281">
        <f t="shared" si="74"/>
        <v>20770.68</v>
      </c>
      <c r="M161" s="281">
        <f t="shared" si="74"/>
        <v>20770.68</v>
      </c>
      <c r="N161" s="12"/>
    </row>
    <row r="162" spans="2:14">
      <c r="B162" s="272" t="s">
        <v>247</v>
      </c>
      <c r="C162" s="272"/>
      <c r="D162" s="282">
        <f>'SUELDOS Y SALARIOS'!E16+'MAQUINARIA,EQUIPO,SUMINISTR Y S'!C84+'SUELDOS Y SALARIOS'!E23+'SUELDOS Y SALARIOS'!E41+'MAQUINARIA,EQUIPO,SUMINISTR Y S'!E60</f>
        <v>36954</v>
      </c>
      <c r="E162" s="282">
        <f t="shared" si="73"/>
        <v>36954</v>
      </c>
      <c r="F162" s="280">
        <f t="shared" si="73"/>
        <v>36954</v>
      </c>
      <c r="G162" s="282">
        <f>E162</f>
        <v>36954</v>
      </c>
      <c r="H162" s="282">
        <f t="shared" si="74"/>
        <v>36954</v>
      </c>
      <c r="I162" s="282">
        <f t="shared" si="74"/>
        <v>36954</v>
      </c>
      <c r="J162" s="282">
        <f t="shared" si="74"/>
        <v>36954</v>
      </c>
      <c r="K162" s="282">
        <f t="shared" si="74"/>
        <v>36954</v>
      </c>
      <c r="L162" s="282">
        <f t="shared" si="74"/>
        <v>36954</v>
      </c>
      <c r="M162" s="282">
        <f t="shared" si="74"/>
        <v>36954</v>
      </c>
      <c r="N162" s="95"/>
    </row>
    <row r="163" spans="2:14">
      <c r="B163" s="272" t="s">
        <v>248</v>
      </c>
      <c r="C163" s="272"/>
      <c r="D163" s="282">
        <f>'MAQUINARIA,EQUIPO,SUMINISTR Y S'!G47</f>
        <v>17568</v>
      </c>
      <c r="E163" s="282">
        <f t="shared" si="73"/>
        <v>17568</v>
      </c>
      <c r="F163" s="280">
        <f t="shared" si="73"/>
        <v>17568</v>
      </c>
      <c r="G163" s="282">
        <f>E163</f>
        <v>17568</v>
      </c>
      <c r="H163" s="282">
        <f t="shared" si="74"/>
        <v>17568</v>
      </c>
      <c r="I163" s="282">
        <f t="shared" si="74"/>
        <v>17568</v>
      </c>
      <c r="J163" s="282">
        <f t="shared" si="74"/>
        <v>17568</v>
      </c>
      <c r="K163" s="282">
        <f t="shared" si="74"/>
        <v>17568</v>
      </c>
      <c r="L163" s="282">
        <f t="shared" si="74"/>
        <v>17568</v>
      </c>
      <c r="M163" s="282">
        <f t="shared" si="74"/>
        <v>17568</v>
      </c>
      <c r="N163" s="96"/>
    </row>
    <row r="164" spans="2:14">
      <c r="B164" s="271" t="s">
        <v>267</v>
      </c>
      <c r="C164" s="272"/>
      <c r="D164" s="280">
        <f>+D153-D154</f>
        <v>-5230.1570034903707</v>
      </c>
      <c r="E164" s="280">
        <f t="shared" ref="E164:M164" si="75">E153-E154</f>
        <v>4979.3221507695271</v>
      </c>
      <c r="F164" s="280">
        <f t="shared" si="75"/>
        <v>15444.038283885631</v>
      </c>
      <c r="G164" s="280">
        <f t="shared" si="75"/>
        <v>26170.372320330061</v>
      </c>
      <c r="H164" s="280">
        <f t="shared" si="75"/>
        <v>37164.864707685367</v>
      </c>
      <c r="I164" s="280">
        <f t="shared" si="75"/>
        <v>48434.219404724659</v>
      </c>
      <c r="J164" s="280">
        <f t="shared" si="75"/>
        <v>59985.307969189831</v>
      </c>
      <c r="K164" s="280">
        <f t="shared" si="75"/>
        <v>71825.173747766763</v>
      </c>
      <c r="L164" s="280">
        <f t="shared" si="75"/>
        <v>83961.036170807958</v>
      </c>
      <c r="M164" s="280">
        <f t="shared" si="75"/>
        <v>96400.295154425316</v>
      </c>
      <c r="N164" s="83"/>
    </row>
    <row r="165" spans="2:14">
      <c r="B165" s="273" t="s">
        <v>249</v>
      </c>
      <c r="C165" s="272"/>
      <c r="D165" s="282">
        <f>'AMORTIZACIÓN DE LA DEUDA'!F10</f>
        <v>7332.4750708582296</v>
      </c>
      <c r="E165" s="282">
        <f>'AMORTIZACIÓN DE LA DEUDA'!F11</f>
        <v>8212.3720793612156</v>
      </c>
      <c r="F165" s="280">
        <f>'AMORTIZACIÓN DE LA DEUDA'!F12</f>
        <v>9197.8567288845625</v>
      </c>
      <c r="G165" s="280">
        <f>'AMORTIZACIÓN DE LA DEUDA'!F13</f>
        <v>10301.59953635071</v>
      </c>
      <c r="H165" s="280">
        <f>'AMORTIZACIÓN DE LA DEUDA'!F14</f>
        <v>11537.791480712795</v>
      </c>
      <c r="I165" s="282"/>
      <c r="J165" s="282"/>
      <c r="K165" s="282"/>
      <c r="L165" s="282"/>
      <c r="M165" s="282"/>
      <c r="N165" s="95"/>
    </row>
    <row r="166" spans="2:14">
      <c r="B166" s="273" t="s">
        <v>163</v>
      </c>
      <c r="C166" s="272"/>
      <c r="D166" s="282">
        <f>DEPRECIACIONES!E10</f>
        <v>12254.333333333332</v>
      </c>
      <c r="E166" s="282">
        <f t="shared" ref="E166:M166" si="76">D166</f>
        <v>12254.333333333332</v>
      </c>
      <c r="F166" s="282">
        <f t="shared" si="76"/>
        <v>12254.333333333332</v>
      </c>
      <c r="G166" s="282">
        <f t="shared" si="76"/>
        <v>12254.333333333332</v>
      </c>
      <c r="H166" s="282">
        <f t="shared" si="76"/>
        <v>12254.333333333332</v>
      </c>
      <c r="I166" s="282">
        <f t="shared" si="76"/>
        <v>12254.333333333332</v>
      </c>
      <c r="J166" s="282">
        <f t="shared" si="76"/>
        <v>12254.333333333332</v>
      </c>
      <c r="K166" s="282">
        <f t="shared" si="76"/>
        <v>12254.333333333332</v>
      </c>
      <c r="L166" s="282">
        <f t="shared" si="76"/>
        <v>12254.333333333332</v>
      </c>
      <c r="M166" s="282">
        <f t="shared" si="76"/>
        <v>12254.333333333332</v>
      </c>
      <c r="N166" s="95"/>
    </row>
    <row r="167" spans="2:14">
      <c r="B167" s="271" t="s">
        <v>268</v>
      </c>
      <c r="C167" s="272"/>
      <c r="D167" s="280">
        <f t="shared" ref="D167:M167" si="77">+D164-D165-D166</f>
        <v>-24816.965407681932</v>
      </c>
      <c r="E167" s="280">
        <f t="shared" si="77"/>
        <v>-15487.383261925021</v>
      </c>
      <c r="F167" s="280">
        <f t="shared" si="77"/>
        <v>-6008.1517783322633</v>
      </c>
      <c r="G167" s="280">
        <f t="shared" si="77"/>
        <v>3614.4394506460194</v>
      </c>
      <c r="H167" s="280">
        <f t="shared" si="77"/>
        <v>13372.739893639238</v>
      </c>
      <c r="I167" s="280">
        <f t="shared" si="77"/>
        <v>36179.886071391331</v>
      </c>
      <c r="J167" s="280">
        <f t="shared" si="77"/>
        <v>47730.974635856503</v>
      </c>
      <c r="K167" s="280">
        <f t="shared" si="77"/>
        <v>59570.840414433434</v>
      </c>
      <c r="L167" s="280">
        <f t="shared" si="77"/>
        <v>71706.70283747463</v>
      </c>
      <c r="M167" s="280">
        <f t="shared" si="77"/>
        <v>84145.961821091987</v>
      </c>
      <c r="N167" s="10"/>
    </row>
    <row r="168" spans="2:14">
      <c r="B168" s="273" t="s">
        <v>341</v>
      </c>
      <c r="C168" s="272"/>
      <c r="D168" s="282">
        <f>'AMORTIZACIÓN DE LA DEUDA'!E10</f>
        <v>5589.851387540105</v>
      </c>
      <c r="E168" s="282">
        <f>'AMORTIZACIÓN DE LA DEUDA'!E11</f>
        <v>4709.9543790371181</v>
      </c>
      <c r="F168" s="282">
        <f>'AMORTIZACIÓN DE LA DEUDA'!E12</f>
        <v>3724.4697295137721</v>
      </c>
      <c r="G168" s="282">
        <f>'AMORTIZACIÓN DE LA DEUDA'!E13</f>
        <v>2620.7269220476246</v>
      </c>
      <c r="H168" s="282">
        <f>'AMORTIZACIÓN DE LA DEUDA'!E14</f>
        <v>1384.5349776855394</v>
      </c>
      <c r="I168" s="282"/>
      <c r="J168" s="282"/>
      <c r="K168" s="282"/>
      <c r="L168" s="282"/>
      <c r="M168" s="282"/>
      <c r="N168" s="95"/>
    </row>
    <row r="169" spans="2:14">
      <c r="B169" s="273" t="s">
        <v>250</v>
      </c>
      <c r="C169" s="272"/>
      <c r="D169" s="280">
        <f t="shared" ref="D169:M169" si="78">+D167-D168</f>
        <v>-30406.816795222036</v>
      </c>
      <c r="E169" s="280">
        <f t="shared" si="78"/>
        <v>-20197.337640962138</v>
      </c>
      <c r="F169" s="280">
        <f t="shared" si="78"/>
        <v>-9732.6215078460355</v>
      </c>
      <c r="G169" s="280">
        <f t="shared" si="78"/>
        <v>993.71252859839478</v>
      </c>
      <c r="H169" s="280">
        <f t="shared" si="78"/>
        <v>11988.204915953698</v>
      </c>
      <c r="I169" s="280">
        <f t="shared" si="78"/>
        <v>36179.886071391331</v>
      </c>
      <c r="J169" s="280">
        <f t="shared" si="78"/>
        <v>47730.974635856503</v>
      </c>
      <c r="K169" s="280">
        <f t="shared" si="78"/>
        <v>59570.840414433434</v>
      </c>
      <c r="L169" s="280">
        <f t="shared" si="78"/>
        <v>71706.70283747463</v>
      </c>
      <c r="M169" s="280">
        <f t="shared" si="78"/>
        <v>84145.961821091987</v>
      </c>
      <c r="N169" s="10"/>
    </row>
    <row r="170" spans="2:14">
      <c r="B170" s="273" t="s">
        <v>252</v>
      </c>
      <c r="C170" s="272"/>
      <c r="D170" s="282">
        <f t="shared" ref="D170:M170" si="79">D169*15%</f>
        <v>-4561.022519283305</v>
      </c>
      <c r="E170" s="282">
        <f t="shared" si="79"/>
        <v>-3029.6006461443208</v>
      </c>
      <c r="F170" s="282">
        <f t="shared" si="79"/>
        <v>-1459.8932261769053</v>
      </c>
      <c r="G170" s="282">
        <f t="shared" si="79"/>
        <v>149.05687928975922</v>
      </c>
      <c r="H170" s="282">
        <f t="shared" si="79"/>
        <v>1798.2307373930546</v>
      </c>
      <c r="I170" s="282">
        <f t="shared" si="79"/>
        <v>5426.9829107086998</v>
      </c>
      <c r="J170" s="282">
        <f t="shared" si="79"/>
        <v>7159.6461953784756</v>
      </c>
      <c r="K170" s="282">
        <f t="shared" si="79"/>
        <v>8935.6260621650144</v>
      </c>
      <c r="L170" s="282">
        <f t="shared" si="79"/>
        <v>10756.005425621193</v>
      </c>
      <c r="M170" s="282">
        <f t="shared" si="79"/>
        <v>12621.894273163798</v>
      </c>
      <c r="N170" s="10"/>
    </row>
    <row r="171" spans="2:14">
      <c r="B171" s="275" t="s">
        <v>444</v>
      </c>
      <c r="C171" s="269"/>
      <c r="D171" s="283">
        <f t="shared" ref="D171:M171" si="80">D169-D170</f>
        <v>-25845.79427593873</v>
      </c>
      <c r="E171" s="283">
        <f t="shared" si="80"/>
        <v>-17167.736994817817</v>
      </c>
      <c r="F171" s="283">
        <f t="shared" si="80"/>
        <v>-8272.7282816691295</v>
      </c>
      <c r="G171" s="283">
        <f t="shared" si="80"/>
        <v>844.65564930863559</v>
      </c>
      <c r="H171" s="283">
        <f t="shared" si="80"/>
        <v>10189.974178560644</v>
      </c>
      <c r="I171" s="283">
        <f t="shared" si="80"/>
        <v>30752.903160682632</v>
      </c>
      <c r="J171" s="283">
        <f t="shared" si="80"/>
        <v>40571.328440478028</v>
      </c>
      <c r="K171" s="283">
        <f t="shared" si="80"/>
        <v>50635.21435226842</v>
      </c>
      <c r="L171" s="283">
        <f t="shared" si="80"/>
        <v>60950.697411853434</v>
      </c>
      <c r="M171" s="283">
        <f t="shared" si="80"/>
        <v>71524.067547928193</v>
      </c>
      <c r="N171" s="96"/>
    </row>
    <row r="172" spans="2:14">
      <c r="B172" s="273" t="s">
        <v>251</v>
      </c>
      <c r="C172" s="272"/>
      <c r="D172" s="282">
        <f t="shared" ref="D172:M172" si="81">D171*25%</f>
        <v>-6461.4485689846824</v>
      </c>
      <c r="E172" s="282">
        <f t="shared" si="81"/>
        <v>-4291.9342487044541</v>
      </c>
      <c r="F172" s="282">
        <f t="shared" si="81"/>
        <v>-2068.1820704172824</v>
      </c>
      <c r="G172" s="282">
        <f t="shared" si="81"/>
        <v>211.1639123271589</v>
      </c>
      <c r="H172" s="282">
        <f t="shared" si="81"/>
        <v>2547.493544640161</v>
      </c>
      <c r="I172" s="282">
        <f t="shared" si="81"/>
        <v>7688.225790170658</v>
      </c>
      <c r="J172" s="282">
        <f t="shared" si="81"/>
        <v>10142.832110119507</v>
      </c>
      <c r="K172" s="282">
        <f t="shared" si="81"/>
        <v>12658.803588067105</v>
      </c>
      <c r="L172" s="282">
        <f t="shared" si="81"/>
        <v>15237.674352963359</v>
      </c>
      <c r="M172" s="282">
        <f t="shared" si="81"/>
        <v>17881.016886982048</v>
      </c>
      <c r="N172" s="96"/>
    </row>
    <row r="173" spans="2:14">
      <c r="B173" s="273" t="s">
        <v>253</v>
      </c>
      <c r="C173" s="272"/>
      <c r="D173" s="280">
        <f t="shared" ref="D173:M173" si="82">D171-D172</f>
        <v>-19384.345706954045</v>
      </c>
      <c r="E173" s="280">
        <f t="shared" si="82"/>
        <v>-12875.802746113362</v>
      </c>
      <c r="F173" s="280">
        <f t="shared" si="82"/>
        <v>-6204.5462112518471</v>
      </c>
      <c r="G173" s="280">
        <f t="shared" si="82"/>
        <v>633.49173698147672</v>
      </c>
      <c r="H173" s="280">
        <f t="shared" si="82"/>
        <v>7642.4806339204824</v>
      </c>
      <c r="I173" s="280">
        <f t="shared" si="82"/>
        <v>23064.677370511974</v>
      </c>
      <c r="J173" s="280">
        <f t="shared" si="82"/>
        <v>30428.496330358521</v>
      </c>
      <c r="K173" s="280">
        <f t="shared" si="82"/>
        <v>37976.410764201311</v>
      </c>
      <c r="L173" s="280">
        <f t="shared" si="82"/>
        <v>45713.023058890074</v>
      </c>
      <c r="M173" s="280">
        <f t="shared" si="82"/>
        <v>53643.050660946144</v>
      </c>
      <c r="N173" s="10"/>
    </row>
    <row r="174" spans="2:14">
      <c r="B174" s="273" t="s">
        <v>254</v>
      </c>
      <c r="C174" s="272"/>
      <c r="D174" s="282">
        <f>+D165+D166</f>
        <v>19586.808404191561</v>
      </c>
      <c r="E174" s="282">
        <f t="shared" ref="E174:M174" si="83">E165+E166</f>
        <v>20466.705412694548</v>
      </c>
      <c r="F174" s="282">
        <f t="shared" si="83"/>
        <v>21452.190062217895</v>
      </c>
      <c r="G174" s="282">
        <f t="shared" si="83"/>
        <v>22555.932869684042</v>
      </c>
      <c r="H174" s="282">
        <f t="shared" si="83"/>
        <v>23792.124814046125</v>
      </c>
      <c r="I174" s="282">
        <f t="shared" si="83"/>
        <v>12254.333333333332</v>
      </c>
      <c r="J174" s="282">
        <f t="shared" si="83"/>
        <v>12254.333333333332</v>
      </c>
      <c r="K174" s="282">
        <f t="shared" si="83"/>
        <v>12254.333333333332</v>
      </c>
      <c r="L174" s="282">
        <f t="shared" si="83"/>
        <v>12254.333333333332</v>
      </c>
      <c r="M174" s="282">
        <f t="shared" si="83"/>
        <v>12254.333333333332</v>
      </c>
      <c r="N174" s="95"/>
    </row>
    <row r="175" spans="2:14">
      <c r="B175" s="273" t="s">
        <v>255</v>
      </c>
      <c r="C175" s="272"/>
      <c r="D175" s="282">
        <f>'AMORTIZACIÓN DE LA DEUDA'!D10</f>
        <v>12922.326458398335</v>
      </c>
      <c r="E175" s="282">
        <f>D175</f>
        <v>12922.326458398335</v>
      </c>
      <c r="F175" s="282">
        <f>E175</f>
        <v>12922.326458398335</v>
      </c>
      <c r="G175" s="282">
        <f>F175</f>
        <v>12922.326458398335</v>
      </c>
      <c r="H175" s="282">
        <f>G175</f>
        <v>12922.326458398335</v>
      </c>
      <c r="I175" s="280"/>
      <c r="J175" s="282"/>
      <c r="K175" s="282"/>
      <c r="L175" s="282"/>
      <c r="M175" s="282"/>
      <c r="N175" s="95"/>
    </row>
    <row r="176" spans="2:14">
      <c r="B176" s="273" t="s">
        <v>235</v>
      </c>
      <c r="C176" s="274">
        <f>'AMORTIZACIÓN DE LA DEUDA'!C3</f>
        <v>46582.094896167546</v>
      </c>
      <c r="D176" s="283"/>
      <c r="E176" s="282"/>
      <c r="F176" s="280"/>
      <c r="G176" s="282"/>
      <c r="H176" s="282"/>
      <c r="I176" s="282"/>
      <c r="J176" s="282"/>
      <c r="K176" s="282"/>
      <c r="L176" s="282"/>
      <c r="M176" s="282"/>
      <c r="N176" s="96"/>
    </row>
    <row r="177" spans="2:14">
      <c r="B177" s="273" t="s">
        <v>256</v>
      </c>
      <c r="C177" s="274">
        <f>-INVERSIONES!C22</f>
        <v>-110489.14</v>
      </c>
      <c r="D177" s="282"/>
      <c r="E177" s="282"/>
      <c r="F177" s="280"/>
      <c r="G177" s="282"/>
      <c r="H177" s="282"/>
      <c r="I177" s="282"/>
      <c r="J177" s="282"/>
      <c r="K177" s="282"/>
      <c r="L177" s="282"/>
      <c r="M177" s="282"/>
      <c r="N177" s="96"/>
    </row>
    <row r="178" spans="2:14">
      <c r="B178" s="273" t="s">
        <v>222</v>
      </c>
      <c r="C178" s="274"/>
      <c r="D178" s="282"/>
      <c r="E178" s="282"/>
      <c r="F178" s="280"/>
      <c r="G178" s="282"/>
      <c r="H178" s="282"/>
      <c r="I178" s="282"/>
      <c r="J178" s="282"/>
      <c r="K178" s="282"/>
      <c r="L178" s="282"/>
      <c r="M178" s="282"/>
      <c r="N178" s="95"/>
    </row>
    <row r="179" spans="2:14">
      <c r="B179" s="273" t="s">
        <v>223</v>
      </c>
      <c r="C179" s="274">
        <f>-INVERSIONES!C6</f>
        <v>-5966.0972404188506</v>
      </c>
      <c r="D179" s="282"/>
      <c r="E179" s="282"/>
      <c r="F179" s="280"/>
      <c r="G179" s="282"/>
      <c r="H179" s="282"/>
      <c r="I179" s="282"/>
      <c r="J179" s="282"/>
      <c r="K179" s="282"/>
      <c r="L179" s="282"/>
      <c r="M179" s="282">
        <f>-C179</f>
        <v>5966.0972404188506</v>
      </c>
      <c r="N179" s="96"/>
    </row>
    <row r="180" spans="2:14">
      <c r="B180" s="273" t="s">
        <v>222</v>
      </c>
      <c r="C180" s="276"/>
      <c r="D180" s="282"/>
      <c r="E180" s="282"/>
      <c r="F180" s="280"/>
      <c r="G180" s="282"/>
      <c r="H180" s="282"/>
      <c r="I180" s="282"/>
      <c r="J180" s="282"/>
      <c r="K180" s="282"/>
      <c r="L180" s="282"/>
      <c r="M180" s="282">
        <f>DEPRECIACIONES!H10</f>
        <v>75945.666666666672</v>
      </c>
      <c r="N180" s="95"/>
    </row>
    <row r="181" spans="2:14">
      <c r="B181" s="273" t="s">
        <v>257</v>
      </c>
      <c r="C181" s="274">
        <f>SUM(C176:C179)</f>
        <v>-69873.142344251304</v>
      </c>
      <c r="D181" s="282">
        <f t="shared" ref="D181:M181" si="84">+D173+D174-D175+D179</f>
        <v>-12719.863761160819</v>
      </c>
      <c r="E181" s="282">
        <f t="shared" si="84"/>
        <v>-5331.4237918171493</v>
      </c>
      <c r="F181" s="282">
        <f t="shared" si="84"/>
        <v>2325.3173925677129</v>
      </c>
      <c r="G181" s="282">
        <f t="shared" si="84"/>
        <v>10267.098148267183</v>
      </c>
      <c r="H181" s="282">
        <f t="shared" si="84"/>
        <v>18512.278989568273</v>
      </c>
      <c r="I181" s="282">
        <f t="shared" si="84"/>
        <v>35319.010703845306</v>
      </c>
      <c r="J181" s="282">
        <f t="shared" si="84"/>
        <v>42682.829663691853</v>
      </c>
      <c r="K181" s="282">
        <f t="shared" si="84"/>
        <v>50230.74409753464</v>
      </c>
      <c r="L181" s="282">
        <f t="shared" si="84"/>
        <v>57967.356392223403</v>
      </c>
      <c r="M181" s="282">
        <f t="shared" si="84"/>
        <v>71863.481234698324</v>
      </c>
      <c r="N181" s="95"/>
    </row>
    <row r="182" spans="2:14">
      <c r="B182" s="271" t="s">
        <v>258</v>
      </c>
      <c r="C182" s="277">
        <v>0.17</v>
      </c>
      <c r="D182" s="269"/>
      <c r="E182" s="269"/>
      <c r="F182" s="269"/>
      <c r="G182" s="269"/>
      <c r="H182" s="269"/>
      <c r="I182" s="269"/>
      <c r="J182" s="269"/>
      <c r="K182" s="269"/>
      <c r="L182" s="269"/>
      <c r="M182" s="269"/>
      <c r="N182" s="89"/>
    </row>
    <row r="183" spans="2:14">
      <c r="B183" s="271" t="s">
        <v>178</v>
      </c>
      <c r="C183" s="277">
        <f>IRR(C181:M181)</f>
        <v>0.17398663764359965</v>
      </c>
      <c r="D183" s="269"/>
      <c r="E183" s="278"/>
      <c r="F183" s="278"/>
      <c r="G183" s="269"/>
      <c r="H183" s="269"/>
      <c r="I183" s="269"/>
      <c r="J183" s="269"/>
      <c r="K183" s="269"/>
      <c r="L183" s="269"/>
      <c r="M183" s="269"/>
      <c r="N183" s="89"/>
    </row>
    <row r="184" spans="2:14">
      <c r="B184" s="271" t="s">
        <v>177</v>
      </c>
      <c r="C184" s="427">
        <f>NPV(C182,D181:M181)+C181</f>
        <v>2090.0832734709402</v>
      </c>
      <c r="D184" s="269"/>
      <c r="E184" s="269"/>
      <c r="F184" s="269"/>
      <c r="G184" s="269"/>
      <c r="H184" s="269"/>
      <c r="I184" s="269"/>
      <c r="J184" s="269"/>
      <c r="K184" s="269"/>
      <c r="L184" s="269"/>
      <c r="M184" s="269"/>
      <c r="N184" s="89"/>
    </row>
    <row r="185" spans="2:14">
      <c r="B185" s="167"/>
      <c r="C185" s="167"/>
      <c r="D185" s="167"/>
      <c r="E185" s="167"/>
      <c r="F185" s="167"/>
      <c r="G185" s="167"/>
      <c r="H185" s="167"/>
      <c r="I185" s="167"/>
      <c r="J185" s="167"/>
      <c r="K185" s="167"/>
      <c r="L185" s="167"/>
      <c r="M185" s="167"/>
      <c r="N185" s="89"/>
    </row>
    <row r="186" spans="2:14">
      <c r="B186" s="464" t="s">
        <v>100</v>
      </c>
      <c r="C186" s="464"/>
      <c r="D186" s="464"/>
      <c r="E186" s="464"/>
      <c r="F186" s="464"/>
      <c r="G186" s="464"/>
      <c r="H186" s="464"/>
      <c r="I186" s="464"/>
      <c r="J186" s="89"/>
      <c r="K186" s="89"/>
      <c r="L186" s="89"/>
      <c r="M186" s="89"/>
      <c r="N186" s="89"/>
    </row>
    <row r="187" spans="2:14">
      <c r="B187" s="269"/>
      <c r="C187" s="269"/>
      <c r="D187" s="269"/>
      <c r="E187" s="269"/>
      <c r="F187" s="269"/>
      <c r="G187" s="269"/>
      <c r="H187" s="269"/>
      <c r="I187" s="269"/>
      <c r="J187" s="269"/>
      <c r="K187" s="269"/>
      <c r="L187" s="269"/>
      <c r="M187" s="269"/>
      <c r="N187" s="89"/>
    </row>
    <row r="188" spans="2:14">
      <c r="B188" s="270" t="s">
        <v>144</v>
      </c>
      <c r="C188" s="270" t="s">
        <v>224</v>
      </c>
      <c r="D188" s="270" t="s">
        <v>242</v>
      </c>
      <c r="E188" s="270" t="s">
        <v>443</v>
      </c>
      <c r="F188" s="270" t="s">
        <v>243</v>
      </c>
      <c r="G188" s="270" t="s">
        <v>244</v>
      </c>
      <c r="H188" s="270" t="s">
        <v>245</v>
      </c>
      <c r="I188" s="270" t="s">
        <v>262</v>
      </c>
      <c r="J188" s="270" t="s">
        <v>263</v>
      </c>
      <c r="K188" s="270" t="s">
        <v>264</v>
      </c>
      <c r="L188" s="270" t="s">
        <v>265</v>
      </c>
      <c r="M188" s="270" t="s">
        <v>266</v>
      </c>
      <c r="N188" s="88"/>
    </row>
    <row r="189" spans="2:14">
      <c r="B189" s="271" t="s">
        <v>260</v>
      </c>
      <c r="C189" s="272"/>
      <c r="D189" s="280">
        <f>'COSTOS DE PRODUCCIÓN'!F4*INVERSIONES!AF18</f>
        <v>408379.1661703951</v>
      </c>
      <c r="E189" s="280">
        <f>'COSTOS DE PRODUCCIÓN'!F4*INVERSIONES!AG18</f>
        <v>418588.64532465499</v>
      </c>
      <c r="F189" s="280">
        <f>'COSTOS DE PRODUCCIÓN'!F4*INVERSIONES!AH18</f>
        <v>429053.3614577711</v>
      </c>
      <c r="G189" s="280">
        <f>'COSTOS DE PRODUCCIÓN'!F4*INVERSIONES!AI18</f>
        <v>439779.69549421553</v>
      </c>
      <c r="H189" s="280">
        <f>'COSTOS DE PRODUCCIÓN'!F4*INVERSIONES!AJ18</f>
        <v>450774.18788157083</v>
      </c>
      <c r="I189" s="280">
        <f>'COSTOS DE PRODUCCIÓN'!F4*INVERSIONES!AK18</f>
        <v>462043.54257861013</v>
      </c>
      <c r="J189" s="280">
        <f>'COSTOS DE PRODUCCIÓN'!F4*INVERSIONES!AL18</f>
        <v>473594.6311430753</v>
      </c>
      <c r="K189" s="280">
        <f>'COSTOS DE PRODUCCIÓN'!F4*INVERSIONES!AM18</f>
        <v>485434.49692165223</v>
      </c>
      <c r="L189" s="280">
        <f>'COSTOS DE PRODUCCIÓN'!F4*INVERSIONES!AN18</f>
        <v>497570.35934469342</v>
      </c>
      <c r="M189" s="280">
        <f>'COSTOS DE PRODUCCIÓN'!F4*INVERSIONES!AO18</f>
        <v>510009.61832831078</v>
      </c>
      <c r="N189" s="10"/>
    </row>
    <row r="190" spans="2:14">
      <c r="B190" s="271" t="s">
        <v>261</v>
      </c>
      <c r="C190" s="272"/>
      <c r="D190" s="280">
        <f t="shared" ref="D190:M190" si="85">D191+D196</f>
        <v>413609.32317388547</v>
      </c>
      <c r="E190" s="280">
        <f t="shared" si="85"/>
        <v>413609.32317388547</v>
      </c>
      <c r="F190" s="280">
        <f t="shared" si="85"/>
        <v>413609.32317388547</v>
      </c>
      <c r="G190" s="280">
        <f t="shared" si="85"/>
        <v>413609.32317388547</v>
      </c>
      <c r="H190" s="280">
        <f t="shared" si="85"/>
        <v>413609.32317388547</v>
      </c>
      <c r="I190" s="280">
        <f t="shared" si="85"/>
        <v>413609.32317388547</v>
      </c>
      <c r="J190" s="280">
        <f t="shared" si="85"/>
        <v>413609.32317388547</v>
      </c>
      <c r="K190" s="280">
        <f t="shared" si="85"/>
        <v>413609.32317388547</v>
      </c>
      <c r="L190" s="280">
        <f t="shared" si="85"/>
        <v>413609.32317388547</v>
      </c>
      <c r="M190" s="280">
        <f t="shared" si="85"/>
        <v>413609.32317388547</v>
      </c>
      <c r="N190" s="10"/>
    </row>
    <row r="191" spans="2:14">
      <c r="B191" s="271" t="s">
        <v>246</v>
      </c>
      <c r="C191" s="273"/>
      <c r="D191" s="281">
        <f>SUM(D192:D195)</f>
        <v>338316.64317388547</v>
      </c>
      <c r="E191" s="281">
        <f t="shared" ref="E191:M191" si="86">D191</f>
        <v>338316.64317388547</v>
      </c>
      <c r="F191" s="281">
        <f t="shared" si="86"/>
        <v>338316.64317388547</v>
      </c>
      <c r="G191" s="281">
        <f t="shared" si="86"/>
        <v>338316.64317388547</v>
      </c>
      <c r="H191" s="281">
        <f t="shared" si="86"/>
        <v>338316.64317388547</v>
      </c>
      <c r="I191" s="281">
        <f t="shared" si="86"/>
        <v>338316.64317388547</v>
      </c>
      <c r="J191" s="281">
        <f t="shared" si="86"/>
        <v>338316.64317388547</v>
      </c>
      <c r="K191" s="281">
        <f t="shared" si="86"/>
        <v>338316.64317388547</v>
      </c>
      <c r="L191" s="281">
        <f t="shared" si="86"/>
        <v>338316.64317388547</v>
      </c>
      <c r="M191" s="281">
        <f t="shared" si="86"/>
        <v>338316.64317388547</v>
      </c>
      <c r="N191" s="10"/>
    </row>
    <row r="192" spans="2:14">
      <c r="B192" s="273" t="s">
        <v>322</v>
      </c>
      <c r="C192" s="273"/>
      <c r="D192" s="281">
        <f>'SUELDOS Y SALARIOS'!E16+'SUELDOS Y SALARIOS'!E33</f>
        <v>29400</v>
      </c>
      <c r="E192" s="281">
        <f t="shared" ref="E192:M192" si="87">D192</f>
        <v>29400</v>
      </c>
      <c r="F192" s="281">
        <f t="shared" si="87"/>
        <v>29400</v>
      </c>
      <c r="G192" s="281">
        <f t="shared" si="87"/>
        <v>29400</v>
      </c>
      <c r="H192" s="281">
        <f t="shared" si="87"/>
        <v>29400</v>
      </c>
      <c r="I192" s="281">
        <f t="shared" si="87"/>
        <v>29400</v>
      </c>
      <c r="J192" s="281">
        <f t="shared" si="87"/>
        <v>29400</v>
      </c>
      <c r="K192" s="281">
        <f t="shared" si="87"/>
        <v>29400</v>
      </c>
      <c r="L192" s="281">
        <f t="shared" si="87"/>
        <v>29400</v>
      </c>
      <c r="M192" s="281">
        <f t="shared" si="87"/>
        <v>29400</v>
      </c>
      <c r="N192" s="10"/>
    </row>
    <row r="193" spans="2:14">
      <c r="B193" s="273" t="s">
        <v>510</v>
      </c>
      <c r="C193" s="273"/>
      <c r="D193" s="281">
        <f>'COSTOS DE PRODUCCIÓN'!$E$60*INVERSIONES!AF18</f>
        <v>134438.95172870115</v>
      </c>
      <c r="E193" s="281">
        <f>'COSTOS DE PRODUCCIÓN'!$E$60*INVERSIONES!AG18</f>
        <v>137799.92552191869</v>
      </c>
      <c r="F193" s="281">
        <f>'COSTOS DE PRODUCCIÓN'!$E$60*INVERSIONES!AH18</f>
        <v>141244.92365996659</v>
      </c>
      <c r="G193" s="281">
        <f>'COSTOS DE PRODUCCIÓN'!$E$60*INVERSIONES!AI18</f>
        <v>144776.04675146579</v>
      </c>
      <c r="H193" s="281">
        <f>'COSTOS DE PRODUCCIÓN'!$E$60*INVERSIONES!AJ18</f>
        <v>148395.44792025239</v>
      </c>
      <c r="I193" s="281">
        <f>'COSTOS DE PRODUCCIÓN'!$E$60*INVERSIONES!AK18</f>
        <v>152105.33411825873</v>
      </c>
      <c r="J193" s="281">
        <f>'COSTOS DE PRODUCCIÓN'!$E$60*INVERSIONES!AL18</f>
        <v>155907.96747121518</v>
      </c>
      <c r="K193" s="281">
        <f>'COSTOS DE PRODUCCIÓN'!$E$60*INVERSIONES!AM18</f>
        <v>159805.66665799555</v>
      </c>
      <c r="L193" s="281">
        <f>'COSTOS DE PRODUCCIÓN'!$E$60*INVERSIONES!AN18</f>
        <v>163800.80832444542</v>
      </c>
      <c r="M193" s="281">
        <f>'COSTOS DE PRODUCCIÓN'!$E$60*INVERSIONES!AO18</f>
        <v>167895.82853255657</v>
      </c>
      <c r="N193" s="10"/>
    </row>
    <row r="194" spans="2:14">
      <c r="B194" s="273" t="s">
        <v>511</v>
      </c>
      <c r="C194" s="273"/>
      <c r="D194" s="281">
        <f>'SUELDOS Y SALARIOS'!E41+'SUELDOS Y SALARIOS'!E23</f>
        <v>25320</v>
      </c>
      <c r="E194" s="281">
        <f t="shared" ref="E194:M194" si="88">D194</f>
        <v>25320</v>
      </c>
      <c r="F194" s="281">
        <f t="shared" si="88"/>
        <v>25320</v>
      </c>
      <c r="G194" s="281">
        <f t="shared" si="88"/>
        <v>25320</v>
      </c>
      <c r="H194" s="281">
        <f t="shared" si="88"/>
        <v>25320</v>
      </c>
      <c r="I194" s="281">
        <f t="shared" si="88"/>
        <v>25320</v>
      </c>
      <c r="J194" s="281">
        <f t="shared" si="88"/>
        <v>25320</v>
      </c>
      <c r="K194" s="281">
        <f t="shared" si="88"/>
        <v>25320</v>
      </c>
      <c r="L194" s="281">
        <f t="shared" si="88"/>
        <v>25320</v>
      </c>
      <c r="M194" s="281">
        <f t="shared" si="88"/>
        <v>25320</v>
      </c>
      <c r="N194" s="10"/>
    </row>
    <row r="195" spans="2:14">
      <c r="B195" s="273" t="s">
        <v>512</v>
      </c>
      <c r="C195" s="273"/>
      <c r="D195" s="281">
        <f>'COSTOS DE PRODUCCIÓN'!$C$137*INVERSIONES!AF18</f>
        <v>149157.69144518432</v>
      </c>
      <c r="E195" s="281">
        <f>'COSTOS DE PRODUCCIÓN'!$C$137*INVERSIONES!AG18</f>
        <v>152886.63373131395</v>
      </c>
      <c r="F195" s="281">
        <f>'COSTOS DE PRODUCCIÓN'!$C$137*INVERSIONES!AH18</f>
        <v>156708.79957459669</v>
      </c>
      <c r="G195" s="281">
        <f>'COSTOS DE PRODUCCIÓN'!$C$137*INVERSIONES!AI18</f>
        <v>160626.51956396169</v>
      </c>
      <c r="H195" s="281">
        <f>'COSTOS DE PRODUCCIÓN'!$C$137*INVERSIONES!AJ18</f>
        <v>164642.18255306067</v>
      </c>
      <c r="I195" s="281">
        <f>'COSTOS DE PRODUCCIÓN'!$C$137*INVERSIONES!AK18</f>
        <v>168758.23711688721</v>
      </c>
      <c r="J195" s="281">
        <f>'COSTOS DE PRODUCCIÓN'!$C$137*INVERSIONES!AL18</f>
        <v>172977.19304480936</v>
      </c>
      <c r="K195" s="281">
        <f>'COSTOS DE PRODUCCIÓN'!$C$137*INVERSIONES!AM18</f>
        <v>177301.62287092963</v>
      </c>
      <c r="L195" s="281">
        <f>'COSTOS DE PRODUCCIÓN'!$C$137*INVERSIONES!AN18</f>
        <v>181734.16344270282</v>
      </c>
      <c r="M195" s="281">
        <f>'COSTOS DE PRODUCCIÓN'!$C$137*INVERSIONES!AO18</f>
        <v>186277.5175287704</v>
      </c>
      <c r="N195" s="10"/>
    </row>
    <row r="196" spans="2:14">
      <c r="B196" s="271" t="s">
        <v>513</v>
      </c>
      <c r="C196" s="271"/>
      <c r="D196" s="280">
        <f t="shared" ref="D196:M196" si="89">SUM(D197:D199)</f>
        <v>75292.679999999993</v>
      </c>
      <c r="E196" s="280">
        <f t="shared" si="89"/>
        <v>75292.679999999993</v>
      </c>
      <c r="F196" s="280">
        <f t="shared" si="89"/>
        <v>75292.679999999993</v>
      </c>
      <c r="G196" s="280">
        <f t="shared" si="89"/>
        <v>75292.679999999993</v>
      </c>
      <c r="H196" s="280">
        <f t="shared" si="89"/>
        <v>75292.679999999993</v>
      </c>
      <c r="I196" s="280">
        <f t="shared" si="89"/>
        <v>75292.679999999993</v>
      </c>
      <c r="J196" s="280">
        <f t="shared" si="89"/>
        <v>75292.679999999993</v>
      </c>
      <c r="K196" s="280">
        <f t="shared" si="89"/>
        <v>75292.679999999993</v>
      </c>
      <c r="L196" s="280">
        <f t="shared" si="89"/>
        <v>75292.679999999993</v>
      </c>
      <c r="M196" s="280">
        <f t="shared" si="89"/>
        <v>75292.679999999993</v>
      </c>
      <c r="N196" s="10"/>
    </row>
    <row r="197" spans="2:14">
      <c r="B197" s="273" t="s">
        <v>259</v>
      </c>
      <c r="C197" s="273"/>
      <c r="D197" s="281">
        <f>'MAQUINARIA,EQUIPO,SUMINISTR Y S'!D93+'MAQUINARIA,EQUIPO,SUMINISTR Y S'!$C$18</f>
        <v>20770.68</v>
      </c>
      <c r="E197" s="281">
        <f t="shared" ref="E197:F199" si="90">D197</f>
        <v>20770.68</v>
      </c>
      <c r="F197" s="280">
        <f t="shared" si="90"/>
        <v>20770.68</v>
      </c>
      <c r="G197" s="281">
        <f>E197</f>
        <v>20770.68</v>
      </c>
      <c r="H197" s="281">
        <f t="shared" ref="H197:M199" si="91">G197</f>
        <v>20770.68</v>
      </c>
      <c r="I197" s="281">
        <f t="shared" si="91"/>
        <v>20770.68</v>
      </c>
      <c r="J197" s="281">
        <f t="shared" si="91"/>
        <v>20770.68</v>
      </c>
      <c r="K197" s="281">
        <f t="shared" si="91"/>
        <v>20770.68</v>
      </c>
      <c r="L197" s="281">
        <f t="shared" si="91"/>
        <v>20770.68</v>
      </c>
      <c r="M197" s="281">
        <f t="shared" si="91"/>
        <v>20770.68</v>
      </c>
      <c r="N197" s="12"/>
    </row>
    <row r="198" spans="2:14">
      <c r="B198" s="272" t="s">
        <v>247</v>
      </c>
      <c r="C198" s="272"/>
      <c r="D198" s="282">
        <f>'SUELDOS Y SALARIOS'!E16+'MAQUINARIA,EQUIPO,SUMINISTR Y S'!C84+'SUELDOS Y SALARIOS'!E23+'SUELDOS Y SALARIOS'!E41+'MAQUINARIA,EQUIPO,SUMINISTR Y S'!E60</f>
        <v>36954</v>
      </c>
      <c r="E198" s="282">
        <f t="shared" si="90"/>
        <v>36954</v>
      </c>
      <c r="F198" s="280">
        <f t="shared" si="90"/>
        <v>36954</v>
      </c>
      <c r="G198" s="282">
        <f>E198</f>
        <v>36954</v>
      </c>
      <c r="H198" s="282">
        <f t="shared" si="91"/>
        <v>36954</v>
      </c>
      <c r="I198" s="282">
        <f t="shared" si="91"/>
        <v>36954</v>
      </c>
      <c r="J198" s="282">
        <f t="shared" si="91"/>
        <v>36954</v>
      </c>
      <c r="K198" s="282">
        <f t="shared" si="91"/>
        <v>36954</v>
      </c>
      <c r="L198" s="282">
        <f t="shared" si="91"/>
        <v>36954</v>
      </c>
      <c r="M198" s="282">
        <f t="shared" si="91"/>
        <v>36954</v>
      </c>
      <c r="N198" s="95"/>
    </row>
    <row r="199" spans="2:14">
      <c r="B199" s="272" t="s">
        <v>248</v>
      </c>
      <c r="C199" s="272"/>
      <c r="D199" s="282">
        <f>'MAQUINARIA,EQUIPO,SUMINISTR Y S'!G47</f>
        <v>17568</v>
      </c>
      <c r="E199" s="282">
        <f t="shared" si="90"/>
        <v>17568</v>
      </c>
      <c r="F199" s="280">
        <f t="shared" si="90"/>
        <v>17568</v>
      </c>
      <c r="G199" s="282">
        <f>E199</f>
        <v>17568</v>
      </c>
      <c r="H199" s="282">
        <f t="shared" si="91"/>
        <v>17568</v>
      </c>
      <c r="I199" s="282">
        <f t="shared" si="91"/>
        <v>17568</v>
      </c>
      <c r="J199" s="282">
        <f t="shared" si="91"/>
        <v>17568</v>
      </c>
      <c r="K199" s="282">
        <f t="shared" si="91"/>
        <v>17568</v>
      </c>
      <c r="L199" s="282">
        <f t="shared" si="91"/>
        <v>17568</v>
      </c>
      <c r="M199" s="282">
        <f t="shared" si="91"/>
        <v>17568</v>
      </c>
      <c r="N199" s="96"/>
    </row>
    <row r="200" spans="2:14">
      <c r="B200" s="271" t="s">
        <v>267</v>
      </c>
      <c r="C200" s="272"/>
      <c r="D200" s="280">
        <f>+D189-D190</f>
        <v>-5230.1570034903707</v>
      </c>
      <c r="E200" s="280">
        <f t="shared" ref="E200:M200" si="92">E189-E190</f>
        <v>4979.3221507695271</v>
      </c>
      <c r="F200" s="280">
        <f t="shared" si="92"/>
        <v>15444.038283885631</v>
      </c>
      <c r="G200" s="280">
        <f t="shared" si="92"/>
        <v>26170.372320330061</v>
      </c>
      <c r="H200" s="280">
        <f t="shared" si="92"/>
        <v>37164.864707685367</v>
      </c>
      <c r="I200" s="280">
        <f t="shared" si="92"/>
        <v>48434.219404724659</v>
      </c>
      <c r="J200" s="280">
        <f t="shared" si="92"/>
        <v>59985.307969189831</v>
      </c>
      <c r="K200" s="280">
        <f t="shared" si="92"/>
        <v>71825.173747766763</v>
      </c>
      <c r="L200" s="280">
        <f t="shared" si="92"/>
        <v>83961.036170807958</v>
      </c>
      <c r="M200" s="280">
        <f t="shared" si="92"/>
        <v>96400.295154425316</v>
      </c>
      <c r="N200" s="83"/>
    </row>
    <row r="201" spans="2:14">
      <c r="B201" s="273" t="s">
        <v>249</v>
      </c>
      <c r="C201" s="272"/>
      <c r="D201" s="282">
        <f>'AMORTIZACIÓN DE LA DEUDA'!F10</f>
        <v>7332.4750708582296</v>
      </c>
      <c r="E201" s="282">
        <f>'AMORTIZACIÓN DE LA DEUDA'!F11</f>
        <v>8212.3720793612156</v>
      </c>
      <c r="F201" s="280">
        <f>'AMORTIZACIÓN DE LA DEUDA'!F12</f>
        <v>9197.8567288845625</v>
      </c>
      <c r="G201" s="280">
        <f>'AMORTIZACIÓN DE LA DEUDA'!F13</f>
        <v>10301.59953635071</v>
      </c>
      <c r="H201" s="280">
        <f>'AMORTIZACIÓN DE LA DEUDA'!F14</f>
        <v>11537.791480712795</v>
      </c>
      <c r="I201" s="282"/>
      <c r="J201" s="282"/>
      <c r="K201" s="282"/>
      <c r="L201" s="282"/>
      <c r="M201" s="282"/>
      <c r="N201" s="95"/>
    </row>
    <row r="202" spans="2:14">
      <c r="B202" s="273" t="s">
        <v>163</v>
      </c>
      <c r="C202" s="272"/>
      <c r="D202" s="282">
        <f>DEPRECIACIONES!E10</f>
        <v>12254.333333333332</v>
      </c>
      <c r="E202" s="282">
        <f t="shared" ref="E202:M202" si="93">D202</f>
        <v>12254.333333333332</v>
      </c>
      <c r="F202" s="282">
        <f t="shared" si="93"/>
        <v>12254.333333333332</v>
      </c>
      <c r="G202" s="282">
        <f t="shared" si="93"/>
        <v>12254.333333333332</v>
      </c>
      <c r="H202" s="282">
        <f t="shared" si="93"/>
        <v>12254.333333333332</v>
      </c>
      <c r="I202" s="282">
        <f t="shared" si="93"/>
        <v>12254.333333333332</v>
      </c>
      <c r="J202" s="282">
        <f t="shared" si="93"/>
        <v>12254.333333333332</v>
      </c>
      <c r="K202" s="282">
        <f t="shared" si="93"/>
        <v>12254.333333333332</v>
      </c>
      <c r="L202" s="282">
        <f t="shared" si="93"/>
        <v>12254.333333333332</v>
      </c>
      <c r="M202" s="282">
        <f t="shared" si="93"/>
        <v>12254.333333333332</v>
      </c>
      <c r="N202" s="95"/>
    </row>
    <row r="203" spans="2:14">
      <c r="B203" s="271" t="s">
        <v>268</v>
      </c>
      <c r="C203" s="272"/>
      <c r="D203" s="280">
        <f t="shared" ref="D203:M203" si="94">+D200-D201-D202</f>
        <v>-24816.965407681932</v>
      </c>
      <c r="E203" s="280">
        <f t="shared" si="94"/>
        <v>-15487.383261925021</v>
      </c>
      <c r="F203" s="280">
        <f t="shared" si="94"/>
        <v>-6008.1517783322633</v>
      </c>
      <c r="G203" s="280">
        <f t="shared" si="94"/>
        <v>3614.4394506460194</v>
      </c>
      <c r="H203" s="280">
        <f t="shared" si="94"/>
        <v>13372.739893639238</v>
      </c>
      <c r="I203" s="280">
        <f t="shared" si="94"/>
        <v>36179.886071391331</v>
      </c>
      <c r="J203" s="280">
        <f t="shared" si="94"/>
        <v>47730.974635856503</v>
      </c>
      <c r="K203" s="280">
        <f t="shared" si="94"/>
        <v>59570.840414433434</v>
      </c>
      <c r="L203" s="280">
        <f t="shared" si="94"/>
        <v>71706.70283747463</v>
      </c>
      <c r="M203" s="280">
        <f t="shared" si="94"/>
        <v>84145.961821091987</v>
      </c>
      <c r="N203" s="10"/>
    </row>
    <row r="204" spans="2:14">
      <c r="B204" s="273" t="s">
        <v>341</v>
      </c>
      <c r="C204" s="272"/>
      <c r="D204" s="282">
        <f>'AMORTIZACIÓN DE LA DEUDA'!E10</f>
        <v>5589.851387540105</v>
      </c>
      <c r="E204" s="282">
        <f>'AMORTIZACIÓN DE LA DEUDA'!E11</f>
        <v>4709.9543790371181</v>
      </c>
      <c r="F204" s="282">
        <f>'AMORTIZACIÓN DE LA DEUDA'!E12</f>
        <v>3724.4697295137721</v>
      </c>
      <c r="G204" s="282">
        <f>'AMORTIZACIÓN DE LA DEUDA'!E13</f>
        <v>2620.7269220476246</v>
      </c>
      <c r="H204" s="282">
        <f>'AMORTIZACIÓN DE LA DEUDA'!E14</f>
        <v>1384.5349776855394</v>
      </c>
      <c r="I204" s="282"/>
      <c r="J204" s="282"/>
      <c r="K204" s="282"/>
      <c r="L204" s="282"/>
      <c r="M204" s="282"/>
      <c r="N204" s="95"/>
    </row>
    <row r="205" spans="2:14">
      <c r="B205" s="273" t="s">
        <v>250</v>
      </c>
      <c r="C205" s="272"/>
      <c r="D205" s="280">
        <f t="shared" ref="D205:M205" si="95">+D203-D204</f>
        <v>-30406.816795222036</v>
      </c>
      <c r="E205" s="280">
        <f t="shared" si="95"/>
        <v>-20197.337640962138</v>
      </c>
      <c r="F205" s="280">
        <f t="shared" si="95"/>
        <v>-9732.6215078460355</v>
      </c>
      <c r="G205" s="280">
        <f t="shared" si="95"/>
        <v>993.71252859839478</v>
      </c>
      <c r="H205" s="280">
        <f t="shared" si="95"/>
        <v>11988.204915953698</v>
      </c>
      <c r="I205" s="280">
        <f t="shared" si="95"/>
        <v>36179.886071391331</v>
      </c>
      <c r="J205" s="280">
        <f t="shared" si="95"/>
        <v>47730.974635856503</v>
      </c>
      <c r="K205" s="280">
        <f t="shared" si="95"/>
        <v>59570.840414433434</v>
      </c>
      <c r="L205" s="280">
        <f t="shared" si="95"/>
        <v>71706.70283747463</v>
      </c>
      <c r="M205" s="280">
        <f t="shared" si="95"/>
        <v>84145.961821091987</v>
      </c>
      <c r="N205" s="10"/>
    </row>
    <row r="206" spans="2:14">
      <c r="B206" s="273" t="s">
        <v>252</v>
      </c>
      <c r="C206" s="272"/>
      <c r="D206" s="282">
        <f t="shared" ref="D206:M206" si="96">D205*15%</f>
        <v>-4561.022519283305</v>
      </c>
      <c r="E206" s="282">
        <f t="shared" si="96"/>
        <v>-3029.6006461443208</v>
      </c>
      <c r="F206" s="282">
        <f t="shared" si="96"/>
        <v>-1459.8932261769053</v>
      </c>
      <c r="G206" s="282">
        <f t="shared" si="96"/>
        <v>149.05687928975922</v>
      </c>
      <c r="H206" s="282">
        <f t="shared" si="96"/>
        <v>1798.2307373930546</v>
      </c>
      <c r="I206" s="282">
        <f t="shared" si="96"/>
        <v>5426.9829107086998</v>
      </c>
      <c r="J206" s="282">
        <f t="shared" si="96"/>
        <v>7159.6461953784756</v>
      </c>
      <c r="K206" s="282">
        <f t="shared" si="96"/>
        <v>8935.6260621650144</v>
      </c>
      <c r="L206" s="282">
        <f t="shared" si="96"/>
        <v>10756.005425621193</v>
      </c>
      <c r="M206" s="282">
        <f t="shared" si="96"/>
        <v>12621.894273163798</v>
      </c>
      <c r="N206" s="10"/>
    </row>
    <row r="207" spans="2:14">
      <c r="B207" s="275" t="s">
        <v>444</v>
      </c>
      <c r="C207" s="269"/>
      <c r="D207" s="283">
        <f t="shared" ref="D207:M207" si="97">D205-D206</f>
        <v>-25845.79427593873</v>
      </c>
      <c r="E207" s="283">
        <f t="shared" si="97"/>
        <v>-17167.736994817817</v>
      </c>
      <c r="F207" s="283">
        <f t="shared" si="97"/>
        <v>-8272.7282816691295</v>
      </c>
      <c r="G207" s="283">
        <f t="shared" si="97"/>
        <v>844.65564930863559</v>
      </c>
      <c r="H207" s="283">
        <f t="shared" si="97"/>
        <v>10189.974178560644</v>
      </c>
      <c r="I207" s="283">
        <f t="shared" si="97"/>
        <v>30752.903160682632</v>
      </c>
      <c r="J207" s="283">
        <f t="shared" si="97"/>
        <v>40571.328440478028</v>
      </c>
      <c r="K207" s="283">
        <f t="shared" si="97"/>
        <v>50635.21435226842</v>
      </c>
      <c r="L207" s="283">
        <f t="shared" si="97"/>
        <v>60950.697411853434</v>
      </c>
      <c r="M207" s="283">
        <f t="shared" si="97"/>
        <v>71524.067547928193</v>
      </c>
      <c r="N207" s="96"/>
    </row>
    <row r="208" spans="2:14">
      <c r="B208" s="273" t="s">
        <v>251</v>
      </c>
      <c r="C208" s="272"/>
      <c r="D208" s="282">
        <f t="shared" ref="D208:M208" si="98">D207*25%</f>
        <v>-6461.4485689846824</v>
      </c>
      <c r="E208" s="282">
        <f t="shared" si="98"/>
        <v>-4291.9342487044541</v>
      </c>
      <c r="F208" s="282">
        <f t="shared" si="98"/>
        <v>-2068.1820704172824</v>
      </c>
      <c r="G208" s="282">
        <f t="shared" si="98"/>
        <v>211.1639123271589</v>
      </c>
      <c r="H208" s="282">
        <f t="shared" si="98"/>
        <v>2547.493544640161</v>
      </c>
      <c r="I208" s="282">
        <f t="shared" si="98"/>
        <v>7688.225790170658</v>
      </c>
      <c r="J208" s="282">
        <f t="shared" si="98"/>
        <v>10142.832110119507</v>
      </c>
      <c r="K208" s="282">
        <f t="shared" si="98"/>
        <v>12658.803588067105</v>
      </c>
      <c r="L208" s="282">
        <f t="shared" si="98"/>
        <v>15237.674352963359</v>
      </c>
      <c r="M208" s="282">
        <f t="shared" si="98"/>
        <v>17881.016886982048</v>
      </c>
      <c r="N208" s="96"/>
    </row>
    <row r="209" spans="2:14">
      <c r="B209" s="273" t="s">
        <v>253</v>
      </c>
      <c r="C209" s="272"/>
      <c r="D209" s="280">
        <f t="shared" ref="D209:M209" si="99">D207-D208</f>
        <v>-19384.345706954045</v>
      </c>
      <c r="E209" s="280">
        <f t="shared" si="99"/>
        <v>-12875.802746113362</v>
      </c>
      <c r="F209" s="280">
        <f t="shared" si="99"/>
        <v>-6204.5462112518471</v>
      </c>
      <c r="G209" s="280">
        <f t="shared" si="99"/>
        <v>633.49173698147672</v>
      </c>
      <c r="H209" s="280">
        <f t="shared" si="99"/>
        <v>7642.4806339204824</v>
      </c>
      <c r="I209" s="280">
        <f t="shared" si="99"/>
        <v>23064.677370511974</v>
      </c>
      <c r="J209" s="280">
        <f t="shared" si="99"/>
        <v>30428.496330358521</v>
      </c>
      <c r="K209" s="280">
        <f t="shared" si="99"/>
        <v>37976.410764201311</v>
      </c>
      <c r="L209" s="280">
        <f t="shared" si="99"/>
        <v>45713.023058890074</v>
      </c>
      <c r="M209" s="280">
        <f t="shared" si="99"/>
        <v>53643.050660946144</v>
      </c>
      <c r="N209" s="10"/>
    </row>
    <row r="210" spans="2:14">
      <c r="B210" s="273" t="s">
        <v>254</v>
      </c>
      <c r="C210" s="272"/>
      <c r="D210" s="282">
        <f>+D201+D202</f>
        <v>19586.808404191561</v>
      </c>
      <c r="E210" s="282">
        <f t="shared" ref="E210:M210" si="100">E201+E202</f>
        <v>20466.705412694548</v>
      </c>
      <c r="F210" s="282">
        <f t="shared" si="100"/>
        <v>21452.190062217895</v>
      </c>
      <c r="G210" s="282">
        <f t="shared" si="100"/>
        <v>22555.932869684042</v>
      </c>
      <c r="H210" s="282">
        <f t="shared" si="100"/>
        <v>23792.124814046125</v>
      </c>
      <c r="I210" s="282">
        <f t="shared" si="100"/>
        <v>12254.333333333332</v>
      </c>
      <c r="J210" s="282">
        <f t="shared" si="100"/>
        <v>12254.333333333332</v>
      </c>
      <c r="K210" s="282">
        <f t="shared" si="100"/>
        <v>12254.333333333332</v>
      </c>
      <c r="L210" s="282">
        <f t="shared" si="100"/>
        <v>12254.333333333332</v>
      </c>
      <c r="M210" s="282">
        <f t="shared" si="100"/>
        <v>12254.333333333332</v>
      </c>
      <c r="N210" s="95"/>
    </row>
    <row r="211" spans="2:14">
      <c r="B211" s="273" t="s">
        <v>255</v>
      </c>
      <c r="C211" s="272"/>
      <c r="D211" s="282">
        <f>'AMORTIZACIÓN DE LA DEUDA'!D10</f>
        <v>12922.326458398335</v>
      </c>
      <c r="E211" s="282">
        <f>D211</f>
        <v>12922.326458398335</v>
      </c>
      <c r="F211" s="282">
        <f>E211</f>
        <v>12922.326458398335</v>
      </c>
      <c r="G211" s="282">
        <f>F211</f>
        <v>12922.326458398335</v>
      </c>
      <c r="H211" s="282">
        <f>G211</f>
        <v>12922.326458398335</v>
      </c>
      <c r="I211" s="280"/>
      <c r="J211" s="282"/>
      <c r="K211" s="282"/>
      <c r="L211" s="282"/>
      <c r="M211" s="282"/>
      <c r="N211" s="95"/>
    </row>
    <row r="212" spans="2:14">
      <c r="B212" s="273" t="s">
        <v>235</v>
      </c>
      <c r="C212" s="274">
        <f>'AMORTIZACIÓN DE LA DEUDA'!C3</f>
        <v>46582.094896167546</v>
      </c>
      <c r="D212" s="283"/>
      <c r="E212" s="282"/>
      <c r="F212" s="280"/>
      <c r="G212" s="282"/>
      <c r="H212" s="282"/>
      <c r="I212" s="282"/>
      <c r="J212" s="282"/>
      <c r="K212" s="282"/>
      <c r="L212" s="282"/>
      <c r="M212" s="282"/>
      <c r="N212" s="96"/>
    </row>
    <row r="213" spans="2:14">
      <c r="B213" s="273" t="s">
        <v>256</v>
      </c>
      <c r="C213" s="274">
        <f>-INVERSIONES!C22</f>
        <v>-110489.14</v>
      </c>
      <c r="D213" s="282"/>
      <c r="E213" s="282"/>
      <c r="F213" s="280"/>
      <c r="G213" s="282"/>
      <c r="H213" s="282"/>
      <c r="I213" s="282"/>
      <c r="J213" s="282"/>
      <c r="K213" s="282"/>
      <c r="L213" s="282"/>
      <c r="M213" s="282"/>
      <c r="N213" s="96"/>
    </row>
    <row r="214" spans="2:14">
      <c r="B214" s="273" t="s">
        <v>222</v>
      </c>
      <c r="C214" s="274"/>
      <c r="D214" s="282"/>
      <c r="E214" s="282"/>
      <c r="F214" s="280"/>
      <c r="G214" s="282"/>
      <c r="H214" s="282"/>
      <c r="I214" s="282"/>
      <c r="J214" s="282"/>
      <c r="K214" s="282"/>
      <c r="L214" s="282"/>
      <c r="M214" s="282"/>
      <c r="N214" s="95"/>
    </row>
    <row r="215" spans="2:14">
      <c r="B215" s="273" t="s">
        <v>223</v>
      </c>
      <c r="C215" s="274">
        <f>-INVERSIONES!C6</f>
        <v>-5966.0972404188506</v>
      </c>
      <c r="D215" s="282"/>
      <c r="E215" s="282"/>
      <c r="F215" s="280"/>
      <c r="G215" s="282"/>
      <c r="H215" s="282"/>
      <c r="I215" s="282"/>
      <c r="J215" s="282"/>
      <c r="K215" s="282"/>
      <c r="L215" s="282"/>
      <c r="M215" s="282">
        <f>-C215</f>
        <v>5966.0972404188506</v>
      </c>
      <c r="N215" s="96"/>
    </row>
    <row r="216" spans="2:14">
      <c r="B216" s="273" t="s">
        <v>222</v>
      </c>
      <c r="C216" s="276"/>
      <c r="D216" s="282"/>
      <c r="E216" s="282"/>
      <c r="F216" s="280"/>
      <c r="G216" s="282"/>
      <c r="H216" s="282"/>
      <c r="I216" s="282"/>
      <c r="J216" s="282"/>
      <c r="K216" s="282"/>
      <c r="L216" s="282"/>
      <c r="M216" s="282">
        <f>DEPRECIACIONES!H10</f>
        <v>75945.666666666672</v>
      </c>
      <c r="N216" s="95"/>
    </row>
    <row r="217" spans="2:14">
      <c r="B217" s="273" t="s">
        <v>257</v>
      </c>
      <c r="C217" s="274">
        <f>SUM(C212:C215)</f>
        <v>-69873.142344251304</v>
      </c>
      <c r="D217" s="282">
        <f t="shared" ref="D217:M217" si="101">+D209+D210-D211+D215</f>
        <v>-12719.863761160819</v>
      </c>
      <c r="E217" s="282">
        <f t="shared" si="101"/>
        <v>-5331.4237918171493</v>
      </c>
      <c r="F217" s="282">
        <f t="shared" si="101"/>
        <v>2325.3173925677129</v>
      </c>
      <c r="G217" s="282">
        <f t="shared" si="101"/>
        <v>10267.098148267183</v>
      </c>
      <c r="H217" s="282">
        <f t="shared" si="101"/>
        <v>18512.278989568273</v>
      </c>
      <c r="I217" s="282">
        <f t="shared" si="101"/>
        <v>35319.010703845306</v>
      </c>
      <c r="J217" s="282">
        <f t="shared" si="101"/>
        <v>42682.829663691853</v>
      </c>
      <c r="K217" s="282">
        <f t="shared" si="101"/>
        <v>50230.74409753464</v>
      </c>
      <c r="L217" s="282">
        <f t="shared" si="101"/>
        <v>57967.356392223403</v>
      </c>
      <c r="M217" s="282">
        <f t="shared" si="101"/>
        <v>71863.481234698324</v>
      </c>
      <c r="N217" s="95"/>
    </row>
    <row r="218" spans="2:14">
      <c r="B218" s="271" t="s">
        <v>258</v>
      </c>
      <c r="C218" s="277">
        <v>0.19</v>
      </c>
      <c r="D218" s="269"/>
      <c r="E218" s="269"/>
      <c r="F218" s="269"/>
      <c r="G218" s="269"/>
      <c r="H218" s="269"/>
      <c r="I218" s="269"/>
      <c r="J218" s="269"/>
      <c r="K218" s="269"/>
      <c r="L218" s="269"/>
      <c r="M218" s="269"/>
      <c r="N218" s="89"/>
    </row>
    <row r="219" spans="2:14">
      <c r="B219" s="271" t="s">
        <v>178</v>
      </c>
      <c r="C219" s="277">
        <f>IRR(C217:M217)</f>
        <v>0.17398663764359965</v>
      </c>
      <c r="D219" s="269"/>
      <c r="E219" s="278"/>
      <c r="F219" s="278"/>
      <c r="G219" s="269"/>
      <c r="H219" s="269"/>
      <c r="I219" s="269"/>
      <c r="J219" s="269"/>
      <c r="K219" s="269"/>
      <c r="L219" s="269"/>
      <c r="M219" s="269"/>
      <c r="N219" s="89"/>
    </row>
    <row r="220" spans="2:14">
      <c r="B220" s="271" t="s">
        <v>177</v>
      </c>
      <c r="C220" s="279">
        <f>NPV(C218,D217:M217)+C217</f>
        <v>-7778.1564861607403</v>
      </c>
      <c r="D220" s="269"/>
      <c r="E220" s="269"/>
      <c r="F220" s="269"/>
      <c r="G220" s="269"/>
      <c r="H220" s="269"/>
      <c r="I220" s="269"/>
      <c r="J220" s="269"/>
      <c r="K220" s="269"/>
      <c r="L220" s="269"/>
      <c r="M220" s="269"/>
      <c r="N220" s="89"/>
    </row>
    <row r="221" spans="2:14">
      <c r="B221" s="167"/>
      <c r="C221" s="167"/>
      <c r="D221" s="167"/>
      <c r="E221" s="167"/>
      <c r="F221" s="167"/>
      <c r="G221" s="167"/>
      <c r="H221" s="167"/>
      <c r="I221" s="167"/>
      <c r="J221" s="167"/>
      <c r="K221" s="167"/>
      <c r="L221" s="167"/>
      <c r="M221" s="167"/>
      <c r="N221" s="89"/>
    </row>
    <row r="222" spans="2:14">
      <c r="B222" s="473" t="s">
        <v>560</v>
      </c>
      <c r="C222" s="473"/>
      <c r="D222" s="473"/>
    </row>
    <row r="223" spans="2:14">
      <c r="B223" s="431" t="s">
        <v>177</v>
      </c>
      <c r="C223" s="430" t="s">
        <v>542</v>
      </c>
    </row>
    <row r="224" spans="2:14">
      <c r="B224" s="428">
        <f>C36</f>
        <v>61734.00967151596</v>
      </c>
      <c r="C224" s="429">
        <f>C34</f>
        <v>0.09</v>
      </c>
    </row>
    <row r="225" spans="2:3">
      <c r="B225" s="428">
        <f>C73</f>
        <v>42998.120279754497</v>
      </c>
      <c r="C225" s="429">
        <f>C71</f>
        <v>0.11</v>
      </c>
    </row>
    <row r="226" spans="2:3">
      <c r="B226" s="428">
        <f>C110</f>
        <v>25697.599615395986</v>
      </c>
      <c r="C226" s="429">
        <f>C108</f>
        <v>0.131961306</v>
      </c>
    </row>
    <row r="227" spans="2:3">
      <c r="B227" s="428">
        <f>C147</f>
        <v>13615.292283969655</v>
      </c>
      <c r="C227" s="429">
        <f>C145</f>
        <v>0.15</v>
      </c>
    </row>
    <row r="228" spans="2:3">
      <c r="B228" s="428">
        <f>C184</f>
        <v>2090.0832734709402</v>
      </c>
      <c r="C228" s="429">
        <f>C182</f>
        <v>0.17</v>
      </c>
    </row>
    <row r="229" spans="2:3">
      <c r="B229" s="428">
        <f>C220</f>
        <v>-7778.1564861607403</v>
      </c>
      <c r="C229" s="429">
        <f>C218</f>
        <v>0.19</v>
      </c>
    </row>
  </sheetData>
  <mergeCells count="7">
    <mergeCell ref="B222:D222"/>
    <mergeCell ref="B186:I186"/>
    <mergeCell ref="B2:I2"/>
    <mergeCell ref="B39:I39"/>
    <mergeCell ref="B113:I113"/>
    <mergeCell ref="B150:I150"/>
    <mergeCell ref="B76:I7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dimension ref="A3:I146"/>
  <sheetViews>
    <sheetView topLeftCell="A112" zoomScale="70" zoomScaleNormal="70" workbookViewId="0">
      <selection activeCell="G9" sqref="G9"/>
    </sheetView>
  </sheetViews>
  <sheetFormatPr baseColWidth="10" defaultRowHeight="12.75"/>
  <cols>
    <col min="1" max="1" width="10.140625" style="37" customWidth="1"/>
    <col min="2" max="2" width="30" style="37" customWidth="1"/>
    <col min="3" max="3" width="21.140625" style="37" customWidth="1"/>
    <col min="4" max="4" width="14.140625" style="37" customWidth="1"/>
    <col min="5" max="5" width="17.85546875" style="37" customWidth="1"/>
    <col min="6" max="6" width="16" style="37" customWidth="1"/>
    <col min="7" max="7" width="11.85546875" style="37" customWidth="1"/>
    <col min="8" max="16384" width="11.42578125" style="37"/>
  </cols>
  <sheetData>
    <row r="3" spans="2:7">
      <c r="B3" s="485" t="s">
        <v>374</v>
      </c>
      <c r="C3" s="485"/>
      <c r="E3" s="484" t="s">
        <v>458</v>
      </c>
      <c r="F3" s="484"/>
      <c r="G3" s="332"/>
    </row>
    <row r="4" spans="2:7">
      <c r="B4" s="487" t="s">
        <v>378</v>
      </c>
      <c r="C4" s="488"/>
      <c r="E4" s="32" t="s">
        <v>459</v>
      </c>
      <c r="F4" s="35">
        <f>C7-(C7*F5)</f>
        <v>0.78312836276509079</v>
      </c>
      <c r="G4" s="332"/>
    </row>
    <row r="5" spans="2:7">
      <c r="B5" s="34" t="s">
        <v>375</v>
      </c>
      <c r="C5" s="32">
        <v>180</v>
      </c>
      <c r="D5" s="42"/>
      <c r="E5" s="32" t="s">
        <v>460</v>
      </c>
      <c r="F5" s="48">
        <v>0.2</v>
      </c>
      <c r="G5" s="333"/>
    </row>
    <row r="6" spans="2:7">
      <c r="B6" s="34" t="s">
        <v>376</v>
      </c>
      <c r="C6" s="35">
        <f>C12</f>
        <v>0.54383914080909079</v>
      </c>
      <c r="D6" s="42"/>
      <c r="E6" s="32" t="s">
        <v>219</v>
      </c>
      <c r="F6" s="35">
        <f>C7</f>
        <v>0.97891045345636352</v>
      </c>
    </row>
    <row r="7" spans="2:7">
      <c r="B7" s="36" t="s">
        <v>377</v>
      </c>
      <c r="C7" s="71">
        <f>D48</f>
        <v>0.97891045345636352</v>
      </c>
    </row>
    <row r="8" spans="2:7">
      <c r="B8" s="39"/>
      <c r="C8" s="40"/>
    </row>
    <row r="9" spans="2:7">
      <c r="B9" s="39"/>
      <c r="C9" s="40"/>
    </row>
    <row r="10" spans="2:7">
      <c r="B10" s="65" t="s">
        <v>395</v>
      </c>
      <c r="C10" s="65"/>
      <c r="D10" s="66"/>
    </row>
    <row r="11" spans="2:7">
      <c r="B11" s="38" t="s">
        <v>57</v>
      </c>
      <c r="C11" s="38" t="s">
        <v>379</v>
      </c>
    </row>
    <row r="12" spans="2:7">
      <c r="B12" s="32" t="s">
        <v>149</v>
      </c>
      <c r="C12" s="35">
        <f>E60+C137</f>
        <v>0.54383914080909079</v>
      </c>
    </row>
    <row r="13" spans="2:7">
      <c r="B13" s="49"/>
      <c r="C13" s="40"/>
    </row>
    <row r="14" spans="2:7">
      <c r="B14" s="42"/>
      <c r="C14" s="40"/>
    </row>
    <row r="15" spans="2:7">
      <c r="B15" s="41" t="s">
        <v>442</v>
      </c>
      <c r="C15" s="41"/>
      <c r="D15" s="41"/>
      <c r="E15" s="42"/>
    </row>
    <row r="16" spans="2:7" ht="21.75" customHeight="1">
      <c r="B16" s="47" t="s">
        <v>562</v>
      </c>
      <c r="C16" s="47"/>
      <c r="D16" s="47"/>
      <c r="E16" s="42"/>
    </row>
    <row r="17" spans="2:5" ht="21.75" customHeight="1">
      <c r="B17" s="47" t="s">
        <v>396</v>
      </c>
      <c r="C17" s="47"/>
      <c r="D17" s="47"/>
      <c r="E17" s="42"/>
    </row>
    <row r="18" spans="2:5" ht="21.75" customHeight="1">
      <c r="B18" s="47"/>
      <c r="C18" s="47"/>
      <c r="D18" s="47"/>
      <c r="E18" s="42"/>
    </row>
    <row r="19" spans="2:5" ht="21.75" customHeight="1">
      <c r="B19" s="41" t="s">
        <v>431</v>
      </c>
      <c r="C19" s="47"/>
      <c r="D19" s="47"/>
      <c r="E19" s="42"/>
    </row>
    <row r="20" spans="2:5" ht="21.75" customHeight="1">
      <c r="B20" s="43" t="s">
        <v>57</v>
      </c>
      <c r="C20" s="43" t="s">
        <v>440</v>
      </c>
      <c r="D20" s="47"/>
      <c r="E20" s="42"/>
    </row>
    <row r="21" spans="2:5" ht="21.75" customHeight="1">
      <c r="B21" s="44" t="s">
        <v>432</v>
      </c>
      <c r="C21" s="67">
        <v>2366902</v>
      </c>
      <c r="D21" s="47"/>
      <c r="E21" s="42"/>
    </row>
    <row r="22" spans="2:5" ht="21.75" customHeight="1">
      <c r="B22" s="44" t="s">
        <v>433</v>
      </c>
      <c r="C22" s="68">
        <f>0.3147*C21</f>
        <v>744864.05939999991</v>
      </c>
      <c r="D22" s="47"/>
      <c r="E22" s="42"/>
    </row>
    <row r="23" spans="2:5" ht="21.75" customHeight="1">
      <c r="B23" s="44" t="s">
        <v>434</v>
      </c>
      <c r="C23" s="69">
        <f>41.4%*C22</f>
        <v>308373.72059159994</v>
      </c>
      <c r="D23" s="47"/>
      <c r="E23" s="42"/>
    </row>
    <row r="24" spans="2:5" ht="21.75" customHeight="1">
      <c r="B24" s="59" t="s">
        <v>435</v>
      </c>
      <c r="C24" s="59"/>
      <c r="D24" s="47"/>
      <c r="E24" s="42"/>
    </row>
    <row r="25" spans="2:5" ht="21.75" customHeight="1">
      <c r="B25" s="61" t="s">
        <v>436</v>
      </c>
      <c r="C25" s="61"/>
      <c r="D25" s="47"/>
      <c r="E25" s="42"/>
    </row>
    <row r="26" spans="2:5" ht="21.75" customHeight="1">
      <c r="B26" s="60" t="s">
        <v>437</v>
      </c>
      <c r="C26" s="64">
        <f>70%*C23</f>
        <v>215861.60441411994</v>
      </c>
      <c r="D26" s="47"/>
      <c r="E26" s="42"/>
    </row>
    <row r="27" spans="2:5" ht="21.75" customHeight="1">
      <c r="B27" s="62" t="s">
        <v>438</v>
      </c>
      <c r="C27" s="59"/>
      <c r="D27" s="47"/>
      <c r="E27" s="42"/>
    </row>
    <row r="28" spans="2:5" ht="21.75" customHeight="1">
      <c r="B28" s="60" t="s">
        <v>439</v>
      </c>
      <c r="C28" s="63">
        <f>(59.21%)*(C26)</f>
        <v>127811.65597360041</v>
      </c>
      <c r="D28" s="41"/>
      <c r="E28" s="42" t="s">
        <v>463</v>
      </c>
    </row>
    <row r="29" spans="2:5" ht="21.75" customHeight="1">
      <c r="B29" s="43" t="s">
        <v>526</v>
      </c>
      <c r="C29" s="58">
        <f>C28*E29</f>
        <v>12781.165597360043</v>
      </c>
      <c r="D29" s="41"/>
      <c r="E29" s="86">
        <v>0.1</v>
      </c>
    </row>
    <row r="30" spans="2:5" ht="21.75" customHeight="1">
      <c r="B30" s="47"/>
      <c r="C30" s="57"/>
      <c r="D30" s="41"/>
      <c r="E30" s="42"/>
    </row>
    <row r="31" spans="2:5" ht="21.75" customHeight="1">
      <c r="B31" s="41" t="s">
        <v>454</v>
      </c>
      <c r="C31" s="41"/>
      <c r="D31" s="41"/>
      <c r="E31" s="42"/>
    </row>
    <row r="32" spans="2:5" ht="21.75" customHeight="1">
      <c r="B32" s="41" t="s">
        <v>455</v>
      </c>
      <c r="C32" s="41"/>
      <c r="D32" s="41"/>
      <c r="E32" s="42"/>
    </row>
    <row r="33" spans="2:7" ht="21.75" customHeight="1">
      <c r="B33" s="43" t="s">
        <v>398</v>
      </c>
      <c r="C33" s="43" t="s">
        <v>397</v>
      </c>
      <c r="D33" s="43" t="s">
        <v>399</v>
      </c>
      <c r="E33" s="42"/>
    </row>
    <row r="34" spans="2:7" ht="21.75" customHeight="1">
      <c r="B34" s="46">
        <f>C28*E29</f>
        <v>12781.165597360043</v>
      </c>
      <c r="C34" s="45">
        <v>0.85</v>
      </c>
      <c r="D34" s="32">
        <f>B34*C34*INVERSIONES!$AG$1</f>
        <v>43455.963031024141</v>
      </c>
      <c r="E34" s="42"/>
    </row>
    <row r="35" spans="2:7" ht="21.75" customHeight="1">
      <c r="B35" s="336"/>
      <c r="C35" s="337"/>
      <c r="D35" s="42"/>
      <c r="E35" s="42"/>
    </row>
    <row r="36" spans="2:7" ht="21.75" customHeight="1">
      <c r="B36" s="336" t="s">
        <v>547</v>
      </c>
      <c r="C36" s="337"/>
      <c r="D36" s="42"/>
      <c r="E36" s="42"/>
    </row>
    <row r="37" spans="2:7" ht="21.75" customHeight="1">
      <c r="B37" s="48">
        <v>0.8</v>
      </c>
      <c r="C37" s="35">
        <f>$C$12*$B$48</f>
        <v>0.43507131264727267</v>
      </c>
      <c r="D37" s="35">
        <f>$C$12+$C$48</f>
        <v>0.97891045345636352</v>
      </c>
      <c r="E37" s="42"/>
    </row>
    <row r="38" spans="2:7" ht="21.75" customHeight="1">
      <c r="B38" s="41"/>
      <c r="C38" s="41"/>
      <c r="D38" s="41"/>
      <c r="E38" s="42"/>
    </row>
    <row r="39" spans="2:7">
      <c r="B39" s="51" t="s">
        <v>453</v>
      </c>
      <c r="C39" s="42"/>
      <c r="E39" s="70"/>
      <c r="F39" s="70"/>
      <c r="G39" s="71"/>
    </row>
    <row r="40" spans="2:7">
      <c r="B40" s="51" t="s">
        <v>456</v>
      </c>
      <c r="C40" s="42"/>
      <c r="E40" s="70"/>
      <c r="F40" s="70"/>
      <c r="G40" s="71"/>
    </row>
    <row r="41" spans="2:7">
      <c r="B41" s="486" t="s">
        <v>380</v>
      </c>
      <c r="C41" s="486"/>
      <c r="D41" s="338">
        <f>B34*4*12*C34</f>
        <v>521471.55637228972</v>
      </c>
      <c r="E41" s="70"/>
      <c r="F41" s="70"/>
      <c r="G41" s="71"/>
    </row>
    <row r="42" spans="2:7">
      <c r="B42" s="486" t="s">
        <v>173</v>
      </c>
      <c r="C42" s="486"/>
      <c r="D42" s="35">
        <f>D41*E55</f>
        <v>122219.89602475541</v>
      </c>
      <c r="E42" s="70"/>
      <c r="F42" s="70"/>
    </row>
    <row r="43" spans="2:7">
      <c r="C43" s="71"/>
      <c r="E43" s="70"/>
      <c r="F43" s="70"/>
    </row>
    <row r="44" spans="2:7" ht="21" customHeight="1">
      <c r="B44" s="342" t="s">
        <v>400</v>
      </c>
      <c r="C44" s="342"/>
      <c r="D44" s="342"/>
      <c r="E44" s="343"/>
    </row>
    <row r="45" spans="2:7" ht="21" customHeight="1">
      <c r="B45" s="33" t="s">
        <v>220</v>
      </c>
      <c r="C45" s="33" t="s">
        <v>221</v>
      </c>
      <c r="D45" s="33" t="s">
        <v>219</v>
      </c>
    </row>
    <row r="46" spans="2:7" ht="21" customHeight="1">
      <c r="B46" s="48">
        <v>0.9</v>
      </c>
      <c r="C46" s="35">
        <f>$C$12*$B$46</f>
        <v>0.4894552267281817</v>
      </c>
      <c r="D46" s="35">
        <f>C46+$C$12</f>
        <v>1.0332943675372726</v>
      </c>
    </row>
    <row r="47" spans="2:7" ht="21" customHeight="1">
      <c r="B47" s="48">
        <v>0.85</v>
      </c>
      <c r="C47" s="35">
        <f>$C$12*$B$47</f>
        <v>0.46226326968772719</v>
      </c>
      <c r="D47" s="35">
        <f>$C$12+$C$47</f>
        <v>1.0061024104968179</v>
      </c>
    </row>
    <row r="48" spans="2:7" ht="21" customHeight="1">
      <c r="B48" s="48">
        <v>0.8</v>
      </c>
      <c r="C48" s="35">
        <f>$C$12*$B$48</f>
        <v>0.43507131264727267</v>
      </c>
      <c r="D48" s="35">
        <f>$C$12+$C$48</f>
        <v>0.97891045345636352</v>
      </c>
    </row>
    <row r="49" spans="2:5" ht="21" customHeight="1">
      <c r="C49" s="71"/>
    </row>
    <row r="50" spans="2:5" ht="21" customHeight="1">
      <c r="C50" s="71"/>
    </row>
    <row r="51" spans="2:5">
      <c r="B51" s="485" t="s">
        <v>132</v>
      </c>
      <c r="C51" s="485"/>
    </row>
    <row r="52" spans="2:5">
      <c r="B52" s="31" t="s">
        <v>381</v>
      </c>
      <c r="C52" s="42"/>
    </row>
    <row r="54" spans="2:5">
      <c r="B54" s="33" t="s">
        <v>382</v>
      </c>
      <c r="C54" s="33" t="s">
        <v>405</v>
      </c>
      <c r="D54" s="33" t="s">
        <v>406</v>
      </c>
      <c r="E54" s="33" t="s">
        <v>172</v>
      </c>
    </row>
    <row r="55" spans="2:5">
      <c r="B55" s="32" t="s">
        <v>408</v>
      </c>
      <c r="C55" s="32">
        <v>75</v>
      </c>
      <c r="D55" s="72">
        <f>F81/25</f>
        <v>3.1250000000000002E-3</v>
      </c>
      <c r="E55" s="339">
        <f>D55*C55</f>
        <v>0.234375</v>
      </c>
    </row>
    <row r="56" spans="2:5">
      <c r="B56" s="32" t="s">
        <v>401</v>
      </c>
      <c r="C56" s="73">
        <v>15</v>
      </c>
      <c r="D56" s="72">
        <f>D95</f>
        <v>1.4583333333333334E-3</v>
      </c>
      <c r="E56" s="339">
        <f>D56*C56</f>
        <v>2.1875000000000002E-2</v>
      </c>
    </row>
    <row r="57" spans="2:5">
      <c r="B57" s="32" t="s">
        <v>402</v>
      </c>
      <c r="C57" s="73">
        <v>105</v>
      </c>
      <c r="D57" s="72">
        <f>D85</f>
        <v>2.1698E-7</v>
      </c>
      <c r="E57" s="339">
        <f>D57*C57</f>
        <v>2.2782900000000002E-5</v>
      </c>
    </row>
    <row r="58" spans="2:5">
      <c r="B58" s="32" t="s">
        <v>403</v>
      </c>
      <c r="C58" s="74">
        <f>0.05%*C5</f>
        <v>0.09</v>
      </c>
      <c r="D58" s="72">
        <f>D108</f>
        <v>2.8409090909090906E-3</v>
      </c>
      <c r="E58" s="339">
        <f>D58*C58</f>
        <v>2.5568181818181815E-4</v>
      </c>
    </row>
    <row r="59" spans="2:5">
      <c r="B59" s="32" t="s">
        <v>404</v>
      </c>
      <c r="C59" s="74">
        <f>0.05%*C5</f>
        <v>0.09</v>
      </c>
      <c r="D59" s="72">
        <f>D123</f>
        <v>1.4204545454545452E-2</v>
      </c>
      <c r="E59" s="339">
        <f>D59*C59</f>
        <v>1.2784090909090907E-3</v>
      </c>
    </row>
    <row r="60" spans="2:5">
      <c r="B60" s="33" t="s">
        <v>217</v>
      </c>
      <c r="C60" s="33"/>
      <c r="D60" s="33"/>
      <c r="E60" s="340">
        <f>SUM(E55:E59)</f>
        <v>0.2578068738090909</v>
      </c>
    </row>
    <row r="61" spans="2:5">
      <c r="B61" s="238" t="s">
        <v>528</v>
      </c>
      <c r="C61" s="238"/>
      <c r="D61" s="238"/>
      <c r="E61" s="341">
        <f>E60*INVERSIONES!AF18</f>
        <v>134438.95172870115</v>
      </c>
    </row>
    <row r="64" spans="2:5">
      <c r="B64" s="80" t="s">
        <v>135</v>
      </c>
      <c r="C64" s="75"/>
    </row>
    <row r="65" spans="1:9">
      <c r="B65" s="75"/>
      <c r="C65" s="75"/>
    </row>
    <row r="66" spans="1:9">
      <c r="B66" s="82" t="s">
        <v>189</v>
      </c>
      <c r="C66" s="75"/>
    </row>
    <row r="67" spans="1:9">
      <c r="B67" s="75"/>
      <c r="C67" s="75"/>
    </row>
    <row r="68" spans="1:9">
      <c r="H68" s="239"/>
      <c r="I68" s="239"/>
    </row>
    <row r="69" spans="1:9">
      <c r="A69" s="239"/>
      <c r="B69" s="240" t="s">
        <v>57</v>
      </c>
      <c r="C69" s="240" t="s">
        <v>7</v>
      </c>
      <c r="D69" s="240" t="s">
        <v>136</v>
      </c>
      <c r="E69" s="239"/>
      <c r="F69" s="239"/>
      <c r="G69" s="239"/>
      <c r="H69" s="239"/>
      <c r="I69" s="239"/>
    </row>
    <row r="70" spans="1:9">
      <c r="A70" s="239"/>
      <c r="B70" s="241" t="s">
        <v>133</v>
      </c>
      <c r="C70" s="241">
        <v>1</v>
      </c>
      <c r="D70" s="241" t="s">
        <v>137</v>
      </c>
      <c r="E70" s="239"/>
      <c r="F70" s="239"/>
      <c r="G70" s="239"/>
      <c r="H70" s="239"/>
      <c r="I70" s="239"/>
    </row>
    <row r="71" spans="1:9">
      <c r="A71" s="242" t="s">
        <v>186</v>
      </c>
      <c r="B71" s="241" t="s">
        <v>138</v>
      </c>
      <c r="C71" s="241">
        <v>1</v>
      </c>
      <c r="D71" s="241">
        <v>30</v>
      </c>
      <c r="E71" s="239"/>
      <c r="F71" s="239"/>
      <c r="G71" s="243"/>
      <c r="H71" s="239"/>
      <c r="I71" s="239"/>
    </row>
    <row r="72" spans="1:9">
      <c r="A72" s="445" t="s">
        <v>187</v>
      </c>
      <c r="B72" s="441" t="s">
        <v>138</v>
      </c>
      <c r="C72" s="441">
        <v>1</v>
      </c>
      <c r="D72" s="441">
        <v>25</v>
      </c>
      <c r="E72" s="446" t="s">
        <v>563</v>
      </c>
      <c r="F72" s="239"/>
      <c r="G72" s="243"/>
      <c r="H72" s="239"/>
      <c r="I72" s="239"/>
    </row>
    <row r="73" spans="1:9">
      <c r="A73" s="239"/>
      <c r="B73" s="239" t="s">
        <v>195</v>
      </c>
      <c r="C73" s="239"/>
      <c r="D73" s="239"/>
      <c r="E73" s="239"/>
      <c r="F73" s="239"/>
      <c r="G73" s="243"/>
      <c r="H73" s="239"/>
      <c r="I73" s="239"/>
    </row>
    <row r="74" spans="1:9">
      <c r="A74" s="239"/>
      <c r="B74" s="241" t="s">
        <v>192</v>
      </c>
      <c r="C74" s="241" t="s">
        <v>185</v>
      </c>
      <c r="D74" s="241" t="s">
        <v>193</v>
      </c>
      <c r="E74" s="239"/>
      <c r="F74" s="239"/>
      <c r="G74" s="243"/>
      <c r="H74" s="239"/>
      <c r="I74" s="239"/>
    </row>
    <row r="75" spans="1:9">
      <c r="A75" s="239"/>
      <c r="B75" s="241" t="s">
        <v>194</v>
      </c>
      <c r="C75" s="241" t="s">
        <v>185</v>
      </c>
      <c r="D75" s="241" t="s">
        <v>193</v>
      </c>
      <c r="E75" s="239"/>
      <c r="F75" s="239"/>
      <c r="G75" s="243"/>
      <c r="H75" s="239"/>
      <c r="I75" s="239"/>
    </row>
    <row r="76" spans="1:9">
      <c r="A76" s="239"/>
      <c r="B76" s="239"/>
      <c r="C76" s="239"/>
      <c r="D76" s="239"/>
      <c r="E76" s="239"/>
      <c r="F76" s="239"/>
      <c r="G76" s="243"/>
      <c r="H76" s="239"/>
      <c r="I76" s="239"/>
    </row>
    <row r="77" spans="1:9">
      <c r="A77" s="239"/>
      <c r="B77" s="239"/>
      <c r="C77" s="239"/>
      <c r="D77" s="239"/>
      <c r="E77" s="239"/>
      <c r="F77" s="239"/>
      <c r="G77" s="243"/>
      <c r="H77" s="239"/>
      <c r="I77" s="239"/>
    </row>
    <row r="78" spans="1:9">
      <c r="A78" s="239"/>
      <c r="B78" s="239"/>
      <c r="C78" s="239"/>
      <c r="D78" s="239"/>
      <c r="E78" s="239"/>
      <c r="F78" s="239"/>
      <c r="G78" s="243"/>
      <c r="H78" s="242"/>
      <c r="I78" s="239"/>
    </row>
    <row r="79" spans="1:9">
      <c r="A79" s="239"/>
      <c r="B79" s="240" t="s">
        <v>57</v>
      </c>
      <c r="C79" s="240" t="s">
        <v>183</v>
      </c>
      <c r="D79" s="240" t="s">
        <v>184</v>
      </c>
      <c r="E79" s="240" t="s">
        <v>180</v>
      </c>
      <c r="F79" s="240" t="s">
        <v>181</v>
      </c>
      <c r="G79" s="244" t="s">
        <v>413</v>
      </c>
      <c r="H79" s="239"/>
      <c r="I79" s="239"/>
    </row>
    <row r="80" spans="1:9">
      <c r="A80" s="239" t="s">
        <v>186</v>
      </c>
      <c r="B80" s="241" t="s">
        <v>182</v>
      </c>
      <c r="C80" s="241">
        <v>1</v>
      </c>
      <c r="D80" s="241">
        <v>114</v>
      </c>
      <c r="E80" s="245">
        <v>14</v>
      </c>
      <c r="F80" s="246">
        <f>E80/D80</f>
        <v>0.12280701754385964</v>
      </c>
      <c r="G80" s="267">
        <f>F80/D71</f>
        <v>4.0935672514619877E-3</v>
      </c>
      <c r="H80" s="239"/>
      <c r="I80" s="239"/>
    </row>
    <row r="81" spans="1:9">
      <c r="A81" s="440" t="s">
        <v>187</v>
      </c>
      <c r="B81" s="441" t="s">
        <v>188</v>
      </c>
      <c r="C81" s="441">
        <v>1</v>
      </c>
      <c r="D81" s="441">
        <v>128</v>
      </c>
      <c r="E81" s="442">
        <v>10</v>
      </c>
      <c r="F81" s="443">
        <f>E81/D81</f>
        <v>7.8125E-2</v>
      </c>
      <c r="G81" s="444">
        <f>F81/D72</f>
        <v>3.1250000000000002E-3</v>
      </c>
      <c r="H81" s="239"/>
      <c r="I81" s="239"/>
    </row>
    <row r="82" spans="1:9">
      <c r="A82" s="239"/>
      <c r="B82" s="239"/>
      <c r="C82" s="239"/>
      <c r="D82" s="239"/>
      <c r="E82" s="239"/>
      <c r="F82" s="239"/>
      <c r="G82" s="243"/>
      <c r="H82" s="239"/>
      <c r="I82" s="239"/>
    </row>
    <row r="83" spans="1:9">
      <c r="A83" s="239"/>
      <c r="B83" s="247" t="s">
        <v>190</v>
      </c>
      <c r="C83" s="239"/>
      <c r="D83" s="239"/>
      <c r="E83" s="239"/>
      <c r="F83" s="239"/>
      <c r="G83" s="243"/>
      <c r="H83" s="239"/>
      <c r="I83" s="239"/>
    </row>
    <row r="84" spans="1:9">
      <c r="A84" s="239"/>
      <c r="B84" s="248" t="s">
        <v>57</v>
      </c>
      <c r="C84" s="240" t="s">
        <v>200</v>
      </c>
      <c r="D84" s="240" t="s">
        <v>409</v>
      </c>
      <c r="E84" s="240" t="s">
        <v>414</v>
      </c>
      <c r="F84" s="239"/>
      <c r="G84" s="239"/>
      <c r="H84" s="239"/>
      <c r="I84" s="239"/>
    </row>
    <row r="85" spans="1:9">
      <c r="A85" s="239"/>
      <c r="B85" s="249" t="s">
        <v>37</v>
      </c>
      <c r="C85" s="241">
        <v>80</v>
      </c>
      <c r="D85" s="250">
        <f>E85/C85</f>
        <v>2.1698E-7</v>
      </c>
      <c r="E85" s="250">
        <f>(G90/C90)*C85</f>
        <v>1.73584E-5</v>
      </c>
      <c r="F85" s="239"/>
      <c r="G85" s="239"/>
      <c r="H85" s="239"/>
      <c r="I85" s="239"/>
    </row>
    <row r="86" spans="1:9">
      <c r="A86" s="239"/>
      <c r="B86" s="239"/>
      <c r="C86" s="239"/>
      <c r="D86" s="239"/>
      <c r="E86" s="239"/>
      <c r="F86" s="239"/>
      <c r="G86" s="243"/>
      <c r="H86" s="239"/>
      <c r="I86" s="239"/>
    </row>
    <row r="87" spans="1:9">
      <c r="A87" s="239"/>
      <c r="B87" s="249" t="s">
        <v>195</v>
      </c>
      <c r="C87" s="251"/>
      <c r="D87" s="241"/>
      <c r="E87" s="239"/>
      <c r="F87" s="239"/>
      <c r="G87" s="243"/>
      <c r="H87" s="239"/>
      <c r="I87" s="239"/>
    </row>
    <row r="88" spans="1:9">
      <c r="A88" s="239"/>
      <c r="B88" s="249" t="s">
        <v>410</v>
      </c>
      <c r="C88" s="251">
        <v>1000000</v>
      </c>
      <c r="D88" s="241" t="s">
        <v>407</v>
      </c>
      <c r="E88" s="239"/>
      <c r="F88" s="239"/>
      <c r="G88" s="243"/>
      <c r="H88" s="239"/>
      <c r="I88" s="239"/>
    </row>
    <row r="89" spans="1:9">
      <c r="A89" s="239"/>
      <c r="B89" s="249" t="s">
        <v>411</v>
      </c>
      <c r="C89" s="251" t="s">
        <v>415</v>
      </c>
      <c r="D89" s="241"/>
      <c r="E89" s="239"/>
      <c r="F89" s="239"/>
      <c r="G89" s="243"/>
      <c r="H89" s="253"/>
      <c r="I89" s="254"/>
    </row>
    <row r="90" spans="1:9">
      <c r="A90" s="239"/>
      <c r="B90" s="249" t="s">
        <v>412</v>
      </c>
      <c r="C90" s="251">
        <v>1000</v>
      </c>
      <c r="D90" s="241" t="s">
        <v>407</v>
      </c>
      <c r="E90" s="239"/>
      <c r="F90" s="241" t="s">
        <v>207</v>
      </c>
      <c r="G90" s="252">
        <f>G91/C90</f>
        <v>2.1698E-4</v>
      </c>
      <c r="H90" s="253"/>
      <c r="I90" s="239"/>
    </row>
    <row r="91" spans="1:9">
      <c r="A91" s="239"/>
      <c r="B91" s="239"/>
      <c r="C91" s="239"/>
      <c r="D91" s="239"/>
      <c r="E91" s="239"/>
      <c r="F91" s="241" t="s">
        <v>206</v>
      </c>
      <c r="G91" s="252">
        <v>0.21698000000000001</v>
      </c>
      <c r="H91" s="239"/>
      <c r="I91" s="239"/>
    </row>
    <row r="92" spans="1:9">
      <c r="A92" s="239"/>
      <c r="B92" s="239"/>
      <c r="C92" s="239"/>
      <c r="D92" s="239"/>
      <c r="E92" s="239"/>
      <c r="F92" s="239"/>
      <c r="G92" s="243"/>
      <c r="H92" s="239"/>
      <c r="I92" s="239"/>
    </row>
    <row r="93" spans="1:9">
      <c r="A93" s="239"/>
      <c r="B93" s="255" t="s">
        <v>197</v>
      </c>
      <c r="C93" s="239"/>
      <c r="D93" s="239"/>
      <c r="E93" s="239"/>
      <c r="F93" s="239"/>
      <c r="G93" s="243"/>
      <c r="H93" s="239"/>
      <c r="I93" s="239"/>
    </row>
    <row r="94" spans="1:9">
      <c r="A94" s="239"/>
      <c r="B94" s="240" t="s">
        <v>57</v>
      </c>
      <c r="C94" s="240" t="s">
        <v>416</v>
      </c>
      <c r="D94" s="240" t="s">
        <v>191</v>
      </c>
      <c r="E94" s="256" t="s">
        <v>202</v>
      </c>
      <c r="F94" s="239"/>
      <c r="G94" s="239"/>
      <c r="H94" s="239"/>
      <c r="I94" s="239"/>
    </row>
    <row r="95" spans="1:9">
      <c r="A95" s="239"/>
      <c r="B95" s="241" t="s">
        <v>196</v>
      </c>
      <c r="C95" s="241">
        <v>15</v>
      </c>
      <c r="D95" s="241">
        <f>C99/C103</f>
        <v>1.4583333333333334E-3</v>
      </c>
      <c r="E95" s="257">
        <f>C95*D95</f>
        <v>2.1875000000000002E-2</v>
      </c>
      <c r="F95" s="239"/>
      <c r="G95" s="239"/>
      <c r="H95" s="239"/>
      <c r="I95" s="239"/>
    </row>
    <row r="96" spans="1:9">
      <c r="A96" s="239"/>
      <c r="B96" s="254"/>
      <c r="C96" s="254"/>
      <c r="D96" s="254"/>
      <c r="E96" s="254"/>
      <c r="F96" s="254"/>
      <c r="G96" s="258"/>
      <c r="H96" s="239"/>
      <c r="I96" s="239"/>
    </row>
    <row r="97" spans="1:9">
      <c r="A97" s="239"/>
      <c r="B97" s="254"/>
      <c r="C97" s="254"/>
      <c r="D97" s="254"/>
      <c r="E97" s="254"/>
      <c r="F97" s="254"/>
      <c r="G97" s="258"/>
      <c r="H97" s="239"/>
      <c r="I97" s="239"/>
    </row>
    <row r="98" spans="1:9">
      <c r="A98" s="239"/>
      <c r="B98" s="241" t="s">
        <v>198</v>
      </c>
      <c r="C98" s="241" t="s">
        <v>199</v>
      </c>
      <c r="D98" s="239"/>
      <c r="E98" s="239"/>
      <c r="F98" s="239"/>
      <c r="G98" s="243"/>
      <c r="H98" s="239"/>
      <c r="I98" s="239"/>
    </row>
    <row r="99" spans="1:9">
      <c r="A99" s="239"/>
      <c r="B99" s="241">
        <v>1</v>
      </c>
      <c r="C99" s="241">
        <v>70</v>
      </c>
      <c r="D99" s="239"/>
      <c r="E99" s="239"/>
      <c r="F99" s="239"/>
      <c r="G99" s="243"/>
      <c r="H99" s="239"/>
      <c r="I99" s="239"/>
    </row>
    <row r="100" spans="1:9">
      <c r="A100" s="239"/>
      <c r="B100" s="239"/>
      <c r="C100" s="239"/>
      <c r="D100" s="239"/>
      <c r="E100" s="239"/>
      <c r="F100" s="239"/>
      <c r="G100" s="243"/>
      <c r="H100" s="239"/>
      <c r="I100" s="239"/>
    </row>
    <row r="101" spans="1:9">
      <c r="A101" s="239"/>
      <c r="B101" s="239" t="s">
        <v>195</v>
      </c>
      <c r="C101" s="239"/>
      <c r="D101" s="239"/>
      <c r="E101" s="239"/>
      <c r="F101" s="239"/>
      <c r="G101" s="243"/>
      <c r="H101" s="239"/>
      <c r="I101" s="239"/>
    </row>
    <row r="102" spans="1:9">
      <c r="A102" s="239"/>
      <c r="B102" s="241" t="s">
        <v>418</v>
      </c>
      <c r="C102" s="241" t="s">
        <v>417</v>
      </c>
      <c r="D102" s="241"/>
      <c r="E102" s="239"/>
      <c r="F102" s="239"/>
      <c r="G102" s="243"/>
      <c r="H102" s="239"/>
      <c r="I102" s="239"/>
    </row>
    <row r="103" spans="1:9">
      <c r="A103" s="239"/>
      <c r="B103" s="241" t="s">
        <v>419</v>
      </c>
      <c r="C103" s="241">
        <v>48000</v>
      </c>
      <c r="D103" s="241" t="s">
        <v>203</v>
      </c>
      <c r="E103" s="239"/>
      <c r="F103" s="239"/>
      <c r="G103" s="243"/>
      <c r="H103" s="239"/>
      <c r="I103" s="239"/>
    </row>
    <row r="104" spans="1:9">
      <c r="A104" s="239"/>
      <c r="B104" s="254"/>
      <c r="C104" s="254"/>
      <c r="D104" s="254"/>
      <c r="E104" s="239"/>
      <c r="F104" s="239"/>
      <c r="G104" s="239"/>
      <c r="H104" s="239"/>
      <c r="I104" s="239"/>
    </row>
    <row r="105" spans="1:9">
      <c r="A105" s="239"/>
      <c r="B105" s="254"/>
      <c r="C105" s="254"/>
      <c r="D105" s="254"/>
      <c r="E105" s="254"/>
      <c r="F105" s="239"/>
      <c r="G105" s="239"/>
      <c r="H105" s="239"/>
      <c r="I105" s="239"/>
    </row>
    <row r="106" spans="1:9">
      <c r="A106" s="239"/>
      <c r="B106" s="259" t="s">
        <v>204</v>
      </c>
      <c r="C106" s="254"/>
      <c r="D106" s="254"/>
      <c r="E106" s="254"/>
      <c r="F106" s="239"/>
      <c r="G106" s="239"/>
      <c r="H106" s="239"/>
      <c r="I106" s="239"/>
    </row>
    <row r="107" spans="1:9">
      <c r="A107" s="239"/>
      <c r="B107" s="260" t="s">
        <v>57</v>
      </c>
      <c r="C107" s="260" t="s">
        <v>201</v>
      </c>
      <c r="D107" s="260" t="s">
        <v>213</v>
      </c>
      <c r="E107" s="260" t="s">
        <v>214</v>
      </c>
      <c r="F107" s="239"/>
      <c r="G107" s="239"/>
      <c r="H107" s="239"/>
      <c r="I107" s="239"/>
    </row>
    <row r="108" spans="1:9">
      <c r="A108" s="239"/>
      <c r="B108" s="261" t="s">
        <v>208</v>
      </c>
      <c r="C108" s="262">
        <f>0.05%*C5</f>
        <v>0.09</v>
      </c>
      <c r="D108" s="263">
        <f>(C111/480)</f>
        <v>2.8409090909090906E-3</v>
      </c>
      <c r="E108" s="263">
        <f>C108*D108</f>
        <v>2.5568181818181815E-4</v>
      </c>
      <c r="F108" s="239"/>
      <c r="G108" s="239"/>
      <c r="H108" s="239"/>
      <c r="I108" s="239"/>
    </row>
    <row r="109" spans="1:9">
      <c r="A109" s="239"/>
      <c r="B109" s="264"/>
      <c r="C109" s="254"/>
      <c r="D109" s="254"/>
      <c r="E109" s="265"/>
      <c r="F109" s="239"/>
      <c r="G109" s="239"/>
      <c r="H109" s="239"/>
      <c r="I109" s="239"/>
    </row>
    <row r="110" spans="1:9">
      <c r="A110" s="239"/>
      <c r="B110" s="241" t="s">
        <v>209</v>
      </c>
      <c r="C110" s="241" t="s">
        <v>210</v>
      </c>
      <c r="D110" s="254"/>
      <c r="E110" s="265"/>
      <c r="F110" s="239"/>
      <c r="G110" s="239"/>
      <c r="H110" s="239"/>
      <c r="I110" s="239"/>
    </row>
    <row r="111" spans="1:9">
      <c r="A111" s="239"/>
      <c r="B111" s="241">
        <v>1</v>
      </c>
      <c r="C111" s="241">
        <f>3/2.2</f>
        <v>1.3636363636363635</v>
      </c>
      <c r="D111" s="254"/>
      <c r="E111" s="265"/>
      <c r="F111" s="239"/>
      <c r="G111" s="239"/>
      <c r="H111" s="239"/>
      <c r="I111" s="239"/>
    </row>
    <row r="112" spans="1:9">
      <c r="A112" s="239"/>
      <c r="B112" s="264"/>
      <c r="C112" s="254"/>
      <c r="D112" s="254"/>
      <c r="E112" s="254"/>
      <c r="F112" s="239"/>
      <c r="G112" s="239"/>
      <c r="H112" s="239"/>
      <c r="I112" s="239"/>
    </row>
    <row r="113" spans="1:9">
      <c r="A113" s="239"/>
      <c r="B113" s="264" t="s">
        <v>195</v>
      </c>
      <c r="C113" s="254"/>
      <c r="D113" s="254"/>
      <c r="E113" s="254"/>
      <c r="F113" s="239"/>
      <c r="G113" s="239"/>
      <c r="H113" s="239"/>
      <c r="I113" s="239"/>
    </row>
    <row r="114" spans="1:9">
      <c r="A114" s="239"/>
      <c r="B114" s="266" t="s">
        <v>420</v>
      </c>
      <c r="C114" s="251" t="s">
        <v>211</v>
      </c>
      <c r="D114" s="239"/>
      <c r="E114" s="254"/>
      <c r="F114" s="239"/>
      <c r="G114" s="239"/>
      <c r="H114" s="239"/>
      <c r="I114" s="239"/>
    </row>
    <row r="115" spans="1:9">
      <c r="A115" s="239"/>
      <c r="B115" s="254"/>
      <c r="C115" s="254"/>
      <c r="D115" s="254"/>
      <c r="E115" s="254"/>
      <c r="F115" s="239"/>
      <c r="G115" s="239"/>
    </row>
    <row r="116" spans="1:9">
      <c r="B116" s="50"/>
      <c r="C116" s="50"/>
      <c r="D116" s="50"/>
      <c r="E116" s="50"/>
      <c r="F116" s="50"/>
      <c r="G116" s="50"/>
    </row>
    <row r="117" spans="1:9">
      <c r="B117" s="50"/>
      <c r="C117" s="50"/>
      <c r="D117" s="50"/>
      <c r="E117" s="50"/>
      <c r="F117" s="50"/>
      <c r="G117" s="50"/>
    </row>
    <row r="118" spans="1:9">
      <c r="B118" s="50"/>
      <c r="C118" s="50"/>
      <c r="D118" s="77"/>
      <c r="E118" s="50"/>
      <c r="F118" s="78"/>
      <c r="G118" s="78"/>
    </row>
    <row r="119" spans="1:9">
      <c r="B119" s="42"/>
      <c r="C119" s="42"/>
      <c r="D119" s="42"/>
      <c r="E119" s="42"/>
    </row>
    <row r="120" spans="1:9">
      <c r="B120" s="42"/>
      <c r="C120" s="42"/>
      <c r="D120" s="42"/>
      <c r="E120" s="42"/>
    </row>
    <row r="121" spans="1:9">
      <c r="B121" s="55" t="s">
        <v>205</v>
      </c>
    </row>
    <row r="122" spans="1:9">
      <c r="B122" s="33" t="s">
        <v>57</v>
      </c>
      <c r="C122" s="52" t="s">
        <v>201</v>
      </c>
      <c r="D122" s="52" t="s">
        <v>216</v>
      </c>
      <c r="E122" s="52" t="s">
        <v>215</v>
      </c>
    </row>
    <row r="123" spans="1:9">
      <c r="B123" s="54" t="s">
        <v>212</v>
      </c>
      <c r="C123" s="32">
        <f>0.05%*C5</f>
        <v>0.09</v>
      </c>
      <c r="D123" s="79">
        <f>(C126/480)</f>
        <v>1.4204545454545452E-2</v>
      </c>
      <c r="E123" s="32">
        <f>C123*D123</f>
        <v>1.2784090909090907E-3</v>
      </c>
    </row>
    <row r="124" spans="1:9">
      <c r="B124" s="42"/>
      <c r="C124" s="42"/>
      <c r="D124" s="42"/>
      <c r="E124" s="42"/>
    </row>
    <row r="125" spans="1:9">
      <c r="B125" s="32" t="s">
        <v>209</v>
      </c>
      <c r="C125" s="32" t="s">
        <v>210</v>
      </c>
    </row>
    <row r="126" spans="1:9">
      <c r="B126" s="32">
        <v>1</v>
      </c>
      <c r="C126" s="76">
        <f>15/2.2</f>
        <v>6.8181818181818175</v>
      </c>
      <c r="D126" s="42"/>
      <c r="E126" s="42"/>
    </row>
    <row r="127" spans="1:9">
      <c r="B127" s="42"/>
      <c r="C127" s="42"/>
      <c r="D127" s="42"/>
      <c r="E127" s="42"/>
    </row>
    <row r="128" spans="1:9">
      <c r="B128" s="42"/>
      <c r="C128" s="42"/>
      <c r="D128" s="42"/>
      <c r="E128" s="42"/>
    </row>
    <row r="131" spans="2:5">
      <c r="B131" s="485" t="s">
        <v>140</v>
      </c>
      <c r="C131" s="485"/>
    </row>
    <row r="132" spans="2:5">
      <c r="B132" s="33" t="s">
        <v>57</v>
      </c>
      <c r="C132" s="33" t="s">
        <v>171</v>
      </c>
    </row>
    <row r="133" spans="2:5">
      <c r="B133" s="32" t="s">
        <v>141</v>
      </c>
      <c r="C133" s="53">
        <v>9.8923999999999998E-2</v>
      </c>
    </row>
    <row r="134" spans="2:5">
      <c r="B134" s="32" t="s">
        <v>147</v>
      </c>
      <c r="C134" s="53">
        <v>7.1082669999999997E-3</v>
      </c>
    </row>
    <row r="135" spans="2:5">
      <c r="B135" s="32" t="s">
        <v>148</v>
      </c>
      <c r="C135" s="53">
        <v>0.15</v>
      </c>
    </row>
    <row r="136" spans="2:5">
      <c r="B136" s="32" t="s">
        <v>142</v>
      </c>
      <c r="C136" s="53">
        <v>0.03</v>
      </c>
    </row>
    <row r="137" spans="2:5">
      <c r="B137" s="32" t="s">
        <v>218</v>
      </c>
      <c r="C137" s="53">
        <f>SUM(C133:C136)</f>
        <v>0.28603226699999995</v>
      </c>
    </row>
    <row r="140" spans="2:5">
      <c r="B140" s="80" t="s">
        <v>143</v>
      </c>
    </row>
    <row r="142" spans="2:5">
      <c r="B142" s="33" t="s">
        <v>421</v>
      </c>
      <c r="C142" s="33" t="s">
        <v>146</v>
      </c>
      <c r="D142" s="33" t="s">
        <v>134</v>
      </c>
      <c r="E142" s="33" t="s">
        <v>139</v>
      </c>
    </row>
    <row r="143" spans="2:5">
      <c r="B143" s="32" t="s">
        <v>145</v>
      </c>
      <c r="C143" s="81">
        <v>100000</v>
      </c>
      <c r="D143" s="53">
        <f>E143/C143</f>
        <v>9.8923999999999998E-2</v>
      </c>
      <c r="E143" s="53">
        <v>9892.4</v>
      </c>
    </row>
    <row r="144" spans="2:5">
      <c r="B144" s="32" t="s">
        <v>147</v>
      </c>
      <c r="C144" s="81">
        <v>150000</v>
      </c>
      <c r="D144" s="53">
        <f>E144/C144</f>
        <v>7.1082666666666666E-3</v>
      </c>
      <c r="E144" s="53">
        <v>1066.24</v>
      </c>
    </row>
    <row r="145" spans="2:5">
      <c r="B145" s="32" t="s">
        <v>148</v>
      </c>
      <c r="C145" s="81">
        <v>100</v>
      </c>
      <c r="D145" s="53">
        <f>E145/C145</f>
        <v>0.12</v>
      </c>
      <c r="E145" s="53">
        <v>12</v>
      </c>
    </row>
    <row r="146" spans="2:5">
      <c r="B146" s="32" t="s">
        <v>142</v>
      </c>
      <c r="C146" s="81">
        <v>100000</v>
      </c>
      <c r="D146" s="53">
        <v>0.03</v>
      </c>
      <c r="E146" s="53">
        <f>D146*C146</f>
        <v>3000</v>
      </c>
    </row>
  </sheetData>
  <mergeCells count="7">
    <mergeCell ref="E3:F3"/>
    <mergeCell ref="B131:C131"/>
    <mergeCell ref="B3:C3"/>
    <mergeCell ref="B41:C41"/>
    <mergeCell ref="B51:C51"/>
    <mergeCell ref="B42:C42"/>
    <mergeCell ref="B4:C4"/>
  </mergeCells>
  <phoneticPr fontId="23" type="noConversion"/>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B2:K18"/>
  <sheetViews>
    <sheetView topLeftCell="A6" workbookViewId="0">
      <selection activeCell="C20" sqref="C20"/>
    </sheetView>
  </sheetViews>
  <sheetFormatPr baseColWidth="10" defaultRowHeight="15"/>
  <cols>
    <col min="3" max="3" width="12.5703125" bestFit="1" customWidth="1"/>
    <col min="4" max="4" width="13.28515625" bestFit="1" customWidth="1"/>
    <col min="5" max="5" width="14.5703125" customWidth="1"/>
    <col min="6" max="6" width="13.28515625" bestFit="1" customWidth="1"/>
    <col min="7" max="7" width="17.5703125" customWidth="1"/>
    <col min="8" max="8" width="13.28515625" bestFit="1" customWidth="1"/>
  </cols>
  <sheetData>
    <row r="2" spans="2:11" ht="15.75" thickBot="1">
      <c r="I2" s="454" t="s">
        <v>525</v>
      </c>
      <c r="J2" s="454"/>
      <c r="K2" s="454"/>
    </row>
    <row r="3" spans="2:11" ht="15.75" thickBot="1">
      <c r="B3" s="346" t="s">
        <v>235</v>
      </c>
      <c r="C3" s="347">
        <f>INVERSIONES!E5</f>
        <v>46582.094896167546</v>
      </c>
      <c r="F3" s="352" t="s">
        <v>236</v>
      </c>
      <c r="G3" s="353">
        <f>-PMT(C5,5,C3)</f>
        <v>12922.326458398335</v>
      </c>
      <c r="I3" s="455" t="s">
        <v>337</v>
      </c>
      <c r="J3" s="455"/>
      <c r="K3" s="3">
        <v>5</v>
      </c>
    </row>
    <row r="4" spans="2:11">
      <c r="B4" s="348" t="s">
        <v>237</v>
      </c>
      <c r="C4" s="349">
        <v>5</v>
      </c>
      <c r="D4" t="s">
        <v>554</v>
      </c>
      <c r="I4" s="455" t="s">
        <v>338</v>
      </c>
      <c r="J4" s="455"/>
      <c r="K4" s="3">
        <v>5</v>
      </c>
    </row>
    <row r="5" spans="2:11" ht="15.75" thickBot="1">
      <c r="B5" s="350" t="s">
        <v>238</v>
      </c>
      <c r="C5" s="351">
        <v>0.12</v>
      </c>
      <c r="I5" s="455" t="s">
        <v>339</v>
      </c>
      <c r="J5" s="455"/>
      <c r="K5" s="24">
        <v>0.12</v>
      </c>
    </row>
    <row r="6" spans="2:11" ht="15.75">
      <c r="B6" s="5"/>
    </row>
    <row r="7" spans="2:11" ht="21.75">
      <c r="B7" s="5"/>
      <c r="C7" s="453" t="s">
        <v>555</v>
      </c>
      <c r="D7" s="453"/>
      <c r="E7" s="453"/>
      <c r="F7" s="453"/>
      <c r="G7" s="453"/>
      <c r="H7" s="453"/>
    </row>
    <row r="8" spans="2:11" ht="34.5" thickBot="1">
      <c r="C8" s="19" t="s">
        <v>239</v>
      </c>
      <c r="D8" s="19" t="s">
        <v>335</v>
      </c>
      <c r="E8" s="19" t="s">
        <v>240</v>
      </c>
      <c r="F8" s="19" t="s">
        <v>556</v>
      </c>
      <c r="G8" s="19" t="s">
        <v>336</v>
      </c>
      <c r="H8" s="19" t="s">
        <v>241</v>
      </c>
    </row>
    <row r="9" spans="2:11" ht="16.5" thickTop="1">
      <c r="C9" s="226">
        <v>0</v>
      </c>
      <c r="D9" s="229" t="s">
        <v>179</v>
      </c>
      <c r="E9" s="229" t="s">
        <v>179</v>
      </c>
      <c r="F9" s="229" t="s">
        <v>179</v>
      </c>
      <c r="G9" s="230"/>
      <c r="H9" s="230">
        <f>C3</f>
        <v>46582.094896167546</v>
      </c>
    </row>
    <row r="10" spans="2:11" ht="15.75">
      <c r="C10" s="227">
        <v>1</v>
      </c>
      <c r="D10" s="231">
        <f>PMT($C$5,$C$4,-$C$3)</f>
        <v>12922.326458398335</v>
      </c>
      <c r="E10" s="231">
        <f>H9*$C$5</f>
        <v>5589.851387540105</v>
      </c>
      <c r="F10" s="231">
        <f>D10-E10</f>
        <v>7332.4750708582296</v>
      </c>
      <c r="G10" s="232">
        <f>F10</f>
        <v>7332.4750708582296</v>
      </c>
      <c r="H10" s="232">
        <f>+H9-F10</f>
        <v>39249.619825309317</v>
      </c>
    </row>
    <row r="11" spans="2:11" ht="15.75">
      <c r="C11" s="227">
        <v>2</v>
      </c>
      <c r="D11" s="231">
        <f>PMT($C$5,$C$4,-$C$3)</f>
        <v>12922.326458398335</v>
      </c>
      <c r="E11" s="231">
        <f>H10*$C$5</f>
        <v>4709.9543790371181</v>
      </c>
      <c r="F11" s="231">
        <f>D11-E11</f>
        <v>8212.3720793612156</v>
      </c>
      <c r="G11" s="232">
        <f>G10+F11</f>
        <v>15544.847150219444</v>
      </c>
      <c r="H11" s="232">
        <f>+H10-F11</f>
        <v>31037.247745948102</v>
      </c>
    </row>
    <row r="12" spans="2:11" ht="15.75">
      <c r="C12" s="227">
        <v>3</v>
      </c>
      <c r="D12" s="231">
        <f>PMT($C$5,$C$4,-$C$3)</f>
        <v>12922.326458398335</v>
      </c>
      <c r="E12" s="231">
        <f>H11*$C$5</f>
        <v>3724.4697295137721</v>
      </c>
      <c r="F12" s="231">
        <f>D12-E12</f>
        <v>9197.8567288845625</v>
      </c>
      <c r="G12" s="232">
        <f>G11+F12</f>
        <v>24742.703879104007</v>
      </c>
      <c r="H12" s="232">
        <f>+H11-F12</f>
        <v>21839.391017063539</v>
      </c>
    </row>
    <row r="13" spans="2:11" ht="15.75">
      <c r="C13" s="228">
        <v>4</v>
      </c>
      <c r="D13" s="231">
        <f>PMT($C$5,$C$4,-$C$3)</f>
        <v>12922.326458398335</v>
      </c>
      <c r="E13" s="231">
        <f>H12*$C$5</f>
        <v>2620.7269220476246</v>
      </c>
      <c r="F13" s="231">
        <f>D13-E13</f>
        <v>10301.59953635071</v>
      </c>
      <c r="G13" s="232">
        <f>G12+F13</f>
        <v>35044.30341545472</v>
      </c>
      <c r="H13" s="233">
        <f>H12-F13</f>
        <v>11537.791480712829</v>
      </c>
    </row>
    <row r="14" spans="2:11" ht="15.75">
      <c r="C14" s="227">
        <v>5</v>
      </c>
      <c r="D14" s="231">
        <f>PMT($C$5,$C$4,-$C$3)</f>
        <v>12922.326458398335</v>
      </c>
      <c r="E14" s="231">
        <f>H13*$C$5</f>
        <v>1384.5349776855394</v>
      </c>
      <c r="F14" s="231">
        <f>D14-E14</f>
        <v>11537.791480712795</v>
      </c>
      <c r="G14" s="232">
        <f>G13+F14</f>
        <v>46582.094896167517</v>
      </c>
      <c r="H14" s="234">
        <f>H13-F14</f>
        <v>3.4560798667371273E-11</v>
      </c>
    </row>
    <row r="15" spans="2:11" ht="15.75">
      <c r="C15" t="s">
        <v>340</v>
      </c>
      <c r="D15" s="20">
        <f>SUM(D10:D14)</f>
        <v>64611.632291991671</v>
      </c>
      <c r="E15" s="20">
        <f>SUM(E10:E14)</f>
        <v>18029.537395824158</v>
      </c>
      <c r="F15" s="20">
        <f>SUM(F10:F14)</f>
        <v>46582.094896167517</v>
      </c>
    </row>
    <row r="18" spans="6:6">
      <c r="F18" s="4"/>
    </row>
  </sheetData>
  <mergeCells count="5">
    <mergeCell ref="C7:H7"/>
    <mergeCell ref="I2:K2"/>
    <mergeCell ref="I3:J3"/>
    <mergeCell ref="I4:J4"/>
    <mergeCell ref="I5:J5"/>
  </mergeCells>
  <phoneticPr fontId="2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31"/>
  <sheetViews>
    <sheetView workbookViewId="0"/>
  </sheetViews>
  <sheetFormatPr baseColWidth="10" defaultRowHeight="15"/>
  <cols>
    <col min="1" max="12" width="36.7109375" customWidth="1"/>
  </cols>
  <sheetData>
    <row r="1" spans="1:16">
      <c r="A1" s="193" t="s">
        <v>486</v>
      </c>
    </row>
    <row r="2" spans="1:16">
      <c r="P2" t="e">
        <f ca="1">CB.RecalcCounterFN()</f>
        <v>#NAME?</v>
      </c>
    </row>
    <row r="3" spans="1:16">
      <c r="A3" t="s">
        <v>487</v>
      </c>
      <c r="B3" t="s">
        <v>488</v>
      </c>
      <c r="C3">
        <v>0</v>
      </c>
    </row>
    <row r="4" spans="1:16">
      <c r="A4" t="s">
        <v>489</v>
      </c>
    </row>
    <row r="5" spans="1:16">
      <c r="A5" t="s">
        <v>490</v>
      </c>
    </row>
    <row r="7" spans="1:16">
      <c r="A7" s="193" t="s">
        <v>491</v>
      </c>
      <c r="B7" t="s">
        <v>492</v>
      </c>
    </row>
    <row r="8" spans="1:16">
      <c r="B8">
        <v>12</v>
      </c>
    </row>
    <row r="10" spans="1:16">
      <c r="A10" t="s">
        <v>493</v>
      </c>
    </row>
    <row r="11" spans="1:16">
      <c r="A11" t="e">
        <f>CB_DATA_!#REF!</f>
        <v>#REF!</v>
      </c>
      <c r="B11" t="e">
        <f>'COSTOS DE PRODUCCIÓN'!#REF!</f>
        <v>#REF!</v>
      </c>
      <c r="C11" t="e">
        <f>INVERSIONES!#REF!</f>
        <v>#REF!</v>
      </c>
      <c r="D11" t="e">
        <f>'FLUJO DE CAJA,PAYBACK'!#REF!</f>
        <v>#REF!</v>
      </c>
      <c r="K11" t="e">
        <f>#REF!</f>
        <v>#REF!</v>
      </c>
      <c r="L11" t="e">
        <f>#REF!</f>
        <v>#REF!</v>
      </c>
    </row>
    <row r="13" spans="1:16">
      <c r="A13" t="s">
        <v>494</v>
      </c>
    </row>
    <row r="14" spans="1:16">
      <c r="A14" t="s">
        <v>498</v>
      </c>
      <c r="B14" t="s">
        <v>502</v>
      </c>
      <c r="C14" t="s">
        <v>506</v>
      </c>
      <c r="D14" t="s">
        <v>508</v>
      </c>
      <c r="K14" s="194" t="s">
        <v>508</v>
      </c>
      <c r="L14" s="194" t="s">
        <v>508</v>
      </c>
    </row>
    <row r="16" spans="1:16">
      <c r="A16" t="s">
        <v>495</v>
      </c>
    </row>
    <row r="19" spans="1:12">
      <c r="A19" t="s">
        <v>496</v>
      </c>
    </row>
    <row r="20" spans="1:12">
      <c r="A20">
        <v>28</v>
      </c>
      <c r="B20">
        <v>31</v>
      </c>
      <c r="C20">
        <v>31</v>
      </c>
      <c r="D20">
        <v>31</v>
      </c>
      <c r="K20">
        <v>31</v>
      </c>
      <c r="L20">
        <v>31</v>
      </c>
    </row>
    <row r="25" spans="1:12">
      <c r="A25" s="193" t="s">
        <v>497</v>
      </c>
    </row>
    <row r="26" spans="1:12">
      <c r="A26" s="194" t="s">
        <v>499</v>
      </c>
      <c r="B26" s="194" t="s">
        <v>503</v>
      </c>
      <c r="C26" s="194" t="s">
        <v>503</v>
      </c>
      <c r="D26" s="194" t="s">
        <v>503</v>
      </c>
      <c r="K26" s="194" t="s">
        <v>503</v>
      </c>
      <c r="L26" s="194" t="s">
        <v>503</v>
      </c>
    </row>
    <row r="27" spans="1:12">
      <c r="A27" t="s">
        <v>500</v>
      </c>
      <c r="B27" t="s">
        <v>523</v>
      </c>
      <c r="C27" t="s">
        <v>522</v>
      </c>
      <c r="D27" t="s">
        <v>524</v>
      </c>
      <c r="K27" t="s">
        <v>524</v>
      </c>
      <c r="L27" t="s">
        <v>524</v>
      </c>
    </row>
    <row r="28" spans="1:12">
      <c r="A28" s="194" t="s">
        <v>501</v>
      </c>
      <c r="B28" s="194" t="s">
        <v>501</v>
      </c>
      <c r="C28" s="194" t="s">
        <v>501</v>
      </c>
      <c r="D28" s="194" t="s">
        <v>501</v>
      </c>
      <c r="K28" s="194" t="s">
        <v>501</v>
      </c>
      <c r="L28" s="194" t="s">
        <v>501</v>
      </c>
    </row>
    <row r="29" spans="1:12">
      <c r="B29" s="194" t="s">
        <v>499</v>
      </c>
      <c r="C29" s="194" t="s">
        <v>499</v>
      </c>
      <c r="D29" s="194" t="s">
        <v>499</v>
      </c>
      <c r="K29" s="194" t="s">
        <v>499</v>
      </c>
      <c r="L29" s="194" t="s">
        <v>499</v>
      </c>
    </row>
    <row r="30" spans="1:12">
      <c r="B30" t="s">
        <v>504</v>
      </c>
      <c r="C30" t="s">
        <v>507</v>
      </c>
      <c r="D30" t="s">
        <v>509</v>
      </c>
      <c r="K30" t="s">
        <v>509</v>
      </c>
      <c r="L30" t="s">
        <v>509</v>
      </c>
    </row>
    <row r="31" spans="1:12">
      <c r="B31" s="194" t="s">
        <v>501</v>
      </c>
      <c r="C31" s="194" t="s">
        <v>501</v>
      </c>
      <c r="D31" s="194" t="s">
        <v>501</v>
      </c>
      <c r="K31" s="194" t="s">
        <v>501</v>
      </c>
      <c r="L31" s="194" t="s">
        <v>501</v>
      </c>
    </row>
  </sheetData>
  <pageMargins left="0.7" right="0.7" top="0.75" bottom="0.75" header="0.3" footer="0.3"/>
  <pageSetup orientation="portrait" horizontalDpi="300" verticalDpi="0" r:id="rId1"/>
</worksheet>
</file>

<file path=xl/worksheets/sheet4.xml><?xml version="1.0" encoding="utf-8"?>
<worksheet xmlns="http://schemas.openxmlformats.org/spreadsheetml/2006/main" xmlns:r="http://schemas.openxmlformats.org/officeDocument/2006/relationships">
  <dimension ref="A2:H11"/>
  <sheetViews>
    <sheetView topLeftCell="C1" workbookViewId="0">
      <selection activeCell="I18" sqref="I18"/>
    </sheetView>
  </sheetViews>
  <sheetFormatPr baseColWidth="10" defaultRowHeight="15"/>
  <cols>
    <col min="1" max="1" width="11.42578125" hidden="1" customWidth="1"/>
    <col min="2" max="2" width="31.7109375" customWidth="1"/>
    <col min="3" max="3" width="17.42578125" customWidth="1"/>
    <col min="4" max="4" width="8.28515625" customWidth="1"/>
    <col min="5" max="5" width="12.5703125" style="360" customWidth="1"/>
    <col min="6" max="6" width="16.7109375" customWidth="1"/>
    <col min="7" max="7" width="12.7109375" style="360" customWidth="1"/>
    <col min="8" max="8" width="14.28515625" style="360" customWidth="1"/>
  </cols>
  <sheetData>
    <row r="2" spans="2:8">
      <c r="B2" s="37"/>
      <c r="C2" s="37"/>
      <c r="D2" s="37"/>
      <c r="E2" s="357"/>
      <c r="F2" s="37"/>
      <c r="G2" s="357"/>
      <c r="H2" s="357"/>
    </row>
    <row r="3" spans="2:8">
      <c r="B3" s="239" t="s">
        <v>150</v>
      </c>
      <c r="C3" s="284"/>
      <c r="D3" s="284"/>
      <c r="E3" s="358"/>
      <c r="F3" s="284"/>
      <c r="G3" s="358"/>
      <c r="H3" s="358"/>
    </row>
    <row r="4" spans="2:8">
      <c r="B4" s="240" t="s">
        <v>425</v>
      </c>
      <c r="C4" s="285" t="s">
        <v>152</v>
      </c>
      <c r="D4" s="285" t="s">
        <v>153</v>
      </c>
      <c r="E4" s="356" t="s">
        <v>154</v>
      </c>
      <c r="F4" s="285" t="s">
        <v>155</v>
      </c>
      <c r="G4" s="356" t="s">
        <v>156</v>
      </c>
      <c r="H4" s="356" t="s">
        <v>157</v>
      </c>
    </row>
    <row r="5" spans="2:8">
      <c r="B5" s="241" t="s">
        <v>162</v>
      </c>
      <c r="C5" s="354">
        <f>'MAQUINARIA,EQUIPO,SUMINISTR Y S'!E73+'MAQUINARIA,EQUIPO,SUMINISTR Y S'!E74+'MAQUINARIA,EQUIPO,SUMINISTR Y S'!E75</f>
        <v>3130</v>
      </c>
      <c r="D5" s="286">
        <v>3</v>
      </c>
      <c r="E5" s="354">
        <f>C5/D5</f>
        <v>1043.3333333333333</v>
      </c>
      <c r="F5" s="286">
        <v>1</v>
      </c>
      <c r="G5" s="354">
        <f>E5</f>
        <v>1043.3333333333333</v>
      </c>
      <c r="H5" s="354">
        <f>C5-G5</f>
        <v>2086.666666666667</v>
      </c>
    </row>
    <row r="6" spans="2:8">
      <c r="B6" s="241" t="s">
        <v>158</v>
      </c>
      <c r="C6" s="354">
        <v>22000</v>
      </c>
      <c r="D6" s="286">
        <v>5</v>
      </c>
      <c r="E6" s="354">
        <f>C6/D6</f>
        <v>4400</v>
      </c>
      <c r="F6" s="286">
        <v>1</v>
      </c>
      <c r="G6" s="354">
        <f>E6</f>
        <v>4400</v>
      </c>
      <c r="H6" s="354">
        <f>C6-G6</f>
        <v>17600</v>
      </c>
    </row>
    <row r="7" spans="2:8">
      <c r="B7" s="241" t="s">
        <v>159</v>
      </c>
      <c r="C7" s="354">
        <f>'MAQUINARIA,EQUIPO,SUMINISTR Y S'!D68</f>
        <v>2240</v>
      </c>
      <c r="D7" s="286">
        <v>10</v>
      </c>
      <c r="E7" s="354">
        <f>C7/D7</f>
        <v>224</v>
      </c>
      <c r="F7" s="286">
        <v>1</v>
      </c>
      <c r="G7" s="354">
        <f>E7</f>
        <v>224</v>
      </c>
      <c r="H7" s="354">
        <f>C7-G7</f>
        <v>2016</v>
      </c>
    </row>
    <row r="8" spans="2:8">
      <c r="B8" s="241" t="s">
        <v>356</v>
      </c>
      <c r="C8" s="354">
        <f>'MAQUINARIA,EQUIPO,SUMINISTR Y S'!E73+'MAQUINARIA,EQUIPO,SUMINISTR Y S'!E74+'MAQUINARIA,EQUIPO,SUMINISTR Y S'!E75+'MAQUINARIA,EQUIPO,SUMINISTR Y S'!E77+'MAQUINARIA,EQUIPO,SUMINISTR Y S'!E78+'MAQUINARIA,EQUIPO,SUMINISTR Y S'!E76</f>
        <v>5040</v>
      </c>
      <c r="D8" s="286">
        <v>5</v>
      </c>
      <c r="E8" s="354">
        <f>C8/D8</f>
        <v>1008</v>
      </c>
      <c r="F8" s="286">
        <v>1</v>
      </c>
      <c r="G8" s="354">
        <f>E8</f>
        <v>1008</v>
      </c>
      <c r="H8" s="354">
        <f>C8-G8</f>
        <v>4032</v>
      </c>
    </row>
    <row r="9" spans="2:8">
      <c r="B9" s="241" t="s">
        <v>21</v>
      </c>
      <c r="C9" s="355">
        <f>'MAQUINARIA,EQUIPO,SUMINISTR Y S'!D35+'MAQUINARIA,EQUIPO,SUMINISTR Y S'!D68+'MAQUINARIA,EQUIPO,SUMINISTR Y S'!E72</f>
        <v>55790</v>
      </c>
      <c r="D9" s="286">
        <v>10</v>
      </c>
      <c r="E9" s="354">
        <f>C9/D9</f>
        <v>5579</v>
      </c>
      <c r="F9" s="286">
        <v>1</v>
      </c>
      <c r="G9" s="354">
        <f>E9</f>
        <v>5579</v>
      </c>
      <c r="H9" s="354">
        <f>C9-G9</f>
        <v>50211</v>
      </c>
    </row>
    <row r="10" spans="2:8">
      <c r="B10" s="240" t="s">
        <v>160</v>
      </c>
      <c r="C10" s="356">
        <f>SUM(C5:C9)</f>
        <v>88200</v>
      </c>
      <c r="D10" s="287"/>
      <c r="E10" s="359">
        <f>SUM(E5:E9)</f>
        <v>12254.333333333332</v>
      </c>
      <c r="F10" s="288" t="s">
        <v>161</v>
      </c>
      <c r="G10" s="361"/>
      <c r="H10" s="359">
        <f>SUM(H5:H9)</f>
        <v>75945.666666666672</v>
      </c>
    </row>
    <row r="11" spans="2:8">
      <c r="F11" s="8"/>
    </row>
  </sheetData>
  <phoneticPr fontId="2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2:O121"/>
  <sheetViews>
    <sheetView topLeftCell="A13" workbookViewId="0">
      <selection activeCell="F87" sqref="F87"/>
    </sheetView>
  </sheetViews>
  <sheetFormatPr baseColWidth="10" defaultRowHeight="12.75"/>
  <cols>
    <col min="1" max="1" width="30.85546875" style="357" customWidth="1"/>
    <col min="2" max="2" width="10.5703125" style="357" customWidth="1"/>
    <col min="3" max="3" width="14.5703125" style="357" bestFit="1" customWidth="1"/>
    <col min="4" max="4" width="16.28515625" style="357" bestFit="1" customWidth="1"/>
    <col min="5" max="5" width="12.28515625" style="357" customWidth="1"/>
    <col min="6" max="6" width="18" style="357" customWidth="1"/>
    <col min="7" max="7" width="17.7109375" style="357" customWidth="1"/>
    <col min="8" max="8" width="8.140625" style="357" bestFit="1" customWidth="1"/>
    <col min="9" max="9" width="18.28515625" style="357" bestFit="1" customWidth="1"/>
    <col min="10" max="12" width="8.5703125" style="357" bestFit="1" customWidth="1"/>
    <col min="13" max="16384" width="11.42578125" style="357"/>
  </cols>
  <sheetData>
    <row r="2" spans="1:2">
      <c r="A2" s="364" t="s">
        <v>543</v>
      </c>
    </row>
    <row r="3" spans="1:2">
      <c r="A3" s="365" t="s">
        <v>383</v>
      </c>
      <c r="B3" s="362">
        <f>C18</f>
        <v>15600</v>
      </c>
    </row>
    <row r="4" spans="1:2">
      <c r="A4" s="366" t="s">
        <v>21</v>
      </c>
      <c r="B4" s="363">
        <f>D35</f>
        <v>53200</v>
      </c>
    </row>
    <row r="5" spans="1:2">
      <c r="A5" s="367" t="s">
        <v>544</v>
      </c>
      <c r="B5" s="362">
        <f>D40</f>
        <v>22000</v>
      </c>
    </row>
    <row r="6" spans="1:2">
      <c r="A6" s="366" t="s">
        <v>5</v>
      </c>
      <c r="B6" s="362">
        <f>E60</f>
        <v>162</v>
      </c>
    </row>
    <row r="7" spans="1:2">
      <c r="A7" s="366" t="s">
        <v>20</v>
      </c>
      <c r="B7" s="363">
        <f>D68</f>
        <v>2240</v>
      </c>
    </row>
    <row r="8" spans="1:2">
      <c r="A8" s="366" t="s">
        <v>24</v>
      </c>
      <c r="B8" s="363">
        <f>E79</f>
        <v>5390</v>
      </c>
    </row>
    <row r="9" spans="1:2">
      <c r="A9" s="362" t="s">
        <v>23</v>
      </c>
      <c r="B9" s="362">
        <f>SUM(B3:B8)</f>
        <v>98592</v>
      </c>
    </row>
    <row r="16" spans="1:2">
      <c r="A16" s="368" t="s">
        <v>383</v>
      </c>
    </row>
    <row r="17" spans="1:15">
      <c r="A17" s="365" t="s">
        <v>57</v>
      </c>
      <c r="B17" s="365" t="s">
        <v>225</v>
      </c>
      <c r="C17" s="365" t="s">
        <v>226</v>
      </c>
    </row>
    <row r="18" spans="1:15">
      <c r="A18" s="362" t="s">
        <v>31</v>
      </c>
      <c r="B18" s="369">
        <v>1300</v>
      </c>
      <c r="C18" s="369">
        <f>B18*12</f>
        <v>15600</v>
      </c>
    </row>
    <row r="22" spans="1:15">
      <c r="A22" s="370" t="s">
        <v>21</v>
      </c>
    </row>
    <row r="23" spans="1:15">
      <c r="A23" s="365" t="s">
        <v>3</v>
      </c>
      <c r="B23" s="371" t="s">
        <v>0</v>
      </c>
      <c r="C23" s="371" t="s">
        <v>1</v>
      </c>
      <c r="D23" s="371" t="s">
        <v>2</v>
      </c>
      <c r="E23" s="371" t="s">
        <v>3</v>
      </c>
      <c r="F23" s="371" t="s">
        <v>1</v>
      </c>
      <c r="G23" s="371" t="s">
        <v>2</v>
      </c>
    </row>
    <row r="24" spans="1:15">
      <c r="A24" s="362" t="s">
        <v>119</v>
      </c>
      <c r="B24" s="362" t="s">
        <v>90</v>
      </c>
      <c r="C24" s="362">
        <v>2</v>
      </c>
      <c r="D24" s="369">
        <v>1600</v>
      </c>
      <c r="E24" s="372" t="s">
        <v>119</v>
      </c>
      <c r="F24" s="362">
        <v>2</v>
      </c>
      <c r="G24" s="369">
        <v>1600</v>
      </c>
    </row>
    <row r="25" spans="1:15">
      <c r="A25" s="372" t="s">
        <v>101</v>
      </c>
      <c r="B25" s="362" t="s">
        <v>90</v>
      </c>
      <c r="C25" s="362">
        <v>1</v>
      </c>
      <c r="D25" s="373">
        <v>6200</v>
      </c>
      <c r="E25" s="372" t="s">
        <v>101</v>
      </c>
      <c r="F25" s="362">
        <v>1</v>
      </c>
      <c r="G25" s="373">
        <v>6200</v>
      </c>
    </row>
    <row r="26" spans="1:15">
      <c r="A26" s="372" t="s">
        <v>102</v>
      </c>
      <c r="B26" s="362" t="s">
        <v>90</v>
      </c>
      <c r="C26" s="362">
        <v>1</v>
      </c>
      <c r="D26" s="373">
        <v>3800</v>
      </c>
      <c r="E26" s="372" t="s">
        <v>102</v>
      </c>
      <c r="F26" s="362">
        <v>1</v>
      </c>
      <c r="G26" s="373">
        <v>3800</v>
      </c>
    </row>
    <row r="27" spans="1:15">
      <c r="A27" s="372" t="s">
        <v>103</v>
      </c>
      <c r="B27" s="362" t="s">
        <v>90</v>
      </c>
      <c r="C27" s="362">
        <v>1</v>
      </c>
      <c r="D27" s="373">
        <v>5800</v>
      </c>
      <c r="E27" s="372" t="s">
        <v>103</v>
      </c>
      <c r="F27" s="362">
        <v>1</v>
      </c>
      <c r="G27" s="373">
        <v>5800</v>
      </c>
    </row>
    <row r="28" spans="1:15">
      <c r="A28" s="372" t="s">
        <v>104</v>
      </c>
      <c r="B28" s="362" t="s">
        <v>90</v>
      </c>
      <c r="C28" s="362">
        <v>1</v>
      </c>
      <c r="D28" s="373">
        <v>3900</v>
      </c>
      <c r="E28" s="372" t="s">
        <v>104</v>
      </c>
      <c r="F28" s="362">
        <v>1</v>
      </c>
      <c r="G28" s="373">
        <v>3900</v>
      </c>
    </row>
    <row r="29" spans="1:15">
      <c r="A29" s="372" t="s">
        <v>105</v>
      </c>
      <c r="B29" s="372" t="s">
        <v>115</v>
      </c>
      <c r="C29" s="362">
        <v>1</v>
      </c>
      <c r="D29" s="373">
        <v>6800</v>
      </c>
      <c r="E29" s="372" t="s">
        <v>105</v>
      </c>
      <c r="F29" s="362">
        <v>1</v>
      </c>
      <c r="G29" s="373">
        <v>6800</v>
      </c>
    </row>
    <row r="30" spans="1:15">
      <c r="A30" s="372" t="s">
        <v>106</v>
      </c>
      <c r="B30" s="362" t="s">
        <v>90</v>
      </c>
      <c r="C30" s="362">
        <v>1</v>
      </c>
      <c r="D30" s="373">
        <v>7500</v>
      </c>
      <c r="E30" s="372" t="s">
        <v>106</v>
      </c>
      <c r="F30" s="362">
        <v>1</v>
      </c>
      <c r="G30" s="373">
        <v>7500</v>
      </c>
      <c r="O30" s="374"/>
    </row>
    <row r="31" spans="1:15">
      <c r="A31" s="372" t="s">
        <v>107</v>
      </c>
      <c r="B31" s="362" t="s">
        <v>90</v>
      </c>
      <c r="C31" s="362">
        <v>1</v>
      </c>
      <c r="D31" s="373">
        <v>4800</v>
      </c>
      <c r="E31" s="372" t="s">
        <v>107</v>
      </c>
      <c r="F31" s="362">
        <v>1</v>
      </c>
      <c r="G31" s="373">
        <v>4800</v>
      </c>
    </row>
    <row r="32" spans="1:15">
      <c r="A32" s="372" t="s">
        <v>108</v>
      </c>
      <c r="B32" s="362" t="s">
        <v>90</v>
      </c>
      <c r="C32" s="362">
        <v>1</v>
      </c>
      <c r="D32" s="373">
        <v>3500</v>
      </c>
      <c r="E32" s="372" t="s">
        <v>108</v>
      </c>
      <c r="F32" s="362">
        <v>1</v>
      </c>
      <c r="G32" s="373">
        <v>3500</v>
      </c>
    </row>
    <row r="33" spans="1:13">
      <c r="A33" s="372" t="s">
        <v>109</v>
      </c>
      <c r="B33" s="362" t="s">
        <v>90</v>
      </c>
      <c r="C33" s="362">
        <v>1</v>
      </c>
      <c r="D33" s="373">
        <v>2800</v>
      </c>
      <c r="E33" s="372" t="s">
        <v>109</v>
      </c>
      <c r="F33" s="362">
        <v>1</v>
      </c>
      <c r="G33" s="373">
        <v>2800</v>
      </c>
      <c r="I33" s="374"/>
    </row>
    <row r="34" spans="1:13">
      <c r="A34" s="372" t="s">
        <v>110</v>
      </c>
      <c r="B34" s="362" t="s">
        <v>90</v>
      </c>
      <c r="C34" s="362">
        <v>1</v>
      </c>
      <c r="D34" s="373">
        <v>6500</v>
      </c>
      <c r="E34" s="372" t="s">
        <v>110</v>
      </c>
      <c r="F34" s="362">
        <v>1</v>
      </c>
      <c r="G34" s="373">
        <v>6500</v>
      </c>
      <c r="L34" s="374"/>
    </row>
    <row r="35" spans="1:13">
      <c r="A35" s="367" t="s">
        <v>23</v>
      </c>
      <c r="B35" s="365"/>
      <c r="C35" s="365"/>
      <c r="D35" s="363">
        <f>SUM(D24:D34)</f>
        <v>53200</v>
      </c>
      <c r="E35" s="375" t="s">
        <v>23</v>
      </c>
      <c r="F35" s="372"/>
      <c r="G35" s="363">
        <f>SUM(G24:G34)</f>
        <v>53200</v>
      </c>
      <c r="I35" s="374"/>
    </row>
    <row r="36" spans="1:13">
      <c r="A36" s="376"/>
      <c r="I36" s="374"/>
    </row>
    <row r="37" spans="1:13">
      <c r="A37" s="376"/>
      <c r="F37" s="377"/>
      <c r="I37" s="374"/>
    </row>
    <row r="38" spans="1:13">
      <c r="A38" s="377" t="s">
        <v>168</v>
      </c>
      <c r="F38" s="374"/>
      <c r="I38" s="374"/>
    </row>
    <row r="39" spans="1:13">
      <c r="A39" s="367" t="s">
        <v>57</v>
      </c>
      <c r="B39" s="365" t="s">
        <v>170</v>
      </c>
      <c r="C39" s="365" t="s">
        <v>171</v>
      </c>
      <c r="D39" s="365" t="s">
        <v>172</v>
      </c>
      <c r="F39" s="374"/>
      <c r="I39" s="374"/>
    </row>
    <row r="40" spans="1:13">
      <c r="A40" s="378" t="s">
        <v>269</v>
      </c>
      <c r="B40" s="456">
        <v>1</v>
      </c>
      <c r="C40" s="458">
        <v>22000</v>
      </c>
      <c r="D40" s="460">
        <f>C40*B40</f>
        <v>22000</v>
      </c>
      <c r="F40" s="374"/>
      <c r="I40" s="374"/>
      <c r="L40" s="374"/>
    </row>
    <row r="41" spans="1:13">
      <c r="A41" s="379" t="s">
        <v>270</v>
      </c>
      <c r="B41" s="457"/>
      <c r="C41" s="459"/>
      <c r="D41" s="461"/>
      <c r="F41" s="374"/>
      <c r="I41" s="374"/>
      <c r="L41" s="374"/>
    </row>
    <row r="42" spans="1:13">
      <c r="A42" s="380"/>
      <c r="B42" s="376"/>
      <c r="C42" s="376"/>
      <c r="D42" s="381"/>
      <c r="I42" s="374"/>
      <c r="L42" s="374"/>
    </row>
    <row r="43" spans="1:13">
      <c r="A43" s="382" t="s">
        <v>174</v>
      </c>
      <c r="B43" s="383"/>
      <c r="E43" s="384" t="s">
        <v>529</v>
      </c>
      <c r="F43" s="384"/>
      <c r="M43" s="374"/>
    </row>
    <row r="44" spans="1:13">
      <c r="A44" s="366" t="s">
        <v>57</v>
      </c>
      <c r="B44" s="365" t="s">
        <v>225</v>
      </c>
      <c r="C44" s="365" t="s">
        <v>226</v>
      </c>
      <c r="E44" s="366" t="s">
        <v>57</v>
      </c>
      <c r="F44" s="365" t="s">
        <v>225</v>
      </c>
      <c r="G44" s="365" t="s">
        <v>226</v>
      </c>
      <c r="K44" s="374"/>
    </row>
    <row r="45" spans="1:13">
      <c r="A45" s="362" t="s">
        <v>175</v>
      </c>
      <c r="B45" s="362">
        <v>1200</v>
      </c>
      <c r="C45" s="362">
        <f>B45*12</f>
        <v>14400</v>
      </c>
      <c r="E45" s="362" t="s">
        <v>175</v>
      </c>
      <c r="F45" s="369">
        <f>B45</f>
        <v>1200</v>
      </c>
      <c r="G45" s="369">
        <f>F45*12</f>
        <v>14400</v>
      </c>
      <c r="K45" s="374"/>
    </row>
    <row r="46" spans="1:13">
      <c r="A46" s="376"/>
      <c r="B46" s="376"/>
      <c r="C46" s="376"/>
      <c r="E46" s="385" t="s">
        <v>276</v>
      </c>
      <c r="F46" s="369">
        <f>B49</f>
        <v>264</v>
      </c>
      <c r="G46" s="369">
        <f>F46*12</f>
        <v>3168</v>
      </c>
      <c r="K46" s="374"/>
    </row>
    <row r="47" spans="1:13">
      <c r="A47" s="386" t="s">
        <v>275</v>
      </c>
      <c r="B47" s="376"/>
      <c r="C47" s="376"/>
      <c r="E47" s="365" t="s">
        <v>384</v>
      </c>
      <c r="F47" s="365">
        <f>SUM(F45:F46)</f>
        <v>1464</v>
      </c>
      <c r="G47" s="387">
        <f>SUM(G45:G46)</f>
        <v>17568</v>
      </c>
      <c r="K47" s="374"/>
    </row>
    <row r="48" spans="1:13" ht="13.5" customHeight="1">
      <c r="A48" s="366" t="s">
        <v>57</v>
      </c>
      <c r="B48" s="365" t="s">
        <v>225</v>
      </c>
      <c r="C48" s="365" t="s">
        <v>226</v>
      </c>
      <c r="D48" s="376"/>
      <c r="E48" s="380"/>
      <c r="F48" s="388"/>
      <c r="G48" s="380"/>
      <c r="H48" s="376"/>
      <c r="K48" s="374"/>
    </row>
    <row r="49" spans="1:12" ht="13.5" customHeight="1">
      <c r="A49" s="385" t="s">
        <v>276</v>
      </c>
      <c r="B49" s="365">
        <f>12*22</f>
        <v>264</v>
      </c>
      <c r="C49" s="365">
        <f>B49*12</f>
        <v>3168</v>
      </c>
      <c r="F49" s="374"/>
      <c r="K49" s="374"/>
    </row>
    <row r="50" spans="1:12" ht="13.5" customHeight="1">
      <c r="A50" s="368"/>
      <c r="B50" s="384"/>
      <c r="C50" s="384"/>
      <c r="F50" s="374"/>
      <c r="K50" s="374"/>
    </row>
    <row r="51" spans="1:12">
      <c r="F51" s="374"/>
      <c r="L51" s="374"/>
    </row>
    <row r="52" spans="1:12">
      <c r="A52" s="370" t="s">
        <v>5</v>
      </c>
      <c r="B52" s="368"/>
      <c r="C52" s="368"/>
      <c r="D52" s="368"/>
      <c r="E52" s="368"/>
      <c r="F52" s="374"/>
    </row>
    <row r="53" spans="1:12">
      <c r="A53" s="365" t="s">
        <v>57</v>
      </c>
      <c r="B53" s="365" t="s">
        <v>6</v>
      </c>
      <c r="C53" s="365" t="s">
        <v>7</v>
      </c>
      <c r="D53" s="365" t="s">
        <v>8</v>
      </c>
      <c r="E53" s="365" t="s">
        <v>465</v>
      </c>
      <c r="F53" s="374"/>
    </row>
    <row r="54" spans="1:12">
      <c r="A54" s="362" t="s">
        <v>9</v>
      </c>
      <c r="B54" s="362" t="s">
        <v>15</v>
      </c>
      <c r="C54" s="362">
        <v>10</v>
      </c>
      <c r="D54" s="369">
        <v>6</v>
      </c>
      <c r="E54" s="362">
        <f>D54*C54</f>
        <v>60</v>
      </c>
    </row>
    <row r="55" spans="1:12">
      <c r="A55" s="362" t="s">
        <v>10</v>
      </c>
      <c r="B55" s="362"/>
      <c r="C55" s="362">
        <v>10</v>
      </c>
      <c r="D55" s="369">
        <v>2</v>
      </c>
      <c r="E55" s="362">
        <f>D55*C55</f>
        <v>20</v>
      </c>
    </row>
    <row r="56" spans="1:12">
      <c r="A56" s="362" t="s">
        <v>11</v>
      </c>
      <c r="B56" s="362" t="s">
        <v>16</v>
      </c>
      <c r="C56" s="362">
        <v>4</v>
      </c>
      <c r="D56" s="369">
        <v>6</v>
      </c>
      <c r="E56" s="362">
        <f>D56*C56</f>
        <v>24</v>
      </c>
    </row>
    <row r="57" spans="1:12">
      <c r="A57" s="362" t="s">
        <v>12</v>
      </c>
      <c r="B57" s="362" t="s">
        <v>17</v>
      </c>
      <c r="C57" s="362">
        <v>10</v>
      </c>
      <c r="D57" s="369">
        <v>1.5</v>
      </c>
      <c r="E57" s="362">
        <f>D57*C57</f>
        <v>15</v>
      </c>
    </row>
    <row r="58" spans="1:12">
      <c r="A58" s="362" t="s">
        <v>13</v>
      </c>
      <c r="B58" s="362" t="s">
        <v>18</v>
      </c>
      <c r="C58" s="362">
        <v>10</v>
      </c>
      <c r="D58" s="369">
        <v>1.3</v>
      </c>
      <c r="E58" s="362">
        <f>D58*C58</f>
        <v>13</v>
      </c>
    </row>
    <row r="59" spans="1:12">
      <c r="A59" s="362" t="s">
        <v>14</v>
      </c>
      <c r="B59" s="362" t="s">
        <v>19</v>
      </c>
      <c r="C59" s="362"/>
      <c r="D59" s="369"/>
      <c r="E59" s="362">
        <v>30</v>
      </c>
    </row>
    <row r="60" spans="1:12">
      <c r="A60" s="389" t="s">
        <v>4</v>
      </c>
      <c r="B60" s="390"/>
      <c r="C60" s="390"/>
      <c r="D60" s="391"/>
      <c r="E60" s="385">
        <f>SUM(E54:E59)</f>
        <v>162</v>
      </c>
    </row>
    <row r="63" spans="1:12">
      <c r="A63" s="386" t="s">
        <v>20</v>
      </c>
    </row>
    <row r="64" spans="1:12">
      <c r="A64" s="365" t="s">
        <v>57</v>
      </c>
      <c r="B64" s="365" t="s">
        <v>7</v>
      </c>
      <c r="C64" s="365" t="s">
        <v>8</v>
      </c>
      <c r="D64" s="365" t="s">
        <v>4</v>
      </c>
    </row>
    <row r="65" spans="1:5">
      <c r="A65" s="362" t="s">
        <v>28</v>
      </c>
      <c r="B65" s="362">
        <v>6</v>
      </c>
      <c r="C65" s="392">
        <v>200</v>
      </c>
      <c r="D65" s="369">
        <f>C65*B65</f>
        <v>1200</v>
      </c>
    </row>
    <row r="66" spans="1:5">
      <c r="A66" s="362" t="s">
        <v>59</v>
      </c>
      <c r="B66" s="362">
        <v>6</v>
      </c>
      <c r="C66" s="392">
        <v>80</v>
      </c>
      <c r="D66" s="369">
        <f>C66*B66</f>
        <v>480</v>
      </c>
    </row>
    <row r="67" spans="1:5">
      <c r="A67" s="362" t="s">
        <v>22</v>
      </c>
      <c r="B67" s="362">
        <v>14</v>
      </c>
      <c r="C67" s="392">
        <v>40</v>
      </c>
      <c r="D67" s="369">
        <f>C67*B67</f>
        <v>560</v>
      </c>
    </row>
    <row r="68" spans="1:5">
      <c r="A68" s="365" t="s">
        <v>23</v>
      </c>
      <c r="B68" s="365"/>
      <c r="C68" s="393">
        <f>SUM(C65:C67)</f>
        <v>320</v>
      </c>
      <c r="D68" s="363">
        <f>SUM(D65:D67)</f>
        <v>2240</v>
      </c>
    </row>
    <row r="70" spans="1:5">
      <c r="A70" s="370" t="s">
        <v>24</v>
      </c>
    </row>
    <row r="71" spans="1:5">
      <c r="A71" s="365" t="s">
        <v>57</v>
      </c>
      <c r="B71" s="365" t="s">
        <v>6</v>
      </c>
      <c r="C71" s="365" t="s">
        <v>7</v>
      </c>
      <c r="D71" s="365" t="s">
        <v>8</v>
      </c>
      <c r="E71" s="365" t="s">
        <v>4</v>
      </c>
    </row>
    <row r="72" spans="1:5">
      <c r="A72" s="362" t="s">
        <v>25</v>
      </c>
      <c r="B72" s="362" t="s">
        <v>271</v>
      </c>
      <c r="C72" s="362">
        <v>1</v>
      </c>
      <c r="D72" s="369">
        <v>350</v>
      </c>
      <c r="E72" s="369">
        <f t="shared" ref="E72:E78" si="0">C72*D72</f>
        <v>350</v>
      </c>
    </row>
    <row r="73" spans="1:5">
      <c r="A73" s="362" t="s">
        <v>26</v>
      </c>
      <c r="B73" s="362" t="s">
        <v>27</v>
      </c>
      <c r="C73" s="362">
        <v>6</v>
      </c>
      <c r="D73" s="369">
        <v>430</v>
      </c>
      <c r="E73" s="369">
        <f t="shared" si="0"/>
        <v>2580</v>
      </c>
    </row>
    <row r="74" spans="1:5">
      <c r="A74" s="362" t="s">
        <v>84</v>
      </c>
      <c r="B74" s="362" t="s">
        <v>85</v>
      </c>
      <c r="C74" s="362">
        <v>1</v>
      </c>
      <c r="D74" s="369">
        <v>200</v>
      </c>
      <c r="E74" s="369">
        <f t="shared" si="0"/>
        <v>200</v>
      </c>
    </row>
    <row r="75" spans="1:5">
      <c r="A75" s="362" t="s">
        <v>82</v>
      </c>
      <c r="B75" s="362" t="s">
        <v>83</v>
      </c>
      <c r="C75" s="362">
        <v>1</v>
      </c>
      <c r="D75" s="369">
        <v>350</v>
      </c>
      <c r="E75" s="369">
        <f t="shared" si="0"/>
        <v>350</v>
      </c>
    </row>
    <row r="76" spans="1:5">
      <c r="A76" s="362" t="s">
        <v>357</v>
      </c>
      <c r="B76" s="362" t="s">
        <v>33</v>
      </c>
      <c r="C76" s="362">
        <v>5</v>
      </c>
      <c r="D76" s="369">
        <v>155</v>
      </c>
      <c r="E76" s="369">
        <f t="shared" si="0"/>
        <v>775</v>
      </c>
    </row>
    <row r="77" spans="1:5">
      <c r="A77" s="362" t="s">
        <v>29</v>
      </c>
      <c r="B77" s="362" t="s">
        <v>30</v>
      </c>
      <c r="C77" s="362">
        <v>3</v>
      </c>
      <c r="D77" s="369">
        <v>45</v>
      </c>
      <c r="E77" s="369">
        <f t="shared" si="0"/>
        <v>135</v>
      </c>
    </row>
    <row r="78" spans="1:5">
      <c r="A78" s="362" t="s">
        <v>88</v>
      </c>
      <c r="B78" s="362" t="s">
        <v>89</v>
      </c>
      <c r="C78" s="362">
        <v>2</v>
      </c>
      <c r="D78" s="369">
        <v>500</v>
      </c>
      <c r="E78" s="369">
        <f t="shared" si="0"/>
        <v>1000</v>
      </c>
    </row>
    <row r="79" spans="1:5">
      <c r="A79" s="365" t="s">
        <v>23</v>
      </c>
      <c r="B79" s="365"/>
      <c r="C79" s="365"/>
      <c r="D79" s="387"/>
      <c r="E79" s="363">
        <f>SUM(E72:E78)</f>
        <v>5390</v>
      </c>
    </row>
    <row r="81" spans="1:6">
      <c r="A81" s="394" t="s">
        <v>32</v>
      </c>
      <c r="B81" s="383"/>
    </row>
    <row r="82" spans="1:6">
      <c r="A82" s="395" t="s">
        <v>57</v>
      </c>
      <c r="B82" s="365" t="s">
        <v>385</v>
      </c>
      <c r="C82" s="365" t="s">
        <v>386</v>
      </c>
    </row>
    <row r="83" spans="1:6">
      <c r="A83" s="362" t="s">
        <v>422</v>
      </c>
      <c r="B83" s="369">
        <v>6</v>
      </c>
      <c r="C83" s="369">
        <f>B83*12</f>
        <v>72</v>
      </c>
    </row>
    <row r="84" spans="1:6">
      <c r="A84" s="396" t="s">
        <v>34</v>
      </c>
      <c r="B84" s="397">
        <f>SUM(B83)</f>
        <v>6</v>
      </c>
      <c r="C84" s="363">
        <f>SUM(C83)</f>
        <v>72</v>
      </c>
      <c r="D84" s="398"/>
      <c r="F84" s="376"/>
    </row>
    <row r="87" spans="1:6">
      <c r="A87" s="370" t="s">
        <v>35</v>
      </c>
    </row>
    <row r="88" spans="1:6">
      <c r="A88" s="365" t="s">
        <v>57</v>
      </c>
      <c r="B88" s="365" t="s">
        <v>6</v>
      </c>
      <c r="C88" s="365" t="s">
        <v>385</v>
      </c>
      <c r="D88" s="366" t="s">
        <v>386</v>
      </c>
    </row>
    <row r="89" spans="1:6">
      <c r="A89" s="362" t="s">
        <v>36</v>
      </c>
      <c r="B89" s="362" t="s">
        <v>41</v>
      </c>
      <c r="C89" s="369">
        <f>C121</f>
        <v>303.40000000000003</v>
      </c>
      <c r="D89" s="369">
        <f>C89*12</f>
        <v>3640.8</v>
      </c>
    </row>
    <row r="90" spans="1:6">
      <c r="A90" s="362" t="s">
        <v>37</v>
      </c>
      <c r="B90" s="362" t="s">
        <v>40</v>
      </c>
      <c r="C90" s="369">
        <v>54</v>
      </c>
      <c r="D90" s="369">
        <f>C90*12</f>
        <v>648</v>
      </c>
    </row>
    <row r="91" spans="1:6">
      <c r="A91" s="362" t="s">
        <v>38</v>
      </c>
      <c r="B91" s="362" t="s">
        <v>42</v>
      </c>
      <c r="C91" s="369">
        <v>40</v>
      </c>
      <c r="D91" s="369">
        <f>C91*12</f>
        <v>480</v>
      </c>
    </row>
    <row r="92" spans="1:6">
      <c r="A92" s="362" t="s">
        <v>39</v>
      </c>
      <c r="B92" s="362" t="s">
        <v>43</v>
      </c>
      <c r="C92" s="369">
        <v>33.49</v>
      </c>
      <c r="D92" s="369">
        <f>C92*12</f>
        <v>401.88</v>
      </c>
    </row>
    <row r="93" spans="1:6">
      <c r="A93" s="396" t="s">
        <v>23</v>
      </c>
      <c r="B93" s="399"/>
      <c r="C93" s="400">
        <f>SUM(C89:C92)</f>
        <v>430.89000000000004</v>
      </c>
      <c r="D93" s="387">
        <f>SUM(D89:D92)</f>
        <v>5170.68</v>
      </c>
    </row>
    <row r="94" spans="1:6">
      <c r="A94" s="380"/>
      <c r="B94" s="380"/>
      <c r="C94" s="380"/>
      <c r="E94" s="368"/>
    </row>
    <row r="95" spans="1:6">
      <c r="A95" s="401" t="s">
        <v>123</v>
      </c>
      <c r="B95" s="384"/>
      <c r="C95" s="384"/>
    </row>
    <row r="96" spans="1:6">
      <c r="A96" s="402"/>
      <c r="B96" s="376"/>
      <c r="C96" s="376"/>
    </row>
    <row r="97" spans="1:5">
      <c r="A97" s="365" t="s">
        <v>3</v>
      </c>
      <c r="B97" s="365" t="s">
        <v>91</v>
      </c>
      <c r="C97" s="365" t="s">
        <v>387</v>
      </c>
      <c r="D97" s="366" t="s">
        <v>388</v>
      </c>
      <c r="E97" s="376"/>
    </row>
    <row r="98" spans="1:5">
      <c r="A98" s="372" t="s">
        <v>101</v>
      </c>
      <c r="B98" s="362">
        <v>1</v>
      </c>
      <c r="C98" s="372">
        <v>120</v>
      </c>
      <c r="D98" s="362">
        <f>C98*12</f>
        <v>1440</v>
      </c>
    </row>
    <row r="99" spans="1:5">
      <c r="A99" s="372" t="s">
        <v>102</v>
      </c>
      <c r="B99" s="362">
        <v>1</v>
      </c>
      <c r="C99" s="372">
        <v>130</v>
      </c>
      <c r="D99" s="362">
        <f t="shared" ref="D99:D107" si="1">C99*12</f>
        <v>1560</v>
      </c>
    </row>
    <row r="100" spans="1:5">
      <c r="A100" s="372" t="s">
        <v>103</v>
      </c>
      <c r="B100" s="362">
        <v>1</v>
      </c>
      <c r="C100" s="372">
        <v>180</v>
      </c>
      <c r="D100" s="362">
        <f t="shared" si="1"/>
        <v>2160</v>
      </c>
    </row>
    <row r="101" spans="1:5">
      <c r="A101" s="372" t="s">
        <v>104</v>
      </c>
      <c r="B101" s="362">
        <v>1</v>
      </c>
      <c r="C101" s="372">
        <v>190</v>
      </c>
      <c r="D101" s="362">
        <f t="shared" si="1"/>
        <v>2280</v>
      </c>
    </row>
    <row r="102" spans="1:5">
      <c r="A102" s="372" t="s">
        <v>105</v>
      </c>
      <c r="B102" s="362">
        <v>1</v>
      </c>
      <c r="C102" s="372">
        <v>220</v>
      </c>
      <c r="D102" s="362">
        <f t="shared" si="1"/>
        <v>2640</v>
      </c>
    </row>
    <row r="103" spans="1:5">
      <c r="A103" s="372" t="s">
        <v>106</v>
      </c>
      <c r="B103" s="362">
        <v>1</v>
      </c>
      <c r="C103" s="372">
        <v>220</v>
      </c>
      <c r="D103" s="362">
        <f t="shared" si="1"/>
        <v>2640</v>
      </c>
    </row>
    <row r="104" spans="1:5">
      <c r="A104" s="372" t="s">
        <v>107</v>
      </c>
      <c r="B104" s="362">
        <v>1</v>
      </c>
      <c r="C104" s="372">
        <v>220</v>
      </c>
      <c r="D104" s="362">
        <f t="shared" si="1"/>
        <v>2640</v>
      </c>
    </row>
    <row r="105" spans="1:5">
      <c r="A105" s="372" t="s">
        <v>108</v>
      </c>
      <c r="B105" s="362">
        <v>1</v>
      </c>
      <c r="C105" s="372">
        <v>180</v>
      </c>
      <c r="D105" s="362">
        <f t="shared" si="1"/>
        <v>2160</v>
      </c>
    </row>
    <row r="106" spans="1:5">
      <c r="A106" s="372" t="s">
        <v>109</v>
      </c>
      <c r="B106" s="362">
        <v>1</v>
      </c>
      <c r="C106" s="372">
        <v>160</v>
      </c>
      <c r="D106" s="362">
        <f t="shared" si="1"/>
        <v>1920</v>
      </c>
    </row>
    <row r="107" spans="1:5">
      <c r="A107" s="372" t="s">
        <v>110</v>
      </c>
      <c r="B107" s="362">
        <v>1</v>
      </c>
      <c r="C107" s="372">
        <v>200</v>
      </c>
      <c r="D107" s="362">
        <f t="shared" si="1"/>
        <v>2400</v>
      </c>
    </row>
    <row r="108" spans="1:5">
      <c r="A108" s="372" t="s">
        <v>423</v>
      </c>
      <c r="B108" s="362"/>
      <c r="C108" s="372">
        <f>SUM(C98:C107)</f>
        <v>1820</v>
      </c>
      <c r="D108" s="362">
        <f>C108*12</f>
        <v>21840</v>
      </c>
    </row>
    <row r="109" spans="1:5">
      <c r="A109" s="403" t="s">
        <v>121</v>
      </c>
      <c r="B109" s="378"/>
      <c r="C109" s="404"/>
      <c r="D109" s="378"/>
    </row>
    <row r="110" spans="1:5">
      <c r="A110" s="405" t="s">
        <v>122</v>
      </c>
      <c r="B110" s="379">
        <v>1</v>
      </c>
      <c r="C110" s="406">
        <v>500</v>
      </c>
      <c r="D110" s="406">
        <f>500*12</f>
        <v>6000</v>
      </c>
      <c r="E110" s="376"/>
    </row>
    <row r="111" spans="1:5">
      <c r="A111" s="362" t="s">
        <v>26</v>
      </c>
      <c r="B111" s="362">
        <v>6</v>
      </c>
      <c r="C111" s="362">
        <f t="shared" ref="C111:C116" si="2">40*B111</f>
        <v>240</v>
      </c>
      <c r="D111" s="362">
        <f t="shared" ref="D111:D116" si="3">C111*12</f>
        <v>2880</v>
      </c>
    </row>
    <row r="112" spans="1:5">
      <c r="A112" s="362" t="s">
        <v>124</v>
      </c>
      <c r="B112" s="362">
        <v>2</v>
      </c>
      <c r="C112" s="362">
        <f t="shared" si="2"/>
        <v>80</v>
      </c>
      <c r="D112" s="362">
        <f t="shared" si="3"/>
        <v>960</v>
      </c>
    </row>
    <row r="113" spans="1:4">
      <c r="A113" s="362" t="s">
        <v>125</v>
      </c>
      <c r="B113" s="362">
        <v>2</v>
      </c>
      <c r="C113" s="362">
        <f t="shared" si="2"/>
        <v>80</v>
      </c>
      <c r="D113" s="362">
        <f t="shared" si="3"/>
        <v>960</v>
      </c>
    </row>
    <row r="114" spans="1:4">
      <c r="A114" s="362" t="s">
        <v>126</v>
      </c>
      <c r="B114" s="362">
        <v>2</v>
      </c>
      <c r="C114" s="362">
        <f t="shared" si="2"/>
        <v>80</v>
      </c>
      <c r="D114" s="362">
        <f t="shared" si="3"/>
        <v>960</v>
      </c>
    </row>
    <row r="115" spans="1:4">
      <c r="A115" s="362" t="s">
        <v>127</v>
      </c>
      <c r="B115" s="362">
        <v>16</v>
      </c>
      <c r="C115" s="362">
        <f t="shared" si="2"/>
        <v>640</v>
      </c>
      <c r="D115" s="362">
        <f t="shared" si="3"/>
        <v>7680</v>
      </c>
    </row>
    <row r="116" spans="1:4">
      <c r="A116" s="362" t="s">
        <v>128</v>
      </c>
      <c r="B116" s="362">
        <v>1</v>
      </c>
      <c r="C116" s="362">
        <f t="shared" si="2"/>
        <v>40</v>
      </c>
      <c r="D116" s="362">
        <f t="shared" si="3"/>
        <v>480</v>
      </c>
    </row>
    <row r="117" spans="1:4">
      <c r="A117" s="362" t="s">
        <v>129</v>
      </c>
      <c r="B117" s="362">
        <f>SUM(B111:B116)</f>
        <v>29</v>
      </c>
      <c r="C117" s="362">
        <f>SUM(C108:C116)</f>
        <v>3480</v>
      </c>
      <c r="D117" s="362">
        <f>SUM(D108:D116)</f>
        <v>41760</v>
      </c>
    </row>
    <row r="118" spans="1:4">
      <c r="A118" s="365" t="s">
        <v>120</v>
      </c>
      <c r="B118" s="362">
        <v>1</v>
      </c>
      <c r="C118" s="373">
        <v>0.08</v>
      </c>
      <c r="D118" s="407">
        <v>0.08</v>
      </c>
    </row>
    <row r="119" spans="1:4">
      <c r="A119" s="365" t="s">
        <v>424</v>
      </c>
      <c r="B119" s="362">
        <f>SUM(B111:B118)</f>
        <v>59</v>
      </c>
      <c r="C119" s="373">
        <f>C117*C118</f>
        <v>278.40000000000003</v>
      </c>
      <c r="D119" s="407">
        <f>D117*D118</f>
        <v>3340.8</v>
      </c>
    </row>
    <row r="120" spans="1:4">
      <c r="A120" s="365" t="s">
        <v>130</v>
      </c>
      <c r="B120" s="362">
        <v>1</v>
      </c>
      <c r="C120" s="373">
        <v>25</v>
      </c>
      <c r="D120" s="407">
        <f>C120*12</f>
        <v>300</v>
      </c>
    </row>
    <row r="121" spans="1:4">
      <c r="A121" s="362" t="s">
        <v>131</v>
      </c>
      <c r="B121" s="362"/>
      <c r="C121" s="408">
        <f>C119+C120</f>
        <v>303.40000000000003</v>
      </c>
      <c r="D121" s="409">
        <f>D119+D120</f>
        <v>3640.8</v>
      </c>
    </row>
  </sheetData>
  <mergeCells count="3">
    <mergeCell ref="B40:B41"/>
    <mergeCell ref="C40:C41"/>
    <mergeCell ref="D40:D41"/>
  </mergeCells>
  <phoneticPr fontId="23" type="noConversion"/>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dimension ref="B2:K41"/>
  <sheetViews>
    <sheetView topLeftCell="B22" workbookViewId="0">
      <selection activeCell="F27" sqref="F27"/>
    </sheetView>
  </sheetViews>
  <sheetFormatPr baseColWidth="10" defaultRowHeight="12.75"/>
  <cols>
    <col min="1" max="1" width="11.42578125" style="410"/>
    <col min="2" max="2" width="31" style="410" customWidth="1"/>
    <col min="3" max="3" width="14.5703125" style="410" customWidth="1"/>
    <col min="4" max="4" width="17.42578125" style="410" bestFit="1" customWidth="1"/>
    <col min="5" max="5" width="21.140625" style="410" customWidth="1"/>
    <col min="6" max="6" width="15.140625" style="410" customWidth="1"/>
    <col min="7" max="7" width="18.42578125" style="410" customWidth="1"/>
    <col min="8" max="16384" width="11.42578125" style="410"/>
  </cols>
  <sheetData>
    <row r="2" spans="2:11">
      <c r="B2" s="462" t="s">
        <v>232</v>
      </c>
      <c r="C2" s="462"/>
      <c r="D2" s="462"/>
      <c r="E2" s="462"/>
    </row>
    <row r="3" spans="2:11">
      <c r="B3" s="411" t="s">
        <v>92</v>
      </c>
      <c r="C3" s="411" t="s">
        <v>371</v>
      </c>
      <c r="D3" s="411" t="s">
        <v>93</v>
      </c>
      <c r="E3" s="411" t="s">
        <v>94</v>
      </c>
    </row>
    <row r="4" spans="2:11">
      <c r="B4" s="412" t="s">
        <v>514</v>
      </c>
      <c r="C4" s="412">
        <v>1</v>
      </c>
      <c r="D4" s="413">
        <v>950</v>
      </c>
      <c r="E4" s="413">
        <f>D4*12</f>
        <v>11400</v>
      </c>
    </row>
    <row r="5" spans="2:11">
      <c r="B5" s="412" t="s">
        <v>95</v>
      </c>
      <c r="C5" s="412">
        <v>1</v>
      </c>
      <c r="D5" s="413">
        <v>750</v>
      </c>
      <c r="E5" s="413">
        <f>D5*12</f>
        <v>9000</v>
      </c>
    </row>
    <row r="6" spans="2:11">
      <c r="B6" s="412" t="s">
        <v>97</v>
      </c>
      <c r="C6" s="412">
        <v>1</v>
      </c>
      <c r="D6" s="413">
        <v>360</v>
      </c>
      <c r="E6" s="413">
        <f t="shared" ref="E6:E9" si="0">D6*12</f>
        <v>4320</v>
      </c>
    </row>
    <row r="7" spans="2:11">
      <c r="B7" s="412" t="s">
        <v>98</v>
      </c>
      <c r="C7" s="412">
        <v>1</v>
      </c>
      <c r="D7" s="413">
        <v>300</v>
      </c>
      <c r="E7" s="413">
        <f t="shared" si="0"/>
        <v>3600</v>
      </c>
    </row>
    <row r="8" spans="2:11">
      <c r="B8" s="412" t="s">
        <v>274</v>
      </c>
      <c r="C8" s="412">
        <v>1</v>
      </c>
      <c r="D8" s="413">
        <v>360</v>
      </c>
      <c r="E8" s="413">
        <f t="shared" si="0"/>
        <v>4320</v>
      </c>
    </row>
    <row r="9" spans="2:11">
      <c r="B9" s="412" t="s">
        <v>462</v>
      </c>
      <c r="C9" s="412">
        <v>1</v>
      </c>
      <c r="D9" s="413">
        <v>340</v>
      </c>
      <c r="E9" s="413">
        <f t="shared" si="0"/>
        <v>4080</v>
      </c>
    </row>
    <row r="10" spans="2:11">
      <c r="B10" s="414" t="s">
        <v>99</v>
      </c>
      <c r="C10" s="414">
        <f>SUM(C5:C9)</f>
        <v>5</v>
      </c>
      <c r="D10" s="415">
        <f>SUM(D5:D9)</f>
        <v>2110</v>
      </c>
      <c r="E10" s="415">
        <f>SUM(E4:E9)+$E$27</f>
        <v>37520</v>
      </c>
    </row>
    <row r="13" spans="2:11">
      <c r="B13" s="463" t="s">
        <v>461</v>
      </c>
      <c r="C13" s="463"/>
      <c r="D13" s="463"/>
      <c r="E13" s="463"/>
      <c r="K13" s="416"/>
    </row>
    <row r="14" spans="2:11">
      <c r="B14" s="411" t="s">
        <v>92</v>
      </c>
      <c r="C14" s="411" t="s">
        <v>371</v>
      </c>
      <c r="D14" s="411" t="s">
        <v>93</v>
      </c>
      <c r="E14" s="411" t="s">
        <v>94</v>
      </c>
    </row>
    <row r="15" spans="2:11">
      <c r="B15" s="412" t="s">
        <v>514</v>
      </c>
      <c r="C15" s="412">
        <v>1</v>
      </c>
      <c r="D15" s="413">
        <v>950</v>
      </c>
      <c r="E15" s="413">
        <f>D15*12</f>
        <v>11400</v>
      </c>
    </row>
    <row r="16" spans="2:11">
      <c r="B16" s="414" t="s">
        <v>99</v>
      </c>
      <c r="C16" s="414"/>
      <c r="D16" s="415">
        <f>SUM(D15:D15)</f>
        <v>950</v>
      </c>
      <c r="E16" s="415">
        <f>SUM(E15:E15)</f>
        <v>11400</v>
      </c>
      <c r="G16" s="417"/>
      <c r="H16" s="417"/>
      <c r="I16" s="417"/>
      <c r="J16" s="417"/>
      <c r="K16" s="416"/>
    </row>
    <row r="17" spans="2:11">
      <c r="B17" s="418"/>
      <c r="C17" s="418"/>
      <c r="D17" s="419"/>
      <c r="E17" s="419"/>
      <c r="G17" s="417"/>
      <c r="H17" s="417"/>
      <c r="I17" s="417"/>
      <c r="J17" s="417"/>
      <c r="K17" s="416"/>
    </row>
    <row r="18" spans="2:11">
      <c r="B18" s="418"/>
      <c r="C18" s="418"/>
      <c r="D18" s="419"/>
      <c r="E18" s="419"/>
      <c r="G18" s="417"/>
      <c r="H18" s="417"/>
      <c r="I18" s="417"/>
      <c r="J18" s="417"/>
      <c r="K18" s="416"/>
    </row>
    <row r="19" spans="2:11">
      <c r="B19" s="418"/>
      <c r="C19" s="418" t="s">
        <v>557</v>
      </c>
      <c r="D19" s="419"/>
      <c r="E19" s="419"/>
      <c r="G19" s="417"/>
      <c r="H19" s="417"/>
      <c r="I19" s="417"/>
      <c r="J19" s="417"/>
      <c r="K19" s="416"/>
    </row>
    <row r="20" spans="2:11">
      <c r="B20" s="411" t="s">
        <v>92</v>
      </c>
      <c r="C20" s="411" t="s">
        <v>371</v>
      </c>
      <c r="D20" s="411" t="s">
        <v>93</v>
      </c>
      <c r="E20" s="411" t="s">
        <v>94</v>
      </c>
    </row>
    <row r="21" spans="2:11">
      <c r="B21" s="412" t="s">
        <v>95</v>
      </c>
      <c r="C21" s="412">
        <v>1</v>
      </c>
      <c r="D21" s="413">
        <v>750</v>
      </c>
      <c r="E21" s="413">
        <f>D21*12</f>
        <v>9000</v>
      </c>
    </row>
    <row r="22" spans="2:11">
      <c r="B22" s="412" t="s">
        <v>462</v>
      </c>
      <c r="C22" s="412">
        <v>1</v>
      </c>
      <c r="D22" s="413">
        <v>340</v>
      </c>
      <c r="E22" s="413">
        <f t="shared" ref="E22" si="1">D22*12</f>
        <v>4080</v>
      </c>
    </row>
    <row r="23" spans="2:11">
      <c r="B23" s="420" t="s">
        <v>23</v>
      </c>
      <c r="C23" s="420"/>
      <c r="D23" s="420">
        <f>SUM(D21:D22)</f>
        <v>1090</v>
      </c>
      <c r="E23" s="420">
        <f>SUM(E21:E22)</f>
        <v>13080</v>
      </c>
      <c r="G23" s="416"/>
      <c r="H23" s="416"/>
      <c r="I23" s="416"/>
      <c r="J23" s="416"/>
      <c r="K23" s="416"/>
    </row>
    <row r="24" spans="2:11">
      <c r="B24" s="416"/>
      <c r="C24" s="416"/>
      <c r="D24" s="416"/>
      <c r="E24" s="416"/>
      <c r="G24" s="416"/>
      <c r="H24" s="416"/>
      <c r="I24" s="416"/>
      <c r="J24" s="416"/>
      <c r="K24" s="416"/>
    </row>
    <row r="25" spans="2:11">
      <c r="B25" s="421"/>
      <c r="C25" s="421"/>
      <c r="G25" s="417"/>
      <c r="H25" s="416"/>
      <c r="I25" s="416"/>
      <c r="J25" s="417"/>
    </row>
    <row r="26" spans="2:11">
      <c r="B26" s="411" t="s">
        <v>394</v>
      </c>
      <c r="C26" s="411" t="s">
        <v>370</v>
      </c>
      <c r="D26" s="411" t="s">
        <v>273</v>
      </c>
      <c r="E26" s="411" t="s">
        <v>372</v>
      </c>
      <c r="G26" s="417"/>
      <c r="H26" s="416"/>
      <c r="I26" s="416"/>
      <c r="J26" s="417"/>
    </row>
    <row r="27" spans="2:11">
      <c r="B27" s="422" t="s">
        <v>272</v>
      </c>
      <c r="C27" s="422">
        <v>1</v>
      </c>
      <c r="D27" s="422">
        <v>2</v>
      </c>
      <c r="E27" s="423">
        <v>800</v>
      </c>
      <c r="F27" s="410">
        <f>E27/12</f>
        <v>66.666666666666671</v>
      </c>
    </row>
    <row r="28" spans="2:11">
      <c r="B28" s="424"/>
    </row>
    <row r="29" spans="2:11">
      <c r="B29" s="463" t="s">
        <v>231</v>
      </c>
      <c r="C29" s="463"/>
      <c r="D29" s="463"/>
      <c r="E29" s="463"/>
    </row>
    <row r="30" spans="2:11">
      <c r="B30" s="411" t="s">
        <v>92</v>
      </c>
      <c r="C30" s="411" t="s">
        <v>371</v>
      </c>
      <c r="D30" s="411" t="s">
        <v>93</v>
      </c>
      <c r="E30" s="411" t="s">
        <v>94</v>
      </c>
    </row>
    <row r="31" spans="2:11">
      <c r="B31" s="412" t="s">
        <v>373</v>
      </c>
      <c r="C31" s="412">
        <v>1</v>
      </c>
      <c r="D31" s="413">
        <f>C31*600</f>
        <v>600</v>
      </c>
      <c r="E31" s="413">
        <f>D31*12</f>
        <v>7200</v>
      </c>
    </row>
    <row r="32" spans="2:11">
      <c r="B32" s="412" t="s">
        <v>96</v>
      </c>
      <c r="C32" s="412">
        <v>3</v>
      </c>
      <c r="D32" s="413">
        <f>C32*300</f>
        <v>900</v>
      </c>
      <c r="E32" s="413">
        <f>D32*12</f>
        <v>10800</v>
      </c>
    </row>
    <row r="33" spans="2:10">
      <c r="B33" s="414" t="s">
        <v>233</v>
      </c>
      <c r="C33" s="422"/>
      <c r="D33" s="423">
        <f>SUM(D31:D32)</f>
        <v>1500</v>
      </c>
      <c r="E33" s="414">
        <f>SUM(E31:E32)</f>
        <v>18000</v>
      </c>
    </row>
    <row r="34" spans="2:10">
      <c r="G34" s="417"/>
      <c r="H34" s="416"/>
      <c r="I34" s="416"/>
      <c r="J34" s="416"/>
    </row>
    <row r="36" spans="2:10">
      <c r="B36" s="462" t="s">
        <v>232</v>
      </c>
      <c r="C36" s="462"/>
      <c r="D36" s="462"/>
      <c r="E36" s="462"/>
    </row>
    <row r="37" spans="2:10">
      <c r="B37" s="411" t="s">
        <v>92</v>
      </c>
      <c r="C37" s="411" t="s">
        <v>371</v>
      </c>
      <c r="D37" s="411" t="s">
        <v>93</v>
      </c>
      <c r="E37" s="411" t="s">
        <v>94</v>
      </c>
    </row>
    <row r="38" spans="2:10">
      <c r="B38" s="412" t="s">
        <v>97</v>
      </c>
      <c r="C38" s="412">
        <v>1</v>
      </c>
      <c r="D38" s="413">
        <v>360</v>
      </c>
      <c r="E38" s="413">
        <f t="shared" ref="E38" si="2">D38*12</f>
        <v>4320</v>
      </c>
    </row>
    <row r="39" spans="2:10">
      <c r="B39" s="425" t="s">
        <v>274</v>
      </c>
      <c r="C39" s="425">
        <v>1</v>
      </c>
      <c r="D39" s="426">
        <v>360</v>
      </c>
      <c r="E39" s="426">
        <f>D39*12</f>
        <v>4320</v>
      </c>
    </row>
    <row r="40" spans="2:10">
      <c r="B40" s="425" t="s">
        <v>98</v>
      </c>
      <c r="C40" s="425">
        <v>1</v>
      </c>
      <c r="D40" s="426">
        <v>300</v>
      </c>
      <c r="E40" s="426">
        <f>D40*12</f>
        <v>3600</v>
      </c>
    </row>
    <row r="41" spans="2:10">
      <c r="B41" s="414" t="s">
        <v>234</v>
      </c>
      <c r="C41" s="422"/>
      <c r="D41" s="423">
        <f>SUM(D38:D40)</f>
        <v>1020</v>
      </c>
      <c r="E41" s="423">
        <f>SUM(E38:E40)</f>
        <v>12240</v>
      </c>
    </row>
  </sheetData>
  <mergeCells count="4">
    <mergeCell ref="B2:E2"/>
    <mergeCell ref="B36:E36"/>
    <mergeCell ref="B13:E13"/>
    <mergeCell ref="B29:E29"/>
  </mergeCells>
  <phoneticPr fontId="23" type="noConversion"/>
  <pageMargins left="0.7" right="0.7" top="0.75" bottom="0.75" header="0.3" footer="0.3"/>
  <pageSetup orientation="portrait" horizontalDpi="300" verticalDpi="0" r:id="rId1"/>
</worksheet>
</file>

<file path=xl/worksheets/sheet7.xml><?xml version="1.0" encoding="utf-8"?>
<worksheet xmlns="http://schemas.openxmlformats.org/spreadsheetml/2006/main" xmlns:r="http://schemas.openxmlformats.org/officeDocument/2006/relationships">
  <dimension ref="B1:AR60"/>
  <sheetViews>
    <sheetView tabSelected="1" topLeftCell="P1" workbookViewId="0">
      <selection activeCell="V5" sqref="V5"/>
    </sheetView>
  </sheetViews>
  <sheetFormatPr baseColWidth="10" defaultColWidth="22.28515625" defaultRowHeight="12.75"/>
  <cols>
    <col min="1" max="1" width="22.28515625" style="89"/>
    <col min="2" max="2" width="29.85546875" style="89" customWidth="1"/>
    <col min="3" max="3" width="14.7109375" style="103" customWidth="1"/>
    <col min="4" max="4" width="13.7109375" style="89" customWidth="1"/>
    <col min="5" max="5" width="11.140625" style="89" customWidth="1"/>
    <col min="6" max="6" width="10.7109375" style="89" customWidth="1"/>
    <col min="7" max="7" width="16.42578125" style="89" customWidth="1"/>
    <col min="8" max="8" width="9.5703125" style="89" customWidth="1"/>
    <col min="9" max="9" width="9.7109375" style="89" customWidth="1"/>
    <col min="10" max="10" width="9.85546875" style="89" customWidth="1"/>
    <col min="11" max="12" width="9.42578125" style="89" customWidth="1"/>
    <col min="13" max="13" width="11.140625" style="89" customWidth="1"/>
    <col min="14" max="14" width="9.85546875" style="89" customWidth="1"/>
    <col min="15" max="16" width="10.28515625" style="89" customWidth="1"/>
    <col min="17" max="17" width="9.85546875" style="89" customWidth="1"/>
    <col min="18" max="18" width="9.5703125" style="89" customWidth="1"/>
    <col min="19" max="19" width="8.42578125" style="89" customWidth="1"/>
    <col min="20" max="20" width="15.5703125" style="89" customWidth="1"/>
    <col min="21" max="30" width="22.28515625" style="89"/>
    <col min="31" max="31" width="12.85546875" style="89" customWidth="1"/>
    <col min="32" max="32" width="7" style="89" customWidth="1"/>
    <col min="33" max="33" width="7" style="89" bestFit="1" customWidth="1"/>
    <col min="34" max="34" width="6.7109375" style="89" customWidth="1"/>
    <col min="35" max="36" width="7" style="89" customWidth="1"/>
    <col min="37" max="37" width="7.140625" style="89" customWidth="1"/>
    <col min="38" max="38" width="6.85546875" style="89" customWidth="1"/>
    <col min="39" max="39" width="6.7109375" style="89" customWidth="1"/>
    <col min="40" max="40" width="7.28515625" style="89" customWidth="1"/>
    <col min="41" max="41" width="7.42578125" style="89" customWidth="1"/>
    <col min="42" max="16384" width="22.28515625" style="89"/>
  </cols>
  <sheetData>
    <row r="1" spans="2:41">
      <c r="AF1" s="89" t="s">
        <v>457</v>
      </c>
      <c r="AG1" s="89">
        <v>4</v>
      </c>
    </row>
    <row r="2" spans="2:41">
      <c r="AF2" s="89" t="s">
        <v>397</v>
      </c>
      <c r="AG2" s="97">
        <v>0.85</v>
      </c>
      <c r="AH2" s="89" t="s">
        <v>550</v>
      </c>
    </row>
    <row r="3" spans="2:41" ht="13.5" thickBot="1">
      <c r="B3" s="466" t="s">
        <v>293</v>
      </c>
      <c r="C3" s="466"/>
      <c r="D3" s="466"/>
      <c r="E3" s="466"/>
      <c r="I3" s="89" t="s">
        <v>354</v>
      </c>
      <c r="K3" s="104">
        <v>2.5000000000000001E-2</v>
      </c>
      <c r="L3" s="104"/>
    </row>
    <row r="4" spans="2:41">
      <c r="B4" s="17" t="s">
        <v>151</v>
      </c>
      <c r="C4" s="105"/>
      <c r="D4" s="18" t="s">
        <v>277</v>
      </c>
      <c r="E4" s="106"/>
      <c r="H4" s="89" t="s">
        <v>342</v>
      </c>
      <c r="R4" s="335"/>
      <c r="S4" s="467" t="s">
        <v>548</v>
      </c>
      <c r="T4" s="468"/>
      <c r="V4" s="89" t="s">
        <v>566</v>
      </c>
      <c r="AF4" s="89" t="s">
        <v>441</v>
      </c>
    </row>
    <row r="5" spans="2:41">
      <c r="B5" s="22" t="s">
        <v>278</v>
      </c>
      <c r="C5" s="211"/>
      <c r="D5" s="13" t="s">
        <v>279</v>
      </c>
      <c r="E5" s="56">
        <f>+C20-E10</f>
        <v>46582.094896167546</v>
      </c>
      <c r="H5" s="89" t="s">
        <v>343</v>
      </c>
      <c r="I5" s="89" t="s">
        <v>344</v>
      </c>
      <c r="J5" s="89" t="s">
        <v>355</v>
      </c>
      <c r="K5" s="89" t="s">
        <v>346</v>
      </c>
      <c r="L5" s="89" t="s">
        <v>347</v>
      </c>
      <c r="M5" s="89" t="s">
        <v>348</v>
      </c>
      <c r="N5" s="89" t="s">
        <v>349</v>
      </c>
      <c r="O5" s="89" t="s">
        <v>350</v>
      </c>
      <c r="P5" s="89" t="s">
        <v>351</v>
      </c>
      <c r="Q5" s="89" t="s">
        <v>352</v>
      </c>
      <c r="R5" s="92" t="s">
        <v>428</v>
      </c>
      <c r="S5" s="469" t="s">
        <v>427</v>
      </c>
      <c r="T5" s="469"/>
      <c r="U5" s="89" t="s">
        <v>343</v>
      </c>
      <c r="V5" s="89" t="s">
        <v>344</v>
      </c>
      <c r="W5" s="89" t="s">
        <v>345</v>
      </c>
      <c r="X5" s="89" t="s">
        <v>346</v>
      </c>
      <c r="Y5" s="89" t="s">
        <v>347</v>
      </c>
      <c r="Z5" s="89" t="s">
        <v>348</v>
      </c>
      <c r="AA5" s="89" t="s">
        <v>349</v>
      </c>
      <c r="AB5" s="89" t="s">
        <v>350</v>
      </c>
      <c r="AC5" s="89" t="s">
        <v>351</v>
      </c>
      <c r="AD5" s="89" t="s">
        <v>352</v>
      </c>
      <c r="AE5" s="92" t="s">
        <v>430</v>
      </c>
      <c r="AF5" s="92" t="s">
        <v>343</v>
      </c>
      <c r="AG5" s="92" t="s">
        <v>344</v>
      </c>
      <c r="AH5" s="92" t="s">
        <v>345</v>
      </c>
      <c r="AI5" s="92" t="s">
        <v>346</v>
      </c>
      <c r="AJ5" s="92" t="s">
        <v>347</v>
      </c>
      <c r="AK5" s="92" t="s">
        <v>348</v>
      </c>
      <c r="AL5" s="92" t="s">
        <v>349</v>
      </c>
      <c r="AM5" s="92" t="s">
        <v>350</v>
      </c>
      <c r="AN5" s="92" t="s">
        <v>351</v>
      </c>
      <c r="AO5" s="92" t="s">
        <v>352</v>
      </c>
    </row>
    <row r="6" spans="2:41">
      <c r="B6" s="107" t="s">
        <v>223</v>
      </c>
      <c r="C6" s="212">
        <f>-C60</f>
        <v>5966.0972404188506</v>
      </c>
      <c r="D6" s="213"/>
      <c r="E6" s="214"/>
      <c r="G6" s="89" t="s">
        <v>295</v>
      </c>
      <c r="H6" s="108">
        <f>'COSTOS DE PRODUCCIÓN'!B34</f>
        <v>12781.165597360043</v>
      </c>
      <c r="I6" s="108">
        <f>$H$17*$K$3+$H$17</f>
        <v>13100.694737294043</v>
      </c>
      <c r="J6" s="108">
        <f>$I$17*$K$3+$I$17</f>
        <v>13428.212105726394</v>
      </c>
      <c r="K6" s="108">
        <f>$J$17*$K$3+$J$17</f>
        <v>13763.917408369554</v>
      </c>
      <c r="L6" s="108">
        <f>$K$17*$K$3+$K$17</f>
        <v>14108.015343578792</v>
      </c>
      <c r="M6" s="108">
        <f t="shared" ref="M6:M17" si="0">$L$17*$K$3+$L$17</f>
        <v>14460.715727168263</v>
      </c>
      <c r="N6" s="108">
        <f t="shared" ref="N6:N17" si="1">$M$17*$K$3+$M$17</f>
        <v>14822.23362034747</v>
      </c>
      <c r="O6" s="108">
        <f t="shared" ref="O6:O17" si="2">$N$17*$K$3+$N$17</f>
        <v>15192.789460856156</v>
      </c>
      <c r="P6" s="108">
        <f t="shared" ref="P6:P17" si="3">$O$17*$K$3+$O$17</f>
        <v>15572.60919737756</v>
      </c>
      <c r="Q6" s="108">
        <f t="shared" ref="Q6:Q17" si="4">$P$17*$K$3+$P$17</f>
        <v>15961.924427311998</v>
      </c>
      <c r="R6" s="92" t="s">
        <v>295</v>
      </c>
      <c r="S6" s="92">
        <v>3</v>
      </c>
      <c r="T6" s="92">
        <f>S6/$S$18</f>
        <v>0.03</v>
      </c>
      <c r="U6" s="108">
        <f>T6*$H$18</f>
        <v>4601.2196150496156</v>
      </c>
      <c r="V6" s="108">
        <f>T6*$I$18</f>
        <v>4716.2501054258564</v>
      </c>
      <c r="W6" s="108">
        <f t="shared" ref="W6:W17" si="5">T6*$J$18</f>
        <v>4834.1563580615002</v>
      </c>
      <c r="X6" s="108">
        <f t="shared" ref="X6:X17" si="6">T6*$K$18</f>
        <v>4955.0102670130391</v>
      </c>
      <c r="Y6" s="108">
        <f t="shared" ref="Y6:Y17" si="7">T6*$L$18</f>
        <v>5078.8855236883646</v>
      </c>
      <c r="Z6" s="108">
        <f t="shared" ref="Z6:Z17" si="8">T6*$M$18</f>
        <v>5205.8576617805738</v>
      </c>
      <c r="AA6" s="108">
        <f t="shared" ref="AA6:AA17" si="9">T6*$N$18</f>
        <v>5336.0041033250873</v>
      </c>
      <c r="AB6" s="108">
        <f t="shared" ref="AB6:AB17" si="10">T6*$O$18</f>
        <v>5469.4042059082158</v>
      </c>
      <c r="AC6" s="108">
        <f t="shared" ref="AC6:AC17" si="11">T6*$P$18</f>
        <v>5606.1393110559202</v>
      </c>
      <c r="AD6" s="108">
        <f t="shared" ref="AD6:AD17" si="12">T6*$Q$18</f>
        <v>5746.2927938323173</v>
      </c>
      <c r="AE6" s="92" t="s">
        <v>295</v>
      </c>
      <c r="AF6" s="334">
        <f>U6*$AG$1*$AG$2</f>
        <v>15644.146691168693</v>
      </c>
      <c r="AG6" s="334">
        <f t="shared" ref="AG6:AL6" si="13">V6*$AG$1*$AG$2</f>
        <v>16035.250358447911</v>
      </c>
      <c r="AH6" s="334">
        <f t="shared" si="13"/>
        <v>16436.131617409101</v>
      </c>
      <c r="AI6" s="334">
        <f t="shared" si="13"/>
        <v>16847.034907844332</v>
      </c>
      <c r="AJ6" s="334">
        <f t="shared" si="13"/>
        <v>17268.210780540438</v>
      </c>
      <c r="AK6" s="334">
        <f t="shared" si="13"/>
        <v>17699.916050053951</v>
      </c>
      <c r="AL6" s="334">
        <f t="shared" si="13"/>
        <v>18142.413951305298</v>
      </c>
      <c r="AM6" s="334">
        <f>AB6*4*$AG$2</f>
        <v>18595.974300087932</v>
      </c>
      <c r="AN6" s="334">
        <f>AC6*$AG$1*$AG$2</f>
        <v>19060.873657590128</v>
      </c>
      <c r="AO6" s="334">
        <f>AD6*$AG$1*$AG$2</f>
        <v>19537.395499029877</v>
      </c>
    </row>
    <row r="7" spans="2:41">
      <c r="B7" s="22" t="s">
        <v>280</v>
      </c>
      <c r="C7" s="212">
        <f>+SUM(C8:C14)</f>
        <v>95547.62</v>
      </c>
      <c r="D7" s="213"/>
      <c r="E7" s="214"/>
      <c r="G7" s="89" t="s">
        <v>296</v>
      </c>
      <c r="H7" s="108">
        <f>H6</f>
        <v>12781.165597360043</v>
      </c>
      <c r="I7" s="108">
        <f t="shared" ref="I7:I17" si="14">$H$17*$K$3+$H$17</f>
        <v>13100.694737294043</v>
      </c>
      <c r="J7" s="108">
        <f t="shared" ref="J7:J17" si="15">$I$17*$K$3+$I$17</f>
        <v>13428.212105726394</v>
      </c>
      <c r="K7" s="108">
        <f t="shared" ref="K7:K17" si="16">$J$17*$K$3+$J$17</f>
        <v>13763.917408369554</v>
      </c>
      <c r="L7" s="108">
        <f t="shared" ref="L7:L17" si="17">$K$17*$K$3+$K$17</f>
        <v>14108.015343578792</v>
      </c>
      <c r="M7" s="108">
        <f t="shared" si="0"/>
        <v>14460.715727168263</v>
      </c>
      <c r="N7" s="108">
        <f t="shared" si="1"/>
        <v>14822.23362034747</v>
      </c>
      <c r="O7" s="108">
        <f t="shared" si="2"/>
        <v>15192.789460856156</v>
      </c>
      <c r="P7" s="108">
        <f t="shared" si="3"/>
        <v>15572.60919737756</v>
      </c>
      <c r="Q7" s="108">
        <f t="shared" si="4"/>
        <v>15961.924427311998</v>
      </c>
      <c r="R7" s="92" t="s">
        <v>296</v>
      </c>
      <c r="S7" s="92">
        <v>4</v>
      </c>
      <c r="T7" s="92">
        <f t="shared" ref="T7:T18" si="18">S7/$S$18</f>
        <v>0.04</v>
      </c>
      <c r="U7" s="108">
        <f>T7*$H$18</f>
        <v>6134.9594867328206</v>
      </c>
      <c r="V7" s="108">
        <f t="shared" ref="V7:V17" si="19">T7*$I$18</f>
        <v>6288.3334739011425</v>
      </c>
      <c r="W7" s="108">
        <f t="shared" si="5"/>
        <v>6445.5418107486666</v>
      </c>
      <c r="X7" s="108">
        <f t="shared" si="6"/>
        <v>6606.6803560173867</v>
      </c>
      <c r="Y7" s="108">
        <f t="shared" si="7"/>
        <v>6771.8473649178204</v>
      </c>
      <c r="Z7" s="108">
        <f t="shared" si="8"/>
        <v>6941.1435490407657</v>
      </c>
      <c r="AA7" s="108">
        <f t="shared" si="9"/>
        <v>7114.6721377667836</v>
      </c>
      <c r="AB7" s="108">
        <f t="shared" si="10"/>
        <v>7292.5389412109544</v>
      </c>
      <c r="AC7" s="108">
        <f t="shared" si="11"/>
        <v>7474.8524147412272</v>
      </c>
      <c r="AD7" s="108">
        <f t="shared" si="12"/>
        <v>7661.7237251097567</v>
      </c>
      <c r="AE7" s="92" t="s">
        <v>296</v>
      </c>
      <c r="AF7" s="334">
        <f t="shared" ref="AF7:AF17" si="20">U7*$AG$1*$AG$2</f>
        <v>20858.862254891588</v>
      </c>
      <c r="AG7" s="334">
        <f t="shared" ref="AG7:AG18" si="21">V7*$AG$1*$AG$2</f>
        <v>21380.333811263885</v>
      </c>
      <c r="AH7" s="334">
        <f t="shared" ref="AH7:AH18" si="22">W7*$AG$1*$AG$2</f>
        <v>21914.842156545466</v>
      </c>
      <c r="AI7" s="334">
        <f t="shared" ref="AI7:AI18" si="23">X7*$AG$1*$AG$2</f>
        <v>22462.713210459115</v>
      </c>
      <c r="AJ7" s="334">
        <f t="shared" ref="AJ7:AJ18" si="24">Y7*$AG$1*$AG$2</f>
        <v>23024.281040720587</v>
      </c>
      <c r="AK7" s="334">
        <f t="shared" ref="AK7:AK18" si="25">Z7*$AG$1*$AG$2</f>
        <v>23599.888066738604</v>
      </c>
      <c r="AL7" s="334">
        <f t="shared" ref="AL7:AL18" si="26">AA7*$AG$1*$AG$2</f>
        <v>24189.885268407063</v>
      </c>
      <c r="AM7" s="334">
        <f t="shared" ref="AM7:AM17" si="27">AB7*4*$AG$2</f>
        <v>24794.632400117243</v>
      </c>
      <c r="AN7" s="334">
        <f t="shared" ref="AN7:AN18" si="28">AC7*$AG$1*$AG$2</f>
        <v>25414.498210120171</v>
      </c>
      <c r="AO7" s="334">
        <f t="shared" ref="AO7:AO18" si="29">AD7*$AG$1*$AG$2</f>
        <v>26049.860665373173</v>
      </c>
    </row>
    <row r="8" spans="2:41">
      <c r="B8" s="107" t="s">
        <v>294</v>
      </c>
      <c r="C8" s="215">
        <f>'MAQUINARIA,EQUIPO,SUMINISTR Y S'!D35</f>
        <v>53200</v>
      </c>
      <c r="D8" s="213"/>
      <c r="E8" s="214"/>
      <c r="G8" s="89" t="s">
        <v>297</v>
      </c>
      <c r="H8" s="108">
        <f t="shared" ref="H8:H17" si="30">H7</f>
        <v>12781.165597360043</v>
      </c>
      <c r="I8" s="108">
        <f t="shared" si="14"/>
        <v>13100.694737294043</v>
      </c>
      <c r="J8" s="108">
        <f t="shared" si="15"/>
        <v>13428.212105726394</v>
      </c>
      <c r="K8" s="108">
        <f t="shared" si="16"/>
        <v>13763.917408369554</v>
      </c>
      <c r="L8" s="108">
        <f t="shared" si="17"/>
        <v>14108.015343578792</v>
      </c>
      <c r="M8" s="108">
        <f t="shared" si="0"/>
        <v>14460.715727168263</v>
      </c>
      <c r="N8" s="108">
        <f t="shared" si="1"/>
        <v>14822.23362034747</v>
      </c>
      <c r="O8" s="108">
        <f t="shared" si="2"/>
        <v>15192.789460856156</v>
      </c>
      <c r="P8" s="108">
        <f t="shared" si="3"/>
        <v>15572.60919737756</v>
      </c>
      <c r="Q8" s="108">
        <f t="shared" si="4"/>
        <v>15961.924427311998</v>
      </c>
      <c r="R8" s="92" t="s">
        <v>297</v>
      </c>
      <c r="S8" s="92">
        <v>5</v>
      </c>
      <c r="T8" s="92">
        <f t="shared" si="18"/>
        <v>0.05</v>
      </c>
      <c r="U8" s="108">
        <f>T8*$H$18</f>
        <v>7668.6993584160264</v>
      </c>
      <c r="V8" s="108">
        <f t="shared" si="19"/>
        <v>7860.4168423764277</v>
      </c>
      <c r="W8" s="108">
        <f t="shared" si="5"/>
        <v>8056.927263435834</v>
      </c>
      <c r="X8" s="108">
        <f t="shared" si="6"/>
        <v>8258.3504450217333</v>
      </c>
      <c r="Y8" s="108">
        <f t="shared" si="7"/>
        <v>8464.8092061472762</v>
      </c>
      <c r="Z8" s="108">
        <f t="shared" si="8"/>
        <v>8676.4294363009576</v>
      </c>
      <c r="AA8" s="108">
        <f t="shared" si="9"/>
        <v>8893.34017220848</v>
      </c>
      <c r="AB8" s="108">
        <f t="shared" si="10"/>
        <v>9115.6736765136939</v>
      </c>
      <c r="AC8" s="108">
        <f t="shared" si="11"/>
        <v>9343.5655184265343</v>
      </c>
      <c r="AD8" s="108">
        <f t="shared" si="12"/>
        <v>9577.1546563871962</v>
      </c>
      <c r="AE8" s="92" t="s">
        <v>297</v>
      </c>
      <c r="AF8" s="334">
        <f t="shared" si="20"/>
        <v>26073.577818614489</v>
      </c>
      <c r="AG8" s="334">
        <f t="shared" si="21"/>
        <v>26725.417264079853</v>
      </c>
      <c r="AH8" s="334">
        <f t="shared" si="22"/>
        <v>27393.552695681836</v>
      </c>
      <c r="AI8" s="334">
        <f t="shared" si="23"/>
        <v>28078.391513073893</v>
      </c>
      <c r="AJ8" s="334">
        <f t="shared" si="24"/>
        <v>28780.351300900737</v>
      </c>
      <c r="AK8" s="334">
        <f t="shared" si="25"/>
        <v>29499.860083423257</v>
      </c>
      <c r="AL8" s="334">
        <f t="shared" si="26"/>
        <v>30237.356585508831</v>
      </c>
      <c r="AM8" s="334">
        <f t="shared" si="27"/>
        <v>30993.290500146559</v>
      </c>
      <c r="AN8" s="334">
        <f t="shared" si="28"/>
        <v>31768.122762650215</v>
      </c>
      <c r="AO8" s="334">
        <f t="shared" si="29"/>
        <v>32562.325831716465</v>
      </c>
    </row>
    <row r="9" spans="2:41">
      <c r="B9" s="107" t="s">
        <v>333</v>
      </c>
      <c r="C9" s="215">
        <f>'MAQUINARIA,EQUIPO,SUMINISTR Y S'!D68</f>
        <v>2240</v>
      </c>
      <c r="D9" s="13" t="s">
        <v>281</v>
      </c>
      <c r="E9" s="214"/>
      <c r="G9" s="89" t="s">
        <v>298</v>
      </c>
      <c r="H9" s="108">
        <f t="shared" si="30"/>
        <v>12781.165597360043</v>
      </c>
      <c r="I9" s="108">
        <f t="shared" si="14"/>
        <v>13100.694737294043</v>
      </c>
      <c r="J9" s="108">
        <f t="shared" si="15"/>
        <v>13428.212105726394</v>
      </c>
      <c r="K9" s="108">
        <f t="shared" si="16"/>
        <v>13763.917408369554</v>
      </c>
      <c r="L9" s="108">
        <f t="shared" si="17"/>
        <v>14108.015343578792</v>
      </c>
      <c r="M9" s="108">
        <f t="shared" si="0"/>
        <v>14460.715727168263</v>
      </c>
      <c r="N9" s="108">
        <f t="shared" si="1"/>
        <v>14822.23362034747</v>
      </c>
      <c r="O9" s="108">
        <f t="shared" si="2"/>
        <v>15192.789460856156</v>
      </c>
      <c r="P9" s="108">
        <f t="shared" si="3"/>
        <v>15572.60919737756</v>
      </c>
      <c r="Q9" s="108">
        <f t="shared" si="4"/>
        <v>15961.924427311998</v>
      </c>
      <c r="R9" s="92" t="s">
        <v>298</v>
      </c>
      <c r="S9" s="92">
        <v>6</v>
      </c>
      <c r="T9" s="92">
        <f t="shared" si="18"/>
        <v>0.06</v>
      </c>
      <c r="U9" s="108">
        <f t="shared" ref="U9:U17" si="31">T9*$H$18</f>
        <v>9202.4392300992313</v>
      </c>
      <c r="V9" s="108">
        <f t="shared" si="19"/>
        <v>9432.5002108517128</v>
      </c>
      <c r="W9" s="108">
        <f t="shared" si="5"/>
        <v>9668.3127161230004</v>
      </c>
      <c r="X9" s="108">
        <f t="shared" si="6"/>
        <v>9910.0205340260782</v>
      </c>
      <c r="Y9" s="108">
        <f t="shared" si="7"/>
        <v>10157.771047376729</v>
      </c>
      <c r="Z9" s="108">
        <f t="shared" si="8"/>
        <v>10411.715323561148</v>
      </c>
      <c r="AA9" s="108">
        <f t="shared" si="9"/>
        <v>10672.008206650175</v>
      </c>
      <c r="AB9" s="108">
        <f t="shared" si="10"/>
        <v>10938.808411816432</v>
      </c>
      <c r="AC9" s="108">
        <f t="shared" si="11"/>
        <v>11212.27862211184</v>
      </c>
      <c r="AD9" s="108">
        <f t="shared" si="12"/>
        <v>11492.585587664635</v>
      </c>
      <c r="AE9" s="92" t="s">
        <v>298</v>
      </c>
      <c r="AF9" s="334">
        <f t="shared" si="20"/>
        <v>31288.293382337386</v>
      </c>
      <c r="AG9" s="334">
        <f t="shared" si="21"/>
        <v>32070.500716895822</v>
      </c>
      <c r="AH9" s="334">
        <f t="shared" si="22"/>
        <v>32872.263234818201</v>
      </c>
      <c r="AI9" s="334">
        <f t="shared" si="23"/>
        <v>33694.069815688665</v>
      </c>
      <c r="AJ9" s="334">
        <f t="shared" si="24"/>
        <v>34536.421561080875</v>
      </c>
      <c r="AK9" s="334">
        <f t="shared" si="25"/>
        <v>35399.832100107902</v>
      </c>
      <c r="AL9" s="334">
        <f t="shared" si="26"/>
        <v>36284.827902610596</v>
      </c>
      <c r="AM9" s="334">
        <f t="shared" si="27"/>
        <v>37191.948600175863</v>
      </c>
      <c r="AN9" s="334">
        <f t="shared" si="28"/>
        <v>38121.747315180255</v>
      </c>
      <c r="AO9" s="334">
        <f t="shared" si="29"/>
        <v>39074.790998059754</v>
      </c>
    </row>
    <row r="10" spans="2:41">
      <c r="B10" s="107" t="s">
        <v>282</v>
      </c>
      <c r="C10" s="215">
        <f>'MAQUINARIA,EQUIPO,SUMINISTR Y S'!E79</f>
        <v>5390</v>
      </c>
      <c r="D10" s="13" t="s">
        <v>283</v>
      </c>
      <c r="E10" s="56">
        <f>+C20*0.6</f>
        <v>69873.142344251304</v>
      </c>
      <c r="G10" s="89" t="s">
        <v>299</v>
      </c>
      <c r="H10" s="108">
        <f t="shared" si="30"/>
        <v>12781.165597360043</v>
      </c>
      <c r="I10" s="108">
        <f t="shared" si="14"/>
        <v>13100.694737294043</v>
      </c>
      <c r="J10" s="108">
        <f t="shared" si="15"/>
        <v>13428.212105726394</v>
      </c>
      <c r="K10" s="108">
        <f t="shared" si="16"/>
        <v>13763.917408369554</v>
      </c>
      <c r="L10" s="108">
        <f t="shared" si="17"/>
        <v>14108.015343578792</v>
      </c>
      <c r="M10" s="108">
        <f t="shared" si="0"/>
        <v>14460.715727168263</v>
      </c>
      <c r="N10" s="108">
        <f t="shared" si="1"/>
        <v>14822.23362034747</v>
      </c>
      <c r="O10" s="108">
        <f t="shared" si="2"/>
        <v>15192.789460856156</v>
      </c>
      <c r="P10" s="108">
        <f t="shared" si="3"/>
        <v>15572.60919737756</v>
      </c>
      <c r="Q10" s="108">
        <f t="shared" si="4"/>
        <v>15961.924427311998</v>
      </c>
      <c r="R10" s="92" t="s">
        <v>299</v>
      </c>
      <c r="S10" s="92">
        <v>7</v>
      </c>
      <c r="T10" s="92">
        <f t="shared" si="18"/>
        <v>7.0000000000000007E-2</v>
      </c>
      <c r="U10" s="108">
        <f t="shared" si="31"/>
        <v>10736.179101782436</v>
      </c>
      <c r="V10" s="108">
        <f t="shared" si="19"/>
        <v>11004.583579327</v>
      </c>
      <c r="W10" s="108">
        <f t="shared" si="5"/>
        <v>11279.698168810168</v>
      </c>
      <c r="X10" s="108">
        <f t="shared" si="6"/>
        <v>11561.690623030427</v>
      </c>
      <c r="Y10" s="108">
        <f t="shared" si="7"/>
        <v>11850.732888606186</v>
      </c>
      <c r="Z10" s="108">
        <f t="shared" si="8"/>
        <v>12147.001210821341</v>
      </c>
      <c r="AA10" s="108">
        <f t="shared" si="9"/>
        <v>12450.676241091871</v>
      </c>
      <c r="AB10" s="108">
        <f t="shared" si="10"/>
        <v>12761.943147119171</v>
      </c>
      <c r="AC10" s="108">
        <f t="shared" si="11"/>
        <v>13080.991725797148</v>
      </c>
      <c r="AD10" s="108">
        <f t="shared" si="12"/>
        <v>13408.016518942077</v>
      </c>
      <c r="AE10" s="92" t="s">
        <v>299</v>
      </c>
      <c r="AF10" s="334">
        <f t="shared" si="20"/>
        <v>36503.008946060283</v>
      </c>
      <c r="AG10" s="334">
        <f t="shared" si="21"/>
        <v>37415.584169711801</v>
      </c>
      <c r="AH10" s="334">
        <f t="shared" si="22"/>
        <v>38350.973773954567</v>
      </c>
      <c r="AI10" s="334">
        <f t="shared" si="23"/>
        <v>39309.748118303447</v>
      </c>
      <c r="AJ10" s="334">
        <f t="shared" si="24"/>
        <v>40292.491821261028</v>
      </c>
      <c r="AK10" s="334">
        <f t="shared" si="25"/>
        <v>41299.804116792562</v>
      </c>
      <c r="AL10" s="334">
        <f t="shared" si="26"/>
        <v>42332.29921971236</v>
      </c>
      <c r="AM10" s="334">
        <f t="shared" si="27"/>
        <v>43390.606700205179</v>
      </c>
      <c r="AN10" s="334">
        <f t="shared" si="28"/>
        <v>44475.371867710302</v>
      </c>
      <c r="AO10" s="334">
        <f t="shared" si="29"/>
        <v>45587.256164403057</v>
      </c>
    </row>
    <row r="11" spans="2:41">
      <c r="B11" s="107" t="s">
        <v>284</v>
      </c>
      <c r="C11" s="215">
        <f>'MAQUINARIA,EQUIPO,SUMINISTR Y S'!C84</f>
        <v>72</v>
      </c>
      <c r="D11" s="213"/>
      <c r="E11" s="214"/>
      <c r="G11" s="89" t="s">
        <v>300</v>
      </c>
      <c r="H11" s="108">
        <f t="shared" si="30"/>
        <v>12781.165597360043</v>
      </c>
      <c r="I11" s="108">
        <f>$H$17*$K$3+$H$17</f>
        <v>13100.694737294043</v>
      </c>
      <c r="J11" s="108">
        <f t="shared" si="15"/>
        <v>13428.212105726394</v>
      </c>
      <c r="K11" s="108">
        <f t="shared" si="16"/>
        <v>13763.917408369554</v>
      </c>
      <c r="L11" s="108">
        <f t="shared" si="17"/>
        <v>14108.015343578792</v>
      </c>
      <c r="M11" s="108">
        <f t="shared" si="0"/>
        <v>14460.715727168263</v>
      </c>
      <c r="N11" s="108">
        <f t="shared" si="1"/>
        <v>14822.23362034747</v>
      </c>
      <c r="O11" s="108">
        <f t="shared" si="2"/>
        <v>15192.789460856156</v>
      </c>
      <c r="P11" s="108">
        <f t="shared" si="3"/>
        <v>15572.60919737756</v>
      </c>
      <c r="Q11" s="108">
        <f t="shared" si="4"/>
        <v>15961.924427311998</v>
      </c>
      <c r="R11" s="92" t="s">
        <v>300</v>
      </c>
      <c r="S11" s="92">
        <v>8</v>
      </c>
      <c r="T11" s="92">
        <f t="shared" si="18"/>
        <v>0.08</v>
      </c>
      <c r="U11" s="108">
        <f t="shared" si="31"/>
        <v>12269.918973465641</v>
      </c>
      <c r="V11" s="108">
        <f t="shared" si="19"/>
        <v>12576.666947802285</v>
      </c>
      <c r="W11" s="108">
        <f t="shared" si="5"/>
        <v>12891.083621497333</v>
      </c>
      <c r="X11" s="108">
        <f t="shared" si="6"/>
        <v>13213.360712034773</v>
      </c>
      <c r="Y11" s="108">
        <f t="shared" si="7"/>
        <v>13543.694729835641</v>
      </c>
      <c r="Z11" s="108">
        <f t="shared" si="8"/>
        <v>13882.287098081531</v>
      </c>
      <c r="AA11" s="108">
        <f t="shared" si="9"/>
        <v>14229.344275533567</v>
      </c>
      <c r="AB11" s="108">
        <f t="shared" si="10"/>
        <v>14585.077882421909</v>
      </c>
      <c r="AC11" s="108">
        <f t="shared" si="11"/>
        <v>14949.704829482454</v>
      </c>
      <c r="AD11" s="108">
        <f t="shared" si="12"/>
        <v>15323.447450219513</v>
      </c>
      <c r="AE11" s="92" t="s">
        <v>300</v>
      </c>
      <c r="AF11" s="334">
        <f t="shared" si="20"/>
        <v>41717.724509783176</v>
      </c>
      <c r="AG11" s="334">
        <f t="shared" si="21"/>
        <v>42760.66762252777</v>
      </c>
      <c r="AH11" s="334">
        <f t="shared" si="22"/>
        <v>43829.684313090933</v>
      </c>
      <c r="AI11" s="334">
        <f t="shared" si="23"/>
        <v>44925.426420918229</v>
      </c>
      <c r="AJ11" s="334">
        <f t="shared" si="24"/>
        <v>46048.562081441174</v>
      </c>
      <c r="AK11" s="334">
        <f t="shared" si="25"/>
        <v>47199.776133477208</v>
      </c>
      <c r="AL11" s="334">
        <f t="shared" si="26"/>
        <v>48379.770536814125</v>
      </c>
      <c r="AM11" s="334">
        <f t="shared" si="27"/>
        <v>49589.264800234487</v>
      </c>
      <c r="AN11" s="334">
        <f t="shared" si="28"/>
        <v>50828.996420240343</v>
      </c>
      <c r="AO11" s="334">
        <f t="shared" si="29"/>
        <v>52099.721330746346</v>
      </c>
    </row>
    <row r="12" spans="2:41">
      <c r="B12" s="109" t="s">
        <v>285</v>
      </c>
      <c r="C12" s="216">
        <f>'MAQUINARIA,EQUIPO,SUMINISTR Y S'!D40</f>
        <v>22000</v>
      </c>
      <c r="D12" s="213"/>
      <c r="E12" s="214"/>
      <c r="G12" s="89" t="s">
        <v>301</v>
      </c>
      <c r="H12" s="108">
        <f t="shared" si="30"/>
        <v>12781.165597360043</v>
      </c>
      <c r="I12" s="108">
        <f t="shared" si="14"/>
        <v>13100.694737294043</v>
      </c>
      <c r="J12" s="108">
        <f t="shared" si="15"/>
        <v>13428.212105726394</v>
      </c>
      <c r="K12" s="108">
        <f t="shared" si="16"/>
        <v>13763.917408369554</v>
      </c>
      <c r="L12" s="108">
        <f t="shared" si="17"/>
        <v>14108.015343578792</v>
      </c>
      <c r="M12" s="108">
        <f t="shared" si="0"/>
        <v>14460.715727168263</v>
      </c>
      <c r="N12" s="108">
        <f t="shared" si="1"/>
        <v>14822.23362034747</v>
      </c>
      <c r="O12" s="108">
        <f t="shared" si="2"/>
        <v>15192.789460856156</v>
      </c>
      <c r="P12" s="108">
        <f t="shared" si="3"/>
        <v>15572.60919737756</v>
      </c>
      <c r="Q12" s="108">
        <f t="shared" si="4"/>
        <v>15961.924427311998</v>
      </c>
      <c r="R12" s="92" t="s">
        <v>301</v>
      </c>
      <c r="S12" s="92">
        <v>8</v>
      </c>
      <c r="T12" s="92">
        <f t="shared" si="18"/>
        <v>0.08</v>
      </c>
      <c r="U12" s="108">
        <f t="shared" si="31"/>
        <v>12269.918973465641</v>
      </c>
      <c r="V12" s="108">
        <f t="shared" si="19"/>
        <v>12576.666947802285</v>
      </c>
      <c r="W12" s="108">
        <f t="shared" si="5"/>
        <v>12891.083621497333</v>
      </c>
      <c r="X12" s="108">
        <f t="shared" si="6"/>
        <v>13213.360712034773</v>
      </c>
      <c r="Y12" s="108">
        <f t="shared" si="7"/>
        <v>13543.694729835641</v>
      </c>
      <c r="Z12" s="108">
        <f t="shared" si="8"/>
        <v>13882.287098081531</v>
      </c>
      <c r="AA12" s="108">
        <f t="shared" si="9"/>
        <v>14229.344275533567</v>
      </c>
      <c r="AB12" s="108">
        <f t="shared" si="10"/>
        <v>14585.077882421909</v>
      </c>
      <c r="AC12" s="108">
        <f t="shared" si="11"/>
        <v>14949.704829482454</v>
      </c>
      <c r="AD12" s="108">
        <f t="shared" si="12"/>
        <v>15323.447450219513</v>
      </c>
      <c r="AE12" s="92" t="s">
        <v>301</v>
      </c>
      <c r="AF12" s="334">
        <f t="shared" si="20"/>
        <v>41717.724509783176</v>
      </c>
      <c r="AG12" s="334">
        <f t="shared" si="21"/>
        <v>42760.66762252777</v>
      </c>
      <c r="AH12" s="334">
        <f t="shared" si="22"/>
        <v>43829.684313090933</v>
      </c>
      <c r="AI12" s="334">
        <f t="shared" si="23"/>
        <v>44925.426420918229</v>
      </c>
      <c r="AJ12" s="334">
        <f t="shared" si="24"/>
        <v>46048.562081441174</v>
      </c>
      <c r="AK12" s="334">
        <f t="shared" si="25"/>
        <v>47199.776133477208</v>
      </c>
      <c r="AL12" s="334">
        <f t="shared" si="26"/>
        <v>48379.770536814125</v>
      </c>
      <c r="AM12" s="334">
        <f t="shared" si="27"/>
        <v>49589.264800234487</v>
      </c>
      <c r="AN12" s="334">
        <f t="shared" si="28"/>
        <v>50828.996420240343</v>
      </c>
      <c r="AO12" s="334">
        <f t="shared" si="29"/>
        <v>52099.721330746346</v>
      </c>
    </row>
    <row r="13" spans="2:41">
      <c r="B13" s="107" t="s">
        <v>286</v>
      </c>
      <c r="C13" s="215">
        <f>'GASTOS PREOPERACIONALES'!D63</f>
        <v>12483.619999999999</v>
      </c>
      <c r="D13" s="213"/>
      <c r="E13" s="214"/>
      <c r="G13" s="89" t="s">
        <v>302</v>
      </c>
      <c r="H13" s="108">
        <f t="shared" si="30"/>
        <v>12781.165597360043</v>
      </c>
      <c r="I13" s="108">
        <f t="shared" si="14"/>
        <v>13100.694737294043</v>
      </c>
      <c r="J13" s="108">
        <f t="shared" si="15"/>
        <v>13428.212105726394</v>
      </c>
      <c r="K13" s="108">
        <f t="shared" si="16"/>
        <v>13763.917408369554</v>
      </c>
      <c r="L13" s="108">
        <f t="shared" si="17"/>
        <v>14108.015343578792</v>
      </c>
      <c r="M13" s="108">
        <f t="shared" si="0"/>
        <v>14460.715727168263</v>
      </c>
      <c r="N13" s="108">
        <f t="shared" si="1"/>
        <v>14822.23362034747</v>
      </c>
      <c r="O13" s="108">
        <f t="shared" si="2"/>
        <v>15192.789460856156</v>
      </c>
      <c r="P13" s="108">
        <f t="shared" si="3"/>
        <v>15572.60919737756</v>
      </c>
      <c r="Q13" s="108">
        <f t="shared" si="4"/>
        <v>15961.924427311998</v>
      </c>
      <c r="R13" s="92" t="s">
        <v>302</v>
      </c>
      <c r="S13" s="92">
        <v>10</v>
      </c>
      <c r="T13" s="92">
        <f t="shared" si="18"/>
        <v>0.1</v>
      </c>
      <c r="U13" s="108">
        <f t="shared" si="31"/>
        <v>15337.398716832053</v>
      </c>
      <c r="V13" s="108">
        <f t="shared" si="19"/>
        <v>15720.833684752855</v>
      </c>
      <c r="W13" s="108">
        <f t="shared" si="5"/>
        <v>16113.854526871668</v>
      </c>
      <c r="X13" s="108">
        <f t="shared" si="6"/>
        <v>16516.700890043467</v>
      </c>
      <c r="Y13" s="108">
        <f t="shared" si="7"/>
        <v>16929.618412294552</v>
      </c>
      <c r="Z13" s="108">
        <f t="shared" si="8"/>
        <v>17352.858872601915</v>
      </c>
      <c r="AA13" s="108">
        <f t="shared" si="9"/>
        <v>17786.68034441696</v>
      </c>
      <c r="AB13" s="108">
        <f t="shared" si="10"/>
        <v>18231.347353027388</v>
      </c>
      <c r="AC13" s="108">
        <f t="shared" si="11"/>
        <v>18687.131036853069</v>
      </c>
      <c r="AD13" s="108">
        <f t="shared" si="12"/>
        <v>19154.309312774392</v>
      </c>
      <c r="AE13" s="92" t="s">
        <v>302</v>
      </c>
      <c r="AF13" s="334">
        <f t="shared" si="20"/>
        <v>52147.155637228978</v>
      </c>
      <c r="AG13" s="334">
        <f t="shared" si="21"/>
        <v>53450.834528159707</v>
      </c>
      <c r="AH13" s="334">
        <f t="shared" si="22"/>
        <v>54787.105391363672</v>
      </c>
      <c r="AI13" s="334">
        <f t="shared" si="23"/>
        <v>56156.783026147787</v>
      </c>
      <c r="AJ13" s="334">
        <f t="shared" si="24"/>
        <v>57560.702601801473</v>
      </c>
      <c r="AK13" s="334">
        <f t="shared" si="25"/>
        <v>58999.720166846513</v>
      </c>
      <c r="AL13" s="334">
        <f t="shared" si="26"/>
        <v>60474.713171017662</v>
      </c>
      <c r="AM13" s="334">
        <f t="shared" si="27"/>
        <v>61986.581000293118</v>
      </c>
      <c r="AN13" s="334">
        <f t="shared" si="28"/>
        <v>63536.24552530043</v>
      </c>
      <c r="AO13" s="334">
        <f t="shared" si="29"/>
        <v>65124.651663432931</v>
      </c>
    </row>
    <row r="14" spans="2:41">
      <c r="B14" s="107" t="s">
        <v>287</v>
      </c>
      <c r="C14" s="215">
        <f>'MAQUINARIA,EQUIPO,SUMINISTR Y S'!E60</f>
        <v>162</v>
      </c>
      <c r="D14" s="213"/>
      <c r="E14" s="214"/>
      <c r="G14" s="89" t="s">
        <v>303</v>
      </c>
      <c r="H14" s="108">
        <f t="shared" si="30"/>
        <v>12781.165597360043</v>
      </c>
      <c r="I14" s="108">
        <f t="shared" si="14"/>
        <v>13100.694737294043</v>
      </c>
      <c r="J14" s="108">
        <f t="shared" si="15"/>
        <v>13428.212105726394</v>
      </c>
      <c r="K14" s="108">
        <f t="shared" si="16"/>
        <v>13763.917408369554</v>
      </c>
      <c r="L14" s="108">
        <f t="shared" si="17"/>
        <v>14108.015343578792</v>
      </c>
      <c r="M14" s="108">
        <f t="shared" si="0"/>
        <v>14460.715727168263</v>
      </c>
      <c r="N14" s="108">
        <f t="shared" si="1"/>
        <v>14822.23362034747</v>
      </c>
      <c r="O14" s="108">
        <f t="shared" si="2"/>
        <v>15192.789460856156</v>
      </c>
      <c r="P14" s="108">
        <f t="shared" si="3"/>
        <v>15572.60919737756</v>
      </c>
      <c r="Q14" s="108">
        <f t="shared" si="4"/>
        <v>15961.924427311998</v>
      </c>
      <c r="R14" s="92" t="s">
        <v>303</v>
      </c>
      <c r="S14" s="92">
        <v>11</v>
      </c>
      <c r="T14" s="92">
        <f t="shared" si="18"/>
        <v>0.11</v>
      </c>
      <c r="U14" s="108">
        <f t="shared" si="31"/>
        <v>16871.138588515256</v>
      </c>
      <c r="V14" s="108">
        <f t="shared" si="19"/>
        <v>17292.917053228142</v>
      </c>
      <c r="W14" s="108">
        <f t="shared" si="5"/>
        <v>17725.239979558835</v>
      </c>
      <c r="X14" s="108">
        <f t="shared" si="6"/>
        <v>18168.370979047813</v>
      </c>
      <c r="Y14" s="108">
        <f t="shared" si="7"/>
        <v>18622.580253524004</v>
      </c>
      <c r="Z14" s="108">
        <f t="shared" si="8"/>
        <v>19088.144759862105</v>
      </c>
      <c r="AA14" s="108">
        <f t="shared" si="9"/>
        <v>19565.348378858653</v>
      </c>
      <c r="AB14" s="108">
        <f t="shared" si="10"/>
        <v>20054.482088330125</v>
      </c>
      <c r="AC14" s="108">
        <f t="shared" si="11"/>
        <v>20555.844140538375</v>
      </c>
      <c r="AD14" s="108">
        <f t="shared" si="12"/>
        <v>21069.740244051831</v>
      </c>
      <c r="AE14" s="92" t="s">
        <v>303</v>
      </c>
      <c r="AF14" s="334">
        <f t="shared" si="20"/>
        <v>57361.871200951871</v>
      </c>
      <c r="AG14" s="334">
        <f t="shared" si="21"/>
        <v>58795.917980975682</v>
      </c>
      <c r="AH14" s="334">
        <f t="shared" si="22"/>
        <v>60265.815930500037</v>
      </c>
      <c r="AI14" s="334">
        <f t="shared" si="23"/>
        <v>61772.461328762562</v>
      </c>
      <c r="AJ14" s="334">
        <f t="shared" si="24"/>
        <v>63316.772861981612</v>
      </c>
      <c r="AK14" s="334">
        <f t="shared" si="25"/>
        <v>64899.692183531159</v>
      </c>
      <c r="AL14" s="334">
        <f t="shared" si="26"/>
        <v>66522.184488119412</v>
      </c>
      <c r="AM14" s="334">
        <f t="shared" si="27"/>
        <v>68185.239100322418</v>
      </c>
      <c r="AN14" s="334">
        <f t="shared" si="28"/>
        <v>69889.870077830477</v>
      </c>
      <c r="AO14" s="334">
        <f t="shared" si="29"/>
        <v>71637.11682977622</v>
      </c>
    </row>
    <row r="15" spans="2:41">
      <c r="B15" s="22" t="s">
        <v>288</v>
      </c>
      <c r="C15" s="212">
        <f>SUM(C16:C18)</f>
        <v>14941.519999999999</v>
      </c>
      <c r="D15" s="213"/>
      <c r="E15" s="214"/>
      <c r="G15" s="89" t="s">
        <v>304</v>
      </c>
      <c r="H15" s="108">
        <f t="shared" si="30"/>
        <v>12781.165597360043</v>
      </c>
      <c r="I15" s="108">
        <f t="shared" si="14"/>
        <v>13100.694737294043</v>
      </c>
      <c r="J15" s="108">
        <f t="shared" si="15"/>
        <v>13428.212105726394</v>
      </c>
      <c r="K15" s="108">
        <f t="shared" si="16"/>
        <v>13763.917408369554</v>
      </c>
      <c r="L15" s="108">
        <f t="shared" si="17"/>
        <v>14108.015343578792</v>
      </c>
      <c r="M15" s="108">
        <f t="shared" si="0"/>
        <v>14460.715727168263</v>
      </c>
      <c r="N15" s="108">
        <f t="shared" si="1"/>
        <v>14822.23362034747</v>
      </c>
      <c r="O15" s="108">
        <f t="shared" si="2"/>
        <v>15192.789460856156</v>
      </c>
      <c r="P15" s="108">
        <f t="shared" si="3"/>
        <v>15572.60919737756</v>
      </c>
      <c r="Q15" s="108">
        <f t="shared" si="4"/>
        <v>15961.924427311998</v>
      </c>
      <c r="R15" s="92" t="s">
        <v>304</v>
      </c>
      <c r="S15" s="92">
        <v>12</v>
      </c>
      <c r="T15" s="92">
        <f t="shared" si="18"/>
        <v>0.12</v>
      </c>
      <c r="U15" s="108">
        <f t="shared" si="31"/>
        <v>18404.878460198463</v>
      </c>
      <c r="V15" s="108">
        <f t="shared" si="19"/>
        <v>18865.000421703426</v>
      </c>
      <c r="W15" s="108">
        <f t="shared" si="5"/>
        <v>19336.625432246001</v>
      </c>
      <c r="X15" s="108">
        <f t="shared" si="6"/>
        <v>19820.041068052156</v>
      </c>
      <c r="Y15" s="108">
        <f t="shared" si="7"/>
        <v>20315.542094753459</v>
      </c>
      <c r="Z15" s="108">
        <f t="shared" si="8"/>
        <v>20823.430647122295</v>
      </c>
      <c r="AA15" s="108">
        <f t="shared" si="9"/>
        <v>21344.016413300349</v>
      </c>
      <c r="AB15" s="108">
        <f t="shared" si="10"/>
        <v>21877.616823632863</v>
      </c>
      <c r="AC15" s="108">
        <f t="shared" si="11"/>
        <v>22424.557244223681</v>
      </c>
      <c r="AD15" s="108">
        <f t="shared" si="12"/>
        <v>22985.171175329269</v>
      </c>
      <c r="AE15" s="92" t="s">
        <v>304</v>
      </c>
      <c r="AF15" s="334">
        <f t="shared" si="20"/>
        <v>62576.586764674772</v>
      </c>
      <c r="AG15" s="334">
        <f t="shared" si="21"/>
        <v>64141.001433791644</v>
      </c>
      <c r="AH15" s="334">
        <f t="shared" si="22"/>
        <v>65744.526469636403</v>
      </c>
      <c r="AI15" s="334">
        <f t="shared" si="23"/>
        <v>67388.139631377329</v>
      </c>
      <c r="AJ15" s="334">
        <f t="shared" si="24"/>
        <v>69072.84312216175</v>
      </c>
      <c r="AK15" s="334">
        <f t="shared" si="25"/>
        <v>70799.664200215804</v>
      </c>
      <c r="AL15" s="334">
        <f t="shared" si="26"/>
        <v>72569.655805221191</v>
      </c>
      <c r="AM15" s="334">
        <f t="shared" si="27"/>
        <v>74383.897200351726</v>
      </c>
      <c r="AN15" s="334">
        <f t="shared" si="28"/>
        <v>76243.49463036051</v>
      </c>
      <c r="AO15" s="334">
        <f t="shared" si="29"/>
        <v>78149.581996119508</v>
      </c>
    </row>
    <row r="16" spans="2:41">
      <c r="B16" s="107" t="s">
        <v>289</v>
      </c>
      <c r="C16" s="215">
        <f>'GASTOS PREOPERACIONALES'!C4</f>
        <v>1291</v>
      </c>
      <c r="D16" s="213"/>
      <c r="E16" s="214"/>
      <c r="G16" s="89" t="s">
        <v>305</v>
      </c>
      <c r="H16" s="108">
        <f t="shared" si="30"/>
        <v>12781.165597360043</v>
      </c>
      <c r="I16" s="108">
        <f t="shared" si="14"/>
        <v>13100.694737294043</v>
      </c>
      <c r="J16" s="108">
        <f t="shared" si="15"/>
        <v>13428.212105726394</v>
      </c>
      <c r="K16" s="108">
        <f t="shared" si="16"/>
        <v>13763.917408369554</v>
      </c>
      <c r="L16" s="108">
        <f t="shared" si="17"/>
        <v>14108.015343578792</v>
      </c>
      <c r="M16" s="108">
        <f t="shared" si="0"/>
        <v>14460.715727168263</v>
      </c>
      <c r="N16" s="108">
        <f t="shared" si="1"/>
        <v>14822.23362034747</v>
      </c>
      <c r="O16" s="108">
        <f t="shared" si="2"/>
        <v>15192.789460856156</v>
      </c>
      <c r="P16" s="108">
        <f t="shared" si="3"/>
        <v>15572.60919737756</v>
      </c>
      <c r="Q16" s="108">
        <f t="shared" si="4"/>
        <v>15961.924427311998</v>
      </c>
      <c r="R16" s="92" t="s">
        <v>305</v>
      </c>
      <c r="S16" s="92">
        <v>13</v>
      </c>
      <c r="T16" s="92">
        <f t="shared" si="18"/>
        <v>0.13</v>
      </c>
      <c r="U16" s="108">
        <f t="shared" si="31"/>
        <v>19938.618331881666</v>
      </c>
      <c r="V16" s="108">
        <f t="shared" si="19"/>
        <v>20437.083790178713</v>
      </c>
      <c r="W16" s="108">
        <f t="shared" si="5"/>
        <v>20948.010884933166</v>
      </c>
      <c r="X16" s="108">
        <f t="shared" si="6"/>
        <v>21471.711157056507</v>
      </c>
      <c r="Y16" s="108">
        <f t="shared" si="7"/>
        <v>22008.503935982917</v>
      </c>
      <c r="Z16" s="108">
        <f t="shared" si="8"/>
        <v>22558.716534382489</v>
      </c>
      <c r="AA16" s="108">
        <f t="shared" si="9"/>
        <v>23122.684447742045</v>
      </c>
      <c r="AB16" s="108">
        <f t="shared" si="10"/>
        <v>23700.751558935601</v>
      </c>
      <c r="AC16" s="108">
        <f t="shared" si="11"/>
        <v>24293.270347908991</v>
      </c>
      <c r="AD16" s="108">
        <f t="shared" si="12"/>
        <v>24900.602106606711</v>
      </c>
      <c r="AE16" s="92" t="s">
        <v>305</v>
      </c>
      <c r="AF16" s="334">
        <f t="shared" si="20"/>
        <v>67791.302328397665</v>
      </c>
      <c r="AG16" s="334">
        <f t="shared" si="21"/>
        <v>69486.084886607627</v>
      </c>
      <c r="AH16" s="334">
        <f t="shared" si="22"/>
        <v>71223.237008772761</v>
      </c>
      <c r="AI16" s="334">
        <f t="shared" si="23"/>
        <v>73003.817933992119</v>
      </c>
      <c r="AJ16" s="334">
        <f t="shared" si="24"/>
        <v>74828.913382341911</v>
      </c>
      <c r="AK16" s="334">
        <f t="shared" si="25"/>
        <v>76699.636216900457</v>
      </c>
      <c r="AL16" s="334">
        <f t="shared" si="26"/>
        <v>78617.127122322956</v>
      </c>
      <c r="AM16" s="334">
        <f t="shared" si="27"/>
        <v>80582.555300381035</v>
      </c>
      <c r="AN16" s="334">
        <f t="shared" si="28"/>
        <v>82597.119182890572</v>
      </c>
      <c r="AO16" s="334">
        <f t="shared" si="29"/>
        <v>84662.047162462812</v>
      </c>
    </row>
    <row r="17" spans="2:44">
      <c r="B17" s="107" t="s">
        <v>334</v>
      </c>
      <c r="C17" s="215">
        <f>'GASTOS PREOPERACIONALES'!D69</f>
        <v>350</v>
      </c>
      <c r="D17" s="213"/>
      <c r="E17" s="214"/>
      <c r="G17" s="89" t="s">
        <v>306</v>
      </c>
      <c r="H17" s="108">
        <f t="shared" si="30"/>
        <v>12781.165597360043</v>
      </c>
      <c r="I17" s="108">
        <f t="shared" si="14"/>
        <v>13100.694737294043</v>
      </c>
      <c r="J17" s="108">
        <f t="shared" si="15"/>
        <v>13428.212105726394</v>
      </c>
      <c r="K17" s="108">
        <f t="shared" si="16"/>
        <v>13763.917408369554</v>
      </c>
      <c r="L17" s="108">
        <f t="shared" si="17"/>
        <v>14108.015343578792</v>
      </c>
      <c r="M17" s="108">
        <f t="shared" si="0"/>
        <v>14460.715727168263</v>
      </c>
      <c r="N17" s="108">
        <f t="shared" si="1"/>
        <v>14822.23362034747</v>
      </c>
      <c r="O17" s="108">
        <f t="shared" si="2"/>
        <v>15192.789460856156</v>
      </c>
      <c r="P17" s="108">
        <f t="shared" si="3"/>
        <v>15572.60919737756</v>
      </c>
      <c r="Q17" s="108">
        <f t="shared" si="4"/>
        <v>15961.924427311998</v>
      </c>
      <c r="R17" s="92" t="s">
        <v>306</v>
      </c>
      <c r="S17" s="92">
        <v>13</v>
      </c>
      <c r="T17" s="92">
        <f t="shared" si="18"/>
        <v>0.13</v>
      </c>
      <c r="U17" s="108">
        <f t="shared" si="31"/>
        <v>19938.618331881666</v>
      </c>
      <c r="V17" s="108">
        <f t="shared" si="19"/>
        <v>20437.083790178713</v>
      </c>
      <c r="W17" s="108">
        <f t="shared" si="5"/>
        <v>20948.010884933166</v>
      </c>
      <c r="X17" s="108">
        <f t="shared" si="6"/>
        <v>21471.711157056507</v>
      </c>
      <c r="Y17" s="108">
        <f t="shared" si="7"/>
        <v>22008.503935982917</v>
      </c>
      <c r="Z17" s="108">
        <f t="shared" si="8"/>
        <v>22558.716534382489</v>
      </c>
      <c r="AA17" s="108">
        <f t="shared" si="9"/>
        <v>23122.684447742045</v>
      </c>
      <c r="AB17" s="108">
        <f t="shared" si="10"/>
        <v>23700.751558935601</v>
      </c>
      <c r="AC17" s="108">
        <f t="shared" si="11"/>
        <v>24293.270347908991</v>
      </c>
      <c r="AD17" s="108">
        <f t="shared" si="12"/>
        <v>24900.602106606711</v>
      </c>
      <c r="AE17" s="92" t="s">
        <v>306</v>
      </c>
      <c r="AF17" s="334">
        <f t="shared" si="20"/>
        <v>67791.302328397665</v>
      </c>
      <c r="AG17" s="334">
        <f t="shared" si="21"/>
        <v>69486.084886607627</v>
      </c>
      <c r="AH17" s="334">
        <f t="shared" si="22"/>
        <v>71223.237008772761</v>
      </c>
      <c r="AI17" s="334">
        <f t="shared" si="23"/>
        <v>73003.817933992119</v>
      </c>
      <c r="AJ17" s="334">
        <f t="shared" si="24"/>
        <v>74828.913382341911</v>
      </c>
      <c r="AK17" s="334">
        <f t="shared" si="25"/>
        <v>76699.636216900457</v>
      </c>
      <c r="AL17" s="334">
        <f t="shared" si="26"/>
        <v>78617.127122322956</v>
      </c>
      <c r="AM17" s="334">
        <f t="shared" si="27"/>
        <v>80582.555300381035</v>
      </c>
      <c r="AN17" s="334">
        <f t="shared" si="28"/>
        <v>82597.119182890572</v>
      </c>
      <c r="AO17" s="334">
        <f t="shared" si="29"/>
        <v>84662.047162462812</v>
      </c>
    </row>
    <row r="18" spans="2:44">
      <c r="B18" s="107" t="s">
        <v>290</v>
      </c>
      <c r="C18" s="215">
        <f>'GASTOS PREOPERACIONALES'!C5+'GASTOS PREOPERACIONALES'!C6</f>
        <v>13300.519999999999</v>
      </c>
      <c r="D18" s="213"/>
      <c r="E18" s="214"/>
      <c r="G18" s="89" t="s">
        <v>353</v>
      </c>
      <c r="H18" s="108">
        <f t="shared" ref="H18:Q18" si="32">SUM(H6:H17)</f>
        <v>153373.98716832051</v>
      </c>
      <c r="I18" s="108">
        <f t="shared" si="32"/>
        <v>157208.33684752855</v>
      </c>
      <c r="J18" s="108">
        <f t="shared" si="32"/>
        <v>161138.54526871667</v>
      </c>
      <c r="K18" s="108">
        <f t="shared" si="32"/>
        <v>165167.00890043465</v>
      </c>
      <c r="L18" s="108">
        <f t="shared" si="32"/>
        <v>169296.1841229455</v>
      </c>
      <c r="M18" s="108">
        <f t="shared" si="32"/>
        <v>173528.58872601914</v>
      </c>
      <c r="N18" s="108">
        <f t="shared" si="32"/>
        <v>177866.80344416958</v>
      </c>
      <c r="O18" s="108">
        <f t="shared" si="32"/>
        <v>182313.47353027386</v>
      </c>
      <c r="P18" s="108">
        <f t="shared" si="32"/>
        <v>186871.31036853069</v>
      </c>
      <c r="Q18" s="108">
        <f t="shared" si="32"/>
        <v>191543.09312774392</v>
      </c>
      <c r="R18" s="92" t="s">
        <v>429</v>
      </c>
      <c r="S18" s="334">
        <f>SUM(S6:S17)</f>
        <v>100</v>
      </c>
      <c r="T18" s="92">
        <f t="shared" si="18"/>
        <v>1</v>
      </c>
      <c r="U18" s="108">
        <f>SUM(U6:U17)</f>
        <v>153373.98716832054</v>
      </c>
      <c r="V18" s="108">
        <f t="shared" ref="V18:AD18" si="33">SUM(V6:V17)</f>
        <v>157208.33684752855</v>
      </c>
      <c r="W18" s="108">
        <f t="shared" si="33"/>
        <v>161138.54526871667</v>
      </c>
      <c r="X18" s="108">
        <f t="shared" si="33"/>
        <v>165167.00890043468</v>
      </c>
      <c r="Y18" s="108">
        <f t="shared" si="33"/>
        <v>169296.1841229455</v>
      </c>
      <c r="Z18" s="108">
        <f t="shared" si="33"/>
        <v>173528.58872601914</v>
      </c>
      <c r="AA18" s="108">
        <f t="shared" si="33"/>
        <v>177866.80344416958</v>
      </c>
      <c r="AB18" s="108">
        <f t="shared" si="33"/>
        <v>182313.47353027386</v>
      </c>
      <c r="AC18" s="108">
        <f t="shared" si="33"/>
        <v>186871.31036853066</v>
      </c>
      <c r="AD18" s="108">
        <f t="shared" si="33"/>
        <v>191543.09312774392</v>
      </c>
      <c r="AE18" s="92" t="s">
        <v>353</v>
      </c>
      <c r="AF18" s="334">
        <f>U18*$AG$1*$AG$2</f>
        <v>521471.55637228984</v>
      </c>
      <c r="AG18" s="334">
        <f t="shared" si="21"/>
        <v>534508.34528159711</v>
      </c>
      <c r="AH18" s="334">
        <f t="shared" si="22"/>
        <v>547871.05391363672</v>
      </c>
      <c r="AI18" s="334">
        <f t="shared" si="23"/>
        <v>561567.83026147785</v>
      </c>
      <c r="AJ18" s="334">
        <f t="shared" si="24"/>
        <v>575607.02601801464</v>
      </c>
      <c r="AK18" s="334">
        <f t="shared" si="25"/>
        <v>589997.20166846504</v>
      </c>
      <c r="AL18" s="334">
        <f t="shared" si="26"/>
        <v>604747.13171017659</v>
      </c>
      <c r="AM18" s="334">
        <f>SUM(AM6:AM17)</f>
        <v>619865.81000293104</v>
      </c>
      <c r="AN18" s="334">
        <f t="shared" si="28"/>
        <v>635362.45525300421</v>
      </c>
      <c r="AO18" s="334">
        <f t="shared" si="29"/>
        <v>651246.51663432934</v>
      </c>
      <c r="AP18" s="89" t="s">
        <v>505</v>
      </c>
      <c r="AQ18" s="108">
        <f>SUM(AF18:AO18)</f>
        <v>5842244.9271159228</v>
      </c>
      <c r="AR18" s="195">
        <v>5842245</v>
      </c>
    </row>
    <row r="19" spans="2:44">
      <c r="B19" s="110"/>
      <c r="C19" s="217"/>
      <c r="D19" s="218"/>
      <c r="E19" s="219"/>
      <c r="AF19" s="89">
        <v>260736</v>
      </c>
    </row>
    <row r="20" spans="2:44" ht="13.5" thickBot="1">
      <c r="B20" s="220" t="s">
        <v>291</v>
      </c>
      <c r="C20" s="221">
        <f>C6+C7+C15</f>
        <v>116455.23724041885</v>
      </c>
      <c r="D20" s="222"/>
      <c r="E20" s="223">
        <f>SUM(E5:E17)</f>
        <v>116455.23724041885</v>
      </c>
    </row>
    <row r="21" spans="2:44">
      <c r="B21" s="167"/>
      <c r="C21" s="224"/>
      <c r="D21" s="167"/>
      <c r="E21" s="167"/>
      <c r="G21" s="470" t="s">
        <v>464</v>
      </c>
      <c r="H21" s="470"/>
      <c r="I21" s="470"/>
      <c r="J21" s="470"/>
      <c r="K21" s="470"/>
      <c r="L21" s="470"/>
      <c r="M21" s="470"/>
      <c r="N21" s="470"/>
      <c r="O21" s="470"/>
      <c r="P21" s="470"/>
      <c r="Q21" s="470"/>
    </row>
    <row r="22" spans="2:44">
      <c r="B22" s="167" t="s">
        <v>292</v>
      </c>
      <c r="C22" s="224">
        <f>+C15+C7</f>
        <v>110489.14</v>
      </c>
      <c r="D22" s="167"/>
      <c r="E22" s="167"/>
      <c r="G22" s="235" t="s">
        <v>527</v>
      </c>
      <c r="H22" s="235" t="s">
        <v>343</v>
      </c>
      <c r="I22" s="235" t="s">
        <v>344</v>
      </c>
      <c r="J22" s="235" t="s">
        <v>355</v>
      </c>
      <c r="K22" s="235" t="s">
        <v>346</v>
      </c>
      <c r="L22" s="235" t="s">
        <v>347</v>
      </c>
      <c r="M22" s="235" t="s">
        <v>348</v>
      </c>
      <c r="N22" s="235" t="s">
        <v>349</v>
      </c>
      <c r="O22" s="235" t="s">
        <v>350</v>
      </c>
      <c r="P22" s="235" t="s">
        <v>351</v>
      </c>
      <c r="Q22" s="235" t="s">
        <v>352</v>
      </c>
      <c r="R22" s="111"/>
      <c r="S22" s="111"/>
    </row>
    <row r="23" spans="2:44">
      <c r="B23" s="167"/>
      <c r="C23" s="225"/>
      <c r="D23" s="167"/>
      <c r="E23" s="167"/>
      <c r="G23" s="236">
        <f>'COSTOS DE PRODUCCIÓN'!F4</f>
        <v>0.78312836276509079</v>
      </c>
      <c r="H23" s="237">
        <f>$G$23*AF18</f>
        <v>408379.1661703951</v>
      </c>
      <c r="I23" s="237">
        <f t="shared" ref="I23:Q23" si="34">$G$23*AG18</f>
        <v>418588.64532465499</v>
      </c>
      <c r="J23" s="237">
        <f t="shared" si="34"/>
        <v>429053.3614577711</v>
      </c>
      <c r="K23" s="237">
        <f t="shared" si="34"/>
        <v>439779.69549421553</v>
      </c>
      <c r="L23" s="237">
        <f t="shared" si="34"/>
        <v>450774.18788157083</v>
      </c>
      <c r="M23" s="237">
        <f t="shared" si="34"/>
        <v>462043.54257861013</v>
      </c>
      <c r="N23" s="237">
        <f t="shared" si="34"/>
        <v>473594.6311430753</v>
      </c>
      <c r="O23" s="237">
        <f t="shared" si="34"/>
        <v>485434.49692165223</v>
      </c>
      <c r="P23" s="237">
        <f t="shared" si="34"/>
        <v>497570.35934469342</v>
      </c>
      <c r="Q23" s="237">
        <f t="shared" si="34"/>
        <v>510009.61832831078</v>
      </c>
      <c r="R23" s="112"/>
    </row>
    <row r="25" spans="2:44">
      <c r="C25" s="113"/>
    </row>
    <row r="28" spans="2:44">
      <c r="C28" s="103" t="s">
        <v>295</v>
      </c>
      <c r="D28" s="89" t="s">
        <v>296</v>
      </c>
      <c r="E28" s="89" t="s">
        <v>297</v>
      </c>
      <c r="F28" s="89" t="s">
        <v>298</v>
      </c>
      <c r="G28" s="89" t="s">
        <v>299</v>
      </c>
      <c r="H28" s="89" t="s">
        <v>300</v>
      </c>
      <c r="I28" s="89" t="s">
        <v>301</v>
      </c>
      <c r="J28" s="89" t="s">
        <v>302</v>
      </c>
      <c r="K28" s="89" t="s">
        <v>303</v>
      </c>
      <c r="L28" s="89" t="s">
        <v>304</v>
      </c>
      <c r="M28" s="89" t="s">
        <v>305</v>
      </c>
      <c r="N28" s="89" t="s">
        <v>306</v>
      </c>
    </row>
    <row r="29" spans="2:44">
      <c r="B29" s="9" t="s">
        <v>332</v>
      </c>
      <c r="C29" s="114">
        <f>'COSTOS DE PRODUCCIÓN'!F4</f>
        <v>0.78312836276509079</v>
      </c>
      <c r="D29" s="93">
        <f>C29</f>
        <v>0.78312836276509079</v>
      </c>
      <c r="E29" s="93">
        <f t="shared" ref="E29:K29" si="35">D29</f>
        <v>0.78312836276509079</v>
      </c>
      <c r="F29" s="93">
        <f t="shared" si="35"/>
        <v>0.78312836276509079</v>
      </c>
      <c r="G29" s="93">
        <f t="shared" si="35"/>
        <v>0.78312836276509079</v>
      </c>
      <c r="H29" s="93">
        <f t="shared" si="35"/>
        <v>0.78312836276509079</v>
      </c>
      <c r="I29" s="93">
        <f t="shared" si="35"/>
        <v>0.78312836276509079</v>
      </c>
      <c r="J29" s="93">
        <f t="shared" si="35"/>
        <v>0.78312836276509079</v>
      </c>
      <c r="K29" s="93">
        <f t="shared" si="35"/>
        <v>0.78312836276509079</v>
      </c>
      <c r="L29" s="93">
        <f>K29</f>
        <v>0.78312836276509079</v>
      </c>
      <c r="M29" s="93">
        <f>L29</f>
        <v>0.78312836276509079</v>
      </c>
      <c r="N29" s="93">
        <f>M29</f>
        <v>0.78312836276509079</v>
      </c>
    </row>
    <row r="30" spans="2:44">
      <c r="B30" s="9" t="s">
        <v>426</v>
      </c>
      <c r="C30" s="115">
        <f>AF6</f>
        <v>15644.146691168693</v>
      </c>
      <c r="D30" s="108">
        <f>$AF7</f>
        <v>20858.862254891588</v>
      </c>
      <c r="E30" s="108">
        <f>$AF8</f>
        <v>26073.577818614489</v>
      </c>
      <c r="F30" s="108">
        <f>$AF9</f>
        <v>31288.293382337386</v>
      </c>
      <c r="G30" s="108">
        <f>$AF10</f>
        <v>36503.008946060283</v>
      </c>
      <c r="H30" s="108">
        <f>$AF11</f>
        <v>41717.724509783176</v>
      </c>
      <c r="I30" s="108">
        <f>$AF12</f>
        <v>41717.724509783176</v>
      </c>
      <c r="J30" s="108">
        <f>$AF13</f>
        <v>52147.155637228978</v>
      </c>
      <c r="K30" s="108">
        <f>$AF14</f>
        <v>57361.871200951871</v>
      </c>
      <c r="L30" s="108">
        <f>$AF15</f>
        <v>62576.586764674772</v>
      </c>
      <c r="M30" s="108">
        <f>$AF16</f>
        <v>67791.302328397665</v>
      </c>
      <c r="N30" s="108">
        <f>$AF17</f>
        <v>67791.302328397665</v>
      </c>
    </row>
    <row r="32" spans="2:44">
      <c r="B32" s="9" t="s">
        <v>307</v>
      </c>
      <c r="C32" s="103">
        <f>C29*C30</f>
        <v>12251.374985111852</v>
      </c>
      <c r="D32" s="89">
        <f t="shared" ref="D32:N32" si="36">D29*D30</f>
        <v>16335.1666468158</v>
      </c>
      <c r="E32" s="89">
        <f t="shared" si="36"/>
        <v>20418.958308519752</v>
      </c>
      <c r="F32" s="89">
        <f t="shared" si="36"/>
        <v>24502.749970223704</v>
      </c>
      <c r="G32" s="89">
        <f t="shared" si="36"/>
        <v>28586.541631927652</v>
      </c>
      <c r="H32" s="89">
        <f t="shared" si="36"/>
        <v>32670.3332936316</v>
      </c>
      <c r="I32" s="89">
        <f t="shared" si="36"/>
        <v>32670.3332936316</v>
      </c>
      <c r="J32" s="89">
        <f t="shared" si="36"/>
        <v>40837.916617039504</v>
      </c>
      <c r="K32" s="89">
        <f t="shared" si="36"/>
        <v>44921.708278743448</v>
      </c>
      <c r="L32" s="89">
        <f t="shared" si="36"/>
        <v>49005.499940447407</v>
      </c>
      <c r="M32" s="89">
        <f t="shared" si="36"/>
        <v>53089.291602151352</v>
      </c>
      <c r="N32" s="89">
        <f t="shared" si="36"/>
        <v>53089.291602151352</v>
      </c>
    </row>
    <row r="34" spans="2:15">
      <c r="N34" s="465"/>
      <c r="O34" s="465"/>
    </row>
    <row r="41" spans="2:15">
      <c r="B41" s="464" t="s">
        <v>308</v>
      </c>
      <c r="C41" s="464"/>
      <c r="D41" s="464"/>
      <c r="E41" s="464"/>
      <c r="F41" s="464"/>
      <c r="G41" s="464"/>
      <c r="H41" s="464"/>
      <c r="I41" s="464"/>
      <c r="J41" s="464"/>
      <c r="K41" s="464"/>
      <c r="L41" s="464"/>
      <c r="M41" s="464"/>
      <c r="N41" s="464"/>
      <c r="O41" s="464"/>
    </row>
    <row r="42" spans="2:15" ht="13.5" thickBot="1">
      <c r="B42" s="116"/>
      <c r="C42" s="117"/>
      <c r="D42" s="116"/>
      <c r="E42" s="116"/>
      <c r="F42" s="116"/>
      <c r="G42" s="116"/>
      <c r="H42" s="116"/>
      <c r="I42" s="116"/>
      <c r="J42" s="116"/>
      <c r="K42" s="116"/>
      <c r="L42" s="116"/>
      <c r="M42" s="116"/>
      <c r="N42" s="116"/>
      <c r="O42" s="116"/>
    </row>
    <row r="43" spans="2:15" ht="13.5" thickTop="1">
      <c r="B43" s="118" t="s">
        <v>169</v>
      </c>
      <c r="C43" s="119" t="s">
        <v>309</v>
      </c>
      <c r="D43" s="120" t="s">
        <v>310</v>
      </c>
      <c r="E43" s="120" t="s">
        <v>311</v>
      </c>
      <c r="F43" s="120" t="s">
        <v>312</v>
      </c>
      <c r="G43" s="120" t="s">
        <v>313</v>
      </c>
      <c r="H43" s="120" t="s">
        <v>314</v>
      </c>
      <c r="I43" s="120" t="s">
        <v>315</v>
      </c>
      <c r="J43" s="120" t="s">
        <v>316</v>
      </c>
      <c r="K43" s="120" t="s">
        <v>317</v>
      </c>
      <c r="L43" s="120" t="s">
        <v>318</v>
      </c>
      <c r="M43" s="120" t="s">
        <v>319</v>
      </c>
      <c r="N43" s="121" t="s">
        <v>320</v>
      </c>
      <c r="O43" s="116"/>
    </row>
    <row r="44" spans="2:15">
      <c r="B44" s="122" t="s">
        <v>321</v>
      </c>
      <c r="C44" s="123">
        <f>C32</f>
        <v>12251.374985111852</v>
      </c>
      <c r="D44" s="124">
        <f t="shared" ref="D44:K44" si="37">D32</f>
        <v>16335.1666468158</v>
      </c>
      <c r="E44" s="124">
        <f t="shared" si="37"/>
        <v>20418.958308519752</v>
      </c>
      <c r="F44" s="124">
        <f t="shared" si="37"/>
        <v>24502.749970223704</v>
      </c>
      <c r="G44" s="124">
        <f t="shared" si="37"/>
        <v>28586.541631927652</v>
      </c>
      <c r="H44" s="124">
        <f t="shared" si="37"/>
        <v>32670.3332936316</v>
      </c>
      <c r="I44" s="124">
        <f t="shared" si="37"/>
        <v>32670.3332936316</v>
      </c>
      <c r="J44" s="124">
        <f t="shared" si="37"/>
        <v>40837.916617039504</v>
      </c>
      <c r="K44" s="124">
        <f t="shared" si="37"/>
        <v>44921.708278743448</v>
      </c>
      <c r="L44" s="124">
        <f>L32</f>
        <v>49005.499940447407</v>
      </c>
      <c r="M44" s="124">
        <f>M32</f>
        <v>53089.291602151352</v>
      </c>
      <c r="N44" s="124">
        <f>N32</f>
        <v>53089.291602151352</v>
      </c>
      <c r="O44" s="116"/>
    </row>
    <row r="45" spans="2:15">
      <c r="B45" s="122" t="s">
        <v>261</v>
      </c>
      <c r="C45" s="123"/>
      <c r="D45" s="124"/>
      <c r="E45" s="124"/>
      <c r="F45" s="124"/>
      <c r="G45" s="124"/>
      <c r="H45" s="124"/>
      <c r="I45" s="124"/>
      <c r="J45" s="124"/>
      <c r="K45" s="124"/>
      <c r="L45" s="124"/>
      <c r="M45" s="124"/>
      <c r="N45" s="125"/>
      <c r="O45" s="116"/>
    </row>
    <row r="46" spans="2:15">
      <c r="B46" s="126" t="s">
        <v>322</v>
      </c>
      <c r="C46" s="123">
        <f>'SUELDOS Y SALARIOS'!D33</f>
        <v>1500</v>
      </c>
      <c r="D46" s="124">
        <f>C46</f>
        <v>1500</v>
      </c>
      <c r="E46" s="124">
        <f t="shared" ref="E46:K46" si="38">D46</f>
        <v>1500</v>
      </c>
      <c r="F46" s="124">
        <f t="shared" si="38"/>
        <v>1500</v>
      </c>
      <c r="G46" s="124">
        <f t="shared" si="38"/>
        <v>1500</v>
      </c>
      <c r="H46" s="124">
        <f t="shared" si="38"/>
        <v>1500</v>
      </c>
      <c r="I46" s="124">
        <f t="shared" si="38"/>
        <v>1500</v>
      </c>
      <c r="J46" s="124">
        <f t="shared" si="38"/>
        <v>1500</v>
      </c>
      <c r="K46" s="124">
        <f t="shared" si="38"/>
        <v>1500</v>
      </c>
      <c r="L46" s="124">
        <f t="shared" ref="L46:N47" si="39">K46</f>
        <v>1500</v>
      </c>
      <c r="M46" s="124">
        <f t="shared" si="39"/>
        <v>1500</v>
      </c>
      <c r="N46" s="125">
        <f t="shared" si="39"/>
        <v>1500</v>
      </c>
      <c r="O46" s="116"/>
    </row>
    <row r="47" spans="2:15">
      <c r="B47" s="126" t="s">
        <v>323</v>
      </c>
      <c r="C47" s="127">
        <f>'SUELDOS Y SALARIOS'!D41+'SUELDOS Y SALARIOS'!D23+'SUELDOS Y SALARIOS'!D16</f>
        <v>3060</v>
      </c>
      <c r="D47" s="124">
        <f>C47</f>
        <v>3060</v>
      </c>
      <c r="E47" s="124">
        <f t="shared" ref="E47:K47" si="40">D47</f>
        <v>3060</v>
      </c>
      <c r="F47" s="124">
        <f t="shared" si="40"/>
        <v>3060</v>
      </c>
      <c r="G47" s="124">
        <f t="shared" si="40"/>
        <v>3060</v>
      </c>
      <c r="H47" s="124">
        <f t="shared" si="40"/>
        <v>3060</v>
      </c>
      <c r="I47" s="124">
        <f t="shared" si="40"/>
        <v>3060</v>
      </c>
      <c r="J47" s="124">
        <f t="shared" si="40"/>
        <v>3060</v>
      </c>
      <c r="K47" s="124">
        <f t="shared" si="40"/>
        <v>3060</v>
      </c>
      <c r="L47" s="124">
        <f t="shared" si="39"/>
        <v>3060</v>
      </c>
      <c r="M47" s="124">
        <f t="shared" si="39"/>
        <v>3060</v>
      </c>
      <c r="N47" s="125">
        <f t="shared" si="39"/>
        <v>3060</v>
      </c>
      <c r="O47" s="116"/>
    </row>
    <row r="48" spans="2:15">
      <c r="B48" s="126" t="s">
        <v>324</v>
      </c>
      <c r="C48" s="123">
        <f>'COSTOS DE PRODUCCIÓN'!E60*C30</f>
        <v>4033.1685518610343</v>
      </c>
      <c r="D48" s="123">
        <f>'COSTOS DE PRODUCCIÓN'!E60*D30</f>
        <v>5377.5580691480445</v>
      </c>
      <c r="E48" s="123">
        <f>'COSTOS DE PRODUCCIÓN'!E60*E30</f>
        <v>6721.947586435057</v>
      </c>
      <c r="F48" s="123">
        <f>'COSTOS DE PRODUCCIÓN'!E60*F30</f>
        <v>8066.3371037220686</v>
      </c>
      <c r="G48" s="123">
        <f>'COSTOS DE PRODUCCIÓN'!E60*G30</f>
        <v>9410.7266210090802</v>
      </c>
      <c r="H48" s="123">
        <f>'COSTOS DE PRODUCCIÓN'!E60*H30</f>
        <v>10755.116138296089</v>
      </c>
      <c r="I48" s="123">
        <f>'COSTOS DE PRODUCCIÓN'!E60*I30</f>
        <v>10755.116138296089</v>
      </c>
      <c r="J48" s="123">
        <f>'COSTOS DE PRODUCCIÓN'!E60*J30</f>
        <v>13443.895172870114</v>
      </c>
      <c r="K48" s="123">
        <f>'COSTOS DE PRODUCCIÓN'!E60*K30</f>
        <v>14788.284690157125</v>
      </c>
      <c r="L48" s="123">
        <f>'COSTOS DE PRODUCCIÓN'!E60*L30</f>
        <v>16132.674207444137</v>
      </c>
      <c r="M48" s="123">
        <f>'COSTOS DE PRODUCCIÓN'!E60*M30</f>
        <v>17477.063724731146</v>
      </c>
      <c r="N48" s="123">
        <f>'COSTOS DE PRODUCCIÓN'!E60*N30</f>
        <v>17477.063724731146</v>
      </c>
      <c r="O48" s="116"/>
    </row>
    <row r="49" spans="2:15">
      <c r="B49" s="128" t="s">
        <v>325</v>
      </c>
      <c r="C49" s="123">
        <f>'COSTOS DE PRODUCCIÓN'!C137*C30</f>
        <v>4474.7307433555297</v>
      </c>
      <c r="D49" s="123">
        <f>'COSTOS DE PRODUCCIÓN'!C137*D30</f>
        <v>5966.3076578073715</v>
      </c>
      <c r="E49" s="123">
        <f>'COSTOS DE PRODUCCIÓN'!C137*E30</f>
        <v>7457.8845722592159</v>
      </c>
      <c r="F49" s="123">
        <f>'COSTOS DE PRODUCCIÓN'!C137*F30</f>
        <v>8949.4614867110595</v>
      </c>
      <c r="G49" s="123">
        <f>'COSTOS DE PRODUCCIÓN'!C137*G30</f>
        <v>10441.038401162901</v>
      </c>
      <c r="H49" s="123">
        <f>'COSTOS DE PRODUCCIÓN'!C137*H30</f>
        <v>11932.615315614743</v>
      </c>
      <c r="I49" s="123">
        <f>'COSTOS DE PRODUCCIÓN'!C137*I30</f>
        <v>11932.615315614743</v>
      </c>
      <c r="J49" s="123">
        <f>'COSTOS DE PRODUCCIÓN'!C137*J30</f>
        <v>14915.769144518432</v>
      </c>
      <c r="K49" s="123">
        <f>'COSTOS DE PRODUCCIÓN'!C137*K30</f>
        <v>16407.346058970274</v>
      </c>
      <c r="L49" s="123">
        <f>'COSTOS DE PRODUCCIÓN'!C137*L30</f>
        <v>17898.922973422119</v>
      </c>
      <c r="M49" s="123">
        <f>'COSTOS DE PRODUCCIÓN'!C137*M30</f>
        <v>19390.499887873961</v>
      </c>
      <c r="N49" s="123">
        <f>'COSTOS DE PRODUCCIÓN'!C137*N30</f>
        <v>19390.499887873961</v>
      </c>
      <c r="O49" s="116"/>
    </row>
    <row r="50" spans="2:15">
      <c r="B50" s="126" t="s">
        <v>326</v>
      </c>
      <c r="C50" s="127">
        <f>'SUELDOS Y SALARIOS'!D16+'MAQUINARIA,EQUIPO,SUMINISTR Y S'!B84</f>
        <v>956</v>
      </c>
      <c r="D50" s="124">
        <f>C50</f>
        <v>956</v>
      </c>
      <c r="E50" s="124">
        <f t="shared" ref="E50:K50" si="41">D50</f>
        <v>956</v>
      </c>
      <c r="F50" s="124">
        <f t="shared" si="41"/>
        <v>956</v>
      </c>
      <c r="G50" s="124">
        <f t="shared" si="41"/>
        <v>956</v>
      </c>
      <c r="H50" s="124">
        <f t="shared" si="41"/>
        <v>956</v>
      </c>
      <c r="I50" s="124">
        <f t="shared" si="41"/>
        <v>956</v>
      </c>
      <c r="J50" s="124">
        <f t="shared" si="41"/>
        <v>956</v>
      </c>
      <c r="K50" s="124">
        <f t="shared" si="41"/>
        <v>956</v>
      </c>
      <c r="L50" s="124">
        <f t="shared" ref="L50:N51" si="42">K50</f>
        <v>956</v>
      </c>
      <c r="M50" s="124">
        <f t="shared" si="42"/>
        <v>956</v>
      </c>
      <c r="N50" s="125">
        <f t="shared" si="42"/>
        <v>956</v>
      </c>
      <c r="O50" s="116"/>
    </row>
    <row r="51" spans="2:15">
      <c r="B51" s="126" t="s">
        <v>327</v>
      </c>
      <c r="C51" s="123">
        <f>'MAQUINARIA,EQUIPO,SUMINISTR Y S'!F47</f>
        <v>1464</v>
      </c>
      <c r="D51" s="124">
        <f>C51</f>
        <v>1464</v>
      </c>
      <c r="E51" s="124">
        <f t="shared" ref="E51:K51" si="43">D51</f>
        <v>1464</v>
      </c>
      <c r="F51" s="124">
        <f t="shared" si="43"/>
        <v>1464</v>
      </c>
      <c r="G51" s="124">
        <f t="shared" si="43"/>
        <v>1464</v>
      </c>
      <c r="H51" s="124">
        <f t="shared" si="43"/>
        <v>1464</v>
      </c>
      <c r="I51" s="124">
        <f t="shared" si="43"/>
        <v>1464</v>
      </c>
      <c r="J51" s="124">
        <f t="shared" si="43"/>
        <v>1464</v>
      </c>
      <c r="K51" s="124">
        <f t="shared" si="43"/>
        <v>1464</v>
      </c>
      <c r="L51" s="124">
        <f t="shared" si="42"/>
        <v>1464</v>
      </c>
      <c r="M51" s="124">
        <f t="shared" si="42"/>
        <v>1464</v>
      </c>
      <c r="N51" s="125">
        <f t="shared" si="42"/>
        <v>1464</v>
      </c>
      <c r="O51" s="116"/>
    </row>
    <row r="52" spans="2:15" ht="13.5" thickBot="1">
      <c r="B52" s="129" t="s">
        <v>328</v>
      </c>
      <c r="C52" s="130">
        <f>SUM(C46:C51)</f>
        <v>15487.899295216564</v>
      </c>
      <c r="D52" s="131">
        <f>SUM(D46:D51)</f>
        <v>18323.865726955417</v>
      </c>
      <c r="E52" s="131">
        <f t="shared" ref="E52:K52" si="44">SUM(E46:E51)</f>
        <v>21159.832158694273</v>
      </c>
      <c r="F52" s="131">
        <f t="shared" si="44"/>
        <v>23995.798590433129</v>
      </c>
      <c r="G52" s="131">
        <f t="shared" si="44"/>
        <v>26831.765022171981</v>
      </c>
      <c r="H52" s="131">
        <f t="shared" si="44"/>
        <v>29667.731453910834</v>
      </c>
      <c r="I52" s="131">
        <f t="shared" si="44"/>
        <v>29667.731453910834</v>
      </c>
      <c r="J52" s="131">
        <f t="shared" si="44"/>
        <v>35339.664317388546</v>
      </c>
      <c r="K52" s="131">
        <f t="shared" si="44"/>
        <v>38175.630749127398</v>
      </c>
      <c r="L52" s="131">
        <f>SUM(L46:L51)</f>
        <v>41011.597180866258</v>
      </c>
      <c r="M52" s="131">
        <f>SUM(M46:M51)</f>
        <v>43847.56361260511</v>
      </c>
      <c r="N52" s="132">
        <f>SUM(N46:N51)</f>
        <v>43847.56361260511</v>
      </c>
      <c r="O52" s="116"/>
    </row>
    <row r="53" spans="2:15" ht="13.5" thickTop="1">
      <c r="B53" s="116"/>
      <c r="C53" s="133"/>
      <c r="D53" s="134"/>
      <c r="E53" s="134"/>
      <c r="F53" s="134"/>
      <c r="G53" s="134"/>
      <c r="H53" s="134"/>
      <c r="I53" s="134"/>
      <c r="J53" s="134"/>
      <c r="K53" s="134"/>
      <c r="L53" s="134"/>
      <c r="M53" s="134"/>
      <c r="N53" s="134"/>
      <c r="O53" s="116"/>
    </row>
    <row r="54" spans="2:15">
      <c r="B54" s="116" t="s">
        <v>57</v>
      </c>
      <c r="C54" s="123" t="str">
        <f t="shared" ref="C54:N54" si="45">C43</f>
        <v>MES 1</v>
      </c>
      <c r="D54" s="124" t="str">
        <f t="shared" si="45"/>
        <v>MES 2</v>
      </c>
      <c r="E54" s="124" t="str">
        <f t="shared" si="45"/>
        <v>MES 3</v>
      </c>
      <c r="F54" s="124" t="str">
        <f t="shared" si="45"/>
        <v>MES 4</v>
      </c>
      <c r="G54" s="124" t="str">
        <f t="shared" si="45"/>
        <v>MES 5</v>
      </c>
      <c r="H54" s="124" t="str">
        <f t="shared" si="45"/>
        <v>MES 6</v>
      </c>
      <c r="I54" s="124" t="str">
        <f t="shared" si="45"/>
        <v>MES 7</v>
      </c>
      <c r="J54" s="124" t="str">
        <f t="shared" si="45"/>
        <v>MES 8</v>
      </c>
      <c r="K54" s="124" t="str">
        <f t="shared" si="45"/>
        <v>MES 9</v>
      </c>
      <c r="L54" s="124" t="str">
        <f t="shared" si="45"/>
        <v>MES 10</v>
      </c>
      <c r="M54" s="124" t="str">
        <f t="shared" si="45"/>
        <v>MES 11</v>
      </c>
      <c r="N54" s="124" t="str">
        <f t="shared" si="45"/>
        <v>MES 12</v>
      </c>
      <c r="O54" s="116"/>
    </row>
    <row r="55" spans="2:15">
      <c r="B55" s="14" t="s">
        <v>329</v>
      </c>
      <c r="C55" s="133">
        <f>C44</f>
        <v>12251.374985111852</v>
      </c>
      <c r="D55" s="134">
        <f t="shared" ref="D55:K55" si="46">D44</f>
        <v>16335.1666468158</v>
      </c>
      <c r="E55" s="134">
        <f t="shared" si="46"/>
        <v>20418.958308519752</v>
      </c>
      <c r="F55" s="134">
        <f t="shared" si="46"/>
        <v>24502.749970223704</v>
      </c>
      <c r="G55" s="134">
        <f t="shared" si="46"/>
        <v>28586.541631927652</v>
      </c>
      <c r="H55" s="134">
        <f t="shared" si="46"/>
        <v>32670.3332936316</v>
      </c>
      <c r="I55" s="134">
        <f t="shared" si="46"/>
        <v>32670.3332936316</v>
      </c>
      <c r="J55" s="134">
        <f t="shared" si="46"/>
        <v>40837.916617039504</v>
      </c>
      <c r="K55" s="134">
        <f t="shared" si="46"/>
        <v>44921.708278743448</v>
      </c>
      <c r="L55" s="134">
        <f>L44</f>
        <v>49005.499940447407</v>
      </c>
      <c r="M55" s="134">
        <f>M44</f>
        <v>53089.291602151352</v>
      </c>
      <c r="N55" s="134">
        <f>N44</f>
        <v>53089.291602151352</v>
      </c>
      <c r="O55" s="116"/>
    </row>
    <row r="56" spans="2:15" ht="13.5" thickBot="1">
      <c r="B56" s="14" t="s">
        <v>328</v>
      </c>
      <c r="C56" s="130">
        <f>C52</f>
        <v>15487.899295216564</v>
      </c>
      <c r="D56" s="131">
        <f t="shared" ref="D56:K56" si="47">D52</f>
        <v>18323.865726955417</v>
      </c>
      <c r="E56" s="131">
        <f t="shared" si="47"/>
        <v>21159.832158694273</v>
      </c>
      <c r="F56" s="131">
        <f t="shared" si="47"/>
        <v>23995.798590433129</v>
      </c>
      <c r="G56" s="131">
        <f t="shared" si="47"/>
        <v>26831.765022171981</v>
      </c>
      <c r="H56" s="131">
        <f t="shared" si="47"/>
        <v>29667.731453910834</v>
      </c>
      <c r="I56" s="131">
        <f t="shared" si="47"/>
        <v>29667.731453910834</v>
      </c>
      <c r="J56" s="131">
        <f t="shared" si="47"/>
        <v>35339.664317388546</v>
      </c>
      <c r="K56" s="131">
        <f t="shared" si="47"/>
        <v>38175.630749127398</v>
      </c>
      <c r="L56" s="131">
        <f>L52</f>
        <v>41011.597180866258</v>
      </c>
      <c r="M56" s="131">
        <f>M52</f>
        <v>43847.56361260511</v>
      </c>
      <c r="N56" s="131">
        <f>N52</f>
        <v>43847.56361260511</v>
      </c>
      <c r="O56" s="116"/>
    </row>
    <row r="57" spans="2:15" ht="13.5" thickTop="1">
      <c r="B57" s="14" t="s">
        <v>330</v>
      </c>
      <c r="C57" s="123">
        <f>+C55-C56</f>
        <v>-3236.5243101047126</v>
      </c>
      <c r="D57" s="124">
        <f>+D55-D56</f>
        <v>-1988.6990801396169</v>
      </c>
      <c r="E57" s="124">
        <f>+E55-E56</f>
        <v>-740.87385017452107</v>
      </c>
      <c r="F57" s="124">
        <f t="shared" ref="F57:K57" si="48">+F55-F56</f>
        <v>506.95137979057472</v>
      </c>
      <c r="G57" s="124">
        <f t="shared" si="48"/>
        <v>1754.7766097556705</v>
      </c>
      <c r="H57" s="124">
        <f t="shared" si="48"/>
        <v>3002.6018397207663</v>
      </c>
      <c r="I57" s="124">
        <f t="shared" si="48"/>
        <v>3002.6018397207663</v>
      </c>
      <c r="J57" s="124">
        <f t="shared" si="48"/>
        <v>5498.2522996509579</v>
      </c>
      <c r="K57" s="124">
        <f t="shared" si="48"/>
        <v>6746.07752961605</v>
      </c>
      <c r="L57" s="124">
        <f>+L55-L56</f>
        <v>7993.9027595811494</v>
      </c>
      <c r="M57" s="124">
        <f>+M55-M56</f>
        <v>9241.7279895462416</v>
      </c>
      <c r="N57" s="124">
        <f>+N55-N56</f>
        <v>9241.7279895462416</v>
      </c>
      <c r="O57" s="116"/>
    </row>
    <row r="58" spans="2:15">
      <c r="B58" s="14" t="s">
        <v>331</v>
      </c>
      <c r="C58" s="135">
        <f>+C57</f>
        <v>-3236.5243101047126</v>
      </c>
      <c r="D58" s="124">
        <f t="shared" ref="D58:N58" si="49">+D57+C58</f>
        <v>-5225.2233902443295</v>
      </c>
      <c r="E58" s="124">
        <f t="shared" si="49"/>
        <v>-5966.0972404188506</v>
      </c>
      <c r="F58" s="136">
        <f t="shared" si="49"/>
        <v>-5459.1458606282758</v>
      </c>
      <c r="G58" s="124">
        <f t="shared" si="49"/>
        <v>-3704.3692508726053</v>
      </c>
      <c r="H58" s="124">
        <f t="shared" si="49"/>
        <v>-701.76741115183904</v>
      </c>
      <c r="I58" s="137">
        <f t="shared" si="49"/>
        <v>2300.8344285689273</v>
      </c>
      <c r="J58" s="124">
        <f t="shared" si="49"/>
        <v>7799.0867282198851</v>
      </c>
      <c r="K58" s="124">
        <f t="shared" si="49"/>
        <v>14545.164257835935</v>
      </c>
      <c r="L58" s="124">
        <f t="shared" si="49"/>
        <v>22539.067017417085</v>
      </c>
      <c r="M58" s="124">
        <f t="shared" si="49"/>
        <v>31780.795006963326</v>
      </c>
      <c r="N58" s="138">
        <f t="shared" si="49"/>
        <v>41022.522996509564</v>
      </c>
      <c r="O58" s="116"/>
    </row>
    <row r="59" spans="2:15">
      <c r="B59" s="116"/>
      <c r="C59" s="117"/>
      <c r="D59" s="116"/>
      <c r="E59" s="116"/>
      <c r="F59" s="116"/>
      <c r="G59" s="116"/>
      <c r="H59" s="116"/>
      <c r="I59" s="116"/>
      <c r="J59" s="116"/>
      <c r="K59" s="116"/>
      <c r="L59" s="116"/>
      <c r="M59" s="116"/>
      <c r="N59" s="116"/>
      <c r="O59" s="116"/>
    </row>
    <row r="60" spans="2:15">
      <c r="B60" s="139" t="s">
        <v>363</v>
      </c>
      <c r="C60" s="140">
        <f>MIN(C58:N58)</f>
        <v>-5966.0972404188506</v>
      </c>
      <c r="D60" s="116"/>
      <c r="E60" s="116"/>
      <c r="F60" s="116"/>
      <c r="G60" s="116"/>
      <c r="H60" s="116"/>
      <c r="I60" s="116"/>
      <c r="J60" s="116"/>
      <c r="K60" s="116"/>
      <c r="L60" s="116"/>
      <c r="M60" s="116"/>
      <c r="N60" s="116"/>
      <c r="O60" s="116"/>
    </row>
  </sheetData>
  <mergeCells count="6">
    <mergeCell ref="B41:O41"/>
    <mergeCell ref="N34:O34"/>
    <mergeCell ref="B3:E3"/>
    <mergeCell ref="S4:T4"/>
    <mergeCell ref="S5:T5"/>
    <mergeCell ref="G21:Q21"/>
  </mergeCells>
  <phoneticPr fontId="23" type="noConversion"/>
  <pageMargins left="0.7" right="0.7" top="0.75" bottom="0.75" header="0.3" footer="0.3"/>
  <pageSetup orientation="portrait" horizontalDpi="300" verticalDpi="0" r:id="rId1"/>
</worksheet>
</file>

<file path=xl/worksheets/sheet8.xml><?xml version="1.0" encoding="utf-8"?>
<worksheet xmlns="http://schemas.openxmlformats.org/spreadsheetml/2006/main" xmlns:r="http://schemas.openxmlformats.org/officeDocument/2006/relationships">
  <dimension ref="B1:J69"/>
  <sheetViews>
    <sheetView workbookViewId="0">
      <selection activeCell="D17" sqref="D17"/>
    </sheetView>
  </sheetViews>
  <sheetFormatPr baseColWidth="10" defaultRowHeight="12.75"/>
  <cols>
    <col min="1" max="1" width="11.42578125" style="89"/>
    <col min="2" max="2" width="33.7109375" style="89" customWidth="1"/>
    <col min="3" max="3" width="12" style="89" bestFit="1" customWidth="1"/>
    <col min="4" max="16384" width="11.42578125" style="89"/>
  </cols>
  <sheetData>
    <row r="1" spans="2:5">
      <c r="B1" s="91" t="s">
        <v>369</v>
      </c>
    </row>
    <row r="2" spans="2:5" ht="13.5" thickBot="1">
      <c r="B2" s="89" t="s">
        <v>545</v>
      </c>
    </row>
    <row r="3" spans="2:5">
      <c r="B3" s="141" t="s">
        <v>57</v>
      </c>
      <c r="C3" s="142" t="s">
        <v>23</v>
      </c>
    </row>
    <row r="4" spans="2:5">
      <c r="B4" s="143" t="s">
        <v>228</v>
      </c>
      <c r="C4" s="144">
        <f>D25</f>
        <v>1291</v>
      </c>
    </row>
    <row r="5" spans="2:5">
      <c r="B5" s="143" t="s">
        <v>229</v>
      </c>
      <c r="C5" s="144">
        <f>D48</f>
        <v>816.9</v>
      </c>
    </row>
    <row r="6" spans="2:5">
      <c r="B6" s="143" t="s">
        <v>230</v>
      </c>
      <c r="C6" s="144">
        <f>D63</f>
        <v>12483.619999999999</v>
      </c>
    </row>
    <row r="7" spans="2:5">
      <c r="B7" s="143" t="s">
        <v>227</v>
      </c>
      <c r="C7" s="144">
        <f>D69</f>
        <v>350</v>
      </c>
    </row>
    <row r="8" spans="2:5" ht="13.5" thickBot="1">
      <c r="B8" s="145" t="s">
        <v>546</v>
      </c>
      <c r="C8" s="146">
        <f>SUM(C4:C7)</f>
        <v>14941.519999999999</v>
      </c>
    </row>
    <row r="9" spans="2:5">
      <c r="B9" s="167"/>
    </row>
    <row r="12" spans="2:5">
      <c r="B12" s="91" t="s">
        <v>48</v>
      </c>
    </row>
    <row r="13" spans="2:5" ht="13.5" thickBot="1">
      <c r="B13" s="91" t="s">
        <v>49</v>
      </c>
    </row>
    <row r="14" spans="2:5">
      <c r="B14" s="141" t="s">
        <v>57</v>
      </c>
      <c r="C14" s="147" t="s">
        <v>7</v>
      </c>
      <c r="D14" s="142" t="s">
        <v>58</v>
      </c>
    </row>
    <row r="15" spans="2:5">
      <c r="B15" s="143" t="s">
        <v>44</v>
      </c>
      <c r="C15" s="148">
        <v>1</v>
      </c>
      <c r="D15" s="149">
        <v>650</v>
      </c>
      <c r="E15" s="111"/>
    </row>
    <row r="16" spans="2:5">
      <c r="B16" s="143" t="s">
        <v>45</v>
      </c>
      <c r="C16" s="148">
        <v>1</v>
      </c>
      <c r="D16" s="149">
        <v>450</v>
      </c>
      <c r="E16" s="111"/>
    </row>
    <row r="17" spans="2:5">
      <c r="B17" s="150" t="s">
        <v>46</v>
      </c>
      <c r="C17" s="151">
        <v>1</v>
      </c>
      <c r="D17" s="152">
        <v>70</v>
      </c>
      <c r="E17" s="111"/>
    </row>
    <row r="18" spans="2:5">
      <c r="B18" s="153" t="s">
        <v>47</v>
      </c>
      <c r="C18" s="154"/>
      <c r="D18" s="155"/>
      <c r="E18" s="111"/>
    </row>
    <row r="19" spans="2:5">
      <c r="B19" s="150" t="s">
        <v>50</v>
      </c>
      <c r="C19" s="151">
        <v>1</v>
      </c>
      <c r="D19" s="152">
        <v>60</v>
      </c>
      <c r="E19" s="111"/>
    </row>
    <row r="20" spans="2:5">
      <c r="B20" s="153" t="s">
        <v>51</v>
      </c>
      <c r="C20" s="154"/>
      <c r="D20" s="155"/>
      <c r="E20" s="111"/>
    </row>
    <row r="21" spans="2:5">
      <c r="B21" s="150" t="s">
        <v>52</v>
      </c>
      <c r="C21" s="151">
        <v>1</v>
      </c>
      <c r="D21" s="152">
        <v>45</v>
      </c>
      <c r="E21" s="111"/>
    </row>
    <row r="22" spans="2:5">
      <c r="B22" s="153" t="s">
        <v>53</v>
      </c>
      <c r="C22" s="154"/>
      <c r="D22" s="155"/>
      <c r="E22" s="111"/>
    </row>
    <row r="23" spans="2:5">
      <c r="B23" s="150" t="s">
        <v>54</v>
      </c>
      <c r="C23" s="151">
        <v>2</v>
      </c>
      <c r="D23" s="152">
        <v>16</v>
      </c>
      <c r="E23" s="111"/>
    </row>
    <row r="24" spans="2:5">
      <c r="B24" s="153" t="s">
        <v>55</v>
      </c>
      <c r="C24" s="154"/>
      <c r="D24" s="155"/>
    </row>
    <row r="25" spans="2:5" ht="13.5" thickBot="1">
      <c r="B25" s="145" t="s">
        <v>23</v>
      </c>
      <c r="C25" s="156"/>
      <c r="D25" s="157">
        <f>SUM(D15:D23)</f>
        <v>1291</v>
      </c>
    </row>
    <row r="28" spans="2:5" ht="13.5" thickBot="1">
      <c r="B28" s="91" t="s">
        <v>56</v>
      </c>
    </row>
    <row r="29" spans="2:5">
      <c r="B29" s="141" t="s">
        <v>57</v>
      </c>
      <c r="C29" s="147" t="s">
        <v>7</v>
      </c>
      <c r="D29" s="142" t="s">
        <v>58</v>
      </c>
    </row>
    <row r="30" spans="2:5">
      <c r="B30" s="143" t="s">
        <v>60</v>
      </c>
      <c r="C30" s="148">
        <v>1</v>
      </c>
      <c r="D30" s="158">
        <v>0</v>
      </c>
    </row>
    <row r="31" spans="2:5">
      <c r="B31" s="143" t="s">
        <v>61</v>
      </c>
      <c r="C31" s="148">
        <v>1</v>
      </c>
      <c r="D31" s="158">
        <v>15</v>
      </c>
    </row>
    <row r="32" spans="2:5">
      <c r="B32" s="143" t="s">
        <v>62</v>
      </c>
      <c r="C32" s="148">
        <v>2</v>
      </c>
      <c r="D32" s="158">
        <v>0.1</v>
      </c>
    </row>
    <row r="33" spans="2:4">
      <c r="B33" s="143" t="s">
        <v>63</v>
      </c>
      <c r="C33" s="148">
        <v>2</v>
      </c>
      <c r="D33" s="158">
        <v>0.1</v>
      </c>
    </row>
    <row r="34" spans="2:4">
      <c r="B34" s="143" t="s">
        <v>64</v>
      </c>
      <c r="C34" s="148">
        <v>1</v>
      </c>
      <c r="D34" s="158">
        <v>15</v>
      </c>
    </row>
    <row r="35" spans="2:4">
      <c r="B35" s="143" t="s">
        <v>65</v>
      </c>
      <c r="C35" s="148">
        <v>1</v>
      </c>
      <c r="D35" s="158">
        <v>80</v>
      </c>
    </row>
    <row r="36" spans="2:4">
      <c r="B36" s="150" t="s">
        <v>66</v>
      </c>
      <c r="C36" s="151">
        <v>2</v>
      </c>
      <c r="D36" s="159">
        <v>1.5</v>
      </c>
    </row>
    <row r="37" spans="2:4">
      <c r="B37" s="153" t="s">
        <v>67</v>
      </c>
      <c r="C37" s="154"/>
      <c r="D37" s="160"/>
    </row>
    <row r="38" spans="2:4">
      <c r="B38" s="143" t="s">
        <v>68</v>
      </c>
      <c r="C38" s="148">
        <v>2</v>
      </c>
      <c r="D38" s="158">
        <v>0.1</v>
      </c>
    </row>
    <row r="39" spans="2:4">
      <c r="B39" s="150" t="s">
        <v>69</v>
      </c>
      <c r="C39" s="148">
        <v>2</v>
      </c>
      <c r="D39" s="158">
        <v>0.1</v>
      </c>
    </row>
    <row r="40" spans="2:4">
      <c r="B40" s="153" t="s">
        <v>70</v>
      </c>
      <c r="C40" s="148"/>
      <c r="D40" s="161"/>
    </row>
    <row r="41" spans="2:4">
      <c r="B41" s="143" t="s">
        <v>71</v>
      </c>
      <c r="C41" s="148">
        <v>1</v>
      </c>
      <c r="D41" s="162">
        <v>160</v>
      </c>
    </row>
    <row r="42" spans="2:4">
      <c r="B42" s="150" t="s">
        <v>72</v>
      </c>
      <c r="C42" s="151">
        <v>1</v>
      </c>
      <c r="D42" s="163">
        <v>160</v>
      </c>
    </row>
    <row r="43" spans="2:4">
      <c r="B43" s="153" t="s">
        <v>73</v>
      </c>
      <c r="C43" s="154"/>
      <c r="D43" s="160"/>
    </row>
    <row r="44" spans="2:4">
      <c r="B44" s="150" t="s">
        <v>74</v>
      </c>
      <c r="C44" s="151">
        <v>1</v>
      </c>
      <c r="D44" s="159">
        <v>350</v>
      </c>
    </row>
    <row r="45" spans="2:4">
      <c r="B45" s="153" t="s">
        <v>75</v>
      </c>
      <c r="C45" s="154"/>
      <c r="D45" s="160"/>
    </row>
    <row r="46" spans="2:4">
      <c r="B46" s="143" t="s">
        <v>76</v>
      </c>
      <c r="C46" s="148">
        <v>1</v>
      </c>
      <c r="D46" s="158">
        <v>20</v>
      </c>
    </row>
    <row r="47" spans="2:4">
      <c r="B47" s="143" t="s">
        <v>77</v>
      </c>
      <c r="C47" s="148">
        <v>1</v>
      </c>
      <c r="D47" s="158">
        <v>15</v>
      </c>
    </row>
    <row r="48" spans="2:4" ht="13.5" thickBot="1">
      <c r="B48" s="145" t="s">
        <v>23</v>
      </c>
      <c r="C48" s="156"/>
      <c r="D48" s="164">
        <f>SUM(D30:D47)</f>
        <v>816.9</v>
      </c>
    </row>
    <row r="50" spans="2:10" ht="14.25" customHeight="1"/>
    <row r="51" spans="2:10" ht="17.25" customHeight="1">
      <c r="B51" s="471" t="s">
        <v>117</v>
      </c>
      <c r="C51" s="471"/>
    </row>
    <row r="52" spans="2:10">
      <c r="B52" s="168" t="s">
        <v>118</v>
      </c>
    </row>
    <row r="53" spans="2:10" ht="16.5" customHeight="1" thickBot="1">
      <c r="B53" s="472" t="s">
        <v>78</v>
      </c>
      <c r="C53" s="472"/>
    </row>
    <row r="54" spans="2:10">
      <c r="B54" s="141" t="s">
        <v>57</v>
      </c>
      <c r="C54" s="147" t="s">
        <v>7</v>
      </c>
      <c r="D54" s="142" t="s">
        <v>58</v>
      </c>
    </row>
    <row r="55" spans="2:10">
      <c r="B55" s="143" t="s">
        <v>79</v>
      </c>
      <c r="C55" s="148">
        <v>2</v>
      </c>
      <c r="D55" s="165">
        <f>126.81*2</f>
        <v>253.62</v>
      </c>
    </row>
    <row r="56" spans="2:10">
      <c r="B56" s="143" t="s">
        <v>80</v>
      </c>
      <c r="C56" s="148">
        <v>2</v>
      </c>
      <c r="D56" s="165">
        <v>450</v>
      </c>
    </row>
    <row r="57" spans="2:10">
      <c r="B57" s="143" t="s">
        <v>112</v>
      </c>
      <c r="C57" s="148">
        <v>1</v>
      </c>
      <c r="D57" s="149">
        <v>1800</v>
      </c>
      <c r="H57" s="116"/>
      <c r="J57" s="116"/>
    </row>
    <row r="58" spans="2:10">
      <c r="B58" s="143" t="s">
        <v>113</v>
      </c>
      <c r="C58" s="148">
        <v>1</v>
      </c>
      <c r="D58" s="149">
        <v>1500</v>
      </c>
    </row>
    <row r="59" spans="2:10">
      <c r="B59" s="143" t="s">
        <v>116</v>
      </c>
      <c r="C59" s="148">
        <v>1</v>
      </c>
      <c r="D59" s="149">
        <v>3500</v>
      </c>
    </row>
    <row r="60" spans="2:10">
      <c r="B60" s="143" t="s">
        <v>114</v>
      </c>
      <c r="C60" s="148">
        <v>1</v>
      </c>
      <c r="D60" s="149">
        <v>3500</v>
      </c>
    </row>
    <row r="61" spans="2:10">
      <c r="B61" s="143" t="s">
        <v>81</v>
      </c>
      <c r="C61" s="148">
        <v>1</v>
      </c>
      <c r="D61" s="165">
        <v>600</v>
      </c>
    </row>
    <row r="62" spans="2:10">
      <c r="B62" s="143" t="s">
        <v>111</v>
      </c>
      <c r="C62" s="148">
        <v>1</v>
      </c>
      <c r="D62" s="165">
        <v>880</v>
      </c>
      <c r="E62" s="116"/>
    </row>
    <row r="63" spans="2:10" ht="13.5" thickBot="1">
      <c r="B63" s="145" t="s">
        <v>23</v>
      </c>
      <c r="C63" s="156"/>
      <c r="D63" s="166">
        <f>SUM(D55:D62)</f>
        <v>12483.619999999999</v>
      </c>
    </row>
    <row r="66" spans="2:4" ht="13.5" thickBot="1">
      <c r="B66" s="91" t="s">
        <v>86</v>
      </c>
    </row>
    <row r="67" spans="2:4">
      <c r="B67" s="141" t="s">
        <v>57</v>
      </c>
      <c r="C67" s="147" t="s">
        <v>7</v>
      </c>
      <c r="D67" s="142" t="s">
        <v>58</v>
      </c>
    </row>
    <row r="68" spans="2:4">
      <c r="B68" s="143" t="s">
        <v>87</v>
      </c>
      <c r="C68" s="148">
        <v>1</v>
      </c>
      <c r="D68" s="165">
        <v>350</v>
      </c>
    </row>
    <row r="69" spans="2:4" ht="13.5" thickBot="1">
      <c r="B69" s="145" t="s">
        <v>23</v>
      </c>
      <c r="C69" s="156"/>
      <c r="D69" s="166">
        <f>SUM(D68)</f>
        <v>350</v>
      </c>
    </row>
  </sheetData>
  <mergeCells count="2">
    <mergeCell ref="B51:C51"/>
    <mergeCell ref="B53:C53"/>
  </mergeCells>
  <phoneticPr fontId="23" type="noConversion"/>
  <pageMargins left="0.7" right="0.7" top="0.75" bottom="0.75" header="0.3" footer="0.3"/>
  <pageSetup paperSize="9" orientation="portrait" horizontalDpi="300" verticalDpi="300" r:id="rId1"/>
</worksheet>
</file>

<file path=xl/worksheets/sheet9.xml><?xml version="1.0" encoding="utf-8"?>
<worksheet xmlns="http://schemas.openxmlformats.org/spreadsheetml/2006/main" xmlns:r="http://schemas.openxmlformats.org/officeDocument/2006/relationships">
  <dimension ref="A3:X57"/>
  <sheetViews>
    <sheetView topLeftCell="N1" workbookViewId="0">
      <selection activeCell="V15" sqref="V15"/>
    </sheetView>
  </sheetViews>
  <sheetFormatPr baseColWidth="10" defaultRowHeight="15"/>
  <cols>
    <col min="2" max="2" width="13" customWidth="1"/>
    <col min="3" max="3" width="17" customWidth="1"/>
    <col min="4" max="5" width="8.85546875" customWidth="1"/>
    <col min="6" max="6" width="8.42578125" customWidth="1"/>
    <col min="7" max="7" width="8.28515625" customWidth="1"/>
    <col min="8" max="8" width="8.42578125" customWidth="1"/>
    <col min="9" max="9" width="8.5703125" customWidth="1"/>
    <col min="10" max="10" width="8.28515625" customWidth="1"/>
    <col min="11" max="11" width="8.7109375" customWidth="1"/>
    <col min="12" max="12" width="8" customWidth="1"/>
    <col min="14" max="14" width="11.5703125" customWidth="1"/>
    <col min="15" max="15" width="9.140625" customWidth="1"/>
    <col min="16" max="16" width="9.28515625" customWidth="1"/>
    <col min="17" max="17" width="9.5703125" customWidth="1"/>
    <col min="18" max="18" width="9.42578125" customWidth="1"/>
    <col min="19" max="20" width="9.140625" customWidth="1"/>
    <col min="21" max="21" width="9.7109375" customWidth="1"/>
    <col min="22" max="24" width="9.140625" customWidth="1"/>
  </cols>
  <sheetData>
    <row r="3" spans="1:24">
      <c r="I3" s="21"/>
    </row>
    <row r="4" spans="1:24">
      <c r="B4" s="196" t="s">
        <v>518</v>
      </c>
      <c r="C4" s="4"/>
      <c r="H4" s="9"/>
      <c r="N4" s="193" t="s">
        <v>559</v>
      </c>
      <c r="O4" s="193"/>
      <c r="P4" s="193"/>
      <c r="Q4" s="193"/>
    </row>
    <row r="5" spans="1:24">
      <c r="A5" s="4"/>
      <c r="B5" s="201" t="s">
        <v>57</v>
      </c>
      <c r="C5" s="201" t="s">
        <v>343</v>
      </c>
      <c r="D5" s="201" t="s">
        <v>344</v>
      </c>
      <c r="E5" s="201" t="s">
        <v>345</v>
      </c>
      <c r="F5" s="201" t="s">
        <v>346</v>
      </c>
      <c r="G5" s="201" t="s">
        <v>347</v>
      </c>
      <c r="H5" s="201" t="s">
        <v>348</v>
      </c>
      <c r="I5" s="201" t="s">
        <v>349</v>
      </c>
      <c r="J5" s="201" t="s">
        <v>350</v>
      </c>
      <c r="K5" s="201" t="s">
        <v>351</v>
      </c>
      <c r="L5" s="201" t="s">
        <v>352</v>
      </c>
      <c r="N5" s="201" t="s">
        <v>57</v>
      </c>
      <c r="O5" s="201" t="s">
        <v>343</v>
      </c>
      <c r="P5" s="201" t="s">
        <v>344</v>
      </c>
      <c r="Q5" s="201" t="s">
        <v>345</v>
      </c>
      <c r="R5" s="201" t="s">
        <v>346</v>
      </c>
      <c r="S5" s="201" t="s">
        <v>347</v>
      </c>
      <c r="T5" s="201" t="s">
        <v>348</v>
      </c>
      <c r="U5" s="201" t="s">
        <v>349</v>
      </c>
      <c r="V5" s="201" t="s">
        <v>350</v>
      </c>
      <c r="W5" s="201" t="s">
        <v>351</v>
      </c>
      <c r="X5" s="201" t="s">
        <v>352</v>
      </c>
    </row>
    <row r="6" spans="1:24">
      <c r="B6" s="203" t="s">
        <v>482</v>
      </c>
      <c r="C6" s="205">
        <f>C8/(C9-C10)</f>
        <v>706182.88308580092</v>
      </c>
      <c r="D6" s="205">
        <f t="shared" ref="D6:L6" si="0">D8/(D9-D10)</f>
        <v>637634.40889372921</v>
      </c>
      <c r="E6" s="205">
        <f t="shared" si="0"/>
        <v>584148.45637125405</v>
      </c>
      <c r="F6" s="205">
        <f t="shared" si="0"/>
        <v>541562.98245241877</v>
      </c>
      <c r="G6" s="205">
        <f t="shared" si="0"/>
        <v>507159.47934697213</v>
      </c>
      <c r="H6" s="205">
        <f t="shared" si="0"/>
        <v>417471.81194719282</v>
      </c>
      <c r="I6" s="205">
        <f t="shared" si="0"/>
        <v>391370.43652056751</v>
      </c>
      <c r="J6" s="205">
        <f t="shared" si="0"/>
        <v>368870.2557219562</v>
      </c>
      <c r="K6" s="205">
        <f t="shared" si="0"/>
        <v>349279.66944190115</v>
      </c>
      <c r="L6" s="205">
        <f t="shared" si="0"/>
        <v>332073.50168981543</v>
      </c>
      <c r="N6" s="203" t="s">
        <v>482</v>
      </c>
      <c r="O6" s="209">
        <f>O8/O11</f>
        <v>553031.84504371486</v>
      </c>
      <c r="P6" s="209">
        <f t="shared" ref="P6:X6" si="1">P8/P11</f>
        <v>499349.59067963262</v>
      </c>
      <c r="Q6" s="209">
        <f t="shared" si="1"/>
        <v>457463.22424977535</v>
      </c>
      <c r="R6" s="209">
        <f t="shared" si="1"/>
        <v>424113.33178214228</v>
      </c>
      <c r="S6" s="209">
        <f t="shared" si="1"/>
        <v>397170.97272179014</v>
      </c>
      <c r="T6" s="209">
        <f t="shared" si="1"/>
        <v>326934.01659078099</v>
      </c>
      <c r="U6" s="209">
        <f t="shared" si="1"/>
        <v>306493.2891870109</v>
      </c>
      <c r="V6" s="209">
        <f t="shared" si="1"/>
        <v>288872.75943627593</v>
      </c>
      <c r="W6" s="209">
        <f t="shared" si="1"/>
        <v>273530.81567716814</v>
      </c>
      <c r="X6" s="209">
        <f t="shared" si="1"/>
        <v>260056.1776960158</v>
      </c>
    </row>
    <row r="7" spans="1:24">
      <c r="B7" s="202" t="s">
        <v>364</v>
      </c>
      <c r="C7" s="197"/>
      <c r="D7" s="197"/>
      <c r="E7" s="197"/>
      <c r="F7" s="197"/>
      <c r="G7" s="197"/>
      <c r="H7" s="197"/>
      <c r="I7" s="197"/>
      <c r="J7" s="197"/>
      <c r="K7" s="197"/>
      <c r="L7" s="198"/>
      <c r="N7" s="210" t="s">
        <v>484</v>
      </c>
      <c r="O7" s="197"/>
      <c r="P7" s="197"/>
      <c r="Q7" s="197"/>
      <c r="R7" s="197"/>
      <c r="S7" s="197"/>
      <c r="T7" s="197"/>
      <c r="U7" s="197"/>
      <c r="V7" s="197"/>
      <c r="W7" s="197"/>
      <c r="X7" s="198"/>
    </row>
    <row r="8" spans="1:24">
      <c r="B8" s="201" t="s">
        <v>445</v>
      </c>
      <c r="C8" s="199">
        <f>'SENSIBILIDAD TMAR VS VAN'!D196+'SENSIBILIDAD TMAR VS VAN'!D201+'SENSIBILIDAD TMAR VS VAN'!D202</f>
        <v>94879.48840419155</v>
      </c>
      <c r="D8" s="199">
        <f>'SENSIBILIDAD TMAR VS VAN'!E196+'SENSIBILIDAD TMAR VS VAN'!E201+'SENSIBILIDAD TMAR VS VAN'!E202</f>
        <v>95759.385412694537</v>
      </c>
      <c r="E8" s="199">
        <f>'SENSIBILIDAD TMAR VS VAN'!F196+'SENSIBILIDAD TMAR VS VAN'!F201+'SENSIBILIDAD TMAR VS VAN'!F202</f>
        <v>96744.870062217888</v>
      </c>
      <c r="F8" s="199">
        <f>'SENSIBILIDAD TMAR VS VAN'!G196+'SENSIBILIDAD TMAR VS VAN'!G201+'SENSIBILIDAD TMAR VS VAN'!G202</f>
        <v>97848.612869684031</v>
      </c>
      <c r="G8" s="199">
        <f>'SENSIBILIDAD TMAR VS VAN'!H196+'SENSIBILIDAD TMAR VS VAN'!H201+'SENSIBILIDAD TMAR VS VAN'!H202</f>
        <v>99084.804814046118</v>
      </c>
      <c r="H8" s="199">
        <f>'SENSIBILIDAD TMAR VS VAN'!I196+'SENSIBILIDAD TMAR VS VAN'!I201+'SENSIBILIDAD TMAR VS VAN'!I202</f>
        <v>87547.013333333321</v>
      </c>
      <c r="I8" s="199">
        <f>'SENSIBILIDAD TMAR VS VAN'!J196+'SENSIBILIDAD TMAR VS VAN'!J201+'SENSIBILIDAD TMAR VS VAN'!J202</f>
        <v>87547.013333333321</v>
      </c>
      <c r="J8" s="199">
        <f>'SENSIBILIDAD TMAR VS VAN'!K196+'SENSIBILIDAD TMAR VS VAN'!K201+'SENSIBILIDAD TMAR VS VAN'!K202</f>
        <v>87547.013333333321</v>
      </c>
      <c r="K8" s="199">
        <f>'SENSIBILIDAD TMAR VS VAN'!L196+'SENSIBILIDAD TMAR VS VAN'!L201+'SENSIBILIDAD TMAR VS VAN'!L202</f>
        <v>87547.013333333321</v>
      </c>
      <c r="L8" s="199">
        <f>'SENSIBILIDAD TMAR VS VAN'!M196+'SENSIBILIDAD TMAR VS VAN'!M201+'SENSIBILIDAD TMAR VS VAN'!M202</f>
        <v>87547.013333333321</v>
      </c>
      <c r="N8" s="201" t="s">
        <v>445</v>
      </c>
      <c r="O8" s="199">
        <f>C8</f>
        <v>94879.48840419155</v>
      </c>
      <c r="P8" s="199">
        <f>D8</f>
        <v>95759.385412694537</v>
      </c>
      <c r="Q8" s="199">
        <f t="shared" ref="P8:X9" si="2">E8</f>
        <v>96744.870062217888</v>
      </c>
      <c r="R8" s="199">
        <f t="shared" si="2"/>
        <v>97848.612869684031</v>
      </c>
      <c r="S8" s="199">
        <f t="shared" si="2"/>
        <v>99084.804814046118</v>
      </c>
      <c r="T8" s="199">
        <f t="shared" si="2"/>
        <v>87547.013333333321</v>
      </c>
      <c r="U8" s="199">
        <f t="shared" si="2"/>
        <v>87547.013333333321</v>
      </c>
      <c r="V8" s="199">
        <f t="shared" si="2"/>
        <v>87547.013333333321</v>
      </c>
      <c r="W8" s="199">
        <f t="shared" si="2"/>
        <v>87547.013333333321</v>
      </c>
      <c r="X8" s="199">
        <f t="shared" si="2"/>
        <v>87547.013333333321</v>
      </c>
    </row>
    <row r="9" spans="1:24">
      <c r="B9" s="201" t="s">
        <v>446</v>
      </c>
      <c r="C9" s="199">
        <f>'COSTOS DE PRODUCCIÓN'!F4</f>
        <v>0.78312836276509079</v>
      </c>
      <c r="D9" s="200">
        <f>C9</f>
        <v>0.78312836276509079</v>
      </c>
      <c r="E9" s="200">
        <f t="shared" ref="E9:L9" si="3">D9</f>
        <v>0.78312836276509079</v>
      </c>
      <c r="F9" s="200">
        <f t="shared" si="3"/>
        <v>0.78312836276509079</v>
      </c>
      <c r="G9" s="200">
        <f t="shared" si="3"/>
        <v>0.78312836276509079</v>
      </c>
      <c r="H9" s="200">
        <f t="shared" si="3"/>
        <v>0.78312836276509079</v>
      </c>
      <c r="I9" s="200">
        <f t="shared" si="3"/>
        <v>0.78312836276509079</v>
      </c>
      <c r="J9" s="200">
        <f t="shared" si="3"/>
        <v>0.78312836276509079</v>
      </c>
      <c r="K9" s="200">
        <f t="shared" si="3"/>
        <v>0.78312836276509079</v>
      </c>
      <c r="L9" s="200">
        <f t="shared" si="3"/>
        <v>0.78312836276509079</v>
      </c>
      <c r="N9" s="201" t="s">
        <v>446</v>
      </c>
      <c r="O9" s="199">
        <f>C9</f>
        <v>0.78312836276509079</v>
      </c>
      <c r="P9" s="199">
        <f t="shared" si="2"/>
        <v>0.78312836276509079</v>
      </c>
      <c r="Q9" s="199">
        <f t="shared" si="2"/>
        <v>0.78312836276509079</v>
      </c>
      <c r="R9" s="199">
        <f t="shared" si="2"/>
        <v>0.78312836276509079</v>
      </c>
      <c r="S9" s="199">
        <f t="shared" si="2"/>
        <v>0.78312836276509079</v>
      </c>
      <c r="T9" s="199">
        <f t="shared" si="2"/>
        <v>0.78312836276509079</v>
      </c>
      <c r="U9" s="199">
        <f t="shared" si="2"/>
        <v>0.78312836276509079</v>
      </c>
      <c r="V9" s="199">
        <f t="shared" si="2"/>
        <v>0.78312836276509079</v>
      </c>
      <c r="W9" s="199">
        <f t="shared" si="2"/>
        <v>0.78312836276509079</v>
      </c>
      <c r="X9" s="199">
        <f t="shared" si="2"/>
        <v>0.78312836276509079</v>
      </c>
    </row>
    <row r="10" spans="1:24">
      <c r="B10" s="201" t="s">
        <v>517</v>
      </c>
      <c r="C10" s="204">
        <f>'SENSIBILIDAD TMAR VS VAN'!D191/INVERSIONES!AF18</f>
        <v>0.64877295614634423</v>
      </c>
      <c r="D10" s="204">
        <f>'SENSIBILIDAD TMAR VS VAN'!E191/INVERSIONES!AG18</f>
        <v>0.63294922550862853</v>
      </c>
      <c r="E10" s="204">
        <f>'SENSIBILIDAD TMAR VS VAN'!F191/INVERSIONES!AH18</f>
        <v>0.61751143952061349</v>
      </c>
      <c r="F10" s="204">
        <f>'SENSIBILIDAD TMAR VS VAN'!G191/INVERSIONES!AI18</f>
        <v>0.60245018489815927</v>
      </c>
      <c r="G10" s="204">
        <f>'SENSIBILIDAD TMAR VS VAN'!H191/INVERSIONES!AJ18</f>
        <v>0.58775627794942387</v>
      </c>
      <c r="H10" s="204">
        <f>'SENSIBILIDAD TMAR VS VAN'!I191/INVERSIONES!AK18</f>
        <v>0.57342075897504763</v>
      </c>
      <c r="I10" s="204">
        <f>'SENSIBILIDAD TMAR VS VAN'!J191/INVERSIONES!AL18</f>
        <v>0.55943488680492459</v>
      </c>
      <c r="J10" s="204">
        <f>'SENSIBILIDAD TMAR VS VAN'!K191/INVERSIONES!AM18</f>
        <v>0.54579013346821914</v>
      </c>
      <c r="K10" s="204">
        <f>'SENSIBILIDAD TMAR VS VAN'!L191/INVERSIONES!AN18</f>
        <v>0.53247817899338457</v>
      </c>
      <c r="L10" s="204">
        <f>'SENSIBILIDAD TMAR VS VAN'!M191/INVERSIONES!AO18</f>
        <v>0.51949090633500927</v>
      </c>
      <c r="N10" s="201" t="s">
        <v>520</v>
      </c>
      <c r="O10" s="204">
        <f>O9-C10</f>
        <v>0.13435540661874656</v>
      </c>
      <c r="P10" s="204">
        <f>P9-D10</f>
        <v>0.15017913725646226</v>
      </c>
      <c r="Q10" s="204">
        <f t="shared" ref="Q10:W10" si="4">Q9-E10</f>
        <v>0.1656169232444773</v>
      </c>
      <c r="R10" s="204">
        <f t="shared" si="4"/>
        <v>0.18067817786693152</v>
      </c>
      <c r="S10" s="204">
        <f t="shared" si="4"/>
        <v>0.19537208481566692</v>
      </c>
      <c r="T10" s="204">
        <f t="shared" si="4"/>
        <v>0.20970760379004316</v>
      </c>
      <c r="U10" s="204">
        <f t="shared" si="4"/>
        <v>0.2236934759601662</v>
      </c>
      <c r="V10" s="204">
        <f t="shared" si="4"/>
        <v>0.23733822929687165</v>
      </c>
      <c r="W10" s="204">
        <f t="shared" si="4"/>
        <v>0.25065018377170623</v>
      </c>
      <c r="X10" s="204">
        <f>X9-L10</f>
        <v>0.26363745643008152</v>
      </c>
    </row>
    <row r="11" spans="1:24">
      <c r="C11">
        <v>521472</v>
      </c>
      <c r="D11">
        <v>534508</v>
      </c>
      <c r="E11">
        <v>547871</v>
      </c>
      <c r="F11">
        <v>561568</v>
      </c>
      <c r="G11">
        <v>575607</v>
      </c>
      <c r="H11">
        <v>589997</v>
      </c>
      <c r="I11">
        <v>604747</v>
      </c>
      <c r="J11">
        <v>619866</v>
      </c>
      <c r="K11">
        <v>635363</v>
      </c>
      <c r="L11">
        <v>651247</v>
      </c>
      <c r="N11" s="208" t="s">
        <v>521</v>
      </c>
      <c r="O11" s="199">
        <f>O10/O9</f>
        <v>0.17156243217186115</v>
      </c>
      <c r="P11" s="199">
        <f t="shared" ref="P11:X11" si="5">P10/P9</f>
        <v>0.19176822650913281</v>
      </c>
      <c r="Q11" s="199">
        <f t="shared" si="5"/>
        <v>0.21148119659427553</v>
      </c>
      <c r="R11" s="199">
        <f t="shared" si="5"/>
        <v>0.23071336253100083</v>
      </c>
      <c r="S11" s="199">
        <f t="shared" si="5"/>
        <v>0.24947645124975668</v>
      </c>
      <c r="T11" s="199">
        <f t="shared" si="5"/>
        <v>0.26778190365829924</v>
      </c>
      <c r="U11" s="199">
        <f t="shared" si="5"/>
        <v>0.28564088161785284</v>
      </c>
      <c r="V11" s="199">
        <f t="shared" si="5"/>
        <v>0.30306427474912467</v>
      </c>
      <c r="W11" s="199">
        <f t="shared" si="5"/>
        <v>0.32006270707231671</v>
      </c>
      <c r="X11" s="199">
        <f t="shared" si="5"/>
        <v>0.33664654348518708</v>
      </c>
    </row>
    <row r="12" spans="1:24">
      <c r="G12" s="4"/>
      <c r="H12" s="4"/>
      <c r="I12" s="4"/>
      <c r="J12" s="4"/>
      <c r="K12" s="4"/>
      <c r="L12" s="4"/>
    </row>
    <row r="13" spans="1:24" ht="15.75" thickBot="1">
      <c r="B13" s="2" t="s">
        <v>448</v>
      </c>
      <c r="G13" s="4"/>
      <c r="H13" s="181"/>
      <c r="I13" s="4"/>
      <c r="J13" s="4"/>
      <c r="K13" s="4"/>
      <c r="L13" s="4"/>
    </row>
    <row r="14" spans="1:24">
      <c r="B14" s="182" t="s">
        <v>482</v>
      </c>
      <c r="C14" s="183">
        <f>C21/C18</f>
        <v>706182.88308580092</v>
      </c>
      <c r="D14" s="176" t="s">
        <v>146</v>
      </c>
      <c r="G14" s="4"/>
      <c r="H14" s="4"/>
      <c r="I14" s="4"/>
      <c r="J14" s="4"/>
      <c r="K14" s="4"/>
      <c r="L14" s="4"/>
    </row>
    <row r="15" spans="1:24">
      <c r="B15" s="187" t="s">
        <v>483</v>
      </c>
      <c r="C15" s="188"/>
      <c r="D15" s="177"/>
      <c r="G15" s="4"/>
      <c r="H15" s="4"/>
      <c r="I15" s="4"/>
      <c r="J15" s="4"/>
      <c r="K15" s="4"/>
      <c r="L15" s="4"/>
    </row>
    <row r="16" spans="1:24">
      <c r="B16" s="184" t="s">
        <v>481</v>
      </c>
      <c r="C16" s="4"/>
      <c r="D16" s="177"/>
      <c r="G16" s="4"/>
      <c r="H16" s="4"/>
      <c r="I16" s="4"/>
      <c r="J16" s="4"/>
      <c r="K16" s="4"/>
      <c r="L16" s="4"/>
    </row>
    <row r="17" spans="2:12" ht="15.75">
      <c r="B17" s="184" t="s">
        <v>449</v>
      </c>
      <c r="C17" s="4"/>
      <c r="D17" s="177"/>
      <c r="G17" s="180"/>
      <c r="H17" s="4"/>
      <c r="I17" s="4"/>
      <c r="J17" s="4"/>
      <c r="K17" s="4"/>
      <c r="L17" s="4"/>
    </row>
    <row r="18" spans="2:12">
      <c r="B18" s="184" t="s">
        <v>450</v>
      </c>
      <c r="C18" s="185">
        <f>C19-C20</f>
        <v>0.13435540661874656</v>
      </c>
      <c r="D18" s="177"/>
      <c r="G18" s="4"/>
      <c r="H18" s="4"/>
      <c r="I18" s="4"/>
      <c r="J18" s="4"/>
      <c r="K18" s="4"/>
      <c r="L18" s="4"/>
    </row>
    <row r="19" spans="2:12">
      <c r="B19" s="184" t="s">
        <v>446</v>
      </c>
      <c r="C19" s="185">
        <f>'COSTOS DE PRODUCCIÓN'!F4</f>
        <v>0.78312836276509079</v>
      </c>
      <c r="D19" s="177"/>
      <c r="G19" s="4"/>
      <c r="H19" s="4"/>
      <c r="I19" s="4"/>
      <c r="J19" s="4"/>
      <c r="K19" s="4"/>
      <c r="L19" s="4"/>
    </row>
    <row r="20" spans="2:12">
      <c r="B20" s="184" t="s">
        <v>447</v>
      </c>
      <c r="C20" s="185">
        <f>C10</f>
        <v>0.64877295614634423</v>
      </c>
      <c r="D20" s="177"/>
      <c r="G20" s="4"/>
      <c r="H20" s="4"/>
      <c r="I20" s="4"/>
      <c r="J20" s="4"/>
      <c r="K20" s="4"/>
      <c r="L20" s="4"/>
    </row>
    <row r="21" spans="2:12" ht="15.75" thickBot="1">
      <c r="B21" s="178" t="s">
        <v>445</v>
      </c>
      <c r="C21" s="186">
        <f>C8</f>
        <v>94879.48840419155</v>
      </c>
      <c r="D21" s="179"/>
    </row>
    <row r="24" spans="2:12" ht="15.75" thickBot="1">
      <c r="B24" s="84" t="s">
        <v>485</v>
      </c>
    </row>
    <row r="25" spans="2:12">
      <c r="B25" s="189" t="s">
        <v>482</v>
      </c>
      <c r="C25" s="190">
        <f>C8/C28</f>
        <v>553031.84504371486</v>
      </c>
    </row>
    <row r="26" spans="2:12">
      <c r="B26" s="191" t="s">
        <v>484</v>
      </c>
      <c r="C26" s="177"/>
    </row>
    <row r="27" spans="2:12">
      <c r="B27" s="184" t="s">
        <v>452</v>
      </c>
      <c r="C27" s="177"/>
    </row>
    <row r="28" spans="2:12" ht="15.75" thickBot="1">
      <c r="B28" s="178" t="s">
        <v>451</v>
      </c>
      <c r="C28" s="192">
        <f>C18/'COSTOS DE PRODUCCIÓN'!F4</f>
        <v>0.17156243217186115</v>
      </c>
    </row>
    <row r="54" spans="2:12">
      <c r="B54" s="89"/>
      <c r="C54" s="89"/>
      <c r="D54" s="89"/>
      <c r="E54" s="89"/>
      <c r="F54" s="89"/>
      <c r="G54" s="89"/>
      <c r="H54" s="89"/>
      <c r="I54" s="89"/>
      <c r="J54" s="89"/>
      <c r="K54" s="89"/>
      <c r="L54" s="89"/>
    </row>
    <row r="55" spans="2:12">
      <c r="B55" s="206" t="s">
        <v>519</v>
      </c>
      <c r="C55" s="206" t="s">
        <v>343</v>
      </c>
      <c r="D55" s="206" t="s">
        <v>344</v>
      </c>
      <c r="E55" s="206" t="s">
        <v>345</v>
      </c>
      <c r="F55" s="206" t="s">
        <v>346</v>
      </c>
      <c r="G55" s="206" t="s">
        <v>347</v>
      </c>
      <c r="H55" s="206" t="s">
        <v>348</v>
      </c>
      <c r="I55" s="206" t="s">
        <v>349</v>
      </c>
      <c r="J55" s="206" t="s">
        <v>350</v>
      </c>
      <c r="K55" s="206" t="s">
        <v>351</v>
      </c>
      <c r="L55" s="206" t="s">
        <v>352</v>
      </c>
    </row>
    <row r="56" spans="2:12">
      <c r="B56" s="206" t="s">
        <v>515</v>
      </c>
      <c r="C56" s="207">
        <f>'SENSIBILIDAD TMAR VS VAN'!D189</f>
        <v>408379.1661703951</v>
      </c>
      <c r="D56" s="207">
        <f>'SENSIBILIDAD TMAR VS VAN'!E189</f>
        <v>418588.64532465499</v>
      </c>
      <c r="E56" s="207">
        <f>'SENSIBILIDAD TMAR VS VAN'!F189</f>
        <v>429053.3614577711</v>
      </c>
      <c r="F56" s="207">
        <f>'SENSIBILIDAD TMAR VS VAN'!G189</f>
        <v>439779.69549421553</v>
      </c>
      <c r="G56" s="207">
        <f>'SENSIBILIDAD TMAR VS VAN'!H189</f>
        <v>450774.18788157083</v>
      </c>
      <c r="H56" s="207">
        <f>'SENSIBILIDAD TMAR VS VAN'!I189</f>
        <v>462043.54257861013</v>
      </c>
      <c r="I56" s="207">
        <f>'SENSIBILIDAD TMAR VS VAN'!J189</f>
        <v>473594.6311430753</v>
      </c>
      <c r="J56" s="207">
        <f>'SENSIBILIDAD TMAR VS VAN'!K189</f>
        <v>485434.49692165223</v>
      </c>
      <c r="K56" s="207">
        <f>'SENSIBILIDAD TMAR VS VAN'!L189</f>
        <v>497570.35934469342</v>
      </c>
      <c r="L56" s="207">
        <f>'SENSIBILIDAD TMAR VS VAN'!M189</f>
        <v>510009.61832831078</v>
      </c>
    </row>
    <row r="57" spans="2:12">
      <c r="B57" s="206" t="s">
        <v>516</v>
      </c>
      <c r="C57" s="207">
        <f>'SENSIBILIDAD TMAR VS VAN'!D190+'SENSIBILIDAD TMAR VS VAN'!D201+'SENSIBILIDAD TMAR VS VAN'!D202</f>
        <v>433196.13157807704</v>
      </c>
      <c r="D57" s="207">
        <f>'SENSIBILIDAD TMAR VS VAN'!E190+'SENSIBILIDAD TMAR VS VAN'!E201+'SENSIBILIDAD TMAR VS VAN'!E202</f>
        <v>434076.02858658001</v>
      </c>
      <c r="E57" s="207">
        <f>'SENSIBILIDAD TMAR VS VAN'!F190+'SENSIBILIDAD TMAR VS VAN'!F201+'SENSIBILIDAD TMAR VS VAN'!F202</f>
        <v>435061.51323610335</v>
      </c>
      <c r="F57" s="207">
        <f>'SENSIBILIDAD TMAR VS VAN'!G190+'SENSIBILIDAD TMAR VS VAN'!G201+'SENSIBILIDAD TMAR VS VAN'!G202</f>
        <v>436165.25604356948</v>
      </c>
      <c r="G57" s="207">
        <f>'SENSIBILIDAD TMAR VS VAN'!H190+'SENSIBILIDAD TMAR VS VAN'!H201+'SENSIBILIDAD TMAR VS VAN'!H202</f>
        <v>437401.44798793155</v>
      </c>
      <c r="H57" s="207">
        <f>'SENSIBILIDAD TMAR VS VAN'!I190+'SENSIBILIDAD TMAR VS VAN'!I201+'SENSIBILIDAD TMAR VS VAN'!I202</f>
        <v>425863.65650721878</v>
      </c>
      <c r="I57" s="207">
        <f>'SENSIBILIDAD TMAR VS VAN'!J190+'SENSIBILIDAD TMAR VS VAN'!J201+'SENSIBILIDAD TMAR VS VAN'!J202</f>
        <v>425863.65650721878</v>
      </c>
      <c r="J57" s="207">
        <f>'SENSIBILIDAD TMAR VS VAN'!K190+'SENSIBILIDAD TMAR VS VAN'!K201+'SENSIBILIDAD TMAR VS VAN'!K202</f>
        <v>425863.65650721878</v>
      </c>
      <c r="K57" s="207">
        <f>'SENSIBILIDAD TMAR VS VAN'!L190+'SENSIBILIDAD TMAR VS VAN'!L201+'SENSIBILIDAD TMAR VS VAN'!L202</f>
        <v>425863.65650721878</v>
      </c>
      <c r="L57" s="207">
        <f>'SENSIBILIDAD TMAR VS VAN'!M190+'SENSIBILIDAD TMAR VS VAN'!M201+'SENSIBILIDAD TMAR VS VAN'!M202</f>
        <v>425863.65650721878</v>
      </c>
    </row>
  </sheetData>
  <phoneticPr fontId="23" type="noConversion"/>
  <pageMargins left="0.7" right="0.7" top="0.75" bottom="0.75" header="0.3" footer="0.3"/>
  <pageSetup orientation="portrait" horizontalDpi="30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CÁLCULO DEL CAPM</vt:lpstr>
      <vt:lpstr>AMORTIZACIÓN DE LA DEUDA</vt:lpstr>
      <vt:lpstr>DEPRECIACIONES</vt:lpstr>
      <vt:lpstr>MAQUINARIA,EQUIPO,SUMINISTR Y S</vt:lpstr>
      <vt:lpstr>SUELDOS Y SALARIOS</vt:lpstr>
      <vt:lpstr>INVERSIONES</vt:lpstr>
      <vt:lpstr>GASTOS PREOPERACIONALES</vt:lpstr>
      <vt:lpstr>punto de equilibrio</vt:lpstr>
      <vt:lpstr>FLUJO DE CAJA,PAYBACK</vt:lpstr>
      <vt:lpstr>ANÁLISIS DE SENSIBILIDAD</vt:lpstr>
      <vt:lpstr>SENSIBILIDAD TMAR VS VAN</vt:lpstr>
      <vt:lpstr>COSTOS DE PRODUCCIÓN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dc:creator>
  <cp:lastModifiedBy>WinuE</cp:lastModifiedBy>
  <dcterms:created xsi:type="dcterms:W3CDTF">2010-04-07T16:33:00Z</dcterms:created>
  <dcterms:modified xsi:type="dcterms:W3CDTF">2010-05-26T22:30:52Z</dcterms:modified>
</cp:coreProperties>
</file>