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4905" firstSheet="5" activeTab="10"/>
  </bookViews>
  <sheets>
    <sheet name="INVERSION" sheetId="1" r:id="rId1"/>
    <sheet name="AMORTIZACION" sheetId="2" r:id="rId2"/>
    <sheet name="DEPRECIACION" sheetId="3" r:id="rId3"/>
    <sheet name="COSTOS OPERATIVOS" sheetId="4" r:id="rId4"/>
    <sheet name="COSTOS NO OPERATIVOS" sheetId="5" r:id="rId5"/>
    <sheet name="INGRESOS" sheetId="6" r:id="rId6"/>
    <sheet name="DEMANDA" sheetId="7" r:id="rId7"/>
    <sheet name="CAPITAL DE TRABAJO" sheetId="8" r:id="rId8"/>
    <sheet name="FLUJODECAJA" sheetId="9" r:id="rId9"/>
    <sheet name="CAPM" sheetId="10" r:id="rId10"/>
    <sheet name="SENSIBILIDAD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<sst xmlns="http://schemas.openxmlformats.org/spreadsheetml/2006/main" count="517" uniqueCount="346">
  <si>
    <t>MUEBLES DE OFICINA ADMINISTRACIÓN Y BOLETERIA</t>
  </si>
  <si>
    <t>MUEBLES Y ENSERES SERVICIOS</t>
  </si>
  <si>
    <t>Muebles de Oficina</t>
  </si>
  <si>
    <t>Cantidad</t>
  </si>
  <si>
    <t>Precio Unit.</t>
  </si>
  <si>
    <t>Precio Total</t>
  </si>
  <si>
    <t>Vida Útil</t>
  </si>
  <si>
    <t>Muebles y Enseres</t>
  </si>
  <si>
    <t>Boleteria</t>
  </si>
  <si>
    <t>Area Café-Teatro</t>
  </si>
  <si>
    <t>Silla elevada</t>
  </si>
  <si>
    <t>Mesas</t>
  </si>
  <si>
    <t>Archivador al aire</t>
  </si>
  <si>
    <t>Sillas</t>
  </si>
  <si>
    <t>División modular piso-techo 0,90 tela-vidrio</t>
  </si>
  <si>
    <t>Area Teatro</t>
  </si>
  <si>
    <t>Administracion</t>
  </si>
  <si>
    <t>Tarima</t>
  </si>
  <si>
    <t>Escritorio</t>
  </si>
  <si>
    <t>Cortinas rojas</t>
  </si>
  <si>
    <t>Silla administrador</t>
  </si>
  <si>
    <t>Guardiania</t>
  </si>
  <si>
    <t>Silla visita</t>
  </si>
  <si>
    <t>Silla guardiania</t>
  </si>
  <si>
    <t>Mesa guardiania</t>
  </si>
  <si>
    <t>TOTAL</t>
  </si>
  <si>
    <t>EQUIPOS DE COMPUTACIÓN ADMINISTRACIÓN</t>
  </si>
  <si>
    <t>Equipos de Computación</t>
  </si>
  <si>
    <t>EQUIPOS SERVICIOS</t>
  </si>
  <si>
    <t>Administracion, Boletería y Entrega</t>
  </si>
  <si>
    <t xml:space="preserve">Equipos </t>
  </si>
  <si>
    <t>Administrador de pedido</t>
  </si>
  <si>
    <t>Preparacion y Entrega</t>
  </si>
  <si>
    <t>Computadora</t>
  </si>
  <si>
    <t>Maquina cafetera</t>
  </si>
  <si>
    <t>Maquinas registradoras</t>
  </si>
  <si>
    <t>Molino dosificador</t>
  </si>
  <si>
    <t>Impresora de Red Láser</t>
  </si>
  <si>
    <t>Licuadora de uso rudo</t>
  </si>
  <si>
    <t>Impresora de Red Multifunción</t>
  </si>
  <si>
    <t>Refrigerador para leche</t>
  </si>
  <si>
    <t>Software Administrativo y Financiero</t>
  </si>
  <si>
    <t>Compactador</t>
  </si>
  <si>
    <t>Cableado</t>
  </si>
  <si>
    <t>Dispensador de crema de batido</t>
  </si>
  <si>
    <t>Implementos de Red (swich, puntos, etc)</t>
  </si>
  <si>
    <t>Maquina para granita</t>
  </si>
  <si>
    <t>Teatro</t>
  </si>
  <si>
    <t>Luces</t>
  </si>
  <si>
    <t>EQUIPOS DE OFICINA ADMINISTRACIÓN</t>
  </si>
  <si>
    <t>Microfono Diadema</t>
  </si>
  <si>
    <t>EQUIPOS DE OFICINA</t>
  </si>
  <si>
    <t xml:space="preserve">Microfono </t>
  </si>
  <si>
    <t>Administracion y Boletería</t>
  </si>
  <si>
    <t>Equipo de Sonido</t>
  </si>
  <si>
    <t>Teléfono</t>
  </si>
  <si>
    <t>Karaoke</t>
  </si>
  <si>
    <t>Acondicionador de Aire</t>
  </si>
  <si>
    <t>Monitores de Proyeccion</t>
  </si>
  <si>
    <t>TOTAL INVERSIÓN ADMINISTRACIÓN</t>
  </si>
  <si>
    <t>Gastos de constitucion</t>
  </si>
  <si>
    <t>Obras Fisicas</t>
  </si>
  <si>
    <t>Remodelacion</t>
  </si>
  <si>
    <t>Baños</t>
  </si>
  <si>
    <t>Decoracion externa</t>
  </si>
  <si>
    <t>Decoracion interna</t>
  </si>
  <si>
    <t>Constitucion</t>
  </si>
  <si>
    <t>Gastos judiciales y administrativos</t>
  </si>
  <si>
    <t>Permiso de bomberos</t>
  </si>
  <si>
    <t>INVERSIÓN EN EQUIPAMIENTO</t>
  </si>
  <si>
    <t xml:space="preserve">Equipos de Computación </t>
  </si>
  <si>
    <t>Constitucion y Remodelacion</t>
  </si>
  <si>
    <t>TOTAL INVERSION</t>
  </si>
  <si>
    <t>Inversión necesaria</t>
  </si>
  <si>
    <t>Capital Propio</t>
  </si>
  <si>
    <t>CRÉDITO DIRECTO</t>
  </si>
  <si>
    <t>Capital propio</t>
  </si>
  <si>
    <t>Deuda</t>
  </si>
  <si>
    <t>DESTINO</t>
  </si>
  <si>
    <t>Activo fijo: Obras civiles, maquinaria, equipo, fomento agrícola y semoviente.</t>
  </si>
  <si>
    <t>TABLA DE AMORTIZACIÓN DE DEUDA</t>
  </si>
  <si>
    <t>Capital de Trabajo: Adquisición de materia prima, insumos, materiales directos e indirectos, pago de mano de obra, etc.</t>
  </si>
  <si>
    <t>Coorporación Financiera Nacional.</t>
  </si>
  <si>
    <t>Asistencia técnica.</t>
  </si>
  <si>
    <t>Pago:</t>
  </si>
  <si>
    <t>Meses:</t>
  </si>
  <si>
    <t>Tasa de interés:</t>
  </si>
  <si>
    <t>Capital:</t>
  </si>
  <si>
    <t>tasa anual</t>
  </si>
  <si>
    <t>BENEFICIARIO</t>
  </si>
  <si>
    <t>Moneda:</t>
  </si>
  <si>
    <t>Dólares</t>
  </si>
  <si>
    <t>ief mensual</t>
  </si>
  <si>
    <t>Meses</t>
  </si>
  <si>
    <t>Capital</t>
  </si>
  <si>
    <t>Intereses</t>
  </si>
  <si>
    <t>Pago</t>
  </si>
  <si>
    <t>Saldo</t>
  </si>
  <si>
    <t>Personas naturales.</t>
  </si>
  <si>
    <t>Personas jurídicas sin importar la composición de su capital social (privada,mixta o pública);bajo el control de la Superintendencia de Compañías.</t>
  </si>
  <si>
    <t>PAGO INTERESES ANUAL</t>
  </si>
  <si>
    <t>Cooperativas no financieras, asociaciones, fundaciones y corporaciones;con personería jurídica.</t>
  </si>
  <si>
    <t>MONTO</t>
  </si>
  <si>
    <t>Hasta el 70%;para proyectos nuevos.</t>
  </si>
  <si>
    <t>Hasta el 100% para proyectos de ampliación.</t>
  </si>
  <si>
    <t>Hasta el 60% para proyectos de construcción para la venta.</t>
  </si>
  <si>
    <t>AMORTIZACIÓN ANUAL</t>
  </si>
  <si>
    <t>Desde US$ 100,000*</t>
  </si>
  <si>
    <t>Valor a financiar (en porcentajes de la inversión total):</t>
  </si>
  <si>
    <t>*El monto máximo será definido de acuerdo a la metodología de riesgos de la CFN.</t>
  </si>
  <si>
    <t>PLAZO</t>
  </si>
  <si>
    <t>Activo Fijo: hasta 10 años.</t>
  </si>
  <si>
    <t>Capital de Trabajo: hasta;3 años.</t>
  </si>
  <si>
    <t>Asistencia Técnica: hasta;3 años.</t>
  </si>
  <si>
    <t>PERÍODO DE GRACIA</t>
  </si>
  <si>
    <t>Se fijará de acuerdo a las características del proyecto y su flujo de caja proyectado.</t>
  </si>
  <si>
    <t>TASAS DE INTERÉS</t>
  </si>
  <si>
    <t>Capital de trabajo: 10.5%;</t>
  </si>
  <si>
    <t>Activos Fijos:</t>
  </si>
  <si>
    <t>10.5% hasta 5 años..</t>
  </si>
  <si>
    <t>11% hasta 10 años.</t>
  </si>
  <si>
    <t>GARANTÍA</t>
  </si>
  <si>
    <t>Negociada entre la CFN y el cliente; de conformidad con lo dispuesto en la Ley General de Instituciones del Sistema Financiero a satisfacción de la Corporación Financiera Nacional. En caso de ser garantías reales no podrán ser inferiores al 125% de la obligación garantizada.</t>
  </si>
  <si>
    <t>La CFN se reserva el derecho de aceptar las garantías de conformidad con los informes técnicos pertinentes.</t>
  </si>
  <si>
    <t>DESEMBOLSOS</t>
  </si>
  <si>
    <t>.</t>
  </si>
  <si>
    <t>De acuerdo a cronograma aprobado por la CFN. Para cada desembolso deberán estar constituidas garantías que representen por lo menos el 125% del valor adeudado a la CFN.</t>
  </si>
  <si>
    <t>SITUACIONES ESPECIALES DE FINANCIAMIENTO</t>
  </si>
  <si>
    <t>Aporte del cliente en:</t>
  </si>
  <si>
    <t>Construcción:Hasta el 40% del costo del proyecto, conforme a normativa vigente de la CFN (incluye valor de terreno).</t>
  </si>
  <si>
    <t>Se financia:</t>
  </si>
  <si>
    <t>Terreno: Solamente en proyectos de reubicación o ampliación, conforme a normativa vigente de la CFN.</t>
  </si>
  <si>
    <t>REQUISITOS</t>
  </si>
  <si>
    <t>Para créditos de hasta US$ 300,000 no se requiere proyecto de evaluación.</t>
  </si>
  <si>
    <t>Para créditos superiores a US$ 300,000 se requiere completar el modelo de evaluación que la CFN proporciona en medio magnético.</t>
  </si>
  <si>
    <t>Declaración de impuesto a la renta del último ejercicio fiscal.</t>
  </si>
  <si>
    <t>Títulos de propiedad de las garantías reales que se ofrecen.</t>
  </si>
  <si>
    <t>Carta de pago de los impuestos.</t>
  </si>
  <si>
    <t>Permisos de funcionamiento y de construcción cuando proceda.</t>
  </si>
  <si>
    <t>Planos aprobados de construcción, en el caso de obras civiles.</t>
  </si>
  <si>
    <t>Proformas de la maquinaria a adquirir.</t>
  </si>
  <si>
    <t>Proformas de materia prima e insumos a adquirir.</t>
  </si>
  <si>
    <t>Costo Unitario</t>
  </si>
  <si>
    <t>Costo Total</t>
  </si>
  <si>
    <t>Dep.Acum</t>
  </si>
  <si>
    <t>DEPRECIACION ANUAL</t>
  </si>
  <si>
    <t>COSTOS OPERATIVOS</t>
  </si>
  <si>
    <t>COSTO CAFÉ</t>
  </si>
  <si>
    <t>COSTO DULCES</t>
  </si>
  <si>
    <t>COSTO TEATRO</t>
  </si>
  <si>
    <t>COSTO UNITARIO</t>
  </si>
  <si>
    <t>MOCCACINO</t>
  </si>
  <si>
    <t>CAPUCCINO</t>
  </si>
  <si>
    <t>FRAPUCCINO</t>
  </si>
  <si>
    <t>MOCCA FRAPUCCINO</t>
  </si>
  <si>
    <t>Leche</t>
  </si>
  <si>
    <t>Chocolate</t>
  </si>
  <si>
    <t>Azucar</t>
  </si>
  <si>
    <t>Café</t>
  </si>
  <si>
    <t>Costo por café</t>
  </si>
  <si>
    <t>Crema batida</t>
  </si>
  <si>
    <t>Hielo</t>
  </si>
  <si>
    <t>Costo promedio</t>
  </si>
  <si>
    <t>Costo por dulce</t>
  </si>
  <si>
    <t>TORTA CHOCOLATE</t>
  </si>
  <si>
    <t>TORTA VAINILLA</t>
  </si>
  <si>
    <t>Costo grupo teatral</t>
  </si>
  <si>
    <t>3 personas</t>
  </si>
  <si>
    <t>por presentacion</t>
  </si>
  <si>
    <t>2 presentaciones por noche</t>
  </si>
  <si>
    <t>3 dias a la semana</t>
  </si>
  <si>
    <t>2 presentaciones</t>
  </si>
  <si>
    <t>COSTO TOTAL MENSUAL</t>
  </si>
  <si>
    <t>COSTO TOTAL ANUAL</t>
  </si>
  <si>
    <t>DEMANDA MENSUAL</t>
  </si>
  <si>
    <t>DEMANDA ANUAL</t>
  </si>
  <si>
    <t>ENTRADAS</t>
  </si>
  <si>
    <t>CAFES</t>
  </si>
  <si>
    <t>DULCES</t>
  </si>
  <si>
    <t>ESPECIALES</t>
  </si>
  <si>
    <t>COSTOS ESPECIAL</t>
  </si>
  <si>
    <t>Costo grupo especial</t>
  </si>
  <si>
    <t>Aproximadamente</t>
  </si>
  <si>
    <t>24 presentaciones</t>
  </si>
  <si>
    <t>6 presentaciones</t>
  </si>
  <si>
    <t>AÑOS</t>
  </si>
  <si>
    <t>COSTOS CAFÉ</t>
  </si>
  <si>
    <t>COSTOS DULCES</t>
  </si>
  <si>
    <t>COSTOS TEATRO</t>
  </si>
  <si>
    <t>SUPUESTO:</t>
  </si>
  <si>
    <t>BALANCE DE PERSONAL ADMINISTRATIVO</t>
  </si>
  <si>
    <t>Nº</t>
  </si>
  <si>
    <t>Rubro</t>
  </si>
  <si>
    <t>Remuneración</t>
  </si>
  <si>
    <t>Administrador</t>
  </si>
  <si>
    <t>Organizador de eventos</t>
  </si>
  <si>
    <t>Contador</t>
  </si>
  <si>
    <t>Asistentes de Boletería</t>
  </si>
  <si>
    <t>Personal para preparar café</t>
  </si>
  <si>
    <t>Meseros</t>
  </si>
  <si>
    <t>Guardias de Seguridad</t>
  </si>
  <si>
    <t>Conserjes</t>
  </si>
  <si>
    <t>Total Mensual</t>
  </si>
  <si>
    <t>Total Anual</t>
  </si>
  <si>
    <t>DESCRIPCIÓN</t>
  </si>
  <si>
    <t>SUELDOS</t>
  </si>
  <si>
    <t>APORTE PATRONAL-IECE-SECAP 12.15%</t>
  </si>
  <si>
    <t>VACACIONES</t>
  </si>
  <si>
    <t>DECIMO TERCER SUELDO</t>
  </si>
  <si>
    <t>DECIMO CUARTO SUELDO</t>
  </si>
  <si>
    <t>FONDO DE RESERVA</t>
  </si>
  <si>
    <t>TOTAL BENEFICIOS SOCIALES</t>
  </si>
  <si>
    <t>TOTAL SUELDOS + BENEFICIOS SOCIALES</t>
  </si>
  <si>
    <t>1</t>
  </si>
  <si>
    <t>2</t>
  </si>
  <si>
    <t>3</t>
  </si>
  <si>
    <t>4</t>
  </si>
  <si>
    <t>5</t>
  </si>
  <si>
    <t>Supuestos de Costos No Operativos</t>
  </si>
  <si>
    <t xml:space="preserve">Rubros </t>
  </si>
  <si>
    <t>Mensual</t>
  </si>
  <si>
    <t>Anual</t>
  </si>
  <si>
    <t>Laboral/Administrativos</t>
  </si>
  <si>
    <t>Sueldos + BENEFICIOS</t>
  </si>
  <si>
    <t>Servicios</t>
  </si>
  <si>
    <t>Imprenta/sumistros</t>
  </si>
  <si>
    <t>Suministros Varios</t>
  </si>
  <si>
    <t>Inmobiliario</t>
  </si>
  <si>
    <t>Alquiler</t>
  </si>
  <si>
    <t>Publicidad</t>
  </si>
  <si>
    <t>VARIOS</t>
  </si>
  <si>
    <t>Suministros de Limpieza</t>
  </si>
  <si>
    <t>Publicos</t>
  </si>
  <si>
    <t>Suministros</t>
  </si>
  <si>
    <t>INGRESOS</t>
  </si>
  <si>
    <t>AÑO 1</t>
  </si>
  <si>
    <t>AÑO 2</t>
  </si>
  <si>
    <t>AÑO 3</t>
  </si>
  <si>
    <t>AÑO 4</t>
  </si>
  <si>
    <t>AÑO 5</t>
  </si>
  <si>
    <t>CRECIMIENTO</t>
  </si>
  <si>
    <t>MES 1</t>
  </si>
  <si>
    <t>MES 2</t>
  </si>
  <si>
    <t>MES 3</t>
  </si>
  <si>
    <t>MES 4</t>
  </si>
  <si>
    <t>MES 5</t>
  </si>
  <si>
    <t xml:space="preserve">MES 6 </t>
  </si>
  <si>
    <t>MES 7</t>
  </si>
  <si>
    <t>MES 8</t>
  </si>
  <si>
    <t>MES 9</t>
  </si>
  <si>
    <t>MES 10</t>
  </si>
  <si>
    <t>MES 11</t>
  </si>
  <si>
    <t>MES 12</t>
  </si>
  <si>
    <t>ESPECIAL</t>
  </si>
  <si>
    <t>INGRESO MENSUAL</t>
  </si>
  <si>
    <t>INGRESO ANUAL</t>
  </si>
  <si>
    <t>PRECIOS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</si>
  <si>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</si>
  <si>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</si>
  <si>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</si>
  <si>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</si>
  <si>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</si>
  <si>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</si>
  <si>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</si>
  <si>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</si>
  <si>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</si>
  <si>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</si>
  <si>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</si>
  <si>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</si>
  <si>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EGRESOS</t>
  </si>
  <si>
    <t>Costos Operativos</t>
  </si>
  <si>
    <t>Costo No Operativos</t>
  </si>
  <si>
    <t>TOTAL COSTOS</t>
  </si>
  <si>
    <t>Ingresos por ventas</t>
  </si>
  <si>
    <t>Saldo Mensual</t>
  </si>
  <si>
    <t>saldo acumulado</t>
  </si>
  <si>
    <t>MESES</t>
  </si>
  <si>
    <t>ENERO</t>
  </si>
  <si>
    <t>FLUJO DE CAJA</t>
  </si>
  <si>
    <t>Año 0</t>
  </si>
  <si>
    <t>Año 1</t>
  </si>
  <si>
    <t>Año 2</t>
  </si>
  <si>
    <t>Año 3</t>
  </si>
  <si>
    <t>Año 4</t>
  </si>
  <si>
    <t>Año 5</t>
  </si>
  <si>
    <t>Operativos</t>
  </si>
  <si>
    <t>TOTAL INGRESOS</t>
  </si>
  <si>
    <t xml:space="preserve">Costos Operativos </t>
  </si>
  <si>
    <t>Costos No Operativos</t>
  </si>
  <si>
    <t xml:space="preserve">TOTAL EGRESOS </t>
  </si>
  <si>
    <t>UTILIDAD BRUTA</t>
  </si>
  <si>
    <t>(-) Amortización del Intangible</t>
  </si>
  <si>
    <t xml:space="preserve"> (-) Depreciación</t>
  </si>
  <si>
    <t>(-) Gastos Finacieros</t>
  </si>
  <si>
    <t>(-) Amortización</t>
  </si>
  <si>
    <t>UTILIDAD ANTES DE IMP. Y PART.</t>
  </si>
  <si>
    <t>(-) Impuesto del 25%</t>
  </si>
  <si>
    <t>(-) Particpación 15%</t>
  </si>
  <si>
    <t>UTILIDAD NETA</t>
  </si>
  <si>
    <t>(+) Amortización Intangible</t>
  </si>
  <si>
    <t>(+) Depreciación</t>
  </si>
  <si>
    <t>(-) Inversión</t>
  </si>
  <si>
    <t>(+) Préstamo</t>
  </si>
  <si>
    <t>(-) Capital de Trabajo</t>
  </si>
  <si>
    <t>(+) Recuperación de Capital de Trabajo</t>
  </si>
  <si>
    <t>(+) Valor de Desecho</t>
  </si>
  <si>
    <t>Flujo Efectivo Neto</t>
  </si>
  <si>
    <t>INDICADORES FINANCIEROS</t>
  </si>
  <si>
    <t>VAN</t>
  </si>
  <si>
    <t>TIR</t>
  </si>
  <si>
    <t>TMAR</t>
  </si>
  <si>
    <t>PAYBACK</t>
  </si>
  <si>
    <t>Período (años)</t>
  </si>
  <si>
    <t>Saldo Inversion</t>
  </si>
  <si>
    <t>Flujo de Caja</t>
  </si>
  <si>
    <t>Rentabilidad Exigida</t>
  </si>
  <si>
    <t>Recuperación Inversión</t>
  </si>
  <si>
    <t>CAPM</t>
  </si>
  <si>
    <t>Re=</t>
  </si>
  <si>
    <t>Rf=</t>
  </si>
  <si>
    <t>Máxima Tasa pagada a los Bonos del Estado (Bonos del Estado Ley 9817 - Vencimiento Dic. - 2010)</t>
  </si>
  <si>
    <t>Rm=</t>
  </si>
  <si>
    <t>Rendimiento de Mercado de Restaurants S&amp;P 500</t>
  </si>
  <si>
    <t>β</t>
  </si>
  <si>
    <t>Rp=</t>
  </si>
  <si>
    <t>Riesgo País según el B.C.E.</t>
  </si>
  <si>
    <t>Rf =</t>
  </si>
  <si>
    <t>Rm =</t>
  </si>
  <si>
    <t>β =</t>
  </si>
  <si>
    <t>Rp =</t>
  </si>
  <si>
    <t>Re =</t>
  </si>
  <si>
    <t>Starbucks; yahoo finance</t>
  </si>
  <si>
    <t>Refrigerador</t>
  </si>
  <si>
    <t>VL</t>
  </si>
  <si>
    <t>Año dep.</t>
  </si>
  <si>
    <t>Dep. Anual</t>
  </si>
  <si>
    <t>Vida util</t>
  </si>
  <si>
    <t>FLUCTUACIONES</t>
  </si>
  <si>
    <t>PRECIO</t>
  </si>
  <si>
    <t>ORIGINAL</t>
  </si>
  <si>
    <t>INCREMENTO 5%</t>
  </si>
  <si>
    <t>INCREMENTO 7,5%</t>
  </si>
  <si>
    <t>INCREMENTO 10%</t>
  </si>
  <si>
    <t>DISMINUCIÓN 1%</t>
  </si>
  <si>
    <t>DISMINUCIÓN2%</t>
  </si>
  <si>
    <t>DISMINUCIÓN 3%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</si>
</sst>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_);\(&quot;$&quot;\ #,##0.00\)"/>
    <numFmt numFmtId="165" formatCode="_(&quot;$&quot;\ * #,##0.00_);_(&quot;$&quot;\ * \(#,##0.00\);_(&quot;$&quot;\ * &quot;-&quot;??_);_(@_)"/>
    <numFmt numFmtId="166" formatCode="&quot;$&quot;\ #,##0"/>
    <numFmt numFmtId="167" formatCode="[$$-409]#,##0.00"/>
    <numFmt numFmtId="168" formatCode="_ &quot;$&quot;\ * #,##0.00_ ;_ &quot;$&quot;\ * \-#,##0.00_ ;_ &quot;$&quot;\ * &quot;-&quot;??_ ;_ @_ "/>
    <numFmt numFmtId="169" formatCode="0.0000%"/>
    <numFmt numFmtId="170" formatCode="[$$-300A]\ #,##0.00"/>
    <numFmt numFmtId="171" formatCode="[$$-300A]\ #,##0.00_ ;\-[$$-300A]\ #,##0.00\ "/>
    <numFmt numFmtId="172" formatCode="0.0"/>
    <numFmt numFmtId="173" formatCode="_-[$$-300A]\ * #,##0_ ;_-[$$-300A]\ * \-#,##0\ ;_-[$$-300A]\ * &quot;-&quot;??_ ;_-@_ "/>
    <numFmt numFmtId="174" formatCode="&quot;$&quot;\ #,##0.00"/>
    <numFmt numFmtId="175" formatCode="_([$$-409]* #,##0.00_);_([$$-409]* \(#,##0.00\);_([$$-409]* &quot;-&quot;??_);_(@_)"/>
    <numFmt numFmtId="176" formatCode="_-* #,##0.00\ _€_-;\-* #,##0.00\ _€_-;_-* &quot;-&quot;??\ _€_-;_-@_-"/>
    <numFmt numFmtId="177" formatCode="_ [$$-2C0A]\ * #,##0.00_ ;_ [$$-2C0A]\ * \-#,##0.00_ ;_ [$$-2C0A]\ * &quot;-&quot;??_ ;_ @_ "/>
    <numFmt numFmtId="178" formatCode="[$$-2C0A]\ #,##0.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u val="single"/>
      <sz val="9"/>
      <color indexed="9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9"/>
      <color indexed="10"/>
      <name val="Calibri"/>
      <family val="2"/>
    </font>
    <font>
      <sz val="11"/>
      <color indexed="8"/>
      <name val="Arial"/>
      <family val="2"/>
    </font>
    <font>
      <b/>
      <sz val="13.5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3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u val="single"/>
      <sz val="9"/>
      <color rgb="FFFF0000"/>
      <name val="Calibri"/>
      <family val="2"/>
    </font>
    <font>
      <b/>
      <u val="single"/>
      <sz val="9"/>
      <color theme="0"/>
      <name val="Calibri"/>
      <family val="2"/>
    </font>
    <font>
      <sz val="11"/>
      <color theme="1"/>
      <name val="Arial"/>
      <family val="2"/>
    </font>
    <font>
      <b/>
      <sz val="13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 tint="0.04998999834060669"/>
      <name val="Arial"/>
      <family val="2"/>
    </font>
    <font>
      <b/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 tint="0.04998999834060669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 tint="0.0499899983406066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double"/>
      <top/>
      <bottom/>
    </border>
    <border>
      <left style="double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double"/>
      <right/>
      <top style="double"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09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33" borderId="10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166" fontId="65" fillId="0" borderId="16" xfId="0" applyNumberFormat="1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15" xfId="0" applyFont="1" applyFill="1" applyBorder="1" applyAlignment="1">
      <alignment/>
    </xf>
    <xf numFmtId="0" fontId="65" fillId="0" borderId="18" xfId="0" applyFont="1" applyBorder="1" applyAlignment="1">
      <alignment/>
    </xf>
    <xf numFmtId="0" fontId="65" fillId="34" borderId="15" xfId="0" applyFont="1" applyFill="1" applyBorder="1" applyAlignment="1">
      <alignment/>
    </xf>
    <xf numFmtId="166" fontId="65" fillId="34" borderId="16" xfId="0" applyNumberFormat="1" applyFont="1" applyFill="1" applyBorder="1" applyAlignment="1">
      <alignment/>
    </xf>
    <xf numFmtId="0" fontId="65" fillId="34" borderId="17" xfId="0" applyFont="1" applyFill="1" applyBorder="1" applyAlignment="1">
      <alignment/>
    </xf>
    <xf numFmtId="0" fontId="65" fillId="0" borderId="19" xfId="0" applyFont="1" applyFill="1" applyBorder="1" applyAlignment="1">
      <alignment/>
    </xf>
    <xf numFmtId="166" fontId="65" fillId="0" borderId="20" xfId="0" applyNumberFormat="1" applyFont="1" applyBorder="1" applyAlignment="1">
      <alignment/>
    </xf>
    <xf numFmtId="0" fontId="65" fillId="0" borderId="21" xfId="0" applyFont="1" applyBorder="1" applyAlignment="1">
      <alignment/>
    </xf>
    <xf numFmtId="166" fontId="68" fillId="0" borderId="22" xfId="0" applyNumberFormat="1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22" xfId="0" applyFont="1" applyBorder="1" applyAlignment="1">
      <alignment horizontal="center"/>
    </xf>
    <xf numFmtId="166" fontId="68" fillId="0" borderId="22" xfId="0" applyNumberFormat="1" applyFont="1" applyBorder="1" applyAlignment="1">
      <alignment/>
    </xf>
    <xf numFmtId="0" fontId="65" fillId="0" borderId="14" xfId="0" applyFont="1" applyFill="1" applyBorder="1" applyAlignment="1">
      <alignment/>
    </xf>
    <xf numFmtId="0" fontId="65" fillId="0" borderId="23" xfId="0" applyFont="1" applyFill="1" applyBorder="1" applyAlignment="1">
      <alignment horizontal="right"/>
    </xf>
    <xf numFmtId="166" fontId="65" fillId="0" borderId="24" xfId="0" applyNumberFormat="1" applyFont="1" applyFill="1" applyBorder="1" applyAlignment="1">
      <alignment horizontal="right"/>
    </xf>
    <xf numFmtId="0" fontId="65" fillId="0" borderId="25" xfId="0" applyFont="1" applyFill="1" applyBorder="1" applyAlignment="1">
      <alignment horizontal="right"/>
    </xf>
    <xf numFmtId="0" fontId="65" fillId="0" borderId="26" xfId="0" applyFont="1" applyBorder="1" applyAlignment="1">
      <alignment/>
    </xf>
    <xf numFmtId="0" fontId="65" fillId="0" borderId="27" xfId="0" applyFont="1" applyBorder="1" applyAlignment="1">
      <alignment/>
    </xf>
    <xf numFmtId="166" fontId="65" fillId="0" borderId="28" xfId="0" applyNumberFormat="1" applyFont="1" applyBorder="1" applyAlignment="1">
      <alignment/>
    </xf>
    <xf numFmtId="0" fontId="65" fillId="0" borderId="29" xfId="0" applyFont="1" applyBorder="1" applyAlignment="1">
      <alignment/>
    </xf>
    <xf numFmtId="0" fontId="67" fillId="34" borderId="30" xfId="0" applyFont="1" applyFill="1" applyBorder="1" applyAlignment="1">
      <alignment/>
    </xf>
    <xf numFmtId="0" fontId="65" fillId="34" borderId="27" xfId="0" applyFont="1" applyFill="1" applyBorder="1" applyAlignment="1">
      <alignment/>
    </xf>
    <xf numFmtId="166" fontId="65" fillId="34" borderId="28" xfId="0" applyNumberFormat="1" applyFont="1" applyFill="1" applyBorder="1" applyAlignment="1">
      <alignment/>
    </xf>
    <xf numFmtId="0" fontId="65" fillId="34" borderId="29" xfId="0" applyFont="1" applyFill="1" applyBorder="1" applyAlignment="1">
      <alignment/>
    </xf>
    <xf numFmtId="0" fontId="65" fillId="0" borderId="30" xfId="0" applyFont="1" applyBorder="1" applyAlignment="1">
      <alignment/>
    </xf>
    <xf numFmtId="0" fontId="65" fillId="0" borderId="16" xfId="0" applyFont="1" applyBorder="1" applyAlignment="1">
      <alignment/>
    </xf>
    <xf numFmtId="166" fontId="65" fillId="0" borderId="24" xfId="0" applyNumberFormat="1" applyFont="1" applyBorder="1" applyAlignment="1">
      <alignment/>
    </xf>
    <xf numFmtId="0" fontId="65" fillId="0" borderId="31" xfId="0" applyFont="1" applyBorder="1" applyAlignment="1">
      <alignment/>
    </xf>
    <xf numFmtId="0" fontId="65" fillId="0" borderId="32" xfId="0" applyFont="1" applyFill="1" applyBorder="1" applyAlignment="1">
      <alignment/>
    </xf>
    <xf numFmtId="0" fontId="65" fillId="0" borderId="16" xfId="0" applyFont="1" applyFill="1" applyBorder="1" applyAlignment="1">
      <alignment horizontal="right"/>
    </xf>
    <xf numFmtId="166" fontId="65" fillId="0" borderId="16" xfId="0" applyNumberFormat="1" applyFont="1" applyFill="1" applyBorder="1" applyAlignment="1">
      <alignment horizontal="right"/>
    </xf>
    <xf numFmtId="0" fontId="69" fillId="0" borderId="0" xfId="38" applyFont="1" applyFill="1" applyBorder="1" applyAlignment="1">
      <alignment vertical="center"/>
    </xf>
    <xf numFmtId="0" fontId="66" fillId="33" borderId="33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7" fillId="34" borderId="34" xfId="0" applyFont="1" applyFill="1" applyBorder="1" applyAlignment="1">
      <alignment/>
    </xf>
    <xf numFmtId="0" fontId="67" fillId="34" borderId="35" xfId="0" applyFont="1" applyFill="1" applyBorder="1" applyAlignment="1">
      <alignment/>
    </xf>
    <xf numFmtId="0" fontId="67" fillId="34" borderId="23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36" xfId="0" applyFont="1" applyBorder="1" applyAlignment="1">
      <alignment/>
    </xf>
    <xf numFmtId="166" fontId="65" fillId="0" borderId="0" xfId="0" applyNumberFormat="1" applyFont="1" applyBorder="1" applyAlignment="1">
      <alignment/>
    </xf>
    <xf numFmtId="0" fontId="65" fillId="0" borderId="16" xfId="0" applyFont="1" applyBorder="1" applyAlignment="1">
      <alignment horizontal="center"/>
    </xf>
    <xf numFmtId="0" fontId="66" fillId="0" borderId="16" xfId="0" applyFont="1" applyBorder="1" applyAlignment="1">
      <alignment/>
    </xf>
    <xf numFmtId="166" fontId="68" fillId="0" borderId="16" xfId="0" applyNumberFormat="1" applyFont="1" applyBorder="1" applyAlignment="1">
      <alignment/>
    </xf>
    <xf numFmtId="0" fontId="70" fillId="35" borderId="0" xfId="0" applyFont="1" applyFill="1" applyAlignment="1">
      <alignment/>
    </xf>
    <xf numFmtId="167" fontId="70" fillId="35" borderId="0" xfId="0" applyNumberFormat="1" applyFont="1" applyFill="1" applyAlignment="1">
      <alignment/>
    </xf>
    <xf numFmtId="167" fontId="70" fillId="35" borderId="37" xfId="0" applyNumberFormat="1" applyFont="1" applyFill="1" applyBorder="1" applyAlignment="1">
      <alignment/>
    </xf>
    <xf numFmtId="10" fontId="70" fillId="35" borderId="0" xfId="53" applyNumberFormat="1" applyFont="1" applyFill="1" applyAlignment="1">
      <alignment/>
    </xf>
    <xf numFmtId="165" fontId="70" fillId="35" borderId="0" xfId="48" applyNumberFormat="1" applyFont="1" applyFill="1" applyAlignment="1">
      <alignment/>
    </xf>
    <xf numFmtId="0" fontId="71" fillId="35" borderId="0" xfId="0" applyFont="1" applyFill="1" applyAlignment="1">
      <alignment horizontal="center"/>
    </xf>
    <xf numFmtId="0" fontId="70" fillId="35" borderId="0" xfId="0" applyFont="1" applyFill="1" applyBorder="1" applyAlignment="1">
      <alignment/>
    </xf>
    <xf numFmtId="0" fontId="72" fillId="35" borderId="0" xfId="0" applyFont="1" applyFill="1" applyAlignment="1">
      <alignment/>
    </xf>
    <xf numFmtId="0" fontId="70" fillId="35" borderId="0" xfId="0" applyFont="1" applyFill="1" applyAlignment="1">
      <alignment horizontal="left" indent="1"/>
    </xf>
    <xf numFmtId="0" fontId="73" fillId="35" borderId="38" xfId="0" applyFont="1" applyFill="1" applyBorder="1" applyAlignment="1">
      <alignment vertical="center"/>
    </xf>
    <xf numFmtId="0" fontId="73" fillId="35" borderId="0" xfId="0" applyFont="1" applyFill="1" applyBorder="1" applyAlignment="1">
      <alignment vertical="center"/>
    </xf>
    <xf numFmtId="0" fontId="70" fillId="35" borderId="0" xfId="0" applyFont="1" applyFill="1" applyBorder="1" applyAlignment="1">
      <alignment horizontal="right" vertical="center"/>
    </xf>
    <xf numFmtId="0" fontId="70" fillId="35" borderId="39" xfId="0" applyFont="1" applyFill="1" applyBorder="1" applyAlignment="1">
      <alignment horizontal="right" vertical="center"/>
    </xf>
    <xf numFmtId="10" fontId="74" fillId="35" borderId="0" xfId="53" applyNumberFormat="1" applyFont="1" applyFill="1" applyBorder="1" applyAlignment="1">
      <alignment horizontal="right" vertical="center"/>
    </xf>
    <xf numFmtId="168" fontId="15" fillId="35" borderId="39" xfId="48" applyNumberFormat="1" applyFont="1" applyFill="1" applyBorder="1" applyAlignment="1">
      <alignment/>
    </xf>
    <xf numFmtId="168" fontId="15" fillId="35" borderId="0" xfId="48" applyNumberFormat="1" applyFont="1" applyFill="1" applyBorder="1" applyAlignment="1">
      <alignment/>
    </xf>
    <xf numFmtId="0" fontId="73" fillId="35" borderId="40" xfId="0" applyFont="1" applyFill="1" applyBorder="1" applyAlignment="1">
      <alignment vertical="center"/>
    </xf>
    <xf numFmtId="0" fontId="73" fillId="35" borderId="35" xfId="0" applyFont="1" applyFill="1" applyBorder="1" applyAlignment="1">
      <alignment vertical="center"/>
    </xf>
    <xf numFmtId="0" fontId="70" fillId="35" borderId="35" xfId="0" applyFont="1" applyFill="1" applyBorder="1" applyAlignment="1">
      <alignment horizontal="right" vertical="center"/>
    </xf>
    <xf numFmtId="0" fontId="70" fillId="35" borderId="35" xfId="0" applyFont="1" applyFill="1" applyBorder="1" applyAlignment="1">
      <alignment vertical="center"/>
    </xf>
    <xf numFmtId="0" fontId="70" fillId="35" borderId="23" xfId="0" applyFont="1" applyFill="1" applyBorder="1" applyAlignment="1">
      <alignment vertical="center"/>
    </xf>
    <xf numFmtId="169" fontId="70" fillId="35" borderId="0" xfId="53" applyNumberFormat="1" applyFont="1" applyFill="1" applyAlignment="1">
      <alignment/>
    </xf>
    <xf numFmtId="0" fontId="70" fillId="35" borderId="0" xfId="0" applyFont="1" applyFill="1" applyBorder="1" applyAlignment="1">
      <alignment vertical="center"/>
    </xf>
    <xf numFmtId="0" fontId="73" fillId="35" borderId="24" xfId="0" applyFont="1" applyFill="1" applyBorder="1" applyAlignment="1">
      <alignment horizontal="center" vertical="center"/>
    </xf>
    <xf numFmtId="0" fontId="73" fillId="35" borderId="0" xfId="0" applyFont="1" applyFill="1" applyBorder="1" applyAlignment="1">
      <alignment horizontal="center" vertical="center"/>
    </xf>
    <xf numFmtId="0" fontId="70" fillId="35" borderId="16" xfId="0" applyFont="1" applyFill="1" applyBorder="1" applyAlignment="1">
      <alignment/>
    </xf>
    <xf numFmtId="170" fontId="70" fillId="35" borderId="16" xfId="0" applyNumberFormat="1" applyFont="1" applyFill="1" applyBorder="1" applyAlignment="1">
      <alignment/>
    </xf>
    <xf numFmtId="171" fontId="70" fillId="35" borderId="16" xfId="46" applyNumberFormat="1" applyFont="1" applyFill="1" applyBorder="1" applyAlignment="1">
      <alignment/>
    </xf>
    <xf numFmtId="167" fontId="70" fillId="35" borderId="0" xfId="0" applyNumberFormat="1" applyFont="1" applyFill="1" applyBorder="1" applyAlignment="1">
      <alignment/>
    </xf>
    <xf numFmtId="170" fontId="70" fillId="35" borderId="0" xfId="0" applyNumberFormat="1" applyFont="1" applyFill="1" applyBorder="1" applyAlignment="1">
      <alignment/>
    </xf>
    <xf numFmtId="0" fontId="73" fillId="35" borderId="16" xfId="0" applyFont="1" applyFill="1" applyBorder="1" applyAlignment="1">
      <alignment horizontal="right"/>
    </xf>
    <xf numFmtId="0" fontId="70" fillId="35" borderId="0" xfId="0" applyFont="1" applyFill="1" applyAlignment="1">
      <alignment horizontal="left" indent="2"/>
    </xf>
    <xf numFmtId="170" fontId="70" fillId="35" borderId="0" xfId="0" applyNumberFormat="1" applyFont="1" applyFill="1" applyAlignment="1">
      <alignment/>
    </xf>
    <xf numFmtId="0" fontId="75" fillId="0" borderId="16" xfId="0" applyFont="1" applyBorder="1" applyAlignment="1">
      <alignment/>
    </xf>
    <xf numFmtId="0" fontId="65" fillId="0" borderId="16" xfId="0" applyFont="1" applyFill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0" fontId="75" fillId="0" borderId="16" xfId="0" applyFont="1" applyFill="1" applyBorder="1" applyAlignment="1">
      <alignment/>
    </xf>
    <xf numFmtId="166" fontId="0" fillId="0" borderId="16" xfId="0" applyNumberFormat="1" applyBorder="1" applyAlignment="1">
      <alignment/>
    </xf>
    <xf numFmtId="166" fontId="64" fillId="0" borderId="0" xfId="0" applyNumberFormat="1" applyFont="1" applyAlignment="1">
      <alignment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/>
    </xf>
    <xf numFmtId="0" fontId="66" fillId="0" borderId="41" xfId="0" applyFont="1" applyFill="1" applyBorder="1" applyAlignment="1">
      <alignment/>
    </xf>
    <xf numFmtId="0" fontId="64" fillId="0" borderId="16" xfId="0" applyFont="1" applyBorder="1" applyAlignment="1">
      <alignment/>
    </xf>
    <xf numFmtId="2" fontId="64" fillId="0" borderId="16" xfId="0" applyNumberFormat="1" applyFont="1" applyBorder="1" applyAlignment="1">
      <alignment/>
    </xf>
    <xf numFmtId="0" fontId="64" fillId="0" borderId="16" xfId="0" applyFont="1" applyFill="1" applyBorder="1" applyAlignment="1">
      <alignment/>
    </xf>
    <xf numFmtId="9" fontId="0" fillId="0" borderId="0" xfId="0" applyNumberFormat="1" applyAlignment="1">
      <alignment/>
    </xf>
    <xf numFmtId="172" fontId="64" fillId="0" borderId="16" xfId="0" applyNumberFormat="1" applyFont="1" applyBorder="1" applyAlignment="1">
      <alignment/>
    </xf>
    <xf numFmtId="0" fontId="0" fillId="0" borderId="0" xfId="51">
      <alignment/>
      <protection/>
    </xf>
    <xf numFmtId="9" fontId="0" fillId="0" borderId="0" xfId="51" applyNumberFormat="1">
      <alignment/>
      <protection/>
    </xf>
    <xf numFmtId="0" fontId="73" fillId="36" borderId="24" xfId="0" applyFont="1" applyFill="1" applyBorder="1" applyAlignment="1">
      <alignment horizontal="center"/>
    </xf>
    <xf numFmtId="0" fontId="73" fillId="35" borderId="16" xfId="0" applyFont="1" applyFill="1" applyBorder="1" applyAlignment="1">
      <alignment/>
    </xf>
    <xf numFmtId="0" fontId="70" fillId="35" borderId="16" xfId="0" applyFont="1" applyFill="1" applyBorder="1" applyAlignment="1">
      <alignment horizontal="right"/>
    </xf>
    <xf numFmtId="165" fontId="70" fillId="35" borderId="16" xfId="0" applyNumberFormat="1" applyFont="1" applyFill="1" applyBorder="1" applyAlignment="1">
      <alignment/>
    </xf>
    <xf numFmtId="0" fontId="74" fillId="35" borderId="16" xfId="0" applyFont="1" applyFill="1" applyBorder="1" applyAlignment="1">
      <alignment horizontal="right" vertical="center"/>
    </xf>
    <xf numFmtId="165" fontId="70" fillId="35" borderId="16" xfId="48" applyFont="1" applyFill="1" applyBorder="1" applyAlignment="1">
      <alignment/>
    </xf>
    <xf numFmtId="0" fontId="72" fillId="35" borderId="16" xfId="0" applyFont="1" applyFill="1" applyBorder="1" applyAlignment="1">
      <alignment horizontal="left" vertical="center"/>
    </xf>
    <xf numFmtId="0" fontId="73" fillId="35" borderId="16" xfId="0" applyFont="1" applyFill="1" applyBorder="1" applyAlignment="1">
      <alignment horizontal="left" vertical="center"/>
    </xf>
    <xf numFmtId="0" fontId="73" fillId="35" borderId="41" xfId="0" applyFont="1" applyFill="1" applyBorder="1" applyAlignment="1">
      <alignment horizontal="center"/>
    </xf>
    <xf numFmtId="165" fontId="73" fillId="37" borderId="16" xfId="48" applyFont="1" applyFill="1" applyBorder="1" applyAlignment="1">
      <alignment/>
    </xf>
    <xf numFmtId="0" fontId="70" fillId="35" borderId="41" xfId="0" applyFont="1" applyFill="1" applyBorder="1" applyAlignment="1">
      <alignment horizontal="right" vertical="center"/>
    </xf>
    <xf numFmtId="0" fontId="73" fillId="37" borderId="42" xfId="0" applyFont="1" applyFill="1" applyBorder="1" applyAlignment="1">
      <alignment/>
    </xf>
    <xf numFmtId="0" fontId="73" fillId="37" borderId="43" xfId="0" applyFont="1" applyFill="1" applyBorder="1" applyAlignment="1">
      <alignment horizontal="left"/>
    </xf>
    <xf numFmtId="0" fontId="70" fillId="0" borderId="0" xfId="0" applyFont="1" applyAlignment="1">
      <alignment/>
    </xf>
    <xf numFmtId="0" fontId="73" fillId="0" borderId="16" xfId="0" applyFont="1" applyBorder="1" applyAlignment="1">
      <alignment/>
    </xf>
    <xf numFmtId="0" fontId="73" fillId="0" borderId="16" xfId="0" applyFont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0" fillId="0" borderId="16" xfId="0" applyFont="1" applyBorder="1" applyAlignment="1">
      <alignment/>
    </xf>
    <xf numFmtId="3" fontId="70" fillId="0" borderId="16" xfId="0" applyNumberFormat="1" applyFont="1" applyBorder="1" applyAlignment="1">
      <alignment/>
    </xf>
    <xf numFmtId="0" fontId="70" fillId="0" borderId="16" xfId="0" applyFont="1" applyBorder="1" applyAlignment="1">
      <alignment horizontal="right" vertical="center"/>
    </xf>
    <xf numFmtId="3" fontId="70" fillId="0" borderId="16" xfId="0" applyNumberFormat="1" applyFont="1" applyBorder="1" applyAlignment="1">
      <alignment horizontal="right" vertical="center"/>
    </xf>
    <xf numFmtId="0" fontId="70" fillId="0" borderId="16" xfId="0" applyFont="1" applyFill="1" applyBorder="1" applyAlignment="1">
      <alignment/>
    </xf>
    <xf numFmtId="173" fontId="76" fillId="0" borderId="16" xfId="0" applyNumberFormat="1" applyFont="1" applyBorder="1" applyAlignment="1">
      <alignment/>
    </xf>
    <xf numFmtId="166" fontId="77" fillId="0" borderId="16" xfId="0" applyNumberFormat="1" applyFont="1" applyBorder="1" applyAlignment="1">
      <alignment/>
    </xf>
    <xf numFmtId="49" fontId="73" fillId="0" borderId="0" xfId="0" applyNumberFormat="1" applyFont="1" applyFill="1" applyBorder="1" applyAlignment="1">
      <alignment horizontal="left"/>
    </xf>
    <xf numFmtId="49" fontId="70" fillId="0" borderId="0" xfId="46" applyNumberFormat="1" applyFont="1" applyFill="1" applyAlignment="1">
      <alignment horizontal="center"/>
    </xf>
    <xf numFmtId="0" fontId="70" fillId="0" borderId="0" xfId="51" applyFont="1" applyFill="1" applyAlignment="1">
      <alignment horizontal="center"/>
      <protection/>
    </xf>
    <xf numFmtId="49" fontId="73" fillId="0" borderId="0" xfId="0" applyNumberFormat="1" applyFont="1" applyFill="1" applyBorder="1" applyAlignment="1">
      <alignment/>
    </xf>
    <xf numFmtId="174" fontId="73" fillId="0" borderId="0" xfId="48" applyNumberFormat="1" applyFont="1" applyFill="1" applyAlignment="1">
      <alignment/>
    </xf>
    <xf numFmtId="174" fontId="73" fillId="0" borderId="0" xfId="51" applyNumberFormat="1" applyFont="1" applyFill="1">
      <alignment/>
      <protection/>
    </xf>
    <xf numFmtId="49" fontId="70" fillId="0" borderId="0" xfId="0" applyNumberFormat="1" applyFont="1" applyFill="1" applyBorder="1" applyAlignment="1">
      <alignment/>
    </xf>
    <xf numFmtId="175" fontId="70" fillId="0" borderId="0" xfId="48" applyNumberFormat="1" applyFont="1" applyFill="1" applyBorder="1" applyAlignment="1">
      <alignment/>
    </xf>
    <xf numFmtId="0" fontId="73" fillId="0" borderId="0" xfId="51" applyFont="1" applyFill="1">
      <alignment/>
      <protection/>
    </xf>
    <xf numFmtId="175" fontId="73" fillId="0" borderId="0" xfId="48" applyNumberFormat="1" applyFont="1" applyFill="1" applyBorder="1" applyAlignment="1">
      <alignment/>
    </xf>
    <xf numFmtId="175" fontId="19" fillId="0" borderId="0" xfId="38" applyNumberFormat="1" applyFont="1" applyFill="1" applyBorder="1" applyAlignment="1">
      <alignment/>
    </xf>
    <xf numFmtId="49" fontId="20" fillId="0" borderId="0" xfId="38" applyNumberFormat="1" applyFont="1" applyFill="1" applyBorder="1" applyAlignment="1">
      <alignment/>
    </xf>
    <xf numFmtId="49" fontId="73" fillId="38" borderId="44" xfId="0" applyNumberFormat="1" applyFont="1" applyFill="1" applyBorder="1" applyAlignment="1">
      <alignment/>
    </xf>
    <xf numFmtId="49" fontId="70" fillId="39" borderId="45" xfId="0" applyNumberFormat="1" applyFont="1" applyFill="1" applyBorder="1" applyAlignment="1">
      <alignment/>
    </xf>
    <xf numFmtId="49" fontId="70" fillId="38" borderId="45" xfId="0" applyNumberFormat="1" applyFont="1" applyFill="1" applyBorder="1" applyAlignment="1">
      <alignment/>
    </xf>
    <xf numFmtId="0" fontId="73" fillId="38" borderId="45" xfId="51" applyFont="1" applyFill="1" applyBorder="1">
      <alignment/>
      <protection/>
    </xf>
    <xf numFmtId="49" fontId="20" fillId="39" borderId="46" xfId="38" applyNumberFormat="1" applyFont="1" applyFill="1" applyBorder="1" applyAlignment="1">
      <alignment/>
    </xf>
    <xf numFmtId="0" fontId="64" fillId="0" borderId="16" xfId="0" applyFont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78" fillId="35" borderId="47" xfId="0" applyFont="1" applyFill="1" applyBorder="1" applyAlignment="1">
      <alignment horizontal="center"/>
    </xf>
    <xf numFmtId="0" fontId="78" fillId="35" borderId="48" xfId="0" applyFont="1" applyFill="1" applyBorder="1" applyAlignment="1">
      <alignment horizontal="center"/>
    </xf>
    <xf numFmtId="0" fontId="78" fillId="35" borderId="49" xfId="0" applyFont="1" applyFill="1" applyBorder="1" applyAlignment="1">
      <alignment horizontal="center"/>
    </xf>
    <xf numFmtId="165" fontId="70" fillId="35" borderId="50" xfId="0" applyNumberFormat="1" applyFont="1" applyFill="1" applyBorder="1" applyAlignment="1">
      <alignment/>
    </xf>
    <xf numFmtId="165" fontId="70" fillId="35" borderId="0" xfId="0" applyNumberFormat="1" applyFont="1" applyFill="1" applyBorder="1" applyAlignment="1">
      <alignment/>
    </xf>
    <xf numFmtId="165" fontId="70" fillId="35" borderId="51" xfId="0" applyNumberFormat="1" applyFont="1" applyFill="1" applyBorder="1" applyAlignment="1">
      <alignment/>
    </xf>
    <xf numFmtId="0" fontId="70" fillId="35" borderId="50" xfId="0" applyFont="1" applyFill="1" applyBorder="1" applyAlignment="1">
      <alignment/>
    </xf>
    <xf numFmtId="0" fontId="70" fillId="35" borderId="51" xfId="0" applyFont="1" applyFill="1" applyBorder="1" applyAlignment="1">
      <alignment/>
    </xf>
    <xf numFmtId="165" fontId="70" fillId="35" borderId="52" xfId="0" applyNumberFormat="1" applyFont="1" applyFill="1" applyBorder="1" applyAlignment="1">
      <alignment/>
    </xf>
    <xf numFmtId="165" fontId="70" fillId="35" borderId="53" xfId="0" applyNumberFormat="1" applyFont="1" applyFill="1" applyBorder="1" applyAlignment="1">
      <alignment/>
    </xf>
    <xf numFmtId="165" fontId="70" fillId="35" borderId="54" xfId="0" applyNumberFormat="1" applyFont="1" applyFill="1" applyBorder="1" applyAlignment="1">
      <alignment/>
    </xf>
    <xf numFmtId="0" fontId="77" fillId="19" borderId="55" xfId="0" applyFont="1" applyFill="1" applyBorder="1" applyAlignment="1">
      <alignment/>
    </xf>
    <xf numFmtId="0" fontId="70" fillId="19" borderId="56" xfId="0" applyFont="1" applyFill="1" applyBorder="1" applyAlignment="1">
      <alignment horizontal="right"/>
    </xf>
    <xf numFmtId="0" fontId="73" fillId="19" borderId="56" xfId="0" applyFont="1" applyFill="1" applyBorder="1" applyAlignment="1">
      <alignment horizontal="center"/>
    </xf>
    <xf numFmtId="0" fontId="77" fillId="19" borderId="56" xfId="0" applyFont="1" applyFill="1" applyBorder="1" applyAlignment="1">
      <alignment/>
    </xf>
    <xf numFmtId="0" fontId="70" fillId="19" borderId="56" xfId="0" applyFont="1" applyFill="1" applyBorder="1" applyAlignment="1">
      <alignment/>
    </xf>
    <xf numFmtId="0" fontId="78" fillId="19" borderId="57" xfId="0" applyFont="1" applyFill="1" applyBorder="1" applyAlignment="1">
      <alignment horizontal="center"/>
    </xf>
    <xf numFmtId="0" fontId="78" fillId="19" borderId="58" xfId="0" applyFont="1" applyFill="1" applyBorder="1" applyAlignment="1">
      <alignment horizontal="center"/>
    </xf>
    <xf numFmtId="0" fontId="78" fillId="19" borderId="59" xfId="0" applyFont="1" applyFill="1" applyBorder="1" applyAlignment="1">
      <alignment horizontal="center"/>
    </xf>
    <xf numFmtId="165" fontId="70" fillId="5" borderId="0" xfId="48" applyFont="1" applyFill="1" applyBorder="1" applyAlignment="1">
      <alignment/>
    </xf>
    <xf numFmtId="165" fontId="70" fillId="5" borderId="51" xfId="48" applyFont="1" applyFill="1" applyBorder="1" applyAlignment="1">
      <alignment/>
    </xf>
    <xf numFmtId="0" fontId="73" fillId="35" borderId="0" xfId="0" applyFont="1" applyFill="1" applyAlignment="1">
      <alignment/>
    </xf>
    <xf numFmtId="0" fontId="70" fillId="35" borderId="0" xfId="0" applyFont="1" applyFill="1" applyAlignment="1">
      <alignment horizontal="right"/>
    </xf>
    <xf numFmtId="9" fontId="70" fillId="35" borderId="0" xfId="0" applyNumberFormat="1" applyFont="1" applyFill="1" applyAlignment="1">
      <alignment horizontal="right"/>
    </xf>
    <xf numFmtId="0" fontId="79" fillId="35" borderId="0" xfId="0" applyFont="1" applyFill="1" applyBorder="1" applyAlignment="1">
      <alignment horizontal="right"/>
    </xf>
    <xf numFmtId="0" fontId="80" fillId="36" borderId="55" xfId="0" applyFont="1" applyFill="1" applyBorder="1" applyAlignment="1">
      <alignment horizontal="center"/>
    </xf>
    <xf numFmtId="165" fontId="70" fillId="36" borderId="49" xfId="0" applyNumberFormat="1" applyFont="1" applyFill="1" applyBorder="1" applyAlignment="1">
      <alignment/>
    </xf>
    <xf numFmtId="0" fontId="80" fillId="36" borderId="56" xfId="0" applyFont="1" applyFill="1" applyBorder="1" applyAlignment="1">
      <alignment horizontal="center"/>
    </xf>
    <xf numFmtId="0" fontId="80" fillId="36" borderId="6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27" fillId="35" borderId="0" xfId="0" applyFont="1" applyFill="1" applyAlignment="1">
      <alignment wrapText="1"/>
    </xf>
    <xf numFmtId="2" fontId="70" fillId="35" borderId="35" xfId="0" applyNumberFormat="1" applyFont="1" applyFill="1" applyBorder="1" applyAlignment="1">
      <alignment horizontal="center"/>
    </xf>
    <xf numFmtId="1" fontId="70" fillId="35" borderId="35" xfId="0" applyNumberFormat="1" applyFont="1" applyFill="1" applyBorder="1" applyAlignment="1">
      <alignment horizontal="center"/>
    </xf>
    <xf numFmtId="2" fontId="70" fillId="35" borderId="35" xfId="0" applyNumberFormat="1" applyFont="1" applyFill="1" applyBorder="1" applyAlignment="1">
      <alignment horizontal="left"/>
    </xf>
    <xf numFmtId="0" fontId="27" fillId="35" borderId="35" xfId="0" applyFont="1" applyFill="1" applyBorder="1" applyAlignment="1">
      <alignment wrapText="1"/>
    </xf>
    <xf numFmtId="0" fontId="70" fillId="35" borderId="16" xfId="0" applyFont="1" applyFill="1" applyBorder="1" applyAlignment="1">
      <alignment horizontal="center"/>
    </xf>
    <xf numFmtId="165" fontId="15" fillId="35" borderId="16" xfId="48" applyFont="1" applyFill="1" applyBorder="1" applyAlignment="1">
      <alignment/>
    </xf>
    <xf numFmtId="0" fontId="15" fillId="35" borderId="16" xfId="0" applyFont="1" applyFill="1" applyBorder="1" applyAlignment="1">
      <alignment horizontal="center"/>
    </xf>
    <xf numFmtId="0" fontId="75" fillId="19" borderId="61" xfId="0" applyFont="1" applyFill="1" applyBorder="1" applyAlignment="1">
      <alignment/>
    </xf>
    <xf numFmtId="0" fontId="81" fillId="19" borderId="16" xfId="0" applyFont="1" applyFill="1" applyBorder="1" applyAlignment="1">
      <alignment horizontal="center"/>
    </xf>
    <xf numFmtId="0" fontId="81" fillId="19" borderId="62" xfId="0" applyFont="1" applyFill="1" applyBorder="1" applyAlignment="1">
      <alignment horizontal="center"/>
    </xf>
    <xf numFmtId="0" fontId="75" fillId="19" borderId="56" xfId="0" applyFont="1" applyFill="1" applyBorder="1" applyAlignment="1">
      <alignment/>
    </xf>
    <xf numFmtId="0" fontId="82" fillId="19" borderId="56" xfId="0" applyFont="1" applyFill="1" applyBorder="1" applyAlignment="1">
      <alignment horizontal="right"/>
    </xf>
    <xf numFmtId="0" fontId="83" fillId="19" borderId="56" xfId="0" applyFont="1" applyFill="1" applyBorder="1" applyAlignment="1">
      <alignment horizontal="left"/>
    </xf>
    <xf numFmtId="0" fontId="79" fillId="19" borderId="56" xfId="0" applyFont="1" applyFill="1" applyBorder="1" applyAlignment="1">
      <alignment horizontal="right"/>
    </xf>
    <xf numFmtId="0" fontId="79" fillId="19" borderId="60" xfId="0" applyFont="1" applyFill="1" applyBorder="1" applyAlignment="1">
      <alignment horizontal="right"/>
    </xf>
    <xf numFmtId="165" fontId="84" fillId="19" borderId="52" xfId="0" applyNumberFormat="1" applyFont="1" applyFill="1" applyBorder="1" applyAlignment="1">
      <alignment/>
    </xf>
    <xf numFmtId="0" fontId="73" fillId="7" borderId="50" xfId="0" applyFont="1" applyFill="1" applyBorder="1" applyAlignment="1">
      <alignment/>
    </xf>
    <xf numFmtId="0" fontId="70" fillId="7" borderId="0" xfId="0" applyFont="1" applyFill="1" applyBorder="1" applyAlignment="1">
      <alignment/>
    </xf>
    <xf numFmtId="0" fontId="70" fillId="7" borderId="51" xfId="0" applyFont="1" applyFill="1" applyBorder="1" applyAlignment="1">
      <alignment/>
    </xf>
    <xf numFmtId="165" fontId="70" fillId="7" borderId="50" xfId="0" applyNumberFormat="1" applyFont="1" applyFill="1" applyBorder="1" applyAlignment="1">
      <alignment/>
    </xf>
    <xf numFmtId="165" fontId="70" fillId="7" borderId="0" xfId="0" applyNumberFormat="1" applyFont="1" applyFill="1" applyBorder="1" applyAlignment="1">
      <alignment/>
    </xf>
    <xf numFmtId="165" fontId="70" fillId="7" borderId="51" xfId="0" applyNumberFormat="1" applyFont="1" applyFill="1" applyBorder="1" applyAlignment="1">
      <alignment/>
    </xf>
    <xf numFmtId="165" fontId="73" fillId="7" borderId="50" xfId="0" applyNumberFormat="1" applyFont="1" applyFill="1" applyBorder="1" applyAlignment="1">
      <alignment/>
    </xf>
    <xf numFmtId="165" fontId="73" fillId="7" borderId="0" xfId="0" applyNumberFormat="1" applyFont="1" applyFill="1" applyBorder="1" applyAlignment="1">
      <alignment/>
    </xf>
    <xf numFmtId="165" fontId="73" fillId="7" borderId="51" xfId="0" applyNumberFormat="1" applyFont="1" applyFill="1" applyBorder="1" applyAlignment="1">
      <alignment/>
    </xf>
    <xf numFmtId="165" fontId="70" fillId="7" borderId="63" xfId="0" applyNumberFormat="1" applyFont="1" applyFill="1" applyBorder="1" applyAlignment="1">
      <alignment/>
    </xf>
    <xf numFmtId="165" fontId="70" fillId="7" borderId="35" xfId="0" applyNumberFormat="1" applyFont="1" applyFill="1" applyBorder="1" applyAlignment="1">
      <alignment/>
    </xf>
    <xf numFmtId="165" fontId="73" fillId="7" borderId="64" xfId="0" applyNumberFormat="1" applyFont="1" applyFill="1" applyBorder="1" applyAlignment="1">
      <alignment/>
    </xf>
    <xf numFmtId="165" fontId="73" fillId="7" borderId="65" xfId="0" applyNumberFormat="1" applyFont="1" applyFill="1" applyBorder="1" applyAlignment="1">
      <alignment/>
    </xf>
    <xf numFmtId="165" fontId="73" fillId="7" borderId="66" xfId="0" applyNumberFormat="1" applyFont="1" applyFill="1" applyBorder="1" applyAlignment="1">
      <alignment/>
    </xf>
    <xf numFmtId="176" fontId="73" fillId="7" borderId="0" xfId="0" applyNumberFormat="1" applyFont="1" applyFill="1" applyBorder="1" applyAlignment="1">
      <alignment/>
    </xf>
    <xf numFmtId="176" fontId="73" fillId="7" borderId="51" xfId="0" applyNumberFormat="1" applyFont="1" applyFill="1" applyBorder="1" applyAlignment="1">
      <alignment/>
    </xf>
    <xf numFmtId="165" fontId="25" fillId="7" borderId="0" xfId="0" applyNumberFormat="1" applyFont="1" applyFill="1" applyBorder="1" applyAlignment="1">
      <alignment/>
    </xf>
    <xf numFmtId="165" fontId="25" fillId="7" borderId="51" xfId="0" applyNumberFormat="1" applyFont="1" applyFill="1" applyBorder="1" applyAlignment="1">
      <alignment/>
    </xf>
    <xf numFmtId="0" fontId="70" fillId="7" borderId="50" xfId="0" applyFont="1" applyFill="1" applyBorder="1" applyAlignment="1">
      <alignment/>
    </xf>
    <xf numFmtId="165" fontId="70" fillId="7" borderId="67" xfId="0" applyNumberFormat="1" applyFont="1" applyFill="1" applyBorder="1" applyAlignment="1">
      <alignment/>
    </xf>
    <xf numFmtId="165" fontId="70" fillId="7" borderId="68" xfId="0" applyNumberFormat="1" applyFont="1" applyFill="1" applyBorder="1" applyAlignment="1">
      <alignment/>
    </xf>
    <xf numFmtId="165" fontId="70" fillId="7" borderId="69" xfId="0" applyNumberFormat="1" applyFont="1" applyFill="1" applyBorder="1" applyAlignment="1">
      <alignment/>
    </xf>
    <xf numFmtId="165" fontId="84" fillId="7" borderId="50" xfId="0" applyNumberFormat="1" applyFont="1" applyFill="1" applyBorder="1" applyAlignment="1">
      <alignment/>
    </xf>
    <xf numFmtId="165" fontId="84" fillId="7" borderId="0" xfId="0" applyNumberFormat="1" applyFont="1" applyFill="1" applyBorder="1" applyAlignment="1">
      <alignment/>
    </xf>
    <xf numFmtId="165" fontId="25" fillId="7" borderId="50" xfId="0" applyNumberFormat="1" applyFont="1" applyFill="1" applyBorder="1" applyAlignment="1">
      <alignment/>
    </xf>
    <xf numFmtId="165" fontId="84" fillId="7" borderId="6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6" xfId="0" applyNumberFormat="1" applyBorder="1" applyAlignment="1">
      <alignment/>
    </xf>
    <xf numFmtId="175" fontId="0" fillId="0" borderId="16" xfId="0" applyNumberFormat="1" applyBorder="1" applyAlignment="1">
      <alignment/>
    </xf>
    <xf numFmtId="165" fontId="70" fillId="19" borderId="16" xfId="0" applyNumberFormat="1" applyFont="1" applyFill="1" applyBorder="1" applyAlignment="1">
      <alignment horizontal="center"/>
    </xf>
    <xf numFmtId="175" fontId="0" fillId="19" borderId="16" xfId="0" applyNumberFormat="1" applyFill="1" applyBorder="1" applyAlignment="1">
      <alignment/>
    </xf>
    <xf numFmtId="0" fontId="73" fillId="19" borderId="16" xfId="0" applyFont="1" applyFill="1" applyBorder="1" applyAlignment="1">
      <alignment horizontal="center"/>
    </xf>
    <xf numFmtId="165" fontId="85" fillId="7" borderId="0" xfId="0" applyNumberFormat="1" applyFont="1" applyFill="1" applyBorder="1" applyAlignment="1">
      <alignment/>
    </xf>
    <xf numFmtId="166" fontId="64" fillId="19" borderId="0" xfId="0" applyNumberFormat="1" applyFont="1" applyFill="1" applyAlignment="1">
      <alignment/>
    </xf>
    <xf numFmtId="164" fontId="84" fillId="7" borderId="50" xfId="0" applyNumberFormat="1" applyFont="1" applyFill="1" applyBorder="1" applyAlignment="1">
      <alignment/>
    </xf>
    <xf numFmtId="0" fontId="86" fillId="35" borderId="55" xfId="0" applyFont="1" applyFill="1" applyBorder="1" applyAlignment="1">
      <alignment/>
    </xf>
    <xf numFmtId="10" fontId="87" fillId="35" borderId="49" xfId="53" applyNumberFormat="1" applyFont="1" applyFill="1" applyBorder="1" applyAlignment="1">
      <alignment horizontal="center"/>
    </xf>
    <xf numFmtId="0" fontId="86" fillId="35" borderId="56" xfId="0" applyFont="1" applyFill="1" applyBorder="1" applyAlignment="1">
      <alignment/>
    </xf>
    <xf numFmtId="10" fontId="87" fillId="35" borderId="51" xfId="53" applyNumberFormat="1" applyFont="1" applyFill="1" applyBorder="1" applyAlignment="1">
      <alignment horizontal="center"/>
    </xf>
    <xf numFmtId="0" fontId="87" fillId="35" borderId="51" xfId="0" applyFont="1" applyFill="1" applyBorder="1" applyAlignment="1">
      <alignment horizontal="center"/>
    </xf>
    <xf numFmtId="0" fontId="80" fillId="36" borderId="60" xfId="0" applyFont="1" applyFill="1" applyBorder="1" applyAlignment="1">
      <alignment/>
    </xf>
    <xf numFmtId="10" fontId="88" fillId="36" borderId="54" xfId="53" applyNumberFormat="1" applyFont="1" applyFill="1" applyBorder="1" applyAlignment="1">
      <alignment horizontal="center"/>
    </xf>
    <xf numFmtId="10" fontId="70" fillId="36" borderId="51" xfId="0" applyNumberFormat="1" applyFont="1" applyFill="1" applyBorder="1" applyAlignment="1">
      <alignment/>
    </xf>
    <xf numFmtId="10" fontId="70" fillId="36" borderId="54" xfId="0" applyNumberFormat="1" applyFont="1" applyFill="1" applyBorder="1" applyAlignment="1">
      <alignment/>
    </xf>
    <xf numFmtId="0" fontId="89" fillId="0" borderId="16" xfId="0" applyFont="1" applyFill="1" applyBorder="1" applyAlignment="1">
      <alignment/>
    </xf>
    <xf numFmtId="174" fontId="0" fillId="0" borderId="16" xfId="0" applyNumberFormat="1" applyBorder="1" applyAlignment="1">
      <alignment/>
    </xf>
    <xf numFmtId="0" fontId="73" fillId="37" borderId="70" xfId="0" applyFont="1" applyFill="1" applyBorder="1" applyAlignment="1">
      <alignment horizontal="center"/>
    </xf>
    <xf numFmtId="0" fontId="73" fillId="37" borderId="55" xfId="0" applyFont="1" applyFill="1" applyBorder="1" applyAlignment="1">
      <alignment horizontal="center"/>
    </xf>
    <xf numFmtId="0" fontId="78" fillId="36" borderId="71" xfId="0" applyFont="1" applyFill="1" applyBorder="1" applyAlignment="1">
      <alignment/>
    </xf>
    <xf numFmtId="177" fontId="70" fillId="35" borderId="72" xfId="48" applyNumberFormat="1" applyFont="1" applyFill="1" applyBorder="1" applyAlignment="1">
      <alignment/>
    </xf>
    <xf numFmtId="178" fontId="70" fillId="35" borderId="71" xfId="0" applyNumberFormat="1" applyFont="1" applyFill="1" applyBorder="1" applyAlignment="1">
      <alignment/>
    </xf>
    <xf numFmtId="10" fontId="70" fillId="35" borderId="72" xfId="0" applyNumberFormat="1" applyFont="1" applyFill="1" applyBorder="1" applyAlignment="1">
      <alignment/>
    </xf>
    <xf numFmtId="10" fontId="70" fillId="35" borderId="71" xfId="0" applyNumberFormat="1" applyFont="1" applyFill="1" applyBorder="1" applyAlignment="1">
      <alignment/>
    </xf>
    <xf numFmtId="0" fontId="78" fillId="36" borderId="16" xfId="0" applyFont="1" applyFill="1" applyBorder="1" applyAlignment="1">
      <alignment/>
    </xf>
    <xf numFmtId="177" fontId="70" fillId="35" borderId="16" xfId="48" applyNumberFormat="1" applyFont="1" applyFill="1" applyBorder="1" applyAlignment="1">
      <alignment/>
    </xf>
    <xf numFmtId="178" fontId="70" fillId="35" borderId="16" xfId="0" applyNumberFormat="1" applyFont="1" applyFill="1" applyBorder="1" applyAlignment="1">
      <alignment/>
    </xf>
    <xf numFmtId="10" fontId="70" fillId="35" borderId="16" xfId="0" applyNumberFormat="1" applyFont="1" applyFill="1" applyBorder="1" applyAlignment="1">
      <alignment/>
    </xf>
    <xf numFmtId="0" fontId="78" fillId="36" borderId="73" xfId="0" applyFont="1" applyFill="1" applyBorder="1" applyAlignment="1">
      <alignment/>
    </xf>
    <xf numFmtId="177" fontId="70" fillId="35" borderId="73" xfId="48" applyNumberFormat="1" applyFont="1" applyFill="1" applyBorder="1" applyAlignment="1">
      <alignment/>
    </xf>
    <xf numFmtId="178" fontId="70" fillId="35" borderId="73" xfId="0" applyNumberFormat="1" applyFont="1" applyFill="1" applyBorder="1" applyAlignment="1">
      <alignment/>
    </xf>
    <xf numFmtId="10" fontId="70" fillId="35" borderId="73" xfId="53" applyNumberFormat="1" applyFont="1" applyFill="1" applyBorder="1" applyAlignment="1">
      <alignment/>
    </xf>
    <xf numFmtId="10" fontId="70" fillId="35" borderId="73" xfId="0" applyNumberFormat="1" applyFont="1" applyFill="1" applyBorder="1" applyAlignment="1">
      <alignment/>
    </xf>
    <xf numFmtId="0" fontId="78" fillId="36" borderId="24" xfId="0" applyFont="1" applyFill="1" applyBorder="1" applyAlignment="1">
      <alignment/>
    </xf>
    <xf numFmtId="178" fontId="70" fillId="35" borderId="24" xfId="0" applyNumberFormat="1" applyFont="1" applyFill="1" applyBorder="1" applyAlignment="1">
      <alignment/>
    </xf>
    <xf numFmtId="10" fontId="70" fillId="35" borderId="24" xfId="0" applyNumberFormat="1" applyFont="1" applyFill="1" applyBorder="1" applyAlignment="1">
      <alignment/>
    </xf>
    <xf numFmtId="0" fontId="78" fillId="36" borderId="0" xfId="0" applyFont="1" applyFill="1" applyBorder="1" applyAlignment="1">
      <alignment/>
    </xf>
    <xf numFmtId="165" fontId="70" fillId="35" borderId="16" xfId="48" applyNumberFormat="1" applyFont="1" applyFill="1" applyBorder="1" applyAlignment="1">
      <alignment horizontal="right"/>
    </xf>
    <xf numFmtId="0" fontId="70" fillId="0" borderId="0" xfId="0" applyFont="1" applyFill="1" applyAlignment="1">
      <alignment/>
    </xf>
    <xf numFmtId="10" fontId="70" fillId="0" borderId="0" xfId="53" applyNumberFormat="1" applyFont="1" applyFill="1" applyAlignment="1">
      <alignment/>
    </xf>
    <xf numFmtId="0" fontId="69" fillId="23" borderId="36" xfId="38" applyFont="1" applyBorder="1" applyAlignment="1">
      <alignment horizontal="center" vertical="center"/>
    </xf>
    <xf numFmtId="0" fontId="69" fillId="23" borderId="0" xfId="38" applyFont="1" applyBorder="1" applyAlignment="1">
      <alignment horizontal="center" vertical="center"/>
    </xf>
    <xf numFmtId="0" fontId="69" fillId="23" borderId="39" xfId="38" applyFont="1" applyBorder="1" applyAlignment="1">
      <alignment horizontal="center" vertical="center"/>
    </xf>
    <xf numFmtId="0" fontId="65" fillId="0" borderId="74" xfId="0" applyFont="1" applyBorder="1" applyAlignment="1">
      <alignment horizontal="center"/>
    </xf>
    <xf numFmtId="0" fontId="65" fillId="0" borderId="68" xfId="0" applyFont="1" applyBorder="1" applyAlignment="1">
      <alignment horizontal="center"/>
    </xf>
    <xf numFmtId="0" fontId="65" fillId="0" borderId="75" xfId="0" applyFont="1" applyBorder="1" applyAlignment="1">
      <alignment horizontal="center"/>
    </xf>
    <xf numFmtId="0" fontId="69" fillId="23" borderId="76" xfId="38" applyFont="1" applyBorder="1" applyAlignment="1">
      <alignment horizontal="center" vertical="center"/>
    </xf>
    <xf numFmtId="0" fontId="69" fillId="23" borderId="77" xfId="38" applyFont="1" applyBorder="1" applyAlignment="1">
      <alignment horizontal="center" vertical="center"/>
    </xf>
    <xf numFmtId="0" fontId="69" fillId="23" borderId="78" xfId="38" applyFont="1" applyBorder="1" applyAlignment="1">
      <alignment horizontal="center" vertical="center"/>
    </xf>
    <xf numFmtId="0" fontId="69" fillId="23" borderId="79" xfId="38" applyFont="1" applyBorder="1" applyAlignment="1">
      <alignment horizontal="center" vertical="center"/>
    </xf>
    <xf numFmtId="0" fontId="69" fillId="23" borderId="80" xfId="38" applyFont="1" applyBorder="1" applyAlignment="1">
      <alignment horizontal="center" vertical="center"/>
    </xf>
    <xf numFmtId="0" fontId="65" fillId="34" borderId="23" xfId="0" applyFont="1" applyFill="1" applyBorder="1" applyAlignment="1">
      <alignment horizontal="center"/>
    </xf>
    <xf numFmtId="0" fontId="65" fillId="34" borderId="24" xfId="0" applyFont="1" applyFill="1" applyBorder="1" applyAlignment="1">
      <alignment horizontal="center"/>
    </xf>
    <xf numFmtId="0" fontId="65" fillId="34" borderId="25" xfId="0" applyFont="1" applyFill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81" xfId="0" applyFont="1" applyBorder="1" applyAlignment="1">
      <alignment horizontal="center"/>
    </xf>
    <xf numFmtId="0" fontId="65" fillId="0" borderId="82" xfId="0" applyFont="1" applyBorder="1" applyAlignment="1">
      <alignment horizontal="center"/>
    </xf>
    <xf numFmtId="166" fontId="65" fillId="34" borderId="15" xfId="0" applyNumberFormat="1" applyFont="1" applyFill="1" applyBorder="1" applyAlignment="1">
      <alignment horizontal="center"/>
    </xf>
    <xf numFmtId="166" fontId="65" fillId="34" borderId="16" xfId="0" applyNumberFormat="1" applyFont="1" applyFill="1" applyBorder="1" applyAlignment="1">
      <alignment horizontal="center"/>
    </xf>
    <xf numFmtId="166" fontId="65" fillId="34" borderId="17" xfId="0" applyNumberFormat="1" applyFont="1" applyFill="1" applyBorder="1" applyAlignment="1">
      <alignment horizontal="center"/>
    </xf>
    <xf numFmtId="0" fontId="72" fillId="35" borderId="16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center" vertical="center"/>
    </xf>
    <xf numFmtId="0" fontId="70" fillId="35" borderId="0" xfId="0" applyFont="1" applyFill="1" applyAlignment="1">
      <alignment horizontal="center"/>
    </xf>
    <xf numFmtId="0" fontId="80" fillId="35" borderId="16" xfId="0" applyFont="1" applyFill="1" applyBorder="1" applyAlignment="1">
      <alignment horizontal="center" vertical="center"/>
    </xf>
    <xf numFmtId="0" fontId="80" fillId="35" borderId="0" xfId="0" applyFont="1" applyFill="1" applyBorder="1" applyAlignment="1">
      <alignment horizontal="center" vertical="center"/>
    </xf>
    <xf numFmtId="0" fontId="0" fillId="0" borderId="83" xfId="0" applyBorder="1" applyAlignment="1">
      <alignment horizontal="left"/>
    </xf>
    <xf numFmtId="0" fontId="0" fillId="0" borderId="15" xfId="0" applyBorder="1" applyAlignment="1">
      <alignment horizontal="left"/>
    </xf>
    <xf numFmtId="0" fontId="64" fillId="0" borderId="83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77" fillId="0" borderId="0" xfId="38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0" fillId="19" borderId="47" xfId="0" applyFont="1" applyFill="1" applyBorder="1" applyAlignment="1">
      <alignment horizontal="center" vertical="center" wrapText="1"/>
    </xf>
    <xf numFmtId="0" fontId="90" fillId="19" borderId="48" xfId="0" applyFont="1" applyFill="1" applyBorder="1" applyAlignment="1">
      <alignment horizontal="center" vertical="center" wrapText="1"/>
    </xf>
    <xf numFmtId="0" fontId="90" fillId="19" borderId="49" xfId="0" applyFont="1" applyFill="1" applyBorder="1" applyAlignment="1">
      <alignment horizontal="center" vertical="center" wrapText="1"/>
    </xf>
    <xf numFmtId="0" fontId="90" fillId="19" borderId="63" xfId="0" applyFont="1" applyFill="1" applyBorder="1" applyAlignment="1">
      <alignment horizontal="center" vertical="center" wrapText="1"/>
    </xf>
    <xf numFmtId="0" fontId="90" fillId="19" borderId="35" xfId="0" applyFont="1" applyFill="1" applyBorder="1" applyAlignment="1">
      <alignment horizontal="center" vertical="center" wrapText="1"/>
    </xf>
    <xf numFmtId="0" fontId="90" fillId="19" borderId="84" xfId="0" applyFont="1" applyFill="1" applyBorder="1" applyAlignment="1">
      <alignment horizontal="center" vertical="center" wrapText="1"/>
    </xf>
    <xf numFmtId="0" fontId="74" fillId="37" borderId="43" xfId="0" applyFont="1" applyFill="1" applyBorder="1" applyAlignment="1">
      <alignment horizontal="center"/>
    </xf>
    <xf numFmtId="0" fontId="74" fillId="37" borderId="85" xfId="0" applyFont="1" applyFill="1" applyBorder="1" applyAlignment="1">
      <alignment horizontal="center"/>
    </xf>
    <xf numFmtId="0" fontId="20" fillId="35" borderId="28" xfId="0" applyFont="1" applyFill="1" applyBorder="1" applyAlignment="1">
      <alignment horizontal="center" vertical="justify" wrapText="1"/>
    </xf>
    <xf numFmtId="0" fontId="20" fillId="35" borderId="24" xfId="0" applyFont="1" applyFill="1" applyBorder="1" applyAlignment="1">
      <alignment horizontal="center" vertical="justify" wrapText="1"/>
    </xf>
    <xf numFmtId="0" fontId="70" fillId="37" borderId="43" xfId="0" applyFont="1" applyFill="1" applyBorder="1" applyAlignment="1">
      <alignment horizontal="center"/>
    </xf>
    <xf numFmtId="0" fontId="70" fillId="37" borderId="8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9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SENSIBILIDAD!$C$2</c:f>
              <c:strCache>
                <c:ptCount val="1"/>
                <c:pt idx="0">
                  <c:v>PRECIO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SENSIBILIDAD!$B$3:$B$9</c:f>
              <c:strCache/>
            </c:strRef>
          </c:cat>
          <c:val>
            <c:numRef>
              <c:f>SENSIBILIDAD!$C$3:$C$9</c:f>
              <c:numCache/>
            </c:numRef>
          </c:val>
          <c:smooth val="0"/>
        </c:ser>
        <c:ser>
          <c:idx val="1"/>
          <c:order val="1"/>
          <c:tx>
            <c:strRef>
              <c:f>SENSIBILIDAD!$D$2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SENSIBILIDAD!$B$3:$B$9</c:f>
              <c:strCache/>
            </c:strRef>
          </c:cat>
          <c:val>
            <c:numRef>
              <c:f>SENSIBILIDAD!$D$3:$D$9</c:f>
              <c:numCache/>
            </c:numRef>
          </c:val>
          <c:smooth val="0"/>
        </c:ser>
        <c:ser>
          <c:idx val="2"/>
          <c:order val="2"/>
          <c:tx>
            <c:strRef>
              <c:f>SENSIBILIDAD!$E$2</c:f>
              <c:strCache>
                <c:ptCount val="1"/>
                <c:pt idx="0">
                  <c:v>TIR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SENSIBILIDAD!$B$3:$B$9</c:f>
              <c:strCache/>
            </c:strRef>
          </c:cat>
          <c:val>
            <c:numRef>
              <c:f>SENSIBILIDAD!$E$3:$E$9</c:f>
              <c:numCache/>
            </c:numRef>
          </c:val>
          <c:smooth val="0"/>
        </c:ser>
        <c:ser>
          <c:idx val="3"/>
          <c:order val="3"/>
          <c:tx>
            <c:strRef>
              <c:f>SENSIBILIDAD!$F$2</c:f>
              <c:strCache>
                <c:ptCount val="1"/>
                <c:pt idx="0">
                  <c:v>TMAR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SENSIBILIDAD!$B$3:$B$9</c:f>
              <c:strCache/>
            </c:strRef>
          </c:cat>
          <c:val>
            <c:numRef>
              <c:f>SENSIBILIDAD!$F$3:$F$9</c:f>
              <c:numCache/>
            </c:numRef>
          </c:val>
          <c:smooth val="0"/>
        </c:ser>
        <c:marker val="1"/>
        <c:axId val="59715636"/>
        <c:axId val="569813"/>
      </c:line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813"/>
        <c:crosses val="autoZero"/>
        <c:auto val="1"/>
        <c:lblOffset val="100"/>
        <c:tickLblSkip val="1"/>
        <c:noMultiLvlLbl val="0"/>
      </c:catAx>
      <c:valAx>
        <c:axId val="569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5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225"/>
          <c:w val="0.167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13</xdr:col>
      <xdr:colOff>19050</xdr:colOff>
      <xdr:row>15</xdr:row>
      <xdr:rowOff>85725</xdr:rowOff>
    </xdr:to>
    <xdr:graphicFrame>
      <xdr:nvGraphicFramePr>
        <xdr:cNvPr id="1" name="1 Gráfico"/>
        <xdr:cNvGraphicFramePr/>
      </xdr:nvGraphicFramePr>
      <xdr:xfrm>
        <a:off x="6076950" y="228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s%20Tec-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os y Maquinarias"/>
      <sheetName val="Balance del Personal"/>
      <sheetName val="Costos Fijos"/>
      <sheetName val="Ingresos"/>
      <sheetName val="Costos"/>
      <sheetName val="Publicidad"/>
      <sheetName val="flujo caja puro"/>
      <sheetName val="Depreciacion"/>
      <sheetName val="capital trabajo"/>
      <sheetName val="Hoja2"/>
    </sheetNames>
    <sheetDataSet>
      <sheetData sheetId="0">
        <row r="58">
          <cell r="I58">
            <v>18368</v>
          </cell>
        </row>
      </sheetData>
      <sheetData sheetId="1">
        <row r="4">
          <cell r="D4">
            <v>1</v>
          </cell>
          <cell r="E4">
            <v>500</v>
          </cell>
        </row>
        <row r="7">
          <cell r="D7">
            <v>1</v>
          </cell>
          <cell r="E7">
            <v>240</v>
          </cell>
        </row>
        <row r="8">
          <cell r="D8">
            <v>2</v>
          </cell>
          <cell r="E8">
            <v>240</v>
          </cell>
        </row>
        <row r="10">
          <cell r="D10">
            <v>1</v>
          </cell>
          <cell r="E10">
            <v>300</v>
          </cell>
        </row>
        <row r="11">
          <cell r="D11">
            <v>1</v>
          </cell>
          <cell r="E11">
            <v>240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1" displayName="Tabla11" ref="C16:H24" totalsRowShown="0">
  <tableColumns count="6">
    <tableColumn id="1" name="DESCRIPCIÓN"/>
    <tableColumn id="2" name="1"/>
    <tableColumn id="3" name="2"/>
    <tableColumn id="4" name="3"/>
    <tableColumn id="5" name="4"/>
    <tableColumn id="6" name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8"/>
  <sheetViews>
    <sheetView zoomScale="74" zoomScaleNormal="74" zoomScalePageLayoutView="0" workbookViewId="0" topLeftCell="C25">
      <selection activeCell="M50" sqref="M50"/>
    </sheetView>
  </sheetViews>
  <sheetFormatPr defaultColWidth="11.421875" defaultRowHeight="15"/>
  <cols>
    <col min="1" max="1" width="11.421875" style="1" customWidth="1"/>
    <col min="2" max="2" width="39.7109375" style="1" bestFit="1" customWidth="1"/>
    <col min="3" max="3" width="6.8515625" style="1" bestFit="1" customWidth="1"/>
    <col min="4" max="4" width="7.7109375" style="1" customWidth="1"/>
    <col min="5" max="5" width="8.7109375" style="1" customWidth="1"/>
    <col min="6" max="6" width="6.7109375" style="1" bestFit="1" customWidth="1"/>
    <col min="7" max="7" width="11.421875" style="1" customWidth="1"/>
    <col min="8" max="8" width="40.140625" style="1" customWidth="1"/>
    <col min="9" max="9" width="10.140625" style="1" bestFit="1" customWidth="1"/>
    <col min="10" max="10" width="7.7109375" style="1" customWidth="1"/>
    <col min="11" max="11" width="8.7109375" style="1" customWidth="1"/>
    <col min="12" max="12" width="6.8515625" style="1" customWidth="1"/>
    <col min="13" max="16384" width="11.421875" style="1" customWidth="1"/>
  </cols>
  <sheetData>
    <row r="1" ht="12.75" thickBot="1"/>
    <row r="2" spans="2:12" ht="13.5" thickBot="1" thickTop="1">
      <c r="B2" s="274" t="s">
        <v>0</v>
      </c>
      <c r="C2" s="275"/>
      <c r="D2" s="275"/>
      <c r="E2" s="275"/>
      <c r="F2" s="276"/>
      <c r="H2" s="274" t="s">
        <v>1</v>
      </c>
      <c r="I2" s="275"/>
      <c r="J2" s="275"/>
      <c r="K2" s="275"/>
      <c r="L2" s="276"/>
    </row>
    <row r="3" spans="2:12" ht="25.5" thickBot="1" thickTop="1"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H3" s="2" t="s">
        <v>7</v>
      </c>
      <c r="I3" s="3" t="s">
        <v>3</v>
      </c>
      <c r="J3" s="4" t="s">
        <v>4</v>
      </c>
      <c r="K3" s="4" t="s">
        <v>5</v>
      </c>
      <c r="L3" s="5" t="s">
        <v>6</v>
      </c>
    </row>
    <row r="4" spans="2:12" ht="12.75" thickTop="1">
      <c r="B4" s="6" t="s">
        <v>8</v>
      </c>
      <c r="C4" s="277"/>
      <c r="D4" s="278"/>
      <c r="E4" s="278"/>
      <c r="F4" s="279"/>
      <c r="H4" s="6" t="s">
        <v>9</v>
      </c>
      <c r="I4" s="277"/>
      <c r="J4" s="278"/>
      <c r="K4" s="278"/>
      <c r="L4" s="279"/>
    </row>
    <row r="5" spans="2:12" ht="12">
      <c r="B5" s="7" t="s">
        <v>10</v>
      </c>
      <c r="C5" s="8">
        <v>1</v>
      </c>
      <c r="D5" s="9">
        <v>80</v>
      </c>
      <c r="E5" s="9">
        <f>C5*D5</f>
        <v>80</v>
      </c>
      <c r="F5" s="10">
        <v>10</v>
      </c>
      <c r="H5" s="7" t="s">
        <v>11</v>
      </c>
      <c r="I5" s="8">
        <v>15</v>
      </c>
      <c r="J5" s="9">
        <v>75</v>
      </c>
      <c r="K5" s="9">
        <f>I5*J5</f>
        <v>1125</v>
      </c>
      <c r="L5" s="10">
        <v>10</v>
      </c>
    </row>
    <row r="6" spans="2:12" ht="12">
      <c r="B6" s="7" t="s">
        <v>12</v>
      </c>
      <c r="C6" s="8">
        <v>1</v>
      </c>
      <c r="D6" s="9">
        <v>50</v>
      </c>
      <c r="E6" s="9">
        <f>C6*D6</f>
        <v>50</v>
      </c>
      <c r="F6" s="10">
        <v>10</v>
      </c>
      <c r="H6" s="7" t="s">
        <v>13</v>
      </c>
      <c r="I6" s="11">
        <v>50</v>
      </c>
      <c r="J6" s="9">
        <v>20</v>
      </c>
      <c r="K6" s="9">
        <f>I6*J6</f>
        <v>1000</v>
      </c>
      <c r="L6" s="10">
        <v>10</v>
      </c>
    </row>
    <row r="7" spans="2:12" ht="12.75" thickBot="1">
      <c r="B7" s="12" t="s">
        <v>14</v>
      </c>
      <c r="C7" s="8">
        <v>3</v>
      </c>
      <c r="D7" s="9">
        <v>215</v>
      </c>
      <c r="E7" s="9">
        <f>+C7*D7</f>
        <v>645</v>
      </c>
      <c r="F7" s="10">
        <v>10</v>
      </c>
      <c r="H7" s="6" t="s">
        <v>15</v>
      </c>
      <c r="I7" s="277"/>
      <c r="J7" s="278"/>
      <c r="K7" s="278"/>
      <c r="L7" s="279"/>
    </row>
    <row r="8" spans="2:12" ht="12.75" thickTop="1">
      <c r="B8" s="6" t="s">
        <v>16</v>
      </c>
      <c r="C8" s="283"/>
      <c r="D8" s="284"/>
      <c r="E8" s="284"/>
      <c r="F8" s="285"/>
      <c r="H8" s="7" t="s">
        <v>17</v>
      </c>
      <c r="I8" s="8">
        <v>1</v>
      </c>
      <c r="J8" s="9">
        <v>180</v>
      </c>
      <c r="K8" s="9">
        <f>I8*J8</f>
        <v>180</v>
      </c>
      <c r="L8" s="10">
        <v>0</v>
      </c>
    </row>
    <row r="9" spans="2:12" ht="12">
      <c r="B9" s="7" t="s">
        <v>18</v>
      </c>
      <c r="C9" s="11">
        <v>1</v>
      </c>
      <c r="D9" s="9">
        <v>150</v>
      </c>
      <c r="E9" s="9">
        <f>C9*D9</f>
        <v>150</v>
      </c>
      <c r="F9" s="10">
        <v>10</v>
      </c>
      <c r="H9" s="7" t="s">
        <v>19</v>
      </c>
      <c r="I9" s="8">
        <v>2</v>
      </c>
      <c r="J9" s="9">
        <v>40</v>
      </c>
      <c r="K9" s="9">
        <f>I9*J9</f>
        <v>80</v>
      </c>
      <c r="L9" s="10">
        <v>0</v>
      </c>
    </row>
    <row r="10" spans="2:12" ht="12">
      <c r="B10" s="7" t="s">
        <v>20</v>
      </c>
      <c r="C10" s="11">
        <v>1</v>
      </c>
      <c r="D10" s="9">
        <v>100</v>
      </c>
      <c r="E10" s="9">
        <f>C10*D10</f>
        <v>100</v>
      </c>
      <c r="F10" s="10">
        <v>10</v>
      </c>
      <c r="H10" s="6" t="s">
        <v>21</v>
      </c>
      <c r="I10" s="13"/>
      <c r="J10" s="14"/>
      <c r="K10" s="14"/>
      <c r="L10" s="15"/>
    </row>
    <row r="11" spans="2:12" ht="12">
      <c r="B11" s="7" t="s">
        <v>22</v>
      </c>
      <c r="C11" s="11">
        <v>2</v>
      </c>
      <c r="D11" s="9">
        <v>70</v>
      </c>
      <c r="E11" s="9">
        <f>C11*D11</f>
        <v>140</v>
      </c>
      <c r="F11" s="10">
        <v>10</v>
      </c>
      <c r="H11" s="7" t="s">
        <v>23</v>
      </c>
      <c r="I11" s="11">
        <v>1</v>
      </c>
      <c r="J11" s="9">
        <v>5</v>
      </c>
      <c r="K11" s="9">
        <f>I11*J11</f>
        <v>5</v>
      </c>
      <c r="L11" s="10">
        <v>10</v>
      </c>
    </row>
    <row r="12" spans="2:12" ht="12.75" thickBot="1">
      <c r="B12" s="12" t="s">
        <v>14</v>
      </c>
      <c r="C12" s="16">
        <v>3</v>
      </c>
      <c r="D12" s="17">
        <v>215</v>
      </c>
      <c r="E12" s="9">
        <f>C12*D12</f>
        <v>645</v>
      </c>
      <c r="F12" s="18">
        <v>10</v>
      </c>
      <c r="H12" s="7" t="s">
        <v>24</v>
      </c>
      <c r="I12" s="11">
        <v>1</v>
      </c>
      <c r="J12" s="9">
        <v>15</v>
      </c>
      <c r="K12" s="9">
        <f>I12*J12</f>
        <v>15</v>
      </c>
      <c r="L12" s="10">
        <v>10</v>
      </c>
    </row>
    <row r="13" spans="2:11" ht="13.5" thickBot="1" thickTop="1">
      <c r="B13" s="280" t="s">
        <v>25</v>
      </c>
      <c r="C13" s="280"/>
      <c r="D13" s="280"/>
      <c r="E13" s="19">
        <f>SUM(E5:E12)</f>
        <v>1810</v>
      </c>
      <c r="F13" s="20"/>
      <c r="H13" s="21" t="s">
        <v>25</v>
      </c>
      <c r="I13" s="21"/>
      <c r="J13" s="21"/>
      <c r="K13" s="22">
        <f>SUM(K5:K12)</f>
        <v>2405</v>
      </c>
    </row>
    <row r="14" ht="13.5" thickBot="1" thickTop="1"/>
    <row r="15" spans="2:6" ht="13.5" thickBot="1" thickTop="1">
      <c r="B15" s="274" t="s">
        <v>26</v>
      </c>
      <c r="C15" s="275"/>
      <c r="D15" s="275"/>
      <c r="E15" s="275"/>
      <c r="F15" s="276"/>
    </row>
    <row r="16" spans="2:12" ht="25.5" thickBot="1" thickTop="1">
      <c r="B16" s="2" t="s">
        <v>27</v>
      </c>
      <c r="C16" s="3" t="s">
        <v>3</v>
      </c>
      <c r="D16" s="4" t="s">
        <v>4</v>
      </c>
      <c r="E16" s="4" t="s">
        <v>5</v>
      </c>
      <c r="F16" s="5" t="s">
        <v>6</v>
      </c>
      <c r="H16" s="274" t="s">
        <v>28</v>
      </c>
      <c r="I16" s="275"/>
      <c r="J16" s="275"/>
      <c r="K16" s="275"/>
      <c r="L16" s="276"/>
    </row>
    <row r="17" spans="2:12" ht="25.5" thickBot="1" thickTop="1">
      <c r="B17" s="6" t="s">
        <v>29</v>
      </c>
      <c r="C17" s="277"/>
      <c r="D17" s="278"/>
      <c r="E17" s="278"/>
      <c r="F17" s="279"/>
      <c r="H17" s="2" t="s">
        <v>30</v>
      </c>
      <c r="I17" s="3" t="s">
        <v>3</v>
      </c>
      <c r="J17" s="4" t="s">
        <v>4</v>
      </c>
      <c r="K17" s="4" t="s">
        <v>5</v>
      </c>
      <c r="L17" s="5" t="s">
        <v>6</v>
      </c>
    </row>
    <row r="18" spans="2:12" ht="12.75" thickTop="1">
      <c r="B18" s="23" t="s">
        <v>31</v>
      </c>
      <c r="C18" s="24">
        <v>1</v>
      </c>
      <c r="D18" s="25">
        <v>800</v>
      </c>
      <c r="E18" s="25">
        <f>+C18*D18</f>
        <v>800</v>
      </c>
      <c r="F18" s="26">
        <v>3</v>
      </c>
      <c r="H18" s="6" t="s">
        <v>32</v>
      </c>
      <c r="I18" s="277"/>
      <c r="J18" s="278"/>
      <c r="K18" s="278"/>
      <c r="L18" s="279"/>
    </row>
    <row r="19" spans="2:12" ht="12">
      <c r="B19" s="23" t="s">
        <v>33</v>
      </c>
      <c r="C19" s="24">
        <v>1</v>
      </c>
      <c r="D19" s="25">
        <v>600</v>
      </c>
      <c r="E19" s="25">
        <f>+C19*D19</f>
        <v>600</v>
      </c>
      <c r="F19" s="26">
        <v>3</v>
      </c>
      <c r="H19" s="7" t="s">
        <v>34</v>
      </c>
      <c r="I19" s="8">
        <v>1</v>
      </c>
      <c r="J19" s="9">
        <v>480</v>
      </c>
      <c r="K19" s="9">
        <f aca="true" t="shared" si="0" ref="K19:K25">I19*J19</f>
        <v>480</v>
      </c>
      <c r="L19" s="10">
        <v>5</v>
      </c>
    </row>
    <row r="20" spans="2:12" ht="12">
      <c r="B20" s="7" t="s">
        <v>35</v>
      </c>
      <c r="C20" s="8">
        <v>2</v>
      </c>
      <c r="D20" s="9">
        <v>150</v>
      </c>
      <c r="E20" s="9">
        <f aca="true" t="shared" si="1" ref="E20:E25">C20*D20</f>
        <v>300</v>
      </c>
      <c r="F20" s="10">
        <v>3</v>
      </c>
      <c r="H20" s="27" t="s">
        <v>36</v>
      </c>
      <c r="I20" s="28">
        <v>1</v>
      </c>
      <c r="J20" s="29">
        <v>200</v>
      </c>
      <c r="K20" s="9">
        <f t="shared" si="0"/>
        <v>200</v>
      </c>
      <c r="L20" s="30">
        <v>5</v>
      </c>
    </row>
    <row r="21" spans="2:12" ht="12">
      <c r="B21" s="7" t="s">
        <v>37</v>
      </c>
      <c r="C21" s="8">
        <v>1</v>
      </c>
      <c r="D21" s="9">
        <v>200</v>
      </c>
      <c r="E21" s="9">
        <f t="shared" si="1"/>
        <v>200</v>
      </c>
      <c r="F21" s="10">
        <v>3</v>
      </c>
      <c r="H21" s="27" t="s">
        <v>38</v>
      </c>
      <c r="I21" s="28">
        <v>1</v>
      </c>
      <c r="J21" s="29">
        <v>175</v>
      </c>
      <c r="K21" s="9">
        <f t="shared" si="0"/>
        <v>175</v>
      </c>
      <c r="L21" s="30">
        <v>5</v>
      </c>
    </row>
    <row r="22" spans="2:12" ht="12">
      <c r="B22" s="7" t="s">
        <v>39</v>
      </c>
      <c r="C22" s="8">
        <v>2</v>
      </c>
      <c r="D22" s="9">
        <v>300</v>
      </c>
      <c r="E22" s="9">
        <f t="shared" si="1"/>
        <v>600</v>
      </c>
      <c r="F22" s="10">
        <v>3</v>
      </c>
      <c r="H22" s="27" t="s">
        <v>332</v>
      </c>
      <c r="I22" s="28">
        <v>1</v>
      </c>
      <c r="J22" s="29">
        <v>480</v>
      </c>
      <c r="K22" s="9">
        <f t="shared" si="0"/>
        <v>480</v>
      </c>
      <c r="L22" s="30">
        <v>5</v>
      </c>
    </row>
    <row r="23" spans="2:12" ht="12">
      <c r="B23" s="7" t="s">
        <v>41</v>
      </c>
      <c r="C23" s="8">
        <v>1</v>
      </c>
      <c r="D23" s="9">
        <v>2000</v>
      </c>
      <c r="E23" s="9">
        <f t="shared" si="1"/>
        <v>2000</v>
      </c>
      <c r="F23" s="10">
        <v>0</v>
      </c>
      <c r="H23" s="27" t="s">
        <v>42</v>
      </c>
      <c r="I23" s="28">
        <v>1</v>
      </c>
      <c r="J23" s="29">
        <v>80</v>
      </c>
      <c r="K23" s="9">
        <f t="shared" si="0"/>
        <v>80</v>
      </c>
      <c r="L23" s="30">
        <v>5</v>
      </c>
    </row>
    <row r="24" spans="2:12" ht="12">
      <c r="B24" s="7" t="s">
        <v>43</v>
      </c>
      <c r="C24" s="8">
        <v>1</v>
      </c>
      <c r="D24" s="9">
        <v>800</v>
      </c>
      <c r="E24" s="9">
        <f t="shared" si="1"/>
        <v>800</v>
      </c>
      <c r="F24" s="10">
        <v>0</v>
      </c>
      <c r="H24" s="27" t="s">
        <v>44</v>
      </c>
      <c r="I24" s="28">
        <v>1</v>
      </c>
      <c r="J24" s="29">
        <v>70</v>
      </c>
      <c r="K24" s="9">
        <f t="shared" si="0"/>
        <v>70</v>
      </c>
      <c r="L24" s="30">
        <v>5</v>
      </c>
    </row>
    <row r="25" spans="2:12" ht="12.75" thickBot="1">
      <c r="B25" s="12" t="s">
        <v>45</v>
      </c>
      <c r="C25" s="16">
        <v>1</v>
      </c>
      <c r="D25" s="17">
        <v>500</v>
      </c>
      <c r="E25" s="17">
        <f t="shared" si="1"/>
        <v>500</v>
      </c>
      <c r="F25" s="18">
        <v>0</v>
      </c>
      <c r="H25" s="27" t="s">
        <v>46</v>
      </c>
      <c r="I25" s="28">
        <v>2</v>
      </c>
      <c r="J25" s="29">
        <v>380</v>
      </c>
      <c r="K25" s="9">
        <f t="shared" si="0"/>
        <v>760</v>
      </c>
      <c r="L25" s="30">
        <v>5</v>
      </c>
    </row>
    <row r="26" spans="2:12" ht="13.5" thickBot="1" thickTop="1">
      <c r="B26" s="280" t="s">
        <v>25</v>
      </c>
      <c r="C26" s="280"/>
      <c r="D26" s="280"/>
      <c r="E26" s="22">
        <f>SUM(E18:E25)</f>
        <v>5800</v>
      </c>
      <c r="F26" s="20"/>
      <c r="H26" s="31" t="s">
        <v>47</v>
      </c>
      <c r="I26" s="32"/>
      <c r="J26" s="33"/>
      <c r="K26" s="14"/>
      <c r="L26" s="34"/>
    </row>
    <row r="27" spans="8:12" ht="13.5" thickBot="1" thickTop="1">
      <c r="H27" s="35" t="s">
        <v>48</v>
      </c>
      <c r="I27" s="36">
        <v>2</v>
      </c>
      <c r="J27" s="29">
        <v>220</v>
      </c>
      <c r="K27" s="9">
        <f>+J27*I27</f>
        <v>440</v>
      </c>
      <c r="L27" s="30">
        <v>3</v>
      </c>
    </row>
    <row r="28" spans="2:12" ht="13.5" thickBot="1" thickTop="1">
      <c r="B28" s="274" t="s">
        <v>49</v>
      </c>
      <c r="C28" s="275"/>
      <c r="D28" s="275"/>
      <c r="E28" s="275"/>
      <c r="F28" s="276"/>
      <c r="H28" s="35" t="s">
        <v>50</v>
      </c>
      <c r="I28" s="36">
        <v>2</v>
      </c>
      <c r="J28" s="29">
        <v>25</v>
      </c>
      <c r="K28" s="9">
        <f>+I28*J28</f>
        <v>50</v>
      </c>
      <c r="L28" s="30">
        <v>3</v>
      </c>
    </row>
    <row r="29" spans="2:12" ht="25.5" thickBot="1" thickTop="1">
      <c r="B29" s="2" t="s">
        <v>51</v>
      </c>
      <c r="C29" s="3" t="s">
        <v>3</v>
      </c>
      <c r="D29" s="4" t="s">
        <v>4</v>
      </c>
      <c r="E29" s="4" t="s">
        <v>5</v>
      </c>
      <c r="F29" s="5" t="s">
        <v>6</v>
      </c>
      <c r="H29" s="35" t="s">
        <v>52</v>
      </c>
      <c r="I29" s="36">
        <v>2</v>
      </c>
      <c r="J29" s="29">
        <v>50</v>
      </c>
      <c r="K29" s="9">
        <f>+I29*J29</f>
        <v>100</v>
      </c>
      <c r="L29" s="30">
        <v>3</v>
      </c>
    </row>
    <row r="30" spans="2:12" ht="12.75" thickTop="1">
      <c r="B30" s="6" t="s">
        <v>53</v>
      </c>
      <c r="C30" s="277"/>
      <c r="D30" s="278"/>
      <c r="E30" s="278"/>
      <c r="F30" s="279"/>
      <c r="H30" s="35" t="s">
        <v>54</v>
      </c>
      <c r="I30" s="36">
        <v>1</v>
      </c>
      <c r="J30" s="9">
        <v>1200</v>
      </c>
      <c r="K30" s="9">
        <f>+I30*J30</f>
        <v>1200</v>
      </c>
      <c r="L30" s="30">
        <v>3</v>
      </c>
    </row>
    <row r="31" spans="2:12" ht="12">
      <c r="B31" s="7" t="s">
        <v>55</v>
      </c>
      <c r="C31" s="8">
        <v>2</v>
      </c>
      <c r="D31" s="9">
        <v>159</v>
      </c>
      <c r="E31" s="9">
        <f>C31*D31</f>
        <v>318</v>
      </c>
      <c r="F31" s="10">
        <v>3</v>
      </c>
      <c r="H31" s="35" t="s">
        <v>56</v>
      </c>
      <c r="I31" s="36">
        <v>1</v>
      </c>
      <c r="J31" s="9">
        <v>220</v>
      </c>
      <c r="K31" s="37">
        <f>+I31*J31</f>
        <v>220</v>
      </c>
      <c r="L31" s="38">
        <v>3</v>
      </c>
    </row>
    <row r="32" spans="2:12" ht="12.75" thickBot="1">
      <c r="B32" s="12" t="s">
        <v>57</v>
      </c>
      <c r="C32" s="16">
        <v>2</v>
      </c>
      <c r="D32" s="17">
        <v>576</v>
      </c>
      <c r="E32" s="17">
        <f>C32*D32</f>
        <v>1152</v>
      </c>
      <c r="F32" s="18">
        <v>5</v>
      </c>
      <c r="H32" s="39" t="s">
        <v>58</v>
      </c>
      <c r="I32" s="40">
        <v>2</v>
      </c>
      <c r="J32" s="41">
        <v>210</v>
      </c>
      <c r="K32" s="25">
        <f>+I32*J32</f>
        <v>420</v>
      </c>
      <c r="L32" s="26">
        <v>3</v>
      </c>
    </row>
    <row r="33" spans="2:11" ht="13.5" thickBot="1" thickTop="1">
      <c r="B33" s="280" t="s">
        <v>25</v>
      </c>
      <c r="C33" s="280"/>
      <c r="D33" s="280"/>
      <c r="E33" s="22">
        <f>SUM(E31:E32)</f>
        <v>1470</v>
      </c>
      <c r="H33" s="269" t="s">
        <v>25</v>
      </c>
      <c r="I33" s="270"/>
      <c r="J33" s="271"/>
      <c r="K33" s="22">
        <f>SUM(K19:K32)</f>
        <v>4675</v>
      </c>
    </row>
    <row r="34" spans="2:11" ht="13.5" thickBot="1" thickTop="1">
      <c r="B34" s="280" t="s">
        <v>59</v>
      </c>
      <c r="C34" s="280"/>
      <c r="D34" s="280"/>
      <c r="E34" s="22">
        <f>E13+E26+E33</f>
        <v>9080</v>
      </c>
      <c r="H34" s="269" t="s">
        <v>59</v>
      </c>
      <c r="I34" s="281"/>
      <c r="J34" s="282"/>
      <c r="K34" s="22">
        <f>K13+K33</f>
        <v>7080</v>
      </c>
    </row>
    <row r="35" ht="12.75" thickTop="1"/>
    <row r="37" spans="8:12" ht="16.5" customHeight="1" thickBot="1">
      <c r="H37" s="266" t="s">
        <v>60</v>
      </c>
      <c r="I37" s="267"/>
      <c r="J37" s="267"/>
      <c r="K37" s="268"/>
      <c r="L37" s="42"/>
    </row>
    <row r="38" spans="8:11" ht="25.5" thickBot="1" thickTop="1">
      <c r="H38" s="2" t="s">
        <v>61</v>
      </c>
      <c r="I38" s="3" t="s">
        <v>3</v>
      </c>
      <c r="J38" s="43" t="s">
        <v>4</v>
      </c>
      <c r="K38" s="44" t="s">
        <v>5</v>
      </c>
    </row>
    <row r="39" spans="8:12" ht="12.75" thickTop="1">
      <c r="H39" s="45" t="s">
        <v>62</v>
      </c>
      <c r="I39" s="46"/>
      <c r="J39" s="46"/>
      <c r="K39" s="47"/>
      <c r="L39" s="48"/>
    </row>
    <row r="40" spans="8:11" ht="12">
      <c r="H40" s="7" t="s">
        <v>63</v>
      </c>
      <c r="I40" s="8"/>
      <c r="J40" s="9">
        <v>500</v>
      </c>
      <c r="K40" s="9">
        <v>500</v>
      </c>
    </row>
    <row r="41" spans="8:11" ht="12">
      <c r="H41" s="27" t="s">
        <v>64</v>
      </c>
      <c r="I41" s="28"/>
      <c r="J41" s="29">
        <v>700</v>
      </c>
      <c r="K41" s="9">
        <v>700</v>
      </c>
    </row>
    <row r="42" spans="8:11" ht="12">
      <c r="H42" s="27" t="s">
        <v>65</v>
      </c>
      <c r="I42" s="28"/>
      <c r="J42" s="29">
        <v>500</v>
      </c>
      <c r="K42" s="9">
        <v>500</v>
      </c>
    </row>
    <row r="43" spans="8:11" ht="12">
      <c r="H43" s="35" t="s">
        <v>25</v>
      </c>
      <c r="I43" s="28"/>
      <c r="J43" s="29"/>
      <c r="K43" s="9">
        <f>+K40+K41+K42</f>
        <v>1700</v>
      </c>
    </row>
    <row r="44" spans="8:11" ht="12">
      <c r="H44" s="31" t="s">
        <v>66</v>
      </c>
      <c r="I44" s="32"/>
      <c r="J44" s="33"/>
      <c r="K44" s="14"/>
    </row>
    <row r="45" spans="8:11" ht="12">
      <c r="H45" s="35" t="s">
        <v>67</v>
      </c>
      <c r="I45" s="36"/>
      <c r="J45" s="29">
        <v>500</v>
      </c>
      <c r="K45" s="9">
        <v>500</v>
      </c>
    </row>
    <row r="46" spans="8:11" ht="12">
      <c r="H46" s="35" t="s">
        <v>68</v>
      </c>
      <c r="I46" s="36"/>
      <c r="J46" s="29">
        <v>8</v>
      </c>
      <c r="K46" s="9">
        <v>8</v>
      </c>
    </row>
    <row r="47" spans="8:11" ht="12.75" thickBot="1">
      <c r="H47" s="49" t="s">
        <v>25</v>
      </c>
      <c r="I47" s="20"/>
      <c r="J47" s="50"/>
      <c r="K47" s="50">
        <f>+K45+K46</f>
        <v>508</v>
      </c>
    </row>
    <row r="48" spans="8:11" ht="13.5" thickBot="1" thickTop="1">
      <c r="H48" s="269" t="s">
        <v>25</v>
      </c>
      <c r="I48" s="270"/>
      <c r="J48" s="271"/>
      <c r="K48" s="22">
        <f>++K43+K47</f>
        <v>2208</v>
      </c>
    </row>
    <row r="49" ht="12.75" thickTop="1"/>
    <row r="51" ht="12.75" thickBot="1"/>
    <row r="52" spans="8:9" ht="12.75" thickTop="1">
      <c r="H52" s="272" t="s">
        <v>69</v>
      </c>
      <c r="I52" s="273"/>
    </row>
    <row r="53" spans="8:9" ht="12">
      <c r="H53" s="36" t="s">
        <v>7</v>
      </c>
      <c r="I53" s="9">
        <f>+E13+K13</f>
        <v>4215</v>
      </c>
    </row>
    <row r="54" spans="8:9" ht="15.75" customHeight="1">
      <c r="H54" s="36" t="s">
        <v>70</v>
      </c>
      <c r="I54" s="9">
        <f>+E26</f>
        <v>5800</v>
      </c>
    </row>
    <row r="55" spans="8:9" ht="12">
      <c r="H55" s="36" t="s">
        <v>30</v>
      </c>
      <c r="I55" s="9">
        <f>+E33+K33</f>
        <v>6145</v>
      </c>
    </row>
    <row r="56" spans="8:9" ht="12">
      <c r="H56" s="51" t="s">
        <v>25</v>
      </c>
      <c r="I56" s="9">
        <f>+I53+I54+I55</f>
        <v>16160</v>
      </c>
    </row>
    <row r="57" spans="8:9" ht="12">
      <c r="H57" s="36" t="s">
        <v>71</v>
      </c>
      <c r="I57" s="9">
        <f>+K48</f>
        <v>2208</v>
      </c>
    </row>
    <row r="58" spans="8:9" ht="12">
      <c r="H58" s="52" t="s">
        <v>72</v>
      </c>
      <c r="I58" s="53">
        <f>+I56+I57</f>
        <v>18368</v>
      </c>
    </row>
  </sheetData>
  <sheetProtection/>
  <mergeCells count="21">
    <mergeCell ref="B26:D26"/>
    <mergeCell ref="B2:F2"/>
    <mergeCell ref="H2:L2"/>
    <mergeCell ref="C4:F4"/>
    <mergeCell ref="I4:L4"/>
    <mergeCell ref="I7:L7"/>
    <mergeCell ref="C8:F8"/>
    <mergeCell ref="B13:D13"/>
    <mergeCell ref="B15:F15"/>
    <mergeCell ref="H16:L16"/>
    <mergeCell ref="C17:F17"/>
    <mergeCell ref="I18:L18"/>
    <mergeCell ref="H37:K37"/>
    <mergeCell ref="H48:J48"/>
    <mergeCell ref="H52:I52"/>
    <mergeCell ref="B28:F28"/>
    <mergeCell ref="C30:F30"/>
    <mergeCell ref="B33:D33"/>
    <mergeCell ref="H33:J33"/>
    <mergeCell ref="B34:D34"/>
    <mergeCell ref="H34:J3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3" width="9.140625" style="54" customWidth="1"/>
    <col min="4" max="5" width="11.57421875" style="54" customWidth="1"/>
    <col min="6" max="16384" width="9.140625" style="54" customWidth="1"/>
  </cols>
  <sheetData>
    <row r="2" ht="14.25">
      <c r="A2" s="54" t="s">
        <v>317</v>
      </c>
    </row>
    <row r="4" spans="1:2" ht="14.25">
      <c r="A4" s="54" t="s">
        <v>318</v>
      </c>
      <c r="B4" s="57">
        <f>B5+(B7*(B6-B5))+B8</f>
        <v>0.25067500000000004</v>
      </c>
    </row>
    <row r="5" spans="1:3" ht="14.25">
      <c r="A5" s="54" t="s">
        <v>319</v>
      </c>
      <c r="B5" s="57">
        <v>0.055</v>
      </c>
      <c r="C5" s="54" t="s">
        <v>320</v>
      </c>
    </row>
    <row r="6" spans="1:3" ht="14.25">
      <c r="A6" s="264" t="s">
        <v>321</v>
      </c>
      <c r="B6" s="265">
        <v>0.1395</v>
      </c>
      <c r="C6" s="54" t="s">
        <v>322</v>
      </c>
    </row>
    <row r="7" spans="1:3" ht="14.25">
      <c r="A7" s="264" t="s">
        <v>323</v>
      </c>
      <c r="B7" s="264">
        <v>1.35</v>
      </c>
      <c r="C7" s="54" t="s">
        <v>331</v>
      </c>
    </row>
    <row r="8" spans="1:3" ht="14.25">
      <c r="A8" s="54" t="s">
        <v>324</v>
      </c>
      <c r="B8" s="57">
        <v>0.0816</v>
      </c>
      <c r="C8" s="54" t="s">
        <v>325</v>
      </c>
    </row>
    <row r="11" ht="15" thickBot="1"/>
    <row r="12" spans="4:5" ht="15" thickBot="1">
      <c r="D12" s="307" t="s">
        <v>317</v>
      </c>
      <c r="E12" s="308"/>
    </row>
    <row r="13" spans="4:5" ht="21.75" customHeight="1">
      <c r="D13" s="232" t="s">
        <v>326</v>
      </c>
      <c r="E13" s="233">
        <f>+B5</f>
        <v>0.055</v>
      </c>
    </row>
    <row r="14" spans="4:5" ht="21.75" customHeight="1">
      <c r="D14" s="234" t="s">
        <v>327</v>
      </c>
      <c r="E14" s="235">
        <f>+B6</f>
        <v>0.1395</v>
      </c>
    </row>
    <row r="15" spans="4:5" ht="21" customHeight="1">
      <c r="D15" s="234" t="s">
        <v>328</v>
      </c>
      <c r="E15" s="236">
        <f>+B7</f>
        <v>1.35</v>
      </c>
    </row>
    <row r="16" spans="4:5" ht="21.75" customHeight="1">
      <c r="D16" s="234" t="s">
        <v>329</v>
      </c>
      <c r="E16" s="235">
        <f>+B8</f>
        <v>0.0816</v>
      </c>
    </row>
    <row r="17" spans="4:5" ht="21" customHeight="1" thickBot="1">
      <c r="D17" s="237" t="s">
        <v>330</v>
      </c>
      <c r="E17" s="238">
        <f>B5+(B7*(B6-B5))+B8</f>
        <v>0.25067500000000004</v>
      </c>
    </row>
  </sheetData>
  <sheetProtection/>
  <mergeCells count="1">
    <mergeCell ref="D12:E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B2" sqref="B2:F9"/>
    </sheetView>
  </sheetViews>
  <sheetFormatPr defaultColWidth="11.421875" defaultRowHeight="15"/>
  <cols>
    <col min="2" max="2" width="21.8515625" style="0" customWidth="1"/>
    <col min="4" max="4" width="11.8515625" style="0" bestFit="1" customWidth="1"/>
  </cols>
  <sheetData>
    <row r="1" ht="15.75" thickBot="1"/>
    <row r="2" spans="2:6" ht="15.75" thickBot="1">
      <c r="B2" s="243" t="s">
        <v>337</v>
      </c>
      <c r="C2" s="243" t="s">
        <v>338</v>
      </c>
      <c r="D2" s="243" t="s">
        <v>308</v>
      </c>
      <c r="E2" s="243" t="s">
        <v>309</v>
      </c>
      <c r="F2" s="244" t="s">
        <v>310</v>
      </c>
    </row>
    <row r="3" spans="2:6" ht="15">
      <c r="B3" s="245" t="s">
        <v>339</v>
      </c>
      <c r="C3" s="246">
        <v>6</v>
      </c>
      <c r="D3" s="247">
        <v>1766.34</v>
      </c>
      <c r="E3" s="248">
        <v>0.2791</v>
      </c>
      <c r="F3" s="249">
        <f>+FLUJODECAJA!C35</f>
        <v>0.25067500000000004</v>
      </c>
    </row>
    <row r="4" spans="2:6" ht="15">
      <c r="B4" s="250" t="s">
        <v>340</v>
      </c>
      <c r="C4" s="251">
        <v>6.3</v>
      </c>
      <c r="D4" s="252">
        <v>5719.16</v>
      </c>
      <c r="E4" s="253">
        <v>0.3427</v>
      </c>
      <c r="F4" s="253">
        <f>+F3</f>
        <v>0.25067500000000004</v>
      </c>
    </row>
    <row r="5" spans="2:6" ht="15">
      <c r="B5" s="250" t="s">
        <v>341</v>
      </c>
      <c r="C5" s="251">
        <v>6.45</v>
      </c>
      <c r="D5" s="252">
        <v>7695.56</v>
      </c>
      <c r="E5" s="253">
        <v>0.3744</v>
      </c>
      <c r="F5" s="253">
        <f>+F4</f>
        <v>0.25067500000000004</v>
      </c>
    </row>
    <row r="6" spans="2:6" ht="15.75" thickBot="1">
      <c r="B6" s="254" t="s">
        <v>342</v>
      </c>
      <c r="C6" s="255">
        <v>6.6</v>
      </c>
      <c r="D6" s="256">
        <v>9671.97</v>
      </c>
      <c r="E6" s="257">
        <v>0.4061</v>
      </c>
      <c r="F6" s="258">
        <f>+F5</f>
        <v>0.25067500000000004</v>
      </c>
    </row>
    <row r="7" spans="2:6" ht="15">
      <c r="B7" s="259" t="s">
        <v>343</v>
      </c>
      <c r="C7" s="251">
        <v>5.94</v>
      </c>
      <c r="D7" s="260">
        <v>975.78</v>
      </c>
      <c r="E7" s="261">
        <v>0.2664</v>
      </c>
      <c r="F7" s="261">
        <f>F6</f>
        <v>0.25067500000000004</v>
      </c>
    </row>
    <row r="8" spans="2:6" ht="15">
      <c r="B8" s="259" t="s">
        <v>344</v>
      </c>
      <c r="C8" s="263">
        <v>5.88</v>
      </c>
      <c r="D8" s="252">
        <v>185.21</v>
      </c>
      <c r="E8" s="253">
        <v>0.2537</v>
      </c>
      <c r="F8" s="261">
        <f>F7</f>
        <v>0.25067500000000004</v>
      </c>
    </row>
    <row r="9" spans="2:6" ht="15">
      <c r="B9" s="259" t="s">
        <v>345</v>
      </c>
      <c r="C9" s="251">
        <v>5.82</v>
      </c>
      <c r="D9" s="252">
        <v>-605.35</v>
      </c>
      <c r="E9" s="253">
        <v>0.2409</v>
      </c>
      <c r="F9" s="261">
        <f>F8</f>
        <v>0.25067500000000004</v>
      </c>
    </row>
    <row r="11" ht="15">
      <c r="B11" s="262" t="s">
        <v>176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49">
      <selection activeCell="H13" sqref="H13"/>
    </sheetView>
  </sheetViews>
  <sheetFormatPr defaultColWidth="11.421875" defaultRowHeight="15"/>
  <cols>
    <col min="4" max="4" width="16.57421875" style="0" bestFit="1" customWidth="1"/>
    <col min="6" max="6" width="12.57421875" style="0" customWidth="1"/>
    <col min="7" max="7" width="12.421875" style="0" bestFit="1" customWidth="1"/>
    <col min="11" max="11" width="12.140625" style="0" bestFit="1" customWidth="1"/>
    <col min="12" max="12" width="11.8515625" style="0" bestFit="1" customWidth="1"/>
  </cols>
  <sheetData>
    <row r="1" spans="1:22" ht="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7.25">
      <c r="A2" s="54"/>
      <c r="B2" s="288" t="s">
        <v>73</v>
      </c>
      <c r="C2" s="288"/>
      <c r="D2" s="55">
        <f>'[1]Equipos y Maquinarias'!I58</f>
        <v>18368</v>
      </c>
      <c r="E2" s="54"/>
      <c r="F2" s="56">
        <f>F4-F3</f>
        <v>12857.6</v>
      </c>
      <c r="G2" s="57">
        <f>F2/F4</f>
        <v>0.7000000000000001</v>
      </c>
      <c r="H2" s="54"/>
      <c r="I2" s="54"/>
      <c r="J2" s="54" t="s">
        <v>74</v>
      </c>
      <c r="K2" s="58">
        <f>D2*0.3</f>
        <v>5510.4</v>
      </c>
      <c r="L2" s="54"/>
      <c r="M2" s="54"/>
      <c r="N2" s="54"/>
      <c r="O2" s="59" t="s">
        <v>75</v>
      </c>
      <c r="P2" s="54"/>
      <c r="Q2" s="54"/>
      <c r="R2" s="54"/>
      <c r="S2" s="54"/>
      <c r="T2" s="54"/>
      <c r="U2" s="54"/>
      <c r="V2" s="54"/>
    </row>
    <row r="3" spans="1:22" ht="15">
      <c r="A3" s="54"/>
      <c r="B3" s="288" t="s">
        <v>76</v>
      </c>
      <c r="C3" s="288"/>
      <c r="D3" s="55">
        <f>K2</f>
        <v>5510.4</v>
      </c>
      <c r="E3" s="54"/>
      <c r="F3" s="55">
        <f>K2</f>
        <v>5510.4</v>
      </c>
      <c r="G3" s="57">
        <f>F3/F4</f>
        <v>0.3</v>
      </c>
      <c r="H3" s="54"/>
      <c r="I3" s="60"/>
      <c r="J3" s="60"/>
      <c r="K3" s="60"/>
      <c r="L3" s="60"/>
      <c r="M3" s="60"/>
      <c r="N3" s="54"/>
      <c r="O3" s="54"/>
      <c r="P3" s="54"/>
      <c r="Q3" s="54"/>
      <c r="R3" s="54"/>
      <c r="S3" s="54"/>
      <c r="T3" s="54"/>
      <c r="U3" s="54"/>
      <c r="V3" s="54"/>
    </row>
    <row r="4" spans="1:22" ht="15.75">
      <c r="A4" s="54"/>
      <c r="B4" s="288" t="s">
        <v>77</v>
      </c>
      <c r="C4" s="288"/>
      <c r="D4" s="56">
        <f>F2</f>
        <v>12857.6</v>
      </c>
      <c r="E4" s="55"/>
      <c r="F4" s="55">
        <f>'[1]Equipos y Maquinarias'!I58</f>
        <v>18368</v>
      </c>
      <c r="G4" s="54">
        <f>SUM(G2:G3)</f>
        <v>1</v>
      </c>
      <c r="H4" s="54"/>
      <c r="I4" s="60"/>
      <c r="J4" s="60"/>
      <c r="K4" s="60"/>
      <c r="L4" s="60"/>
      <c r="M4" s="60"/>
      <c r="N4" s="54"/>
      <c r="O4" s="61" t="s">
        <v>78</v>
      </c>
      <c r="P4" s="54"/>
      <c r="Q4" s="54"/>
      <c r="R4" s="54"/>
      <c r="S4" s="54"/>
      <c r="T4" s="54"/>
      <c r="U4" s="54"/>
      <c r="V4" s="54"/>
    </row>
    <row r="5" spans="1:22" ht="15">
      <c r="A5" s="54"/>
      <c r="B5" s="54"/>
      <c r="C5" s="54"/>
      <c r="D5" s="54"/>
      <c r="E5" s="54"/>
      <c r="F5" s="54"/>
      <c r="G5" s="54"/>
      <c r="H5" s="54"/>
      <c r="I5" s="60"/>
      <c r="J5" s="60"/>
      <c r="K5" s="60">
        <v>33</v>
      </c>
      <c r="L5" s="60"/>
      <c r="M5" s="60"/>
      <c r="N5" s="54"/>
      <c r="O5" s="62"/>
      <c r="P5" s="54"/>
      <c r="Q5" s="54"/>
      <c r="R5" s="54"/>
      <c r="S5" s="54"/>
      <c r="T5" s="54"/>
      <c r="U5" s="54"/>
      <c r="V5" s="54"/>
    </row>
    <row r="6" spans="1:22" ht="15">
      <c r="A6" s="54"/>
      <c r="B6" s="54"/>
      <c r="C6" s="54"/>
      <c r="D6" s="54"/>
      <c r="E6" s="54"/>
      <c r="F6" s="54"/>
      <c r="G6" s="54"/>
      <c r="H6" s="54"/>
      <c r="I6" s="60"/>
      <c r="J6" s="60"/>
      <c r="K6" s="60"/>
      <c r="L6" s="60"/>
      <c r="M6" s="60"/>
      <c r="N6" s="54"/>
      <c r="O6" s="62" t="s">
        <v>79</v>
      </c>
      <c r="P6" s="54"/>
      <c r="Q6" s="54"/>
      <c r="R6" s="54"/>
      <c r="S6" s="54"/>
      <c r="T6" s="54"/>
      <c r="U6" s="54"/>
      <c r="V6" s="54"/>
    </row>
    <row r="7" spans="1:22" ht="18">
      <c r="A7" s="54"/>
      <c r="B7" s="54"/>
      <c r="C7" s="289" t="s">
        <v>80</v>
      </c>
      <c r="D7" s="289"/>
      <c r="E7" s="289"/>
      <c r="F7" s="289"/>
      <c r="G7" s="289"/>
      <c r="H7" s="54"/>
      <c r="I7" s="290"/>
      <c r="J7" s="290"/>
      <c r="K7" s="290"/>
      <c r="L7" s="290"/>
      <c r="M7" s="290"/>
      <c r="N7" s="54"/>
      <c r="O7" s="62" t="s">
        <v>81</v>
      </c>
      <c r="P7" s="54"/>
      <c r="Q7" s="54"/>
      <c r="R7" s="54"/>
      <c r="S7" s="54"/>
      <c r="T7" s="54"/>
      <c r="U7" s="54"/>
      <c r="V7" s="54"/>
    </row>
    <row r="8" spans="1:22" ht="15.75">
      <c r="A8" s="54"/>
      <c r="B8" s="54"/>
      <c r="C8" s="286" t="s">
        <v>82</v>
      </c>
      <c r="D8" s="286"/>
      <c r="E8" s="286"/>
      <c r="F8" s="286"/>
      <c r="G8" s="286"/>
      <c r="H8" s="54"/>
      <c r="I8" s="287"/>
      <c r="J8" s="287"/>
      <c r="K8" s="287"/>
      <c r="L8" s="287"/>
      <c r="M8" s="287"/>
      <c r="N8" s="54"/>
      <c r="O8" s="62" t="s">
        <v>83</v>
      </c>
      <c r="P8" s="54"/>
      <c r="Q8" s="54"/>
      <c r="R8" s="54"/>
      <c r="S8" s="54"/>
      <c r="T8" s="54"/>
      <c r="U8" s="54"/>
      <c r="V8" s="54"/>
    </row>
    <row r="9" spans="1:22" ht="15">
      <c r="A9" s="54"/>
      <c r="B9" s="54"/>
      <c r="C9" s="63" t="s">
        <v>84</v>
      </c>
      <c r="D9" s="64"/>
      <c r="E9" s="65"/>
      <c r="F9" s="64" t="s">
        <v>85</v>
      </c>
      <c r="G9" s="66">
        <v>36</v>
      </c>
      <c r="H9" s="54"/>
      <c r="I9" s="64"/>
      <c r="J9" s="64"/>
      <c r="K9" s="65"/>
      <c r="L9" s="64"/>
      <c r="M9" s="65"/>
      <c r="N9" s="54"/>
      <c r="O9" s="54"/>
      <c r="P9" s="54"/>
      <c r="Q9" s="54"/>
      <c r="R9" s="54"/>
      <c r="S9" s="54"/>
      <c r="T9" s="54"/>
      <c r="U9" s="54"/>
      <c r="V9" s="54"/>
    </row>
    <row r="10" spans="1:22" ht="15.75">
      <c r="A10" s="54"/>
      <c r="B10" s="54"/>
      <c r="C10" s="63" t="s">
        <v>86</v>
      </c>
      <c r="D10" s="64"/>
      <c r="E10" s="67">
        <v>0.1</v>
      </c>
      <c r="F10" s="64" t="s">
        <v>87</v>
      </c>
      <c r="G10" s="68">
        <f>F2</f>
        <v>12857.6</v>
      </c>
      <c r="H10" s="54"/>
      <c r="I10" s="54" t="s">
        <v>88</v>
      </c>
      <c r="J10" s="57">
        <f>E10</f>
        <v>0.1</v>
      </c>
      <c r="K10" s="54"/>
      <c r="L10" s="54"/>
      <c r="M10" s="69"/>
      <c r="N10" s="54"/>
      <c r="O10" s="61" t="s">
        <v>89</v>
      </c>
      <c r="P10" s="54"/>
      <c r="Q10" s="54"/>
      <c r="R10" s="54"/>
      <c r="S10" s="54"/>
      <c r="T10" s="54"/>
      <c r="U10" s="54"/>
      <c r="V10" s="54"/>
    </row>
    <row r="11" spans="1:22" ht="15">
      <c r="A11" s="54"/>
      <c r="B11" s="54"/>
      <c r="C11" s="70" t="s">
        <v>90</v>
      </c>
      <c r="D11" s="71"/>
      <c r="E11" s="72" t="s">
        <v>91</v>
      </c>
      <c r="F11" s="73"/>
      <c r="G11" s="74"/>
      <c r="H11" s="54"/>
      <c r="I11" s="54" t="s">
        <v>92</v>
      </c>
      <c r="J11" s="75">
        <f>(1+J10)^(1/12)-1</f>
        <v>0.007974140428903764</v>
      </c>
      <c r="K11" s="54"/>
      <c r="L11" s="54"/>
      <c r="M11" s="76"/>
      <c r="N11" s="54"/>
      <c r="O11" s="62"/>
      <c r="P11" s="54"/>
      <c r="Q11" s="54"/>
      <c r="R11" s="54"/>
      <c r="S11" s="54"/>
      <c r="T11" s="54"/>
      <c r="U11" s="54"/>
      <c r="V11" s="54"/>
    </row>
    <row r="12" spans="1:22" ht="15">
      <c r="A12" s="54"/>
      <c r="B12" s="54"/>
      <c r="C12" s="77" t="s">
        <v>93</v>
      </c>
      <c r="D12" s="77" t="s">
        <v>94</v>
      </c>
      <c r="E12" s="77" t="s">
        <v>95</v>
      </c>
      <c r="F12" s="77" t="s">
        <v>96</v>
      </c>
      <c r="G12" s="77" t="s">
        <v>97</v>
      </c>
      <c r="H12" s="54"/>
      <c r="I12" s="54"/>
      <c r="J12" s="54"/>
      <c r="K12" s="54"/>
      <c r="L12" s="54"/>
      <c r="M12" s="78"/>
      <c r="N12" s="54"/>
      <c r="O12" s="62" t="s">
        <v>98</v>
      </c>
      <c r="P12" s="54"/>
      <c r="Q12" s="54"/>
      <c r="R12" s="54"/>
      <c r="S12" s="54"/>
      <c r="T12" s="54"/>
      <c r="U12" s="54"/>
      <c r="V12" s="54"/>
    </row>
    <row r="13" spans="1:22" ht="15">
      <c r="A13" s="54"/>
      <c r="B13" s="54"/>
      <c r="C13" s="79">
        <v>0</v>
      </c>
      <c r="D13" s="80"/>
      <c r="E13" s="80"/>
      <c r="F13" s="80"/>
      <c r="G13" s="81">
        <f>D4</f>
        <v>12857.6</v>
      </c>
      <c r="H13" s="54"/>
      <c r="I13" s="54"/>
      <c r="J13" s="54"/>
      <c r="K13" s="54"/>
      <c r="L13" s="54"/>
      <c r="M13" s="82"/>
      <c r="N13" s="54"/>
      <c r="O13" s="62" t="s">
        <v>99</v>
      </c>
      <c r="P13" s="54"/>
      <c r="Q13" s="54"/>
      <c r="R13" s="54"/>
      <c r="S13" s="54"/>
      <c r="T13" s="54"/>
      <c r="U13" s="54"/>
      <c r="V13" s="54"/>
    </row>
    <row r="14" spans="1:22" ht="15">
      <c r="A14" s="54"/>
      <c r="B14" s="54"/>
      <c r="C14" s="79">
        <v>1</v>
      </c>
      <c r="D14" s="80">
        <f>+F14-E14</f>
        <v>309.7531963101893</v>
      </c>
      <c r="E14" s="80">
        <f aca="true" t="shared" si="0" ref="E14:E49">G13*$J$11</f>
        <v>102.52830797867304</v>
      </c>
      <c r="F14" s="80">
        <f>PMT($J$11,$G$9,-$G$10)</f>
        <v>412.2815042888623</v>
      </c>
      <c r="G14" s="80">
        <f>G13-D14</f>
        <v>12547.84680368981</v>
      </c>
      <c r="H14" s="54"/>
      <c r="I14" s="54" t="s">
        <v>100</v>
      </c>
      <c r="J14" s="54"/>
      <c r="K14" s="79">
        <v>1</v>
      </c>
      <c r="L14" s="80">
        <f>SUM(E14:E25)</f>
        <v>1062.906752372695</v>
      </c>
      <c r="M14" s="83"/>
      <c r="N14" s="54"/>
      <c r="O14" s="62" t="s">
        <v>101</v>
      </c>
      <c r="P14" s="54"/>
      <c r="Q14" s="54"/>
      <c r="R14" s="54"/>
      <c r="S14" s="54"/>
      <c r="T14" s="54"/>
      <c r="U14" s="54"/>
      <c r="V14" s="54"/>
    </row>
    <row r="15" spans="1:22" ht="15">
      <c r="A15" s="54"/>
      <c r="B15" s="54"/>
      <c r="C15" s="79">
        <v>2</v>
      </c>
      <c r="D15" s="80">
        <f aca="true" t="shared" si="1" ref="D15:D49">+F15-E15</f>
        <v>312.22321179586856</v>
      </c>
      <c r="E15" s="80">
        <f t="shared" si="0"/>
        <v>100.05829249299379</v>
      </c>
      <c r="F15" s="80">
        <f aca="true" t="shared" si="2" ref="F15:F49">PMT($J$11,$G$9,-$G$10)</f>
        <v>412.2815042888623</v>
      </c>
      <c r="G15" s="80">
        <f aca="true" t="shared" si="3" ref="G15:G49">G14-D15</f>
        <v>12235.623591893942</v>
      </c>
      <c r="H15" s="54"/>
      <c r="I15" s="54"/>
      <c r="J15" s="54"/>
      <c r="K15" s="79">
        <v>2</v>
      </c>
      <c r="L15" s="80">
        <f>SUM(E26:E37)</f>
        <v>674.4596224633287</v>
      </c>
      <c r="M15" s="83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15.75">
      <c r="A16" s="54"/>
      <c r="B16" s="54"/>
      <c r="C16" s="79">
        <v>3</v>
      </c>
      <c r="D16" s="80">
        <f t="shared" si="1"/>
        <v>314.71292353189216</v>
      </c>
      <c r="E16" s="80">
        <f t="shared" si="0"/>
        <v>97.56858075697018</v>
      </c>
      <c r="F16" s="80">
        <f t="shared" si="2"/>
        <v>412.2815042888623</v>
      </c>
      <c r="G16" s="80">
        <f t="shared" si="3"/>
        <v>11920.91066836205</v>
      </c>
      <c r="H16" s="54"/>
      <c r="I16" s="54"/>
      <c r="J16" s="54"/>
      <c r="K16" s="79">
        <v>3</v>
      </c>
      <c r="L16" s="80">
        <f>SUM(E38:E49)</f>
        <v>247.16777956302545</v>
      </c>
      <c r="M16" s="83"/>
      <c r="N16" s="54"/>
      <c r="O16" s="61" t="s">
        <v>102</v>
      </c>
      <c r="P16" s="54"/>
      <c r="Q16" s="54"/>
      <c r="R16" s="54"/>
      <c r="S16" s="54"/>
      <c r="T16" s="54"/>
      <c r="U16" s="54"/>
      <c r="V16" s="54"/>
    </row>
    <row r="17" spans="1:22" ht="15">
      <c r="A17" s="54"/>
      <c r="B17" s="54"/>
      <c r="C17" s="79">
        <v>4</v>
      </c>
      <c r="D17" s="80">
        <f t="shared" si="1"/>
        <v>317.2224885789263</v>
      </c>
      <c r="E17" s="80">
        <f t="shared" si="0"/>
        <v>95.05901570993602</v>
      </c>
      <c r="F17" s="80">
        <f t="shared" si="2"/>
        <v>412.2815042888623</v>
      </c>
      <c r="G17" s="80">
        <f t="shared" si="3"/>
        <v>11603.688179783125</v>
      </c>
      <c r="H17" s="54"/>
      <c r="I17" s="54"/>
      <c r="J17" s="54"/>
      <c r="K17" s="84" t="s">
        <v>25</v>
      </c>
      <c r="L17" s="80">
        <f>SUM(L14:L16)</f>
        <v>1984.5341543990494</v>
      </c>
      <c r="M17" s="60"/>
      <c r="N17" s="54"/>
      <c r="O17" s="62"/>
      <c r="P17" s="54"/>
      <c r="Q17" s="54"/>
      <c r="R17" s="54"/>
      <c r="S17" s="54"/>
      <c r="T17" s="54"/>
      <c r="U17" s="54"/>
      <c r="V17" s="54"/>
    </row>
    <row r="18" spans="1:22" ht="15">
      <c r="A18" s="54"/>
      <c r="B18" s="54"/>
      <c r="C18" s="79">
        <v>5</v>
      </c>
      <c r="D18" s="80">
        <f t="shared" si="1"/>
        <v>319.752065250061</v>
      </c>
      <c r="E18" s="80">
        <f t="shared" si="0"/>
        <v>92.52943903880134</v>
      </c>
      <c r="F18" s="80">
        <f t="shared" si="2"/>
        <v>412.2815042888623</v>
      </c>
      <c r="G18" s="80">
        <f t="shared" si="3"/>
        <v>11283.936114533064</v>
      </c>
      <c r="H18" s="54"/>
      <c r="I18" s="54"/>
      <c r="J18" s="54"/>
      <c r="K18" s="54"/>
      <c r="L18" s="54"/>
      <c r="M18" s="54"/>
      <c r="N18" s="54"/>
      <c r="O18" s="62" t="s">
        <v>103</v>
      </c>
      <c r="P18" s="54"/>
      <c r="Q18" s="54"/>
      <c r="R18" s="54"/>
      <c r="S18" s="54"/>
      <c r="T18" s="54"/>
      <c r="U18" s="54"/>
      <c r="V18" s="54"/>
    </row>
    <row r="19" spans="1:22" ht="15">
      <c r="A19" s="54"/>
      <c r="B19" s="54"/>
      <c r="C19" s="79">
        <v>6</v>
      </c>
      <c r="D19" s="80">
        <f t="shared" si="1"/>
        <v>322.30181312079696</v>
      </c>
      <c r="E19" s="80">
        <f t="shared" si="0"/>
        <v>89.97969116806536</v>
      </c>
      <c r="F19" s="80">
        <f t="shared" si="2"/>
        <v>412.2815042888623</v>
      </c>
      <c r="G19" s="80">
        <f t="shared" si="3"/>
        <v>10961.634301412267</v>
      </c>
      <c r="H19" s="54"/>
      <c r="I19" s="54"/>
      <c r="J19" s="54"/>
      <c r="K19" s="54"/>
      <c r="L19" s="54"/>
      <c r="M19" s="54"/>
      <c r="N19" s="54"/>
      <c r="O19" s="62" t="s">
        <v>104</v>
      </c>
      <c r="P19" s="54"/>
      <c r="Q19" s="54"/>
      <c r="R19" s="54"/>
      <c r="S19" s="54"/>
      <c r="T19" s="54"/>
      <c r="U19" s="54"/>
      <c r="V19" s="54"/>
    </row>
    <row r="20" spans="1:22" ht="15">
      <c r="A20" s="54"/>
      <c r="B20" s="54"/>
      <c r="C20" s="79">
        <v>7</v>
      </c>
      <c r="D20" s="80">
        <f t="shared" si="1"/>
        <v>324.8718930391125</v>
      </c>
      <c r="E20" s="80">
        <f t="shared" si="0"/>
        <v>87.40961124974983</v>
      </c>
      <c r="F20" s="80">
        <f t="shared" si="2"/>
        <v>412.2815042888623</v>
      </c>
      <c r="G20" s="80">
        <f t="shared" si="3"/>
        <v>10636.762408373153</v>
      </c>
      <c r="H20" s="54"/>
      <c r="I20" s="54"/>
      <c r="J20" s="54"/>
      <c r="K20" s="54"/>
      <c r="L20" s="54"/>
      <c r="M20" s="54"/>
      <c r="N20" s="54"/>
      <c r="O20" s="62" t="s">
        <v>105</v>
      </c>
      <c r="P20" s="54"/>
      <c r="Q20" s="54"/>
      <c r="R20" s="54"/>
      <c r="S20" s="54"/>
      <c r="T20" s="54"/>
      <c r="U20" s="54"/>
      <c r="V20" s="54"/>
    </row>
    <row r="21" spans="1:22" ht="15">
      <c r="A21" s="54"/>
      <c r="B21" s="54"/>
      <c r="C21" s="79">
        <v>8</v>
      </c>
      <c r="D21" s="80">
        <f t="shared" si="1"/>
        <v>327.46246713561015</v>
      </c>
      <c r="E21" s="80">
        <f t="shared" si="0"/>
        <v>84.81903715325214</v>
      </c>
      <c r="F21" s="80">
        <f t="shared" si="2"/>
        <v>412.2815042888623</v>
      </c>
      <c r="G21" s="80">
        <f t="shared" si="3"/>
        <v>10309.299941237543</v>
      </c>
      <c r="H21" s="54"/>
      <c r="I21" s="54" t="s">
        <v>106</v>
      </c>
      <c r="J21" s="54"/>
      <c r="K21" s="79">
        <v>1</v>
      </c>
      <c r="L21" s="80">
        <f>SUM(D14:D25)</f>
        <v>3884.4712990936523</v>
      </c>
      <c r="M21" s="54"/>
      <c r="N21" s="54"/>
      <c r="O21" s="62" t="s">
        <v>107</v>
      </c>
      <c r="P21" s="54"/>
      <c r="Q21" s="54"/>
      <c r="R21" s="54"/>
      <c r="S21" s="54"/>
      <c r="T21" s="54"/>
      <c r="U21" s="54"/>
      <c r="V21" s="54"/>
    </row>
    <row r="22" spans="1:22" ht="15">
      <c r="A22" s="54"/>
      <c r="B22" s="54"/>
      <c r="C22" s="79">
        <v>9</v>
      </c>
      <c r="D22" s="80">
        <f t="shared" si="1"/>
        <v>330.07369883374486</v>
      </c>
      <c r="E22" s="80">
        <f t="shared" si="0"/>
        <v>82.2078054551175</v>
      </c>
      <c r="F22" s="80">
        <f t="shared" si="2"/>
        <v>412.2815042888623</v>
      </c>
      <c r="G22" s="80">
        <f t="shared" si="3"/>
        <v>9979.226242403798</v>
      </c>
      <c r="H22" s="54"/>
      <c r="I22" s="54"/>
      <c r="J22" s="54"/>
      <c r="K22" s="79">
        <v>2</v>
      </c>
      <c r="L22" s="80">
        <f>SUM(D26:D37)</f>
        <v>4272.918429003019</v>
      </c>
      <c r="M22" s="54"/>
      <c r="N22" s="54"/>
      <c r="O22" s="62" t="s">
        <v>108</v>
      </c>
      <c r="P22" s="54"/>
      <c r="Q22" s="54"/>
      <c r="R22" s="54"/>
      <c r="S22" s="54"/>
      <c r="T22" s="54"/>
      <c r="U22" s="54"/>
      <c r="V22" s="54"/>
    </row>
    <row r="23" spans="1:22" ht="15">
      <c r="A23" s="54"/>
      <c r="B23" s="54"/>
      <c r="C23" s="79">
        <v>10</v>
      </c>
      <c r="D23" s="80">
        <f t="shared" si="1"/>
        <v>332.7057528601328</v>
      </c>
      <c r="E23" s="80">
        <f t="shared" si="0"/>
        <v>79.57575142872952</v>
      </c>
      <c r="F23" s="80">
        <f t="shared" si="2"/>
        <v>412.2815042888623</v>
      </c>
      <c r="G23" s="80">
        <f t="shared" si="3"/>
        <v>9646.520489543665</v>
      </c>
      <c r="H23" s="54"/>
      <c r="I23" s="54"/>
      <c r="J23" s="54"/>
      <c r="K23" s="79">
        <v>3</v>
      </c>
      <c r="L23" s="80">
        <f>SUM(D38:D49)</f>
        <v>4700.210271903323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5">
      <c r="A24" s="54"/>
      <c r="B24" s="54"/>
      <c r="C24" s="79">
        <v>11</v>
      </c>
      <c r="D24" s="80">
        <f t="shared" si="1"/>
        <v>335.35879525494363</v>
      </c>
      <c r="E24" s="80">
        <f t="shared" si="0"/>
        <v>76.92270903391868</v>
      </c>
      <c r="F24" s="80">
        <f t="shared" si="2"/>
        <v>412.2815042888623</v>
      </c>
      <c r="G24" s="80">
        <f t="shared" si="3"/>
        <v>9311.161694288721</v>
      </c>
      <c r="H24" s="54"/>
      <c r="I24" s="54"/>
      <c r="J24" s="54"/>
      <c r="K24" s="84" t="s">
        <v>25</v>
      </c>
      <c r="L24" s="80">
        <f>SUM(L21:L23)</f>
        <v>12857.599999999995</v>
      </c>
      <c r="M24" s="54"/>
      <c r="N24" s="54"/>
      <c r="O24" s="54" t="s">
        <v>109</v>
      </c>
      <c r="P24" s="54"/>
      <c r="Q24" s="54"/>
      <c r="R24" s="54"/>
      <c r="S24" s="54"/>
      <c r="T24" s="54"/>
      <c r="U24" s="54"/>
      <c r="V24" s="54"/>
    </row>
    <row r="25" spans="1:22" ht="15">
      <c r="A25" s="54"/>
      <c r="B25" s="54"/>
      <c r="C25" s="79">
        <v>12</v>
      </c>
      <c r="D25" s="80">
        <f t="shared" si="1"/>
        <v>338.03299338237457</v>
      </c>
      <c r="E25" s="80">
        <f t="shared" si="0"/>
        <v>74.24851090648777</v>
      </c>
      <c r="F25" s="80">
        <f t="shared" si="2"/>
        <v>412.2815042888623</v>
      </c>
      <c r="G25" s="80">
        <f t="shared" si="3"/>
        <v>8973.128700906347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5.75">
      <c r="A26" s="54"/>
      <c r="B26" s="54"/>
      <c r="C26" s="79">
        <v>13</v>
      </c>
      <c r="D26" s="80">
        <f t="shared" si="1"/>
        <v>340.7285159412083</v>
      </c>
      <c r="E26" s="80">
        <f t="shared" si="0"/>
        <v>71.55298834765402</v>
      </c>
      <c r="F26" s="80">
        <f t="shared" si="2"/>
        <v>412.2815042888623</v>
      </c>
      <c r="G26" s="80">
        <f t="shared" si="3"/>
        <v>8632.40018496514</v>
      </c>
      <c r="H26" s="54"/>
      <c r="I26" s="54"/>
      <c r="J26" s="54"/>
      <c r="K26" s="54"/>
      <c r="L26" s="54"/>
      <c r="M26" s="54"/>
      <c r="N26" s="54"/>
      <c r="O26" s="61" t="s">
        <v>110</v>
      </c>
      <c r="P26" s="54"/>
      <c r="Q26" s="54"/>
      <c r="R26" s="54"/>
      <c r="S26" s="54"/>
      <c r="T26" s="54"/>
      <c r="U26" s="54"/>
      <c r="V26" s="54"/>
    </row>
    <row r="27" spans="1:22" ht="15">
      <c r="A27" s="54"/>
      <c r="B27" s="54"/>
      <c r="C27" s="79">
        <v>14</v>
      </c>
      <c r="D27" s="80">
        <f t="shared" si="1"/>
        <v>343.4455329754555</v>
      </c>
      <c r="E27" s="80">
        <f t="shared" si="0"/>
        <v>68.83597131340686</v>
      </c>
      <c r="F27" s="80">
        <f t="shared" si="2"/>
        <v>412.2815042888623</v>
      </c>
      <c r="G27" s="80">
        <f t="shared" si="3"/>
        <v>8288.954651989685</v>
      </c>
      <c r="H27" s="54"/>
      <c r="I27" s="54"/>
      <c r="J27" s="54"/>
      <c r="K27" s="54"/>
      <c r="L27" s="54"/>
      <c r="M27" s="54"/>
      <c r="N27" s="54"/>
      <c r="O27" s="62"/>
      <c r="P27" s="54"/>
      <c r="Q27" s="54"/>
      <c r="R27" s="54"/>
      <c r="S27" s="54"/>
      <c r="T27" s="54"/>
      <c r="U27" s="54"/>
      <c r="V27" s="54"/>
    </row>
    <row r="28" spans="1:22" ht="15">
      <c r="A28" s="54"/>
      <c r="B28" s="54"/>
      <c r="C28" s="79">
        <v>15</v>
      </c>
      <c r="D28" s="80">
        <f t="shared" si="1"/>
        <v>346.18421588508147</v>
      </c>
      <c r="E28" s="80">
        <f t="shared" si="0"/>
        <v>66.09728840378088</v>
      </c>
      <c r="F28" s="80">
        <f t="shared" si="2"/>
        <v>412.2815042888623</v>
      </c>
      <c r="G28" s="80">
        <f t="shared" si="3"/>
        <v>7942.7704361046035</v>
      </c>
      <c r="H28" s="54"/>
      <c r="I28" s="54"/>
      <c r="J28" s="54"/>
      <c r="K28" s="54"/>
      <c r="L28" s="54"/>
      <c r="M28" s="54"/>
      <c r="N28" s="54"/>
      <c r="O28" s="62" t="s">
        <v>111</v>
      </c>
      <c r="P28" s="54"/>
      <c r="Q28" s="54"/>
      <c r="R28" s="54"/>
      <c r="S28" s="54"/>
      <c r="T28" s="54"/>
      <c r="U28" s="54"/>
      <c r="V28" s="54"/>
    </row>
    <row r="29" spans="1:22" ht="15">
      <c r="A29" s="54"/>
      <c r="B29" s="54"/>
      <c r="C29" s="79">
        <v>16</v>
      </c>
      <c r="D29" s="80">
        <f t="shared" si="1"/>
        <v>348.944737436819</v>
      </c>
      <c r="E29" s="80">
        <f t="shared" si="0"/>
        <v>63.336766852043304</v>
      </c>
      <c r="F29" s="80">
        <f t="shared" si="2"/>
        <v>412.2815042888623</v>
      </c>
      <c r="G29" s="80">
        <f t="shared" si="3"/>
        <v>7593.825698667784</v>
      </c>
      <c r="H29" s="54"/>
      <c r="I29" s="54"/>
      <c r="J29" s="54"/>
      <c r="K29" s="54"/>
      <c r="L29" s="54"/>
      <c r="M29" s="54"/>
      <c r="N29" s="54"/>
      <c r="O29" s="62" t="s">
        <v>112</v>
      </c>
      <c r="P29" s="54"/>
      <c r="Q29" s="54"/>
      <c r="R29" s="54"/>
      <c r="S29" s="54"/>
      <c r="T29" s="54"/>
      <c r="U29" s="54"/>
      <c r="V29" s="54"/>
    </row>
    <row r="30" spans="1:22" ht="15">
      <c r="A30" s="54"/>
      <c r="B30" s="54"/>
      <c r="C30" s="79">
        <v>17</v>
      </c>
      <c r="D30" s="80">
        <f t="shared" si="1"/>
        <v>351.72727177506715</v>
      </c>
      <c r="E30" s="80">
        <f t="shared" si="0"/>
        <v>60.55423251379516</v>
      </c>
      <c r="F30" s="80">
        <f t="shared" si="2"/>
        <v>412.2815042888623</v>
      </c>
      <c r="G30" s="80">
        <f t="shared" si="3"/>
        <v>7242.098426892717</v>
      </c>
      <c r="H30" s="54"/>
      <c r="I30" s="54"/>
      <c r="J30" s="54"/>
      <c r="K30" s="54"/>
      <c r="L30" s="54"/>
      <c r="M30" s="54"/>
      <c r="N30" s="54"/>
      <c r="O30" s="62" t="s">
        <v>113</v>
      </c>
      <c r="P30" s="54"/>
      <c r="Q30" s="54"/>
      <c r="R30" s="54"/>
      <c r="S30" s="54"/>
      <c r="T30" s="54"/>
      <c r="U30" s="54"/>
      <c r="V30" s="54"/>
    </row>
    <row r="31" spans="1:22" ht="15">
      <c r="A31" s="54"/>
      <c r="B31" s="54"/>
      <c r="C31" s="79">
        <v>18</v>
      </c>
      <c r="D31" s="80">
        <f t="shared" si="1"/>
        <v>354.5319944328768</v>
      </c>
      <c r="E31" s="80">
        <f t="shared" si="0"/>
        <v>57.749509855985565</v>
      </c>
      <c r="F31" s="80">
        <f t="shared" si="2"/>
        <v>412.2815042888623</v>
      </c>
      <c r="G31" s="80">
        <f t="shared" si="3"/>
        <v>6887.56643245984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5.75">
      <c r="A32" s="54"/>
      <c r="B32" s="54"/>
      <c r="C32" s="79">
        <v>19</v>
      </c>
      <c r="D32" s="80">
        <f t="shared" si="1"/>
        <v>357.35908234302383</v>
      </c>
      <c r="E32" s="80">
        <f t="shared" si="0"/>
        <v>54.92242194583848</v>
      </c>
      <c r="F32" s="80">
        <f t="shared" si="2"/>
        <v>412.2815042888623</v>
      </c>
      <c r="G32" s="80">
        <f t="shared" si="3"/>
        <v>6530.207350116816</v>
      </c>
      <c r="H32" s="54"/>
      <c r="I32" s="54"/>
      <c r="J32" s="54"/>
      <c r="K32" s="54"/>
      <c r="L32" s="54"/>
      <c r="M32" s="54"/>
      <c r="N32" s="54"/>
      <c r="O32" s="61" t="s">
        <v>114</v>
      </c>
      <c r="P32" s="54"/>
      <c r="Q32" s="54"/>
      <c r="R32" s="54"/>
      <c r="S32" s="54"/>
      <c r="T32" s="54"/>
      <c r="U32" s="54"/>
      <c r="V32" s="54"/>
    </row>
    <row r="33" spans="1:22" ht="15">
      <c r="A33" s="54"/>
      <c r="B33" s="54"/>
      <c r="C33" s="79">
        <v>20</v>
      </c>
      <c r="D33" s="80">
        <f t="shared" si="1"/>
        <v>360.2087138491713</v>
      </c>
      <c r="E33" s="80">
        <f t="shared" si="0"/>
        <v>52.07279043969102</v>
      </c>
      <c r="F33" s="80">
        <f t="shared" si="2"/>
        <v>412.2815042888623</v>
      </c>
      <c r="G33" s="80">
        <f t="shared" si="3"/>
        <v>6169.9986362676445</v>
      </c>
      <c r="H33" s="54"/>
      <c r="I33" s="54"/>
      <c r="J33" s="54"/>
      <c r="K33" s="54"/>
      <c r="L33" s="54"/>
      <c r="M33" s="54"/>
      <c r="N33" s="54"/>
      <c r="O33" s="62"/>
      <c r="P33" s="54"/>
      <c r="Q33" s="54"/>
      <c r="R33" s="54"/>
      <c r="S33" s="54"/>
      <c r="T33" s="54"/>
      <c r="U33" s="54"/>
      <c r="V33" s="54"/>
    </row>
    <row r="34" spans="1:22" ht="15">
      <c r="A34" s="54"/>
      <c r="B34" s="54"/>
      <c r="C34" s="79">
        <v>21</v>
      </c>
      <c r="D34" s="80">
        <f t="shared" si="1"/>
        <v>363.0810687171194</v>
      </c>
      <c r="E34" s="80">
        <f t="shared" si="0"/>
        <v>49.200435571742915</v>
      </c>
      <c r="F34" s="80">
        <f t="shared" si="2"/>
        <v>412.2815042888623</v>
      </c>
      <c r="G34" s="80">
        <f t="shared" si="3"/>
        <v>5806.917567550525</v>
      </c>
      <c r="H34" s="54"/>
      <c r="I34" s="54"/>
      <c r="J34" s="54"/>
      <c r="K34" s="54"/>
      <c r="L34" s="54"/>
      <c r="M34" s="54"/>
      <c r="N34" s="54"/>
      <c r="O34" s="62" t="s">
        <v>115</v>
      </c>
      <c r="P34" s="54"/>
      <c r="Q34" s="54"/>
      <c r="R34" s="54"/>
      <c r="S34" s="54"/>
      <c r="T34" s="54"/>
      <c r="U34" s="54"/>
      <c r="V34" s="54"/>
    </row>
    <row r="35" spans="1:22" ht="15">
      <c r="A35" s="54"/>
      <c r="B35" s="54"/>
      <c r="C35" s="79">
        <v>22</v>
      </c>
      <c r="D35" s="80">
        <f t="shared" si="1"/>
        <v>365.97632814614616</v>
      </c>
      <c r="E35" s="80">
        <f t="shared" si="0"/>
        <v>46.30517614271614</v>
      </c>
      <c r="F35" s="80">
        <f t="shared" si="2"/>
        <v>412.2815042888623</v>
      </c>
      <c r="G35" s="80">
        <f t="shared" si="3"/>
        <v>5440.941239404378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5.75">
      <c r="A36" s="54"/>
      <c r="B36" s="54"/>
      <c r="C36" s="79">
        <v>23</v>
      </c>
      <c r="D36" s="80">
        <f t="shared" si="1"/>
        <v>368.8946747804381</v>
      </c>
      <c r="E36" s="80">
        <f t="shared" si="0"/>
        <v>43.386829508424206</v>
      </c>
      <c r="F36" s="80">
        <f t="shared" si="2"/>
        <v>412.2815042888623</v>
      </c>
      <c r="G36" s="80">
        <f t="shared" si="3"/>
        <v>5072.04656462394</v>
      </c>
      <c r="H36" s="54"/>
      <c r="I36" s="54"/>
      <c r="J36" s="54"/>
      <c r="K36" s="54"/>
      <c r="L36" s="54"/>
      <c r="M36" s="54"/>
      <c r="N36" s="54"/>
      <c r="O36" s="61" t="s">
        <v>116</v>
      </c>
      <c r="P36" s="54"/>
      <c r="Q36" s="54"/>
      <c r="R36" s="54"/>
      <c r="S36" s="54"/>
      <c r="T36" s="54"/>
      <c r="U36" s="54"/>
      <c r="V36" s="54"/>
    </row>
    <row r="37" spans="1:22" ht="15">
      <c r="A37" s="54"/>
      <c r="B37" s="54"/>
      <c r="C37" s="79">
        <v>24</v>
      </c>
      <c r="D37" s="80">
        <f t="shared" si="1"/>
        <v>371.8362927206121</v>
      </c>
      <c r="E37" s="80">
        <f t="shared" si="0"/>
        <v>40.44521156825021</v>
      </c>
      <c r="F37" s="80">
        <f t="shared" si="2"/>
        <v>412.2815042888623</v>
      </c>
      <c r="G37" s="80">
        <f t="shared" si="3"/>
        <v>4700.210271903328</v>
      </c>
      <c r="H37" s="54"/>
      <c r="I37" s="54"/>
      <c r="J37" s="54"/>
      <c r="K37" s="54"/>
      <c r="L37" s="54"/>
      <c r="M37" s="54"/>
      <c r="N37" s="54"/>
      <c r="O37" s="62"/>
      <c r="P37" s="54"/>
      <c r="Q37" s="54"/>
      <c r="R37" s="54"/>
      <c r="S37" s="54"/>
      <c r="T37" s="54"/>
      <c r="U37" s="54"/>
      <c r="V37" s="54"/>
    </row>
    <row r="38" spans="1:22" ht="15">
      <c r="A38" s="54"/>
      <c r="B38" s="54"/>
      <c r="C38" s="79">
        <v>25</v>
      </c>
      <c r="D38" s="80">
        <f t="shared" si="1"/>
        <v>374.80136753532923</v>
      </c>
      <c r="E38" s="80">
        <f t="shared" si="0"/>
        <v>37.48013675353308</v>
      </c>
      <c r="F38" s="80">
        <f t="shared" si="2"/>
        <v>412.2815042888623</v>
      </c>
      <c r="G38" s="80">
        <f t="shared" si="3"/>
        <v>4325.408904367999</v>
      </c>
      <c r="H38" s="54"/>
      <c r="I38" s="54"/>
      <c r="J38" s="54"/>
      <c r="K38" s="54"/>
      <c r="L38" s="54"/>
      <c r="M38" s="54"/>
      <c r="N38" s="54"/>
      <c r="O38" s="62" t="s">
        <v>117</v>
      </c>
      <c r="P38" s="54"/>
      <c r="Q38" s="54"/>
      <c r="R38" s="54"/>
      <c r="S38" s="54"/>
      <c r="T38" s="54"/>
      <c r="U38" s="54"/>
      <c r="V38" s="54"/>
    </row>
    <row r="39" spans="1:22" ht="15">
      <c r="A39" s="54"/>
      <c r="B39" s="54"/>
      <c r="C39" s="79">
        <v>26</v>
      </c>
      <c r="D39" s="80">
        <f t="shared" si="1"/>
        <v>377.7900862730011</v>
      </c>
      <c r="E39" s="80">
        <f t="shared" si="0"/>
        <v>34.49141801586119</v>
      </c>
      <c r="F39" s="80">
        <f t="shared" si="2"/>
        <v>412.2815042888623</v>
      </c>
      <c r="G39" s="80">
        <f t="shared" si="3"/>
        <v>3947.6188180949976</v>
      </c>
      <c r="H39" s="54"/>
      <c r="I39" s="54"/>
      <c r="J39" s="54"/>
      <c r="K39" s="54"/>
      <c r="L39" s="54"/>
      <c r="M39" s="54"/>
      <c r="N39" s="54"/>
      <c r="O39" s="62" t="s">
        <v>118</v>
      </c>
      <c r="P39" s="54"/>
      <c r="Q39" s="54"/>
      <c r="R39" s="54"/>
      <c r="S39" s="54"/>
      <c r="T39" s="54"/>
      <c r="U39" s="54"/>
      <c r="V39" s="54"/>
    </row>
    <row r="40" spans="1:22" ht="15">
      <c r="A40" s="54"/>
      <c r="B40" s="54"/>
      <c r="C40" s="79">
        <v>27</v>
      </c>
      <c r="D40" s="80">
        <f t="shared" si="1"/>
        <v>380.8026374735897</v>
      </c>
      <c r="E40" s="80">
        <f t="shared" si="0"/>
        <v>31.478866815272614</v>
      </c>
      <c r="F40" s="80">
        <f t="shared" si="2"/>
        <v>412.2815042888623</v>
      </c>
      <c r="G40" s="80">
        <f t="shared" si="3"/>
        <v>3566.816180621408</v>
      </c>
      <c r="H40" s="54"/>
      <c r="I40" s="54"/>
      <c r="J40" s="54"/>
      <c r="K40" s="54"/>
      <c r="L40" s="54"/>
      <c r="M40" s="54"/>
      <c r="N40" s="54"/>
      <c r="O40" s="85" t="s">
        <v>119</v>
      </c>
      <c r="P40" s="54"/>
      <c r="Q40" s="54"/>
      <c r="R40" s="54"/>
      <c r="S40" s="54"/>
      <c r="T40" s="54"/>
      <c r="U40" s="54"/>
      <c r="V40" s="54"/>
    </row>
    <row r="41" spans="1:22" ht="15">
      <c r="A41" s="54"/>
      <c r="B41" s="54"/>
      <c r="C41" s="79">
        <v>28</v>
      </c>
      <c r="D41" s="80">
        <f t="shared" si="1"/>
        <v>383.839211180501</v>
      </c>
      <c r="E41" s="80">
        <f t="shared" si="0"/>
        <v>28.44229310836128</v>
      </c>
      <c r="F41" s="80">
        <f t="shared" si="2"/>
        <v>412.2815042888623</v>
      </c>
      <c r="G41" s="80">
        <f t="shared" si="3"/>
        <v>3182.976969440907</v>
      </c>
      <c r="H41" s="54"/>
      <c r="I41" s="54"/>
      <c r="J41" s="54"/>
      <c r="K41" s="54"/>
      <c r="L41" s="54"/>
      <c r="M41" s="54"/>
      <c r="N41" s="54"/>
      <c r="O41" s="85" t="s">
        <v>120</v>
      </c>
      <c r="P41" s="54"/>
      <c r="Q41" s="54"/>
      <c r="R41" s="54"/>
      <c r="S41" s="54"/>
      <c r="T41" s="54"/>
      <c r="U41" s="54"/>
      <c r="V41" s="54"/>
    </row>
    <row r="42" spans="1:22" ht="15">
      <c r="A42" s="54"/>
      <c r="B42" s="54"/>
      <c r="C42" s="79">
        <v>29</v>
      </c>
      <c r="D42" s="80">
        <f t="shared" si="1"/>
        <v>386.899998952574</v>
      </c>
      <c r="E42" s="80">
        <f t="shared" si="0"/>
        <v>25.381505336288317</v>
      </c>
      <c r="F42" s="80">
        <f t="shared" si="2"/>
        <v>412.2815042888623</v>
      </c>
      <c r="G42" s="80">
        <f t="shared" si="3"/>
        <v>2796.076970488333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5.75">
      <c r="A43" s="54"/>
      <c r="B43" s="54"/>
      <c r="C43" s="79">
        <v>30</v>
      </c>
      <c r="D43" s="80">
        <f t="shared" si="1"/>
        <v>389.98519387616454</v>
      </c>
      <c r="E43" s="80">
        <f t="shared" si="0"/>
        <v>22.29631041269777</v>
      </c>
      <c r="F43" s="80">
        <f t="shared" si="2"/>
        <v>412.2815042888623</v>
      </c>
      <c r="G43" s="80">
        <f t="shared" si="3"/>
        <v>2406.0917766121684</v>
      </c>
      <c r="H43" s="54"/>
      <c r="I43" s="54"/>
      <c r="J43" s="54"/>
      <c r="K43" s="54"/>
      <c r="L43" s="54"/>
      <c r="M43" s="54"/>
      <c r="N43" s="54"/>
      <c r="O43" s="61" t="s">
        <v>121</v>
      </c>
      <c r="P43" s="54"/>
      <c r="Q43" s="54"/>
      <c r="R43" s="54"/>
      <c r="S43" s="54"/>
      <c r="T43" s="54"/>
      <c r="U43" s="54"/>
      <c r="V43" s="54"/>
    </row>
    <row r="44" spans="1:22" ht="15">
      <c r="A44" s="54"/>
      <c r="B44" s="54"/>
      <c r="C44" s="79">
        <v>31</v>
      </c>
      <c r="D44" s="80">
        <f t="shared" si="1"/>
        <v>393.09499057732637</v>
      </c>
      <c r="E44" s="80">
        <f t="shared" si="0"/>
        <v>19.186513711535977</v>
      </c>
      <c r="F44" s="80">
        <f t="shared" si="2"/>
        <v>412.2815042888623</v>
      </c>
      <c r="G44" s="80">
        <f t="shared" si="3"/>
        <v>2012.996786034842</v>
      </c>
      <c r="H44" s="54"/>
      <c r="I44" s="54"/>
      <c r="J44" s="54"/>
      <c r="K44" s="54"/>
      <c r="L44" s="54"/>
      <c r="M44" s="54"/>
      <c r="N44" s="54"/>
      <c r="O44" s="62"/>
      <c r="P44" s="54"/>
      <c r="Q44" s="54"/>
      <c r="R44" s="54"/>
      <c r="S44" s="54"/>
      <c r="T44" s="54"/>
      <c r="U44" s="54"/>
      <c r="V44" s="54"/>
    </row>
    <row r="45" spans="1:22" ht="15">
      <c r="A45" s="54"/>
      <c r="B45" s="54"/>
      <c r="C45" s="79">
        <v>32</v>
      </c>
      <c r="D45" s="80">
        <f t="shared" si="1"/>
        <v>396.2295852340886</v>
      </c>
      <c r="E45" s="80">
        <f t="shared" si="0"/>
        <v>16.051919054773773</v>
      </c>
      <c r="F45" s="80">
        <f t="shared" si="2"/>
        <v>412.2815042888623</v>
      </c>
      <c r="G45" s="80">
        <f t="shared" si="3"/>
        <v>1616.7672008007535</v>
      </c>
      <c r="H45" s="54"/>
      <c r="I45" s="54"/>
      <c r="J45" s="54"/>
      <c r="K45" s="54"/>
      <c r="L45" s="54"/>
      <c r="M45" s="54"/>
      <c r="N45" s="54"/>
      <c r="O45" s="62" t="s">
        <v>122</v>
      </c>
      <c r="P45" s="54"/>
      <c r="Q45" s="54"/>
      <c r="R45" s="54"/>
      <c r="S45" s="54"/>
      <c r="T45" s="54"/>
      <c r="U45" s="54"/>
      <c r="V45" s="54"/>
    </row>
    <row r="46" spans="1:22" ht="15">
      <c r="A46" s="54"/>
      <c r="B46" s="54"/>
      <c r="C46" s="79">
        <v>33</v>
      </c>
      <c r="D46" s="80">
        <f t="shared" si="1"/>
        <v>399.38917558883145</v>
      </c>
      <c r="E46" s="80">
        <f t="shared" si="0"/>
        <v>12.892328700030859</v>
      </c>
      <c r="F46" s="80">
        <f t="shared" si="2"/>
        <v>412.2815042888623</v>
      </c>
      <c r="G46" s="80">
        <f t="shared" si="3"/>
        <v>1217.378025211922</v>
      </c>
      <c r="H46" s="54"/>
      <c r="I46" s="54"/>
      <c r="J46" s="54"/>
      <c r="K46" s="54"/>
      <c r="L46" s="54"/>
      <c r="M46" s="54"/>
      <c r="N46" s="54"/>
      <c r="O46" s="62" t="s">
        <v>123</v>
      </c>
      <c r="P46" s="54"/>
      <c r="Q46" s="54"/>
      <c r="R46" s="54"/>
      <c r="S46" s="54"/>
      <c r="T46" s="54"/>
      <c r="U46" s="54"/>
      <c r="V46" s="54"/>
    </row>
    <row r="47" spans="1:22" ht="15">
      <c r="A47" s="54"/>
      <c r="B47" s="54"/>
      <c r="C47" s="79">
        <v>34</v>
      </c>
      <c r="D47" s="80">
        <f t="shared" si="1"/>
        <v>402.5739609607609</v>
      </c>
      <c r="E47" s="80">
        <f t="shared" si="0"/>
        <v>9.707543328101414</v>
      </c>
      <c r="F47" s="80">
        <f t="shared" si="2"/>
        <v>412.2815042888623</v>
      </c>
      <c r="G47" s="80">
        <f t="shared" si="3"/>
        <v>814.8040642511611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ht="15.75">
      <c r="A48" s="54"/>
      <c r="B48" s="54"/>
      <c r="C48" s="79">
        <v>35</v>
      </c>
      <c r="D48" s="80">
        <f t="shared" si="1"/>
        <v>405.78414225848206</v>
      </c>
      <c r="E48" s="80">
        <f t="shared" si="0"/>
        <v>6.497362030380284</v>
      </c>
      <c r="F48" s="80">
        <f t="shared" si="2"/>
        <v>412.2815042888623</v>
      </c>
      <c r="G48" s="80">
        <f t="shared" si="3"/>
        <v>409.01992199267903</v>
      </c>
      <c r="H48" s="54"/>
      <c r="I48" s="54"/>
      <c r="J48" s="54"/>
      <c r="K48" s="54"/>
      <c r="L48" s="54"/>
      <c r="M48" s="54"/>
      <c r="N48" s="54"/>
      <c r="O48" s="61" t="s">
        <v>124</v>
      </c>
      <c r="P48" s="54"/>
      <c r="Q48" s="54"/>
      <c r="R48" s="54"/>
      <c r="S48" s="54"/>
      <c r="T48" s="54"/>
      <c r="U48" s="54"/>
      <c r="V48" s="54"/>
    </row>
    <row r="49" spans="1:22" ht="15">
      <c r="A49" s="54"/>
      <c r="B49" s="54"/>
      <c r="C49" s="79">
        <v>36</v>
      </c>
      <c r="D49" s="80">
        <f t="shared" si="1"/>
        <v>409.01992199267346</v>
      </c>
      <c r="E49" s="80">
        <f t="shared" si="0"/>
        <v>3.2615822961888856</v>
      </c>
      <c r="F49" s="80">
        <f t="shared" si="2"/>
        <v>412.2815042888623</v>
      </c>
      <c r="G49" s="80">
        <f t="shared" si="3"/>
        <v>5.5706550483591855E-12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ht="15">
      <c r="A50" s="54"/>
      <c r="B50" s="54"/>
      <c r="C50" s="54"/>
      <c r="D50" s="86">
        <f>SUM(D14:D49)</f>
        <v>12857.599999999993</v>
      </c>
      <c r="E50" s="86">
        <f>SUM(E14:E49)</f>
        <v>1984.5341543990494</v>
      </c>
      <c r="F50" s="86">
        <f>SUM(F14:F49)</f>
        <v>14842.13415439903</v>
      </c>
      <c r="G50" s="54"/>
      <c r="H50" s="54"/>
      <c r="I50" s="54"/>
      <c r="J50" s="54"/>
      <c r="K50" s="54"/>
      <c r="L50" s="54"/>
      <c r="M50" s="54"/>
      <c r="N50" s="54"/>
      <c r="O50" s="54" t="s">
        <v>125</v>
      </c>
      <c r="P50" s="54"/>
      <c r="Q50" s="54"/>
      <c r="R50" s="54"/>
      <c r="S50" s="54"/>
      <c r="T50" s="54"/>
      <c r="U50" s="54"/>
      <c r="V50" s="54"/>
    </row>
    <row r="51" spans="1:2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62"/>
      <c r="P51" s="54"/>
      <c r="Q51" s="54"/>
      <c r="R51" s="54"/>
      <c r="S51" s="54"/>
      <c r="T51" s="54"/>
      <c r="U51" s="54"/>
      <c r="V51" s="54"/>
    </row>
    <row r="52" spans="1:2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62" t="s">
        <v>126</v>
      </c>
      <c r="P52" s="54"/>
      <c r="Q52" s="54"/>
      <c r="R52" s="54"/>
      <c r="S52" s="54"/>
      <c r="T52" s="54"/>
      <c r="U52" s="54"/>
      <c r="V52" s="54"/>
    </row>
    <row r="53" spans="1:2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5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61" t="s">
        <v>127</v>
      </c>
      <c r="P54" s="54"/>
      <c r="Q54" s="54"/>
      <c r="R54" s="54"/>
      <c r="S54" s="54"/>
      <c r="T54" s="54"/>
      <c r="U54" s="54"/>
      <c r="V54" s="54"/>
    </row>
    <row r="55" spans="1:2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 t="s">
        <v>128</v>
      </c>
      <c r="P56" s="54"/>
      <c r="Q56" s="54"/>
      <c r="R56" s="54"/>
      <c r="S56" s="54"/>
      <c r="T56" s="54"/>
      <c r="U56" s="54"/>
      <c r="V56" s="54"/>
    </row>
    <row r="57" spans="1:2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62"/>
      <c r="P57" s="54"/>
      <c r="Q57" s="54"/>
      <c r="R57" s="54"/>
      <c r="S57" s="54"/>
      <c r="T57" s="54"/>
      <c r="U57" s="54"/>
      <c r="V57" s="54"/>
    </row>
    <row r="58" spans="1:2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62" t="s">
        <v>129</v>
      </c>
      <c r="P58" s="54"/>
      <c r="Q58" s="54"/>
      <c r="R58" s="54"/>
      <c r="S58" s="54"/>
      <c r="T58" s="54"/>
      <c r="U58" s="54"/>
      <c r="V58" s="54"/>
    </row>
    <row r="59" spans="1:2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 t="s">
        <v>130</v>
      </c>
      <c r="P60" s="54"/>
      <c r="Q60" s="54"/>
      <c r="R60" s="54"/>
      <c r="S60" s="54"/>
      <c r="T60" s="54"/>
      <c r="U60" s="54"/>
      <c r="V60" s="54"/>
    </row>
    <row r="61" spans="1:2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62"/>
      <c r="P61" s="54"/>
      <c r="Q61" s="54"/>
      <c r="R61" s="54"/>
      <c r="S61" s="54"/>
      <c r="T61" s="54"/>
      <c r="U61" s="54"/>
      <c r="V61" s="54"/>
    </row>
    <row r="62" spans="1:2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62" t="s">
        <v>131</v>
      </c>
      <c r="P62" s="54"/>
      <c r="Q62" s="54"/>
      <c r="R62" s="54"/>
      <c r="S62" s="54"/>
      <c r="T62" s="54"/>
      <c r="U62" s="54"/>
      <c r="V62" s="54"/>
    </row>
    <row r="63" spans="1:2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1:22" ht="15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61" t="s">
        <v>132</v>
      </c>
      <c r="P64" s="54"/>
      <c r="Q64" s="54"/>
      <c r="R64" s="54"/>
      <c r="S64" s="54"/>
      <c r="T64" s="54"/>
      <c r="U64" s="54"/>
      <c r="V64" s="54"/>
    </row>
    <row r="65" spans="1:2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62"/>
      <c r="P65" s="54"/>
      <c r="Q65" s="54"/>
      <c r="R65" s="54"/>
      <c r="S65" s="54"/>
      <c r="T65" s="54"/>
      <c r="U65" s="54"/>
      <c r="V65" s="54"/>
    </row>
    <row r="66" spans="1:2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62" t="s">
        <v>133</v>
      </c>
      <c r="P66" s="54"/>
      <c r="Q66" s="54"/>
      <c r="R66" s="54"/>
      <c r="S66" s="54"/>
      <c r="T66" s="54"/>
      <c r="U66" s="54"/>
      <c r="V66" s="54"/>
    </row>
    <row r="67" spans="1:2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62" t="s">
        <v>134</v>
      </c>
      <c r="P67" s="54"/>
      <c r="Q67" s="54"/>
      <c r="R67" s="54"/>
      <c r="S67" s="54"/>
      <c r="T67" s="54"/>
      <c r="U67" s="54"/>
      <c r="V67" s="54"/>
    </row>
    <row r="68" spans="1:2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62" t="s">
        <v>135</v>
      </c>
      <c r="P68" s="54"/>
      <c r="Q68" s="54"/>
      <c r="R68" s="54"/>
      <c r="S68" s="54"/>
      <c r="T68" s="54"/>
      <c r="U68" s="54"/>
      <c r="V68" s="54"/>
    </row>
    <row r="69" spans="1:2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62" t="s">
        <v>136</v>
      </c>
      <c r="P69" s="54"/>
      <c r="Q69" s="54"/>
      <c r="R69" s="54"/>
      <c r="S69" s="54"/>
      <c r="T69" s="54"/>
      <c r="U69" s="54"/>
      <c r="V69" s="54"/>
    </row>
    <row r="70" spans="1:2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62" t="s">
        <v>137</v>
      </c>
      <c r="P70" s="54"/>
      <c r="Q70" s="54"/>
      <c r="R70" s="54"/>
      <c r="S70" s="54"/>
      <c r="T70" s="54"/>
      <c r="U70" s="54"/>
      <c r="V70" s="54"/>
    </row>
    <row r="71" spans="1:2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62" t="s">
        <v>138</v>
      </c>
      <c r="P71" s="54"/>
      <c r="Q71" s="54"/>
      <c r="R71" s="54"/>
      <c r="S71" s="54"/>
      <c r="T71" s="54"/>
      <c r="U71" s="54"/>
      <c r="V71" s="54"/>
    </row>
    <row r="72" spans="1:2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62" t="s">
        <v>139</v>
      </c>
      <c r="P72" s="54"/>
      <c r="Q72" s="54"/>
      <c r="R72" s="54"/>
      <c r="S72" s="54"/>
      <c r="T72" s="54"/>
      <c r="U72" s="54"/>
      <c r="V72" s="54"/>
    </row>
    <row r="73" spans="1:2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62" t="s">
        <v>140</v>
      </c>
      <c r="P73" s="54"/>
      <c r="Q73" s="54"/>
      <c r="R73" s="54"/>
      <c r="S73" s="54"/>
      <c r="T73" s="54"/>
      <c r="U73" s="54"/>
      <c r="V73" s="54"/>
    </row>
    <row r="74" spans="1:2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62" t="s">
        <v>141</v>
      </c>
      <c r="P74" s="54"/>
      <c r="Q74" s="54"/>
      <c r="R74" s="54"/>
      <c r="S74" s="54"/>
      <c r="T74" s="54"/>
      <c r="U74" s="54"/>
      <c r="V74" s="54"/>
    </row>
    <row r="75" spans="1:2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</sheetData>
  <sheetProtection/>
  <mergeCells count="7">
    <mergeCell ref="C8:G8"/>
    <mergeCell ref="I8:M8"/>
    <mergeCell ref="B2:C2"/>
    <mergeCell ref="B3:C3"/>
    <mergeCell ref="B4:C4"/>
    <mergeCell ref="C7:G7"/>
    <mergeCell ref="I7:M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5"/>
  <sheetViews>
    <sheetView zoomScalePageLayoutView="0" workbookViewId="0" topLeftCell="A16">
      <selection activeCell="K19" sqref="K19"/>
    </sheetView>
  </sheetViews>
  <sheetFormatPr defaultColWidth="11.421875" defaultRowHeight="15"/>
  <cols>
    <col min="1" max="1" width="32.8515625" style="0" customWidth="1"/>
    <col min="2" max="2" width="9.140625" style="0" customWidth="1"/>
    <col min="3" max="3" width="13.28125" style="0" customWidth="1"/>
    <col min="5" max="5" width="9.00390625" style="0" customWidth="1"/>
    <col min="6" max="6" width="11.421875" style="0" customWidth="1"/>
    <col min="7" max="7" width="8.421875" style="0" customWidth="1"/>
    <col min="8" max="8" width="10.140625" style="0" customWidth="1"/>
    <col min="9" max="9" width="7.00390625" style="0" bestFit="1" customWidth="1"/>
  </cols>
  <sheetData>
    <row r="3" spans="1:9" ht="15">
      <c r="A3" s="87" t="s">
        <v>30</v>
      </c>
      <c r="B3" s="87" t="s">
        <v>3</v>
      </c>
      <c r="C3" s="87" t="s">
        <v>142</v>
      </c>
      <c r="D3" s="87" t="s">
        <v>143</v>
      </c>
      <c r="E3" s="87" t="s">
        <v>336</v>
      </c>
      <c r="F3" s="87" t="s">
        <v>335</v>
      </c>
      <c r="G3" s="241" t="s">
        <v>334</v>
      </c>
      <c r="H3" s="92" t="s">
        <v>144</v>
      </c>
      <c r="I3" s="92" t="s">
        <v>333</v>
      </c>
    </row>
    <row r="4" spans="1:9" ht="15">
      <c r="A4" s="88" t="s">
        <v>31</v>
      </c>
      <c r="B4" s="40">
        <v>1</v>
      </c>
      <c r="C4" s="41">
        <v>800</v>
      </c>
      <c r="D4" s="41">
        <f>+B4*C4</f>
        <v>800</v>
      </c>
      <c r="E4" s="40">
        <v>3</v>
      </c>
      <c r="F4" s="90">
        <f>+D4/E4</f>
        <v>266.6666666666667</v>
      </c>
      <c r="G4" s="89">
        <v>3</v>
      </c>
      <c r="H4" s="89">
        <f>+F4*G4</f>
        <v>800</v>
      </c>
      <c r="I4" s="93">
        <f>+D4-H4</f>
        <v>0</v>
      </c>
    </row>
    <row r="5" spans="1:9" ht="15">
      <c r="A5" s="88" t="s">
        <v>33</v>
      </c>
      <c r="B5" s="40">
        <v>1</v>
      </c>
      <c r="C5" s="41">
        <v>600</v>
      </c>
      <c r="D5" s="41">
        <f>+B5*C5</f>
        <v>600</v>
      </c>
      <c r="E5" s="40">
        <v>3</v>
      </c>
      <c r="F5" s="90">
        <f aca="true" t="shared" si="0" ref="F5:F34">+D5/E5</f>
        <v>200</v>
      </c>
      <c r="G5" s="89">
        <v>3</v>
      </c>
      <c r="H5" s="89">
        <f aca="true" t="shared" si="1" ref="H5:H34">+F5*G5</f>
        <v>600</v>
      </c>
      <c r="I5" s="93">
        <f aca="true" t="shared" si="2" ref="I5:I34">+D5-H5</f>
        <v>0</v>
      </c>
    </row>
    <row r="6" spans="1:9" ht="15">
      <c r="A6" s="36" t="s">
        <v>35</v>
      </c>
      <c r="B6" s="36">
        <v>2</v>
      </c>
      <c r="C6" s="9">
        <v>150</v>
      </c>
      <c r="D6" s="9">
        <f>B6*C6</f>
        <v>300</v>
      </c>
      <c r="E6" s="36">
        <v>3</v>
      </c>
      <c r="F6" s="90">
        <f t="shared" si="0"/>
        <v>100</v>
      </c>
      <c r="G6" s="89">
        <v>3</v>
      </c>
      <c r="H6" s="89">
        <f t="shared" si="1"/>
        <v>300</v>
      </c>
      <c r="I6" s="93">
        <f t="shared" si="2"/>
        <v>0</v>
      </c>
    </row>
    <row r="7" spans="1:9" ht="15">
      <c r="A7" s="36" t="s">
        <v>37</v>
      </c>
      <c r="B7" s="36">
        <v>1</v>
      </c>
      <c r="C7" s="9">
        <v>200</v>
      </c>
      <c r="D7" s="9">
        <f>B7*C7</f>
        <v>200</v>
      </c>
      <c r="E7" s="36">
        <v>3</v>
      </c>
      <c r="F7" s="90">
        <f t="shared" si="0"/>
        <v>66.66666666666667</v>
      </c>
      <c r="G7" s="89">
        <v>3</v>
      </c>
      <c r="H7" s="89">
        <f t="shared" si="1"/>
        <v>200</v>
      </c>
      <c r="I7" s="93">
        <f t="shared" si="2"/>
        <v>0</v>
      </c>
    </row>
    <row r="8" spans="1:9" ht="15">
      <c r="A8" s="36" t="s">
        <v>39</v>
      </c>
      <c r="B8" s="36">
        <v>2</v>
      </c>
      <c r="C8" s="9">
        <v>300</v>
      </c>
      <c r="D8" s="9">
        <f>B8*C8</f>
        <v>600</v>
      </c>
      <c r="E8" s="36">
        <v>3</v>
      </c>
      <c r="F8" s="90">
        <f t="shared" si="0"/>
        <v>200</v>
      </c>
      <c r="G8" s="89">
        <v>3</v>
      </c>
      <c r="H8" s="89">
        <f t="shared" si="1"/>
        <v>600</v>
      </c>
      <c r="I8" s="93">
        <f t="shared" si="2"/>
        <v>0</v>
      </c>
    </row>
    <row r="9" spans="1:9" ht="15">
      <c r="A9" s="36" t="s">
        <v>45</v>
      </c>
      <c r="B9" s="88">
        <v>1</v>
      </c>
      <c r="C9" s="9">
        <v>500</v>
      </c>
      <c r="D9" s="9">
        <f>B9*C9</f>
        <v>500</v>
      </c>
      <c r="E9" s="36">
        <v>3</v>
      </c>
      <c r="F9" s="90">
        <f t="shared" si="0"/>
        <v>166.66666666666666</v>
      </c>
      <c r="G9" s="89">
        <v>3</v>
      </c>
      <c r="H9" s="89">
        <f t="shared" si="1"/>
        <v>500</v>
      </c>
      <c r="I9" s="93">
        <f t="shared" si="2"/>
        <v>0</v>
      </c>
    </row>
    <row r="10" spans="1:9" ht="15">
      <c r="A10" s="36" t="s">
        <v>55</v>
      </c>
      <c r="B10" s="36">
        <v>2</v>
      </c>
      <c r="C10" s="9">
        <v>159</v>
      </c>
      <c r="D10" s="9">
        <f>B10*C10</f>
        <v>318</v>
      </c>
      <c r="E10" s="36">
        <v>5</v>
      </c>
      <c r="F10" s="90">
        <f t="shared" si="0"/>
        <v>63.6</v>
      </c>
      <c r="G10" s="89">
        <v>5</v>
      </c>
      <c r="H10" s="89">
        <f t="shared" si="1"/>
        <v>318</v>
      </c>
      <c r="I10" s="93">
        <f t="shared" si="2"/>
        <v>0</v>
      </c>
    </row>
    <row r="11" spans="1:9" ht="15">
      <c r="A11" s="36" t="s">
        <v>57</v>
      </c>
      <c r="B11" s="88">
        <v>2</v>
      </c>
      <c r="C11" s="9">
        <v>576</v>
      </c>
      <c r="D11" s="9">
        <f>B11*C11</f>
        <v>1152</v>
      </c>
      <c r="E11" s="36">
        <v>5</v>
      </c>
      <c r="F11" s="90">
        <f t="shared" si="0"/>
        <v>230.4</v>
      </c>
      <c r="G11" s="89">
        <v>5</v>
      </c>
      <c r="H11" s="89">
        <f t="shared" si="1"/>
        <v>1152</v>
      </c>
      <c r="I11" s="93">
        <f t="shared" si="2"/>
        <v>0</v>
      </c>
    </row>
    <row r="12" spans="1:9" ht="15">
      <c r="A12" s="36" t="s">
        <v>34</v>
      </c>
      <c r="B12" s="36">
        <v>1</v>
      </c>
      <c r="C12" s="9">
        <v>480</v>
      </c>
      <c r="D12" s="9">
        <f aca="true" t="shared" si="3" ref="D12:D18">B12*C12</f>
        <v>480</v>
      </c>
      <c r="E12" s="36">
        <v>5</v>
      </c>
      <c r="F12" s="90">
        <f t="shared" si="0"/>
        <v>96</v>
      </c>
      <c r="G12" s="89">
        <v>5</v>
      </c>
      <c r="H12" s="89">
        <f t="shared" si="1"/>
        <v>480</v>
      </c>
      <c r="I12" s="93">
        <f t="shared" si="2"/>
        <v>0</v>
      </c>
    </row>
    <row r="13" spans="1:9" ht="15">
      <c r="A13" s="36" t="s">
        <v>36</v>
      </c>
      <c r="B13" s="36">
        <v>1</v>
      </c>
      <c r="C13" s="9">
        <v>200</v>
      </c>
      <c r="D13" s="9">
        <f t="shared" si="3"/>
        <v>200</v>
      </c>
      <c r="E13" s="36">
        <v>5</v>
      </c>
      <c r="F13" s="90">
        <f t="shared" si="0"/>
        <v>40</v>
      </c>
      <c r="G13" s="89">
        <v>5</v>
      </c>
      <c r="H13" s="89">
        <f t="shared" si="1"/>
        <v>200</v>
      </c>
      <c r="I13" s="93">
        <f t="shared" si="2"/>
        <v>0</v>
      </c>
    </row>
    <row r="14" spans="1:9" ht="15">
      <c r="A14" s="36" t="s">
        <v>38</v>
      </c>
      <c r="B14" s="36">
        <v>1</v>
      </c>
      <c r="C14" s="9">
        <v>175</v>
      </c>
      <c r="D14" s="9">
        <f t="shared" si="3"/>
        <v>175</v>
      </c>
      <c r="E14" s="36">
        <v>5</v>
      </c>
      <c r="F14" s="90">
        <f t="shared" si="0"/>
        <v>35</v>
      </c>
      <c r="G14" s="89">
        <v>5</v>
      </c>
      <c r="H14" s="89">
        <f t="shared" si="1"/>
        <v>175</v>
      </c>
      <c r="I14" s="93">
        <f t="shared" si="2"/>
        <v>0</v>
      </c>
    </row>
    <row r="15" spans="1:9" ht="15">
      <c r="A15" s="36" t="s">
        <v>40</v>
      </c>
      <c r="B15" s="36">
        <v>1</v>
      </c>
      <c r="C15" s="9">
        <v>480</v>
      </c>
      <c r="D15" s="9">
        <f t="shared" si="3"/>
        <v>480</v>
      </c>
      <c r="E15" s="36">
        <v>5</v>
      </c>
      <c r="F15" s="90">
        <f t="shared" si="0"/>
        <v>96</v>
      </c>
      <c r="G15" s="89">
        <v>5</v>
      </c>
      <c r="H15" s="89">
        <f t="shared" si="1"/>
        <v>480</v>
      </c>
      <c r="I15" s="93">
        <f t="shared" si="2"/>
        <v>0</v>
      </c>
    </row>
    <row r="16" spans="1:9" ht="15">
      <c r="A16" s="36" t="s">
        <v>42</v>
      </c>
      <c r="B16" s="36">
        <v>1</v>
      </c>
      <c r="C16" s="9">
        <v>80</v>
      </c>
      <c r="D16" s="9">
        <f t="shared" si="3"/>
        <v>80</v>
      </c>
      <c r="E16" s="36">
        <v>5</v>
      </c>
      <c r="F16" s="90">
        <f t="shared" si="0"/>
        <v>16</v>
      </c>
      <c r="G16" s="89">
        <v>5</v>
      </c>
      <c r="H16" s="89">
        <f t="shared" si="1"/>
        <v>80</v>
      </c>
      <c r="I16" s="93">
        <f t="shared" si="2"/>
        <v>0</v>
      </c>
    </row>
    <row r="17" spans="1:9" ht="15">
      <c r="A17" s="36" t="s">
        <v>44</v>
      </c>
      <c r="B17" s="36">
        <v>1</v>
      </c>
      <c r="C17" s="9">
        <v>70</v>
      </c>
      <c r="D17" s="9">
        <f t="shared" si="3"/>
        <v>70</v>
      </c>
      <c r="E17" s="36">
        <v>5</v>
      </c>
      <c r="F17" s="90">
        <f t="shared" si="0"/>
        <v>14</v>
      </c>
      <c r="G17" s="89">
        <v>5</v>
      </c>
      <c r="H17" s="89">
        <f t="shared" si="1"/>
        <v>70</v>
      </c>
      <c r="I17" s="93">
        <f t="shared" si="2"/>
        <v>0</v>
      </c>
    </row>
    <row r="18" spans="1:9" ht="15">
      <c r="A18" s="36" t="s">
        <v>46</v>
      </c>
      <c r="B18" s="36">
        <v>2</v>
      </c>
      <c r="C18" s="9">
        <v>380</v>
      </c>
      <c r="D18" s="9">
        <f t="shared" si="3"/>
        <v>760</v>
      </c>
      <c r="E18" s="36">
        <v>5</v>
      </c>
      <c r="F18" s="90">
        <f t="shared" si="0"/>
        <v>152</v>
      </c>
      <c r="G18" s="89">
        <v>5</v>
      </c>
      <c r="H18" s="89">
        <f t="shared" si="1"/>
        <v>760</v>
      </c>
      <c r="I18" s="93">
        <f t="shared" si="2"/>
        <v>0</v>
      </c>
    </row>
    <row r="19" spans="1:9" ht="15">
      <c r="A19" s="36" t="s">
        <v>48</v>
      </c>
      <c r="B19" s="36">
        <v>2</v>
      </c>
      <c r="C19" s="9">
        <v>220</v>
      </c>
      <c r="D19" s="9">
        <f>+C19*B19</f>
        <v>440</v>
      </c>
      <c r="E19" s="36">
        <v>3</v>
      </c>
      <c r="F19" s="90">
        <f t="shared" si="0"/>
        <v>146.66666666666666</v>
      </c>
      <c r="G19" s="89">
        <v>3</v>
      </c>
      <c r="H19" s="89">
        <f t="shared" si="1"/>
        <v>440</v>
      </c>
      <c r="I19" s="93">
        <f t="shared" si="2"/>
        <v>0</v>
      </c>
    </row>
    <row r="20" spans="1:9" ht="15">
      <c r="A20" s="36" t="s">
        <v>50</v>
      </c>
      <c r="B20" s="36">
        <v>2</v>
      </c>
      <c r="C20" s="9">
        <v>25</v>
      </c>
      <c r="D20" s="9">
        <f>+B20*C20</f>
        <v>50</v>
      </c>
      <c r="E20" s="36">
        <v>3</v>
      </c>
      <c r="F20" s="90">
        <f t="shared" si="0"/>
        <v>16.666666666666668</v>
      </c>
      <c r="G20" s="89">
        <v>3</v>
      </c>
      <c r="H20" s="89">
        <f t="shared" si="1"/>
        <v>50</v>
      </c>
      <c r="I20" s="93">
        <f t="shared" si="2"/>
        <v>0</v>
      </c>
    </row>
    <row r="21" spans="1:9" ht="15">
      <c r="A21" s="36" t="s">
        <v>52</v>
      </c>
      <c r="B21" s="36">
        <v>2</v>
      </c>
      <c r="C21" s="9">
        <v>50</v>
      </c>
      <c r="D21" s="9">
        <f>+B21*C21</f>
        <v>100</v>
      </c>
      <c r="E21" s="36">
        <v>3</v>
      </c>
      <c r="F21" s="90">
        <f t="shared" si="0"/>
        <v>33.333333333333336</v>
      </c>
      <c r="G21" s="89">
        <v>3</v>
      </c>
      <c r="H21" s="89">
        <f t="shared" si="1"/>
        <v>100</v>
      </c>
      <c r="I21" s="93">
        <f t="shared" si="2"/>
        <v>0</v>
      </c>
    </row>
    <row r="22" spans="1:9" ht="15">
      <c r="A22" s="36" t="s">
        <v>54</v>
      </c>
      <c r="B22" s="36">
        <v>1</v>
      </c>
      <c r="C22" s="9">
        <v>1200</v>
      </c>
      <c r="D22" s="9">
        <f>+B22*C22</f>
        <v>1200</v>
      </c>
      <c r="E22" s="36">
        <v>3</v>
      </c>
      <c r="F22" s="90">
        <f t="shared" si="0"/>
        <v>400</v>
      </c>
      <c r="G22" s="89">
        <v>3</v>
      </c>
      <c r="H22" s="89">
        <f t="shared" si="1"/>
        <v>1200</v>
      </c>
      <c r="I22" s="93">
        <f t="shared" si="2"/>
        <v>0</v>
      </c>
    </row>
    <row r="23" spans="1:9" ht="15">
      <c r="A23" s="36" t="s">
        <v>56</v>
      </c>
      <c r="B23" s="36">
        <v>1</v>
      </c>
      <c r="C23" s="9">
        <v>220</v>
      </c>
      <c r="D23" s="9">
        <f>+B23*C23</f>
        <v>220</v>
      </c>
      <c r="E23" s="36">
        <v>3</v>
      </c>
      <c r="F23" s="90">
        <f t="shared" si="0"/>
        <v>73.33333333333333</v>
      </c>
      <c r="G23" s="89">
        <v>3</v>
      </c>
      <c r="H23" s="89">
        <f t="shared" si="1"/>
        <v>220</v>
      </c>
      <c r="I23" s="93">
        <f t="shared" si="2"/>
        <v>0</v>
      </c>
    </row>
    <row r="24" spans="1:9" ht="15">
      <c r="A24" s="88" t="s">
        <v>58</v>
      </c>
      <c r="B24" s="40">
        <v>2</v>
      </c>
      <c r="C24" s="41">
        <v>210</v>
      </c>
      <c r="D24" s="41">
        <f>+B24*C24</f>
        <v>420</v>
      </c>
      <c r="E24" s="40">
        <v>3</v>
      </c>
      <c r="F24" s="90">
        <f t="shared" si="0"/>
        <v>140</v>
      </c>
      <c r="G24" s="89">
        <v>3</v>
      </c>
      <c r="H24" s="89">
        <f t="shared" si="1"/>
        <v>420</v>
      </c>
      <c r="I24" s="93">
        <f t="shared" si="2"/>
        <v>0</v>
      </c>
    </row>
    <row r="25" spans="1:9" ht="15">
      <c r="A25" s="88" t="s">
        <v>10</v>
      </c>
      <c r="B25" s="36">
        <v>1</v>
      </c>
      <c r="C25" s="9">
        <v>80</v>
      </c>
      <c r="D25" s="9">
        <f aca="true" t="shared" si="4" ref="D25:D34">B25*C25</f>
        <v>80</v>
      </c>
      <c r="E25" s="36">
        <v>10</v>
      </c>
      <c r="F25" s="90">
        <f t="shared" si="0"/>
        <v>8</v>
      </c>
      <c r="G25" s="89">
        <v>5</v>
      </c>
      <c r="H25" s="89">
        <f t="shared" si="1"/>
        <v>40</v>
      </c>
      <c r="I25" s="93">
        <f t="shared" si="2"/>
        <v>40</v>
      </c>
    </row>
    <row r="26" spans="1:9" ht="15">
      <c r="A26" s="36" t="s">
        <v>12</v>
      </c>
      <c r="B26" s="36">
        <v>1</v>
      </c>
      <c r="C26" s="9">
        <v>50</v>
      </c>
      <c r="D26" s="9">
        <f t="shared" si="4"/>
        <v>50</v>
      </c>
      <c r="E26" s="36">
        <v>10</v>
      </c>
      <c r="F26" s="90">
        <f t="shared" si="0"/>
        <v>5</v>
      </c>
      <c r="G26" s="89">
        <v>5</v>
      </c>
      <c r="H26" s="89">
        <f t="shared" si="1"/>
        <v>25</v>
      </c>
      <c r="I26" s="93">
        <f t="shared" si="2"/>
        <v>25</v>
      </c>
    </row>
    <row r="27" spans="1:9" ht="15">
      <c r="A27" s="36" t="s">
        <v>18</v>
      </c>
      <c r="B27" s="88">
        <v>1</v>
      </c>
      <c r="C27" s="9">
        <v>150</v>
      </c>
      <c r="D27" s="9">
        <f t="shared" si="4"/>
        <v>150</v>
      </c>
      <c r="E27" s="36">
        <v>10</v>
      </c>
      <c r="F27" s="90">
        <f t="shared" si="0"/>
        <v>15</v>
      </c>
      <c r="G27" s="89">
        <v>5</v>
      </c>
      <c r="H27" s="89">
        <f t="shared" si="1"/>
        <v>75</v>
      </c>
      <c r="I27" s="93">
        <f t="shared" si="2"/>
        <v>75</v>
      </c>
    </row>
    <row r="28" spans="1:9" ht="15">
      <c r="A28" s="36" t="s">
        <v>20</v>
      </c>
      <c r="B28" s="88">
        <v>1</v>
      </c>
      <c r="C28" s="9">
        <v>100</v>
      </c>
      <c r="D28" s="9">
        <f t="shared" si="4"/>
        <v>100</v>
      </c>
      <c r="E28" s="36">
        <v>10</v>
      </c>
      <c r="F28" s="90">
        <f t="shared" si="0"/>
        <v>10</v>
      </c>
      <c r="G28" s="89">
        <v>5</v>
      </c>
      <c r="H28" s="89">
        <f t="shared" si="1"/>
        <v>50</v>
      </c>
      <c r="I28" s="93">
        <f t="shared" si="2"/>
        <v>50</v>
      </c>
    </row>
    <row r="29" spans="1:9" ht="15">
      <c r="A29" s="36" t="s">
        <v>22</v>
      </c>
      <c r="B29" s="88">
        <v>2</v>
      </c>
      <c r="C29" s="9">
        <v>70</v>
      </c>
      <c r="D29" s="9">
        <f t="shared" si="4"/>
        <v>140</v>
      </c>
      <c r="E29" s="36">
        <v>10</v>
      </c>
      <c r="F29" s="90">
        <f t="shared" si="0"/>
        <v>14</v>
      </c>
      <c r="G29" s="89">
        <v>5</v>
      </c>
      <c r="H29" s="89">
        <f t="shared" si="1"/>
        <v>70</v>
      </c>
      <c r="I29" s="93">
        <f t="shared" si="2"/>
        <v>70</v>
      </c>
    </row>
    <row r="30" spans="1:9" ht="15">
      <c r="A30" s="36" t="s">
        <v>14</v>
      </c>
      <c r="B30" s="88">
        <v>3</v>
      </c>
      <c r="C30" s="9">
        <v>215</v>
      </c>
      <c r="D30" s="9">
        <f t="shared" si="4"/>
        <v>645</v>
      </c>
      <c r="E30" s="36">
        <v>10</v>
      </c>
      <c r="F30" s="90">
        <f t="shared" si="0"/>
        <v>64.5</v>
      </c>
      <c r="G30" s="89">
        <v>5</v>
      </c>
      <c r="H30" s="89">
        <f t="shared" si="1"/>
        <v>322.5</v>
      </c>
      <c r="I30" s="93">
        <f t="shared" si="2"/>
        <v>322.5</v>
      </c>
    </row>
    <row r="31" spans="1:9" ht="15">
      <c r="A31" s="36" t="s">
        <v>11</v>
      </c>
      <c r="B31" s="36">
        <v>15</v>
      </c>
      <c r="C31" s="9">
        <v>75</v>
      </c>
      <c r="D31" s="9">
        <f t="shared" si="4"/>
        <v>1125</v>
      </c>
      <c r="E31" s="36">
        <v>10</v>
      </c>
      <c r="F31" s="90">
        <f t="shared" si="0"/>
        <v>112.5</v>
      </c>
      <c r="G31" s="89">
        <v>5</v>
      </c>
      <c r="H31" s="89">
        <f t="shared" si="1"/>
        <v>562.5</v>
      </c>
      <c r="I31" s="93">
        <f t="shared" si="2"/>
        <v>562.5</v>
      </c>
    </row>
    <row r="32" spans="1:9" ht="15">
      <c r="A32" s="36" t="s">
        <v>13</v>
      </c>
      <c r="B32" s="88">
        <v>50</v>
      </c>
      <c r="C32" s="9">
        <v>20</v>
      </c>
      <c r="D32" s="9">
        <f t="shared" si="4"/>
        <v>1000</v>
      </c>
      <c r="E32" s="36">
        <v>10</v>
      </c>
      <c r="F32" s="90">
        <f t="shared" si="0"/>
        <v>100</v>
      </c>
      <c r="G32" s="89">
        <v>5</v>
      </c>
      <c r="H32" s="89">
        <f t="shared" si="1"/>
        <v>500</v>
      </c>
      <c r="I32" s="93">
        <f t="shared" si="2"/>
        <v>500</v>
      </c>
    </row>
    <row r="33" spans="1:9" ht="15">
      <c r="A33" s="36" t="s">
        <v>23</v>
      </c>
      <c r="B33" s="88">
        <v>1</v>
      </c>
      <c r="C33" s="9">
        <v>5</v>
      </c>
      <c r="D33" s="9">
        <f t="shared" si="4"/>
        <v>5</v>
      </c>
      <c r="E33" s="36">
        <v>10</v>
      </c>
      <c r="F33" s="90">
        <f t="shared" si="0"/>
        <v>0.5</v>
      </c>
      <c r="G33" s="89">
        <v>5</v>
      </c>
      <c r="H33" s="89">
        <f t="shared" si="1"/>
        <v>2.5</v>
      </c>
      <c r="I33" s="93">
        <f t="shared" si="2"/>
        <v>2.5</v>
      </c>
    </row>
    <row r="34" spans="1:9" ht="15">
      <c r="A34" s="36" t="s">
        <v>24</v>
      </c>
      <c r="B34" s="88">
        <v>1</v>
      </c>
      <c r="C34" s="9">
        <v>15</v>
      </c>
      <c r="D34" s="9">
        <f t="shared" si="4"/>
        <v>15</v>
      </c>
      <c r="E34" s="36">
        <v>10</v>
      </c>
      <c r="F34" s="90">
        <f t="shared" si="0"/>
        <v>1.5</v>
      </c>
      <c r="G34" s="89">
        <v>5</v>
      </c>
      <c r="H34" s="89">
        <f t="shared" si="1"/>
        <v>7.5</v>
      </c>
      <c r="I34" s="93">
        <f t="shared" si="2"/>
        <v>7.5</v>
      </c>
    </row>
    <row r="35" spans="1:9" ht="15">
      <c r="A35" s="97" t="s">
        <v>145</v>
      </c>
      <c r="D35" s="230">
        <f>+D4+D5+D6+D7+D8+D9+D19+D20+D21+D22+D23+D24</f>
        <v>5430</v>
      </c>
      <c r="E35" s="95"/>
      <c r="F35" s="96">
        <f>SUM(F4:F34)</f>
        <v>2884.0000000000005</v>
      </c>
      <c r="G35" s="95"/>
      <c r="H35" s="95"/>
      <c r="I35" s="94">
        <f>SUM(I4:I34)</f>
        <v>1655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D31" sqref="D31"/>
    </sheetView>
  </sheetViews>
  <sheetFormatPr defaultColWidth="11.421875" defaultRowHeight="15"/>
  <cols>
    <col min="1" max="1" width="20.421875" style="0" customWidth="1"/>
    <col min="2" max="2" width="20.140625" style="0" customWidth="1"/>
    <col min="3" max="3" width="13.00390625" style="0" customWidth="1"/>
    <col min="8" max="8" width="14.421875" style="0" customWidth="1"/>
  </cols>
  <sheetData>
    <row r="2" spans="1:5" ht="15">
      <c r="A2" s="95" t="s">
        <v>146</v>
      </c>
      <c r="B2" s="95" t="s">
        <v>150</v>
      </c>
      <c r="C2" s="95" t="s">
        <v>172</v>
      </c>
      <c r="E2" s="95" t="s">
        <v>173</v>
      </c>
    </row>
    <row r="3" spans="1:5" ht="15">
      <c r="A3" t="s">
        <v>147</v>
      </c>
      <c r="B3" s="91">
        <f>+C40</f>
        <v>0.775</v>
      </c>
      <c r="C3">
        <f>+DEMANDA!B3*B3</f>
        <v>488.25</v>
      </c>
      <c r="E3">
        <f>+C3*12</f>
        <v>5859</v>
      </c>
    </row>
    <row r="4" spans="1:5" ht="15">
      <c r="A4" t="s">
        <v>148</v>
      </c>
      <c r="B4" s="91">
        <f>+G20</f>
        <v>0.925</v>
      </c>
      <c r="C4">
        <f>+DEMANDA!B4*B4</f>
        <v>1813</v>
      </c>
      <c r="E4">
        <f>+C4*12</f>
        <v>21756</v>
      </c>
    </row>
    <row r="5" spans="1:5" ht="15">
      <c r="A5" t="s">
        <v>149</v>
      </c>
      <c r="B5">
        <f>+F26</f>
        <v>360</v>
      </c>
      <c r="C5">
        <f>360*3</f>
        <v>1080</v>
      </c>
      <c r="E5">
        <f>+C5*12</f>
        <v>12960</v>
      </c>
    </row>
    <row r="6" spans="1:5" ht="15">
      <c r="A6" t="s">
        <v>180</v>
      </c>
      <c r="B6">
        <f>+F31</f>
        <v>350</v>
      </c>
      <c r="C6">
        <f>+B6*6</f>
        <v>2100</v>
      </c>
      <c r="E6">
        <f>+C6*12</f>
        <v>25200</v>
      </c>
    </row>
    <row r="7" spans="1:5" ht="15">
      <c r="A7" t="s">
        <v>25</v>
      </c>
      <c r="C7" s="95">
        <f>SUM(C3:C6)</f>
        <v>5481.25</v>
      </c>
      <c r="E7" s="95">
        <f>SUM(E3:E6)</f>
        <v>65775</v>
      </c>
    </row>
    <row r="9" spans="1:6" ht="15">
      <c r="A9" s="98" t="s">
        <v>185</v>
      </c>
      <c r="B9" s="98">
        <v>1</v>
      </c>
      <c r="C9" s="98">
        <v>2</v>
      </c>
      <c r="D9" s="98">
        <v>3</v>
      </c>
      <c r="E9" s="98">
        <v>4</v>
      </c>
      <c r="F9" s="98">
        <v>5</v>
      </c>
    </row>
    <row r="10" spans="1:6" ht="15">
      <c r="A10" s="89" t="s">
        <v>186</v>
      </c>
      <c r="B10" s="89">
        <f>+E3</f>
        <v>5859</v>
      </c>
      <c r="C10" s="90">
        <f>+B10*(1+$B$15)</f>
        <v>5976.18</v>
      </c>
      <c r="D10" s="90">
        <f>+C10*(1+$B$15)</f>
        <v>6095.703600000001</v>
      </c>
      <c r="E10" s="90">
        <f>+D10*(1+$B$15)</f>
        <v>6217.617672000001</v>
      </c>
      <c r="F10" s="90">
        <f>+E10*(1+$B$15)</f>
        <v>6341.970025440001</v>
      </c>
    </row>
    <row r="11" spans="1:6" ht="15">
      <c r="A11" s="89" t="s">
        <v>187</v>
      </c>
      <c r="B11" s="89">
        <f>+E4</f>
        <v>21756</v>
      </c>
      <c r="C11" s="90">
        <f>+B11*(1+$B$15)</f>
        <v>22191.12</v>
      </c>
      <c r="D11" s="90">
        <f>+C11*(1+$B$15)</f>
        <v>22634.9424</v>
      </c>
      <c r="E11" s="90">
        <f>+D11*(1+$B$15)</f>
        <v>23087.641248</v>
      </c>
      <c r="F11" s="90">
        <f>+E11*(1+$B$15)</f>
        <v>23549.39407296</v>
      </c>
    </row>
    <row r="12" spans="1:6" ht="15">
      <c r="A12" s="89" t="s">
        <v>188</v>
      </c>
      <c r="B12" s="89">
        <f>+E5</f>
        <v>12960</v>
      </c>
      <c r="C12" s="90">
        <f>+B12*(1+$B$15)</f>
        <v>13219.2</v>
      </c>
      <c r="D12" s="90">
        <f>+C12*(1+$B$15)</f>
        <v>13483.584</v>
      </c>
      <c r="E12" s="90">
        <f>+D12*(1+$B$15)</f>
        <v>13753.25568</v>
      </c>
      <c r="F12" s="90">
        <f>+E12*(1+$B$15)</f>
        <v>14028.3207936</v>
      </c>
    </row>
    <row r="13" spans="1:6" ht="15">
      <c r="A13" s="89" t="s">
        <v>180</v>
      </c>
      <c r="B13" s="89">
        <f>+E6</f>
        <v>25200</v>
      </c>
      <c r="C13" s="89">
        <f>+B13*(1+$B$15)</f>
        <v>25704</v>
      </c>
      <c r="D13" s="89">
        <f>+C13*(1+$B$15)</f>
        <v>26218.08</v>
      </c>
      <c r="E13" s="89">
        <f>+D13*(1+$B$15)</f>
        <v>26742.441600000002</v>
      </c>
      <c r="F13" s="89">
        <f>+E13*(1+$B$15)</f>
        <v>27277.290432</v>
      </c>
    </row>
    <row r="14" spans="1:6" ht="15">
      <c r="A14" s="102" t="s">
        <v>25</v>
      </c>
      <c r="B14" s="102">
        <f>SUM(B9:B13)</f>
        <v>65776</v>
      </c>
      <c r="C14" s="102">
        <f>SUM(C9:C13)</f>
        <v>67092.5</v>
      </c>
      <c r="D14" s="102">
        <f>SUM(D9:D13)</f>
        <v>68435.31</v>
      </c>
      <c r="E14" s="102">
        <f>SUM(E9:E13)</f>
        <v>69804.9562</v>
      </c>
      <c r="F14" s="102">
        <f>SUM(F9:F13)</f>
        <v>71201.975324</v>
      </c>
    </row>
    <row r="15" spans="1:2" ht="15">
      <c r="A15" t="s">
        <v>189</v>
      </c>
      <c r="B15" s="101">
        <v>0.02</v>
      </c>
    </row>
    <row r="17" spans="2:5" ht="15">
      <c r="B17" s="95" t="s">
        <v>159</v>
      </c>
      <c r="E17" s="95" t="s">
        <v>163</v>
      </c>
    </row>
    <row r="18" spans="2:7" ht="15">
      <c r="B18" s="98" t="s">
        <v>151</v>
      </c>
      <c r="C18" s="99">
        <v>0.75</v>
      </c>
      <c r="E18" s="89" t="s">
        <v>164</v>
      </c>
      <c r="F18" s="89"/>
      <c r="G18" s="89">
        <v>1</v>
      </c>
    </row>
    <row r="19" spans="2:7" ht="15">
      <c r="B19" s="89" t="s">
        <v>155</v>
      </c>
      <c r="C19" s="99"/>
      <c r="E19" s="89" t="s">
        <v>165</v>
      </c>
      <c r="F19" s="89"/>
      <c r="G19" s="89">
        <v>0.85</v>
      </c>
    </row>
    <row r="20" spans="2:7" ht="15">
      <c r="B20" s="89" t="s">
        <v>156</v>
      </c>
      <c r="C20" s="99"/>
      <c r="E20" s="100" t="s">
        <v>162</v>
      </c>
      <c r="F20" s="98"/>
      <c r="G20" s="99">
        <f>+AVERAGE(G18:G19)</f>
        <v>0.925</v>
      </c>
    </row>
    <row r="21" spans="2:3" ht="15">
      <c r="B21" s="89" t="s">
        <v>157</v>
      </c>
      <c r="C21" s="99"/>
    </row>
    <row r="22" spans="2:5" ht="15">
      <c r="B22" s="89" t="s">
        <v>160</v>
      </c>
      <c r="C22" s="99"/>
      <c r="E22" s="95" t="s">
        <v>166</v>
      </c>
    </row>
    <row r="23" spans="2:8" ht="15">
      <c r="B23" s="98" t="s">
        <v>152</v>
      </c>
      <c r="C23" s="99">
        <v>0.65</v>
      </c>
      <c r="E23" s="89" t="s">
        <v>167</v>
      </c>
      <c r="F23" s="89">
        <v>15</v>
      </c>
      <c r="G23" s="89" t="s">
        <v>168</v>
      </c>
      <c r="H23" s="89"/>
    </row>
    <row r="24" spans="2:8" ht="15">
      <c r="B24" s="89" t="s">
        <v>155</v>
      </c>
      <c r="C24" s="99"/>
      <c r="E24" s="89"/>
      <c r="F24" s="89"/>
      <c r="G24" s="291" t="s">
        <v>169</v>
      </c>
      <c r="H24" s="292"/>
    </row>
    <row r="25" spans="2:8" ht="15">
      <c r="B25" s="89" t="s">
        <v>157</v>
      </c>
      <c r="C25" s="99"/>
      <c r="E25" s="89"/>
      <c r="F25" s="89"/>
      <c r="G25" s="291" t="s">
        <v>170</v>
      </c>
      <c r="H25" s="292"/>
    </row>
    <row r="26" spans="2:8" ht="15">
      <c r="B26" s="89" t="s">
        <v>158</v>
      </c>
      <c r="C26" s="99"/>
      <c r="E26" s="98" t="s">
        <v>25</v>
      </c>
      <c r="F26" s="98">
        <v>360</v>
      </c>
      <c r="G26" s="293" t="s">
        <v>183</v>
      </c>
      <c r="H26" s="294"/>
    </row>
    <row r="27" spans="2:3" ht="15">
      <c r="B27" s="89" t="s">
        <v>160</v>
      </c>
      <c r="C27" s="99"/>
    </row>
    <row r="28" spans="2:8" ht="15">
      <c r="B28" s="98" t="s">
        <v>153</v>
      </c>
      <c r="C28" s="99">
        <v>0.8</v>
      </c>
      <c r="E28" s="98" t="s">
        <v>181</v>
      </c>
      <c r="F28" s="89"/>
      <c r="G28" s="89" t="s">
        <v>182</v>
      </c>
      <c r="H28" s="89"/>
    </row>
    <row r="29" spans="2:8" ht="15">
      <c r="B29" s="89" t="s">
        <v>155</v>
      </c>
      <c r="C29" s="99"/>
      <c r="E29" s="89"/>
      <c r="F29" s="89"/>
      <c r="G29" s="89" t="s">
        <v>171</v>
      </c>
      <c r="H29" s="89"/>
    </row>
    <row r="30" spans="2:8" ht="15">
      <c r="B30" s="89" t="s">
        <v>158</v>
      </c>
      <c r="C30" s="99"/>
      <c r="E30" s="98"/>
      <c r="F30" s="89"/>
      <c r="G30" s="89" t="s">
        <v>170</v>
      </c>
      <c r="H30" s="89"/>
    </row>
    <row r="31" spans="2:8" ht="15">
      <c r="B31" s="89" t="s">
        <v>161</v>
      </c>
      <c r="C31" s="99"/>
      <c r="E31" s="98" t="s">
        <v>25</v>
      </c>
      <c r="F31" s="89">
        <v>350</v>
      </c>
      <c r="G31" s="293" t="s">
        <v>184</v>
      </c>
      <c r="H31" s="294"/>
    </row>
    <row r="32" spans="2:3" ht="15">
      <c r="B32" s="89" t="s">
        <v>157</v>
      </c>
      <c r="C32" s="99"/>
    </row>
    <row r="33" spans="2:3" ht="15">
      <c r="B33" s="89" t="s">
        <v>160</v>
      </c>
      <c r="C33" s="99"/>
    </row>
    <row r="34" spans="2:3" ht="15">
      <c r="B34" s="98" t="s">
        <v>154</v>
      </c>
      <c r="C34" s="99">
        <v>0.9</v>
      </c>
    </row>
    <row r="35" spans="2:3" ht="15">
      <c r="B35" s="89" t="s">
        <v>155</v>
      </c>
      <c r="C35" s="98"/>
    </row>
    <row r="36" spans="2:3" ht="15">
      <c r="B36" s="89" t="s">
        <v>156</v>
      </c>
      <c r="C36" s="98"/>
    </row>
    <row r="37" spans="2:3" ht="15">
      <c r="B37" s="89" t="s">
        <v>161</v>
      </c>
      <c r="C37" s="89"/>
    </row>
    <row r="38" spans="2:3" ht="15">
      <c r="B38" s="89" t="s">
        <v>157</v>
      </c>
      <c r="C38" s="89"/>
    </row>
    <row r="39" spans="2:3" ht="15">
      <c r="B39" s="89" t="s">
        <v>160</v>
      </c>
      <c r="C39" s="89"/>
    </row>
    <row r="40" spans="2:3" ht="15">
      <c r="B40" s="100" t="s">
        <v>162</v>
      </c>
      <c r="C40" s="99">
        <f>+AVERAGE(C18:C39)</f>
        <v>0.775</v>
      </c>
    </row>
  </sheetData>
  <sheetProtection/>
  <mergeCells count="4">
    <mergeCell ref="G25:H25"/>
    <mergeCell ref="G24:H24"/>
    <mergeCell ref="G26:H26"/>
    <mergeCell ref="G31:H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B25">
      <selection activeCell="C26" sqref="C26:D34"/>
    </sheetView>
  </sheetViews>
  <sheetFormatPr defaultColWidth="11.421875" defaultRowHeight="15"/>
  <cols>
    <col min="2" max="2" width="3.8515625" style="0" customWidth="1"/>
    <col min="3" max="3" width="42.00390625" style="0" customWidth="1"/>
    <col min="4" max="4" width="12.7109375" style="0" bestFit="1" customWidth="1"/>
    <col min="5" max="5" width="15.140625" style="0" customWidth="1"/>
    <col min="6" max="6" width="13.421875" style="0" customWidth="1"/>
    <col min="7" max="8" width="12.7109375" style="0" bestFit="1" customWidth="1"/>
  </cols>
  <sheetData>
    <row r="2" spans="2:7" ht="15">
      <c r="B2" s="295" t="s">
        <v>190</v>
      </c>
      <c r="C2" s="295"/>
      <c r="D2" s="295"/>
      <c r="E2" s="295"/>
      <c r="F2" s="295"/>
      <c r="G2" s="118"/>
    </row>
    <row r="3" spans="2:7" ht="15">
      <c r="B3" s="119" t="s">
        <v>191</v>
      </c>
      <c r="C3" s="119" t="s">
        <v>192</v>
      </c>
      <c r="D3" s="120" t="s">
        <v>3</v>
      </c>
      <c r="E3" s="120" t="s">
        <v>193</v>
      </c>
      <c r="F3" s="120" t="s">
        <v>202</v>
      </c>
      <c r="G3" s="121" t="s">
        <v>203</v>
      </c>
    </row>
    <row r="4" spans="2:7" ht="15">
      <c r="B4" s="122">
        <v>1</v>
      </c>
      <c r="C4" s="122" t="s">
        <v>194</v>
      </c>
      <c r="D4" s="122">
        <v>1</v>
      </c>
      <c r="E4" s="123">
        <v>500</v>
      </c>
      <c r="F4" s="123">
        <f>+'[1]Balance del Personal'!$E4*'[1]Balance del Personal'!$D4</f>
        <v>500</v>
      </c>
      <c r="G4" s="122">
        <f>12*F4</f>
        <v>6000</v>
      </c>
    </row>
    <row r="5" spans="2:7" ht="15">
      <c r="B5" s="122">
        <v>2</v>
      </c>
      <c r="C5" s="122" t="s">
        <v>195</v>
      </c>
      <c r="D5" s="124">
        <v>1</v>
      </c>
      <c r="E5" s="125">
        <v>300</v>
      </c>
      <c r="F5" s="125">
        <f>+D5*E5</f>
        <v>300</v>
      </c>
      <c r="G5" s="122">
        <f aca="true" t="shared" si="0" ref="G5:G11">12*F5</f>
        <v>3600</v>
      </c>
    </row>
    <row r="6" spans="2:7" ht="15">
      <c r="B6" s="122">
        <v>3</v>
      </c>
      <c r="C6" s="122" t="s">
        <v>196</v>
      </c>
      <c r="D6" s="122">
        <v>1</v>
      </c>
      <c r="E6" s="123">
        <v>400</v>
      </c>
      <c r="F6" s="123">
        <f>+D6*E6</f>
        <v>400</v>
      </c>
      <c r="G6" s="122">
        <f t="shared" si="0"/>
        <v>4800</v>
      </c>
    </row>
    <row r="7" spans="2:7" ht="15">
      <c r="B7" s="122">
        <v>4</v>
      </c>
      <c r="C7" s="122" t="s">
        <v>197</v>
      </c>
      <c r="D7" s="122">
        <v>1</v>
      </c>
      <c r="E7" s="123">
        <v>240</v>
      </c>
      <c r="F7" s="123">
        <f>+'[1]Balance del Personal'!$E7*'[1]Balance del Personal'!$D7</f>
        <v>240</v>
      </c>
      <c r="G7" s="122">
        <f t="shared" si="0"/>
        <v>2880</v>
      </c>
    </row>
    <row r="8" spans="2:7" ht="15">
      <c r="B8" s="122">
        <v>5</v>
      </c>
      <c r="C8" s="122" t="s">
        <v>198</v>
      </c>
      <c r="D8" s="122">
        <v>2</v>
      </c>
      <c r="E8" s="123">
        <v>240</v>
      </c>
      <c r="F8" s="123">
        <f>+'[1]Balance del Personal'!$E8*'[1]Balance del Personal'!$D8</f>
        <v>480</v>
      </c>
      <c r="G8" s="122">
        <f t="shared" si="0"/>
        <v>5760</v>
      </c>
    </row>
    <row r="9" spans="2:7" ht="15">
      <c r="B9" s="122">
        <v>6</v>
      </c>
      <c r="C9" s="122" t="s">
        <v>199</v>
      </c>
      <c r="D9" s="122">
        <v>2</v>
      </c>
      <c r="E9" s="123">
        <v>240</v>
      </c>
      <c r="F9" s="123">
        <f>+D9*E9</f>
        <v>480</v>
      </c>
      <c r="G9" s="122">
        <f t="shared" si="0"/>
        <v>5760</v>
      </c>
    </row>
    <row r="10" spans="2:7" ht="15">
      <c r="B10" s="122">
        <v>7</v>
      </c>
      <c r="C10" s="122" t="s">
        <v>200</v>
      </c>
      <c r="D10" s="126">
        <v>1</v>
      </c>
      <c r="E10" s="123">
        <v>300</v>
      </c>
      <c r="F10" s="123">
        <f>+'[1]Balance del Personal'!$E10*'[1]Balance del Personal'!$D10</f>
        <v>300</v>
      </c>
      <c r="G10" s="122">
        <f t="shared" si="0"/>
        <v>3600</v>
      </c>
    </row>
    <row r="11" spans="2:7" ht="15">
      <c r="B11" s="122">
        <v>8</v>
      </c>
      <c r="C11" s="122" t="s">
        <v>201</v>
      </c>
      <c r="D11" s="126">
        <v>1</v>
      </c>
      <c r="E11" s="123">
        <v>240</v>
      </c>
      <c r="F11" s="123">
        <f>+'[1]Balance del Personal'!$E11*'[1]Balance del Personal'!$D11</f>
        <v>240</v>
      </c>
      <c r="G11" s="122">
        <f t="shared" si="0"/>
        <v>2880</v>
      </c>
    </row>
    <row r="12" spans="2:7" ht="19.5">
      <c r="B12" s="122"/>
      <c r="C12" s="119" t="s">
        <v>25</v>
      </c>
      <c r="D12" s="122"/>
      <c r="E12" s="122"/>
      <c r="F12" s="127">
        <f>SUM(F4:F11)</f>
        <v>2940</v>
      </c>
      <c r="G12" s="128">
        <f>SUM(G4:G11)</f>
        <v>35280</v>
      </c>
    </row>
    <row r="16" spans="2:8" ht="15">
      <c r="B16" s="103"/>
      <c r="C16" s="129" t="s">
        <v>204</v>
      </c>
      <c r="D16" s="130" t="s">
        <v>213</v>
      </c>
      <c r="E16" s="131" t="s">
        <v>214</v>
      </c>
      <c r="F16" s="131" t="s">
        <v>215</v>
      </c>
      <c r="G16" s="130" t="s">
        <v>216</v>
      </c>
      <c r="H16" s="131" t="s">
        <v>217</v>
      </c>
    </row>
    <row r="17" spans="2:8" ht="15">
      <c r="B17" s="104">
        <v>0.08</v>
      </c>
      <c r="C17" s="132" t="s">
        <v>205</v>
      </c>
      <c r="D17" s="133">
        <f>+G12</f>
        <v>35280</v>
      </c>
      <c r="E17" s="134">
        <f>+'COSTOS NO OPERATIVOS'!$D17*(1+$B$17)</f>
        <v>38102.4</v>
      </c>
      <c r="F17" s="134">
        <f>+'COSTOS NO OPERATIVOS'!$E17*(1+$B$17)</f>
        <v>41150.592000000004</v>
      </c>
      <c r="G17" s="134">
        <f>+'COSTOS NO OPERATIVOS'!$F17*(1+$B$17)</f>
        <v>44442.63936000001</v>
      </c>
      <c r="H17" s="134">
        <f>+'COSTOS NO OPERATIVOS'!$G17*(1+$B$17)</f>
        <v>47998.05050880001</v>
      </c>
    </row>
    <row r="18" spans="2:8" ht="15">
      <c r="B18" s="103"/>
      <c r="C18" s="135" t="s">
        <v>206</v>
      </c>
      <c r="D18" s="136">
        <f>+D17*12.15%</f>
        <v>4286.5199999999995</v>
      </c>
      <c r="E18" s="136">
        <f>+E17*12.15%</f>
        <v>4629.4416</v>
      </c>
      <c r="F18" s="136">
        <f>+F17*12.15%</f>
        <v>4999.796928000001</v>
      </c>
      <c r="G18" s="136">
        <f>+G17*12.15%</f>
        <v>5399.780682240001</v>
      </c>
      <c r="H18" s="136">
        <f>+H17*12.15%</f>
        <v>5831.7631368192015</v>
      </c>
    </row>
    <row r="19" spans="2:8" ht="15">
      <c r="B19" s="103"/>
      <c r="C19" s="135" t="s">
        <v>207</v>
      </c>
      <c r="D19" s="136">
        <f>+D17/24</f>
        <v>1470</v>
      </c>
      <c r="E19" s="136">
        <f>+E17/24</f>
        <v>1587.6000000000001</v>
      </c>
      <c r="F19" s="136">
        <f>+F17/24</f>
        <v>1714.6080000000002</v>
      </c>
      <c r="G19" s="136">
        <f>+G17/24</f>
        <v>1851.7766400000003</v>
      </c>
      <c r="H19" s="136">
        <f>+H17/24</f>
        <v>1999.9187712000005</v>
      </c>
    </row>
    <row r="20" spans="2:8" ht="15">
      <c r="B20" s="103"/>
      <c r="C20" s="135" t="s">
        <v>208</v>
      </c>
      <c r="D20" s="136">
        <f>+D17/12</f>
        <v>2940</v>
      </c>
      <c r="E20" s="136">
        <f>+E17/12</f>
        <v>3175.2000000000003</v>
      </c>
      <c r="F20" s="136">
        <f>+F17/12</f>
        <v>3429.2160000000003</v>
      </c>
      <c r="G20" s="136">
        <f>+G17/12</f>
        <v>3703.5532800000005</v>
      </c>
      <c r="H20" s="136">
        <f>+H17/12</f>
        <v>3999.837542400001</v>
      </c>
    </row>
    <row r="21" spans="2:8" ht="15">
      <c r="B21" s="103"/>
      <c r="C21" s="135" t="s">
        <v>209</v>
      </c>
      <c r="D21" s="136">
        <f>+SUM($D$5,$D$4,$D$6,$D$7,$D$8,$D$9,$D$10,$D$11,)*(240)</f>
        <v>2400</v>
      </c>
      <c r="E21" s="136">
        <f>+SUM($D$5,$D$4,$D$6,$D$7,$D$8,$D$9,$D$10,$D$11,)*(240)</f>
        <v>2400</v>
      </c>
      <c r="F21" s="136">
        <f>+SUM($D$5,$D$4,$D$6,$D$7,$D$8,$D$9,$D$10,$D$11,)*(240)</f>
        <v>2400</v>
      </c>
      <c r="G21" s="136">
        <f>+SUM($D$5,$D$4,$D$6,$D$7,$D$8,$D$9,$D$10,$D$11,)*(240)</f>
        <v>2400</v>
      </c>
      <c r="H21" s="136">
        <f>+SUM($D$5,$D$4,$D$6,$D$7,$D$8,$D$9,$D$10,$D$11,)*(240)</f>
        <v>2400</v>
      </c>
    </row>
    <row r="22" spans="2:8" ht="15">
      <c r="B22" s="103"/>
      <c r="C22" s="135" t="s">
        <v>210</v>
      </c>
      <c r="D22" s="136"/>
      <c r="E22" s="136"/>
      <c r="F22" s="136">
        <f>+F17*8.33%</f>
        <v>3427.8443136000005</v>
      </c>
      <c r="G22" s="136">
        <f>+G17*8.33%</f>
        <v>3702.0718586880007</v>
      </c>
      <c r="H22" s="136">
        <f>+H17*8.33%</f>
        <v>3998.237607383041</v>
      </c>
    </row>
    <row r="23" spans="2:8" ht="15">
      <c r="B23" s="103"/>
      <c r="C23" s="137" t="s">
        <v>211</v>
      </c>
      <c r="D23" s="138">
        <f>SUM(D18:D22)</f>
        <v>11096.52</v>
      </c>
      <c r="E23" s="138">
        <f>SUM(E18:E22)</f>
        <v>11792.241600000001</v>
      </c>
      <c r="F23" s="138">
        <f>SUM(F18:F22)</f>
        <v>15971.4652416</v>
      </c>
      <c r="G23" s="138">
        <f>SUM(G18:G22)</f>
        <v>17057.182460928</v>
      </c>
      <c r="H23" s="138">
        <f>SUM(H18:H22)</f>
        <v>18229.757057802242</v>
      </c>
    </row>
    <row r="24" spans="2:8" ht="15">
      <c r="B24" s="103"/>
      <c r="C24" s="140" t="s">
        <v>212</v>
      </c>
      <c r="D24" s="139">
        <f>+D23+D17</f>
        <v>46376.520000000004</v>
      </c>
      <c r="E24" s="139">
        <f>+E23+E17</f>
        <v>49894.6416</v>
      </c>
      <c r="F24" s="139">
        <f>+F23+F17</f>
        <v>57122.05724160001</v>
      </c>
      <c r="G24" s="139">
        <f>+G23+G17</f>
        <v>61499.82182092801</v>
      </c>
      <c r="H24" s="139">
        <f>+H23+H17</f>
        <v>66227.80756660225</v>
      </c>
    </row>
    <row r="25" spans="2:8" ht="15">
      <c r="B25" s="103"/>
      <c r="C25" s="140"/>
      <c r="D25" s="139"/>
      <c r="E25" s="139"/>
      <c r="F25" s="139"/>
      <c r="G25" s="139"/>
      <c r="H25" s="139"/>
    </row>
    <row r="26" spans="2:8" ht="15">
      <c r="B26" s="103"/>
      <c r="C26" s="140"/>
      <c r="D26" s="139" t="s">
        <v>220</v>
      </c>
      <c r="E26" s="139"/>
      <c r="F26" s="139"/>
      <c r="G26" s="139"/>
      <c r="H26" s="139"/>
    </row>
    <row r="27" spans="2:8" ht="15">
      <c r="B27" s="103"/>
      <c r="C27" s="141" t="s">
        <v>205</v>
      </c>
      <c r="D27" s="139">
        <f>+F12</f>
        <v>2940</v>
      </c>
      <c r="E27" s="139"/>
      <c r="F27" s="139"/>
      <c r="G27" s="139"/>
      <c r="H27" s="139"/>
    </row>
    <row r="28" spans="2:8" ht="15">
      <c r="B28" s="103"/>
      <c r="C28" s="142" t="s">
        <v>206</v>
      </c>
      <c r="D28" s="139">
        <f>+D18/12</f>
        <v>357.21</v>
      </c>
      <c r="E28" s="139"/>
      <c r="F28" s="139"/>
      <c r="G28" s="139"/>
      <c r="H28" s="139"/>
    </row>
    <row r="29" spans="2:8" ht="15">
      <c r="B29" s="103"/>
      <c r="C29" s="143" t="s">
        <v>207</v>
      </c>
      <c r="D29" s="139">
        <f>+D19/12</f>
        <v>122.5</v>
      </c>
      <c r="E29" s="139"/>
      <c r="F29" s="139"/>
      <c r="G29" s="139"/>
      <c r="H29" s="139"/>
    </row>
    <row r="30" spans="2:8" ht="15">
      <c r="B30" s="103"/>
      <c r="C30" s="142" t="s">
        <v>208</v>
      </c>
      <c r="D30" s="139">
        <f>+D20/12</f>
        <v>245</v>
      </c>
      <c r="E30" s="139"/>
      <c r="F30" s="139"/>
      <c r="G30" s="139"/>
      <c r="H30" s="139"/>
    </row>
    <row r="31" spans="2:8" ht="15">
      <c r="B31" s="103"/>
      <c r="C31" s="143" t="s">
        <v>209</v>
      </c>
      <c r="D31" s="139">
        <f>+D21/12</f>
        <v>200</v>
      </c>
      <c r="E31" s="139"/>
      <c r="F31" s="139"/>
      <c r="G31" s="139"/>
      <c r="H31" s="139"/>
    </row>
    <row r="32" spans="2:8" ht="15">
      <c r="B32" s="103"/>
      <c r="C32" s="142" t="s">
        <v>210</v>
      </c>
      <c r="D32" s="139"/>
      <c r="E32" s="139"/>
      <c r="F32" s="139"/>
      <c r="G32" s="139"/>
      <c r="H32" s="139"/>
    </row>
    <row r="33" spans="2:8" ht="15">
      <c r="B33" s="103"/>
      <c r="C33" s="144" t="s">
        <v>211</v>
      </c>
      <c r="D33" s="139">
        <f>+SUM(D28:D32)</f>
        <v>924.71</v>
      </c>
      <c r="E33" s="139"/>
      <c r="F33" s="139"/>
      <c r="G33" s="139"/>
      <c r="H33" s="139"/>
    </row>
    <row r="34" spans="2:8" ht="15">
      <c r="B34" s="103"/>
      <c r="C34" s="145" t="s">
        <v>212</v>
      </c>
      <c r="D34" s="139">
        <f>+D27+D33</f>
        <v>3864.71</v>
      </c>
      <c r="E34" s="139"/>
      <c r="F34" s="139"/>
      <c r="G34" s="139"/>
      <c r="H34" s="139"/>
    </row>
    <row r="36" ht="15.75" thickBot="1"/>
    <row r="37" spans="3:5" ht="15.75" thickBot="1">
      <c r="C37" s="117" t="s">
        <v>218</v>
      </c>
      <c r="D37" s="116"/>
      <c r="E37" s="116"/>
    </row>
    <row r="38" spans="3:10" ht="15">
      <c r="C38" s="105" t="s">
        <v>219</v>
      </c>
      <c r="D38" s="105" t="s">
        <v>220</v>
      </c>
      <c r="E38" s="105" t="s">
        <v>221</v>
      </c>
      <c r="F38" s="228" t="s">
        <v>235</v>
      </c>
      <c r="G38" s="228" t="s">
        <v>236</v>
      </c>
      <c r="H38" s="228" t="s">
        <v>237</v>
      </c>
      <c r="I38" s="228" t="s">
        <v>238</v>
      </c>
      <c r="J38" s="228" t="s">
        <v>239</v>
      </c>
    </row>
    <row r="39" spans="3:10" ht="15">
      <c r="C39" s="106" t="s">
        <v>222</v>
      </c>
      <c r="D39" s="79"/>
      <c r="E39" s="79"/>
      <c r="F39" s="89"/>
      <c r="G39" s="89"/>
      <c r="H39" s="89"/>
      <c r="I39" s="89"/>
      <c r="J39" s="89"/>
    </row>
    <row r="40" spans="3:10" ht="15">
      <c r="C40" s="107" t="s">
        <v>223</v>
      </c>
      <c r="D40" s="108">
        <f>+D34</f>
        <v>3864.71</v>
      </c>
      <c r="E40" s="108">
        <f>+D24</f>
        <v>46376.520000000004</v>
      </c>
      <c r="F40" s="224">
        <f>+E40</f>
        <v>46376.520000000004</v>
      </c>
      <c r="G40" s="225">
        <f>+E24</f>
        <v>49894.6416</v>
      </c>
      <c r="H40" s="225">
        <f>+F24</f>
        <v>57122.05724160001</v>
      </c>
      <c r="I40" s="225">
        <f>+G24</f>
        <v>61499.82182092801</v>
      </c>
      <c r="J40" s="225">
        <f>+H24</f>
        <v>66227.80756660225</v>
      </c>
    </row>
    <row r="41" spans="3:11" ht="15">
      <c r="C41" s="106" t="s">
        <v>224</v>
      </c>
      <c r="D41" s="79"/>
      <c r="E41" s="79"/>
      <c r="F41" s="89"/>
      <c r="G41" s="89"/>
      <c r="H41" s="89"/>
      <c r="I41" s="89"/>
      <c r="J41" s="89"/>
      <c r="K41" s="101">
        <v>0.01</v>
      </c>
    </row>
    <row r="42" spans="3:10" ht="15">
      <c r="C42" s="109" t="s">
        <v>232</v>
      </c>
      <c r="D42" s="110">
        <v>265</v>
      </c>
      <c r="E42" s="110">
        <f>D42*12</f>
        <v>3180</v>
      </c>
      <c r="F42" s="224">
        <f>+E42</f>
        <v>3180</v>
      </c>
      <c r="G42" s="89">
        <f>+F42*(1+$K$41)</f>
        <v>3211.8</v>
      </c>
      <c r="H42" s="89">
        <f>+G42*(1+$K$41)</f>
        <v>3243.918</v>
      </c>
      <c r="I42" s="89">
        <f>+H42*(1+$K$41)</f>
        <v>3276.35718</v>
      </c>
      <c r="J42" s="89">
        <f>+I42*(1+$K$41)</f>
        <v>3309.1207518</v>
      </c>
    </row>
    <row r="43" spans="3:10" ht="15.75">
      <c r="C43" s="111" t="s">
        <v>225</v>
      </c>
      <c r="D43" s="108"/>
      <c r="E43" s="79"/>
      <c r="F43" s="89"/>
      <c r="G43" s="89"/>
      <c r="H43" s="89"/>
      <c r="I43" s="89"/>
      <c r="J43" s="89"/>
    </row>
    <row r="44" spans="3:11" ht="15">
      <c r="C44" s="107" t="s">
        <v>226</v>
      </c>
      <c r="D44" s="108">
        <v>40</v>
      </c>
      <c r="E44" s="108">
        <f>D44*12</f>
        <v>480</v>
      </c>
      <c r="F44" s="224">
        <f>+E44</f>
        <v>480</v>
      </c>
      <c r="G44" s="89">
        <f>+F44*(1+$K$44)</f>
        <v>484.8</v>
      </c>
      <c r="H44" s="89">
        <f>+G44*(1+$K$44)</f>
        <v>489.648</v>
      </c>
      <c r="I44" s="89">
        <f>+H44*(1+$K$44)</f>
        <v>494.54448</v>
      </c>
      <c r="J44" s="89">
        <f>+I44*(1+$K$44)</f>
        <v>499.48992480000004</v>
      </c>
      <c r="K44" s="101">
        <v>0.01</v>
      </c>
    </row>
    <row r="45" spans="3:10" ht="15.75">
      <c r="C45" s="111" t="s">
        <v>227</v>
      </c>
      <c r="D45" s="79"/>
      <c r="E45" s="79"/>
      <c r="F45" s="89"/>
      <c r="G45" s="89"/>
      <c r="H45" s="89"/>
      <c r="I45" s="89"/>
      <c r="J45" s="89"/>
    </row>
    <row r="46" spans="3:11" ht="15">
      <c r="C46" s="107" t="s">
        <v>228</v>
      </c>
      <c r="D46" s="108">
        <v>1000</v>
      </c>
      <c r="E46" s="108">
        <f>D46*12</f>
        <v>12000</v>
      </c>
      <c r="F46" s="224">
        <f>+E46</f>
        <v>12000</v>
      </c>
      <c r="G46" s="89">
        <f>+F46*(1+$K$46)</f>
        <v>12120</v>
      </c>
      <c r="H46" s="89">
        <f>+G46*(1+$K$46)</f>
        <v>12241.2</v>
      </c>
      <c r="I46" s="89">
        <f>+H46*(1+$K$46)</f>
        <v>12363.612000000001</v>
      </c>
      <c r="J46" s="89">
        <f>+I46*(1+$K$46)</f>
        <v>12487.248120000002</v>
      </c>
      <c r="K46" s="101">
        <v>0.01</v>
      </c>
    </row>
    <row r="47" spans="3:10" ht="15.75">
      <c r="C47" s="111" t="s">
        <v>229</v>
      </c>
      <c r="D47" s="79"/>
      <c r="E47" s="79"/>
      <c r="F47" s="89"/>
      <c r="G47" s="89"/>
      <c r="H47" s="89"/>
      <c r="I47" s="89"/>
      <c r="J47" s="89"/>
    </row>
    <row r="48" spans="3:11" ht="15">
      <c r="C48" s="107" t="s">
        <v>230</v>
      </c>
      <c r="D48" s="110">
        <v>600</v>
      </c>
      <c r="E48" s="110">
        <f>D48*12</f>
        <v>7200</v>
      </c>
      <c r="F48" s="224">
        <f>+E48</f>
        <v>7200</v>
      </c>
      <c r="G48" s="89">
        <f>+F48*(1+$K$48)</f>
        <v>7272</v>
      </c>
      <c r="H48" s="89">
        <f>+G48*(1+$K$48)</f>
        <v>7344.72</v>
      </c>
      <c r="I48" s="89">
        <f>+H48*(1+$K$48)</f>
        <v>7418.167200000001</v>
      </c>
      <c r="J48" s="89">
        <f>+I48*(1+$K$48)</f>
        <v>7492.3488720000005</v>
      </c>
      <c r="K48" s="101">
        <v>0.01</v>
      </c>
    </row>
    <row r="49" spans="3:10" ht="15">
      <c r="C49" s="112" t="s">
        <v>231</v>
      </c>
      <c r="D49" s="110"/>
      <c r="E49" s="110"/>
      <c r="F49" s="89"/>
      <c r="G49" s="89"/>
      <c r="H49" s="89"/>
      <c r="I49" s="89"/>
      <c r="J49" s="89"/>
    </row>
    <row r="50" spans="3:11" ht="15">
      <c r="C50" s="115" t="s">
        <v>233</v>
      </c>
      <c r="D50" s="110">
        <v>70</v>
      </c>
      <c r="E50" s="110">
        <f>12*D50</f>
        <v>840</v>
      </c>
      <c r="F50" s="224">
        <f>+E50</f>
        <v>840</v>
      </c>
      <c r="G50" s="89">
        <f>+F50*(1+$K$50)</f>
        <v>848.4</v>
      </c>
      <c r="H50" s="89">
        <f>+G50*(1+$K$50)</f>
        <v>856.884</v>
      </c>
      <c r="I50" s="89">
        <f>+H50*(1+$K$50)</f>
        <v>865.45284</v>
      </c>
      <c r="J50" s="89">
        <f>+I50*(1+$K$50)</f>
        <v>874.1073684</v>
      </c>
      <c r="K50" s="101">
        <v>0.01</v>
      </c>
    </row>
    <row r="51" spans="3:10" ht="15">
      <c r="C51" s="113" t="s">
        <v>25</v>
      </c>
      <c r="D51" s="114">
        <f>SUM(D39:D50)</f>
        <v>5839.71</v>
      </c>
      <c r="E51" s="114">
        <f>D51*12</f>
        <v>70076.52</v>
      </c>
      <c r="F51" s="226">
        <f>+SUM(F40:F50)</f>
        <v>70076.52</v>
      </c>
      <c r="G51" s="227">
        <f>+SUM(G40:G50)</f>
        <v>73831.6416</v>
      </c>
      <c r="H51" s="227">
        <f>+SUM(H40:H50)</f>
        <v>81298.42724160002</v>
      </c>
      <c r="I51" s="227">
        <f>+SUM(I40:I50)</f>
        <v>85917.95552092801</v>
      </c>
      <c r="J51" s="227">
        <f>+SUM(J40:J50)</f>
        <v>90890.12260360226</v>
      </c>
    </row>
    <row r="52" ht="15">
      <c r="F52" s="54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13.7109375" style="0" customWidth="1"/>
  </cols>
  <sheetData>
    <row r="2" spans="4:6" ht="15">
      <c r="D2" s="296" t="s">
        <v>234</v>
      </c>
      <c r="E2" s="296"/>
      <c r="F2" s="296"/>
    </row>
    <row r="3" spans="3:7" ht="15">
      <c r="C3" s="95" t="s">
        <v>235</v>
      </c>
      <c r="D3" s="95" t="s">
        <v>236</v>
      </c>
      <c r="E3" s="95" t="s">
        <v>237</v>
      </c>
      <c r="F3" s="95" t="s">
        <v>238</v>
      </c>
      <c r="G3" s="95" t="s">
        <v>239</v>
      </c>
    </row>
    <row r="4" spans="2:7" ht="15">
      <c r="B4" s="95" t="s">
        <v>234</v>
      </c>
      <c r="C4" s="149">
        <f>+DEMANDA!H7</f>
        <v>148260</v>
      </c>
      <c r="D4" s="149">
        <f>+C4*(1+$A$5)</f>
        <v>155673</v>
      </c>
      <c r="E4" s="149">
        <f>+D4*(1+$A$5)</f>
        <v>163456.65</v>
      </c>
      <c r="F4" s="149">
        <f>+E4*(1+$A$5)</f>
        <v>171629.4825</v>
      </c>
      <c r="G4" s="149">
        <f>+F4*(1+$A$5)</f>
        <v>180210.95662500002</v>
      </c>
    </row>
    <row r="5" spans="1:7" ht="15">
      <c r="A5" s="101">
        <v>0.05</v>
      </c>
      <c r="B5" s="95" t="s">
        <v>240</v>
      </c>
      <c r="D5" s="91"/>
      <c r="E5" s="91"/>
      <c r="F5" s="91"/>
      <c r="G5" s="91"/>
    </row>
  </sheetData>
  <sheetProtection/>
  <mergeCells count="1">
    <mergeCell ref="D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D10">
      <selection activeCell="M15" sqref="M15"/>
    </sheetView>
  </sheetViews>
  <sheetFormatPr defaultColWidth="11.421875" defaultRowHeight="15"/>
  <sheetData>
    <row r="2" spans="1:11" ht="15">
      <c r="A2" s="89"/>
      <c r="B2" s="98" t="s">
        <v>174</v>
      </c>
      <c r="C2" s="89"/>
      <c r="D2" s="98" t="s">
        <v>175</v>
      </c>
      <c r="E2" s="89"/>
      <c r="F2" s="98" t="s">
        <v>254</v>
      </c>
      <c r="G2" s="98"/>
      <c r="H2" s="98" t="s">
        <v>255</v>
      </c>
      <c r="I2" s="98"/>
      <c r="J2" s="146" t="s">
        <v>256</v>
      </c>
      <c r="K2" s="89"/>
    </row>
    <row r="3" spans="1:11" ht="15">
      <c r="A3" s="98" t="s">
        <v>176</v>
      </c>
      <c r="B3" s="89">
        <f>70*3*3</f>
        <v>630</v>
      </c>
      <c r="C3" s="89"/>
      <c r="D3" s="89">
        <f>+B3*12</f>
        <v>7560</v>
      </c>
      <c r="E3" s="89"/>
      <c r="F3" s="89">
        <f>+B3*J3</f>
        <v>3780</v>
      </c>
      <c r="G3" s="89"/>
      <c r="H3" s="89">
        <f>+D3*J3</f>
        <v>45360</v>
      </c>
      <c r="I3" s="89"/>
      <c r="J3" s="242">
        <v>6</v>
      </c>
      <c r="K3" s="98" t="s">
        <v>176</v>
      </c>
    </row>
    <row r="4" spans="1:11" ht="15">
      <c r="A4" s="98" t="s">
        <v>177</v>
      </c>
      <c r="B4" s="89">
        <f>70*7*4</f>
        <v>1960</v>
      </c>
      <c r="C4" s="89"/>
      <c r="D4" s="89">
        <f>+B4*12</f>
        <v>23520</v>
      </c>
      <c r="E4" s="89"/>
      <c r="F4" s="89">
        <f>+B4*J4</f>
        <v>3920</v>
      </c>
      <c r="G4" s="89"/>
      <c r="H4" s="89">
        <f>+D4*J4</f>
        <v>47040</v>
      </c>
      <c r="I4" s="89"/>
      <c r="J4" s="242">
        <v>2</v>
      </c>
      <c r="K4" s="98" t="s">
        <v>177</v>
      </c>
    </row>
    <row r="5" spans="1:11" ht="15">
      <c r="A5" s="98" t="s">
        <v>178</v>
      </c>
      <c r="B5" s="89">
        <f>35*7*4</f>
        <v>980</v>
      </c>
      <c r="C5" s="89"/>
      <c r="D5" s="89">
        <f>+B5*12</f>
        <v>11760</v>
      </c>
      <c r="E5" s="89"/>
      <c r="F5" s="89">
        <f>+B5*J5</f>
        <v>2450</v>
      </c>
      <c r="G5" s="89"/>
      <c r="H5" s="89">
        <f>+D5*J5</f>
        <v>29400</v>
      </c>
      <c r="I5" s="89"/>
      <c r="J5" s="242">
        <v>2.5</v>
      </c>
      <c r="K5" s="98" t="s">
        <v>178</v>
      </c>
    </row>
    <row r="6" spans="1:11" ht="15">
      <c r="A6" s="98" t="s">
        <v>179</v>
      </c>
      <c r="B6" s="89">
        <f>+((70*(1+0.05))*3)</f>
        <v>220.5</v>
      </c>
      <c r="C6" s="89"/>
      <c r="D6" s="89">
        <f>+B6*12</f>
        <v>2646</v>
      </c>
      <c r="E6" s="89"/>
      <c r="F6" s="89">
        <f>+B6*J6</f>
        <v>2205</v>
      </c>
      <c r="G6" s="89"/>
      <c r="H6" s="89">
        <f>+D6*J6</f>
        <v>26460</v>
      </c>
      <c r="I6" s="89"/>
      <c r="J6" s="242">
        <v>10</v>
      </c>
      <c r="K6" s="98" t="s">
        <v>179</v>
      </c>
    </row>
    <row r="7" spans="1:11" ht="15">
      <c r="A7" s="98" t="s">
        <v>25</v>
      </c>
      <c r="B7" s="89">
        <f>SUM(B3:B6)</f>
        <v>3790.5</v>
      </c>
      <c r="C7" s="89"/>
      <c r="D7" s="89">
        <f>SUM(D3:D6)</f>
        <v>45486</v>
      </c>
      <c r="E7" s="89"/>
      <c r="F7" s="89">
        <f>SUM(F3:F6)</f>
        <v>12355</v>
      </c>
      <c r="G7" s="89"/>
      <c r="H7" s="89">
        <f>SUM(H3:H6)</f>
        <v>148260</v>
      </c>
      <c r="I7" s="89"/>
      <c r="J7" s="89"/>
      <c r="K7" s="98" t="s">
        <v>25</v>
      </c>
    </row>
    <row r="8" spans="1:11" ht="15">
      <c r="A8" s="98"/>
      <c r="B8" s="89"/>
      <c r="C8" s="89"/>
      <c r="D8" s="89"/>
      <c r="E8" s="89"/>
      <c r="F8" s="89"/>
      <c r="G8" s="89"/>
      <c r="H8" s="89"/>
      <c r="I8" s="89"/>
      <c r="J8" s="89"/>
      <c r="K8" s="98"/>
    </row>
    <row r="9" spans="2:8" ht="15">
      <c r="B9" t="s">
        <v>176</v>
      </c>
      <c r="H9" t="s">
        <v>178</v>
      </c>
    </row>
    <row r="10" spans="1:9" ht="15">
      <c r="A10" s="89"/>
      <c r="B10" s="146" t="s">
        <v>235</v>
      </c>
      <c r="C10" s="89"/>
      <c r="G10" s="89"/>
      <c r="H10" s="146" t="s">
        <v>235</v>
      </c>
      <c r="I10" s="89"/>
    </row>
    <row r="11" spans="1:12" ht="15">
      <c r="A11" s="89" t="s">
        <v>241</v>
      </c>
      <c r="B11" s="89">
        <f>+B3</f>
        <v>630</v>
      </c>
      <c r="C11" s="147">
        <f>+B11*0.25</f>
        <v>157.5</v>
      </c>
      <c r="D11">
        <f aca="true" t="shared" si="0" ref="D11:D18">+B11-C11</f>
        <v>472.5</v>
      </c>
      <c r="E11">
        <v>472.5</v>
      </c>
      <c r="F11" s="149">
        <f>+C11*$J$3</f>
        <v>945</v>
      </c>
      <c r="G11" s="89" t="s">
        <v>241</v>
      </c>
      <c r="H11" s="89">
        <f>+B5</f>
        <v>980</v>
      </c>
      <c r="I11" s="89">
        <f>+H11*0.25</f>
        <v>245</v>
      </c>
      <c r="J11">
        <f>+H11-I11</f>
        <v>735</v>
      </c>
      <c r="K11">
        <v>735</v>
      </c>
      <c r="L11" s="149">
        <f>+I11*$J$5</f>
        <v>612.5</v>
      </c>
    </row>
    <row r="12" spans="1:12" ht="15">
      <c r="A12" s="89" t="s">
        <v>242</v>
      </c>
      <c r="B12" s="89">
        <f>+B11</f>
        <v>630</v>
      </c>
      <c r="C12" s="147">
        <f>+B12*0.25</f>
        <v>157.5</v>
      </c>
      <c r="D12">
        <f t="shared" si="0"/>
        <v>472.5</v>
      </c>
      <c r="E12">
        <v>472.5</v>
      </c>
      <c r="F12" s="149">
        <f aca="true" t="shared" si="1" ref="F12:F22">+C12*$J$3</f>
        <v>945</v>
      </c>
      <c r="G12" s="89" t="s">
        <v>242</v>
      </c>
      <c r="H12" s="89">
        <f>+H11</f>
        <v>980</v>
      </c>
      <c r="I12" s="89">
        <f>+H12*0.25</f>
        <v>245</v>
      </c>
      <c r="K12">
        <v>735</v>
      </c>
      <c r="L12" s="149">
        <f aca="true" t="shared" si="2" ref="L12:L22">+I12*$J$5</f>
        <v>612.5</v>
      </c>
    </row>
    <row r="13" spans="1:12" ht="15">
      <c r="A13" s="89" t="s">
        <v>243</v>
      </c>
      <c r="B13" s="89">
        <f>+B12</f>
        <v>630</v>
      </c>
      <c r="C13" s="147">
        <f>+B13*0.25</f>
        <v>157.5</v>
      </c>
      <c r="D13">
        <f t="shared" si="0"/>
        <v>472.5</v>
      </c>
      <c r="E13">
        <v>472.5</v>
      </c>
      <c r="F13" s="149">
        <f t="shared" si="1"/>
        <v>945</v>
      </c>
      <c r="G13" s="89" t="s">
        <v>243</v>
      </c>
      <c r="H13" s="89">
        <f>+H12</f>
        <v>980</v>
      </c>
      <c r="I13" s="89">
        <f>+H13*0.25</f>
        <v>245</v>
      </c>
      <c r="K13">
        <v>735</v>
      </c>
      <c r="L13" s="149">
        <f t="shared" si="2"/>
        <v>612.5</v>
      </c>
    </row>
    <row r="14" spans="1:12" ht="15">
      <c r="A14" s="89" t="s">
        <v>244</v>
      </c>
      <c r="B14" s="89">
        <f>+B13</f>
        <v>630</v>
      </c>
      <c r="C14" s="147">
        <f>+B14/2+E19</f>
        <v>472.5</v>
      </c>
      <c r="D14">
        <f t="shared" si="0"/>
        <v>157.5</v>
      </c>
      <c r="E14">
        <v>315</v>
      </c>
      <c r="F14" s="149">
        <f t="shared" si="1"/>
        <v>2835</v>
      </c>
      <c r="G14" s="89" t="s">
        <v>244</v>
      </c>
      <c r="H14" s="89">
        <f>+H13</f>
        <v>980</v>
      </c>
      <c r="I14" s="89">
        <f>+H14/2+K19</f>
        <v>735</v>
      </c>
      <c r="J14">
        <f>+H14-I14</f>
        <v>245</v>
      </c>
      <c r="K14">
        <v>490</v>
      </c>
      <c r="L14" s="149">
        <f t="shared" si="2"/>
        <v>1837.5</v>
      </c>
    </row>
    <row r="15" spans="1:12" ht="15">
      <c r="A15" s="89" t="s">
        <v>245</v>
      </c>
      <c r="B15" s="89">
        <f aca="true" t="shared" si="3" ref="B15:B21">+B14</f>
        <v>630</v>
      </c>
      <c r="C15" s="147">
        <f>+B15/2+E18</f>
        <v>472.5</v>
      </c>
      <c r="D15">
        <f t="shared" si="0"/>
        <v>157.5</v>
      </c>
      <c r="E15">
        <v>315</v>
      </c>
      <c r="F15" s="149">
        <f t="shared" si="1"/>
        <v>2835</v>
      </c>
      <c r="G15" s="89" t="s">
        <v>245</v>
      </c>
      <c r="H15" s="89">
        <f aca="true" t="shared" si="4" ref="H15:H20">+H14</f>
        <v>980</v>
      </c>
      <c r="I15" s="89">
        <f>+H15/2+K18</f>
        <v>735</v>
      </c>
      <c r="K15">
        <v>490</v>
      </c>
      <c r="L15" s="149">
        <f t="shared" si="2"/>
        <v>1837.5</v>
      </c>
    </row>
    <row r="16" spans="1:12" ht="15">
      <c r="A16" s="89" t="s">
        <v>246</v>
      </c>
      <c r="B16" s="89">
        <f t="shared" si="3"/>
        <v>630</v>
      </c>
      <c r="C16" s="147">
        <f>+B16/2+E17</f>
        <v>472.5</v>
      </c>
      <c r="D16">
        <f t="shared" si="0"/>
        <v>157.5</v>
      </c>
      <c r="E16">
        <v>315</v>
      </c>
      <c r="F16" s="149">
        <f t="shared" si="1"/>
        <v>2835</v>
      </c>
      <c r="G16" s="89" t="s">
        <v>246</v>
      </c>
      <c r="H16" s="89">
        <f t="shared" si="4"/>
        <v>980</v>
      </c>
      <c r="I16" s="89">
        <f>+H16/2+K17</f>
        <v>735</v>
      </c>
      <c r="K16">
        <v>490</v>
      </c>
      <c r="L16" s="149">
        <f t="shared" si="2"/>
        <v>1837.5</v>
      </c>
    </row>
    <row r="17" spans="1:12" ht="15">
      <c r="A17" s="89" t="s">
        <v>247</v>
      </c>
      <c r="B17" s="89">
        <f t="shared" si="3"/>
        <v>630</v>
      </c>
      <c r="C17" s="147">
        <f>+B17*0.75+E16</f>
        <v>787.5</v>
      </c>
      <c r="D17">
        <f t="shared" si="0"/>
        <v>-157.5</v>
      </c>
      <c r="E17">
        <v>157.5</v>
      </c>
      <c r="F17" s="149">
        <f t="shared" si="1"/>
        <v>4725</v>
      </c>
      <c r="G17" s="89" t="s">
        <v>247</v>
      </c>
      <c r="H17" s="89">
        <f t="shared" si="4"/>
        <v>980</v>
      </c>
      <c r="I17" s="89">
        <f>+H17*0.75+K16</f>
        <v>1225</v>
      </c>
      <c r="J17">
        <f>+H17-I17</f>
        <v>-245</v>
      </c>
      <c r="K17">
        <v>245</v>
      </c>
      <c r="L17" s="149">
        <f t="shared" si="2"/>
        <v>3062.5</v>
      </c>
    </row>
    <row r="18" spans="1:12" ht="15">
      <c r="A18" s="89" t="s">
        <v>248</v>
      </c>
      <c r="B18" s="89">
        <f t="shared" si="3"/>
        <v>630</v>
      </c>
      <c r="C18" s="147">
        <f>+B18*0.75+E15</f>
        <v>787.5</v>
      </c>
      <c r="D18">
        <f t="shared" si="0"/>
        <v>-157.5</v>
      </c>
      <c r="E18">
        <v>157.5</v>
      </c>
      <c r="F18" s="149">
        <f t="shared" si="1"/>
        <v>4725</v>
      </c>
      <c r="G18" s="89" t="s">
        <v>248</v>
      </c>
      <c r="H18" s="89">
        <f t="shared" si="4"/>
        <v>980</v>
      </c>
      <c r="I18" s="89">
        <f>+H18*0.75+K15</f>
        <v>1225</v>
      </c>
      <c r="K18">
        <v>245</v>
      </c>
      <c r="L18" s="149">
        <f t="shared" si="2"/>
        <v>3062.5</v>
      </c>
    </row>
    <row r="19" spans="1:12" ht="15">
      <c r="A19" s="89" t="s">
        <v>249</v>
      </c>
      <c r="B19" s="89">
        <f t="shared" si="3"/>
        <v>630</v>
      </c>
      <c r="C19" s="147">
        <f>+B19*0.75+E14</f>
        <v>787.5</v>
      </c>
      <c r="D19">
        <f>+B19-C19</f>
        <v>-157.5</v>
      </c>
      <c r="E19">
        <v>157.5</v>
      </c>
      <c r="F19" s="149">
        <f t="shared" si="1"/>
        <v>4725</v>
      </c>
      <c r="G19" s="89" t="s">
        <v>249</v>
      </c>
      <c r="H19" s="89">
        <f t="shared" si="4"/>
        <v>980</v>
      </c>
      <c r="I19" s="89">
        <f>+H19*0.75+K14</f>
        <v>1225</v>
      </c>
      <c r="K19">
        <v>245</v>
      </c>
      <c r="L19" s="149">
        <f t="shared" si="2"/>
        <v>3062.5</v>
      </c>
    </row>
    <row r="20" spans="1:12" ht="15">
      <c r="A20" s="89" t="s">
        <v>250</v>
      </c>
      <c r="B20" s="89">
        <f t="shared" si="3"/>
        <v>630</v>
      </c>
      <c r="C20" s="147">
        <f>+B20+E13</f>
        <v>1102.5</v>
      </c>
      <c r="F20" s="149">
        <f t="shared" si="1"/>
        <v>6615</v>
      </c>
      <c r="G20" s="89" t="s">
        <v>250</v>
      </c>
      <c r="H20" s="89">
        <f t="shared" si="4"/>
        <v>980</v>
      </c>
      <c r="I20" s="89">
        <f>+H20+K13</f>
        <v>1715</v>
      </c>
      <c r="L20" s="149">
        <f t="shared" si="2"/>
        <v>4287.5</v>
      </c>
    </row>
    <row r="21" spans="1:12" ht="15">
      <c r="A21" s="89" t="s">
        <v>251</v>
      </c>
      <c r="B21" s="89">
        <f t="shared" si="3"/>
        <v>630</v>
      </c>
      <c r="C21" s="147">
        <f>+B21+E12</f>
        <v>1102.5</v>
      </c>
      <c r="F21" s="149">
        <f t="shared" si="1"/>
        <v>6615</v>
      </c>
      <c r="G21" s="89" t="s">
        <v>251</v>
      </c>
      <c r="H21" s="89">
        <f>+H20</f>
        <v>980</v>
      </c>
      <c r="I21" s="89">
        <f>+H21+K12</f>
        <v>1715</v>
      </c>
      <c r="L21" s="149">
        <f t="shared" si="2"/>
        <v>4287.5</v>
      </c>
    </row>
    <row r="22" spans="1:12" ht="15">
      <c r="A22" s="89" t="s">
        <v>252</v>
      </c>
      <c r="B22" s="89">
        <f>+B21</f>
        <v>630</v>
      </c>
      <c r="C22" s="147">
        <f>+B22+E11</f>
        <v>1102.5</v>
      </c>
      <c r="F22" s="149">
        <f t="shared" si="1"/>
        <v>6615</v>
      </c>
      <c r="G22" s="89" t="s">
        <v>252</v>
      </c>
      <c r="H22" s="89">
        <f>+H21</f>
        <v>980</v>
      </c>
      <c r="I22" s="89">
        <f>+H22+K11</f>
        <v>1715</v>
      </c>
      <c r="L22" s="149">
        <f t="shared" si="2"/>
        <v>4287.5</v>
      </c>
    </row>
    <row r="23" spans="3:9" ht="15">
      <c r="C23">
        <f>SUM(C11:C22)</f>
        <v>7560</v>
      </c>
      <c r="I23">
        <f>SUM(I11:I22)</f>
        <v>11760</v>
      </c>
    </row>
    <row r="24" spans="2:8" ht="15">
      <c r="B24" t="s">
        <v>177</v>
      </c>
      <c r="H24" t="s">
        <v>253</v>
      </c>
    </row>
    <row r="25" spans="1:9" ht="15">
      <c r="A25" s="89"/>
      <c r="B25" s="146" t="s">
        <v>235</v>
      </c>
      <c r="C25" s="89"/>
      <c r="G25" s="89"/>
      <c r="H25" s="146" t="s">
        <v>235</v>
      </c>
      <c r="I25" s="89"/>
    </row>
    <row r="26" spans="1:12" ht="15">
      <c r="A26" s="89" t="s">
        <v>241</v>
      </c>
      <c r="B26" s="89">
        <f>+B4</f>
        <v>1960</v>
      </c>
      <c r="C26" s="89">
        <f>+B26*0.25</f>
        <v>490</v>
      </c>
      <c r="D26">
        <f>+B26-C26</f>
        <v>1470</v>
      </c>
      <c r="E26">
        <v>1470</v>
      </c>
      <c r="F26" s="149">
        <f>+C26*$J$4</f>
        <v>980</v>
      </c>
      <c r="G26" s="89" t="s">
        <v>241</v>
      </c>
      <c r="H26" s="89">
        <f>+B6</f>
        <v>220.5</v>
      </c>
      <c r="I26" s="147">
        <f>+H26*0.25</f>
        <v>55.125</v>
      </c>
      <c r="J26" s="148">
        <f>+H26-I26</f>
        <v>165.375</v>
      </c>
      <c r="K26" s="148">
        <v>165</v>
      </c>
      <c r="L26" s="149">
        <f>+I26*$J$6</f>
        <v>551.25</v>
      </c>
    </row>
    <row r="27" spans="1:12" ht="15">
      <c r="A27" s="89" t="s">
        <v>242</v>
      </c>
      <c r="B27" s="89">
        <f>+B26</f>
        <v>1960</v>
      </c>
      <c r="C27" s="89">
        <f>+B27*0.25</f>
        <v>490</v>
      </c>
      <c r="E27">
        <v>1470</v>
      </c>
      <c r="F27" s="149">
        <f aca="true" t="shared" si="5" ref="F27:F36">+C27*$J$4</f>
        <v>980</v>
      </c>
      <c r="G27" s="89" t="s">
        <v>242</v>
      </c>
      <c r="H27" s="89">
        <f>+H26</f>
        <v>220.5</v>
      </c>
      <c r="I27" s="147">
        <f>+H27*0.25</f>
        <v>55.125</v>
      </c>
      <c r="J27" s="148"/>
      <c r="K27" s="148">
        <v>165</v>
      </c>
      <c r="L27" s="149">
        <f aca="true" t="shared" si="6" ref="L27:L37">+I27*$J$6</f>
        <v>551.25</v>
      </c>
    </row>
    <row r="28" spans="1:12" ht="15">
      <c r="A28" s="89" t="s">
        <v>243</v>
      </c>
      <c r="B28" s="89">
        <f>+B27</f>
        <v>1960</v>
      </c>
      <c r="C28" s="89">
        <f>+B28*0.25</f>
        <v>490</v>
      </c>
      <c r="E28">
        <v>1470</v>
      </c>
      <c r="F28" s="149">
        <f t="shared" si="5"/>
        <v>980</v>
      </c>
      <c r="G28" s="89" t="s">
        <v>243</v>
      </c>
      <c r="H28" s="89">
        <f>+H27</f>
        <v>220.5</v>
      </c>
      <c r="I28" s="147">
        <f>+H28*0.25</f>
        <v>55.125</v>
      </c>
      <c r="J28" s="148"/>
      <c r="K28" s="148">
        <v>165</v>
      </c>
      <c r="L28" s="149">
        <f t="shared" si="6"/>
        <v>551.25</v>
      </c>
    </row>
    <row r="29" spans="1:12" ht="15">
      <c r="A29" s="89" t="s">
        <v>244</v>
      </c>
      <c r="B29" s="89">
        <f>+B28</f>
        <v>1960</v>
      </c>
      <c r="C29" s="89">
        <f>+B29/2+E34</f>
        <v>1470</v>
      </c>
      <c r="D29">
        <f>+B29-C29</f>
        <v>490</v>
      </c>
      <c r="E29">
        <v>980</v>
      </c>
      <c r="F29" s="149">
        <f t="shared" si="5"/>
        <v>2940</v>
      </c>
      <c r="G29" s="89" t="s">
        <v>244</v>
      </c>
      <c r="H29" s="89">
        <f>+H28</f>
        <v>220.5</v>
      </c>
      <c r="I29" s="147">
        <f>+H29/2+K34</f>
        <v>165.25</v>
      </c>
      <c r="J29" s="148">
        <f>+H29-I29</f>
        <v>55.25</v>
      </c>
      <c r="K29" s="148">
        <v>110</v>
      </c>
      <c r="L29" s="149">
        <f t="shared" si="6"/>
        <v>1652.5</v>
      </c>
    </row>
    <row r="30" spans="1:12" ht="15">
      <c r="A30" s="89" t="s">
        <v>245</v>
      </c>
      <c r="B30" s="89">
        <f aca="true" t="shared" si="7" ref="B30:B36">+B29</f>
        <v>1960</v>
      </c>
      <c r="C30" s="89">
        <f>+E28</f>
        <v>1470</v>
      </c>
      <c r="E30">
        <v>980</v>
      </c>
      <c r="F30" s="149">
        <f t="shared" si="5"/>
        <v>2940</v>
      </c>
      <c r="G30" s="89" t="s">
        <v>245</v>
      </c>
      <c r="H30" s="89">
        <f aca="true" t="shared" si="8" ref="H30:H35">+H29</f>
        <v>220.5</v>
      </c>
      <c r="I30" s="147">
        <f>+H30/2+K33</f>
        <v>165.25</v>
      </c>
      <c r="J30" s="148"/>
      <c r="K30" s="148">
        <v>110</v>
      </c>
      <c r="L30" s="149">
        <f t="shared" si="6"/>
        <v>1652.5</v>
      </c>
    </row>
    <row r="31" spans="1:12" ht="15">
      <c r="A31" s="89" t="s">
        <v>246</v>
      </c>
      <c r="B31" s="89">
        <f t="shared" si="7"/>
        <v>1960</v>
      </c>
      <c r="C31" s="89">
        <f>+B31/2+E32</f>
        <v>1470</v>
      </c>
      <c r="E31">
        <v>980</v>
      </c>
      <c r="F31" s="149">
        <f t="shared" si="5"/>
        <v>2940</v>
      </c>
      <c r="G31" s="89" t="s">
        <v>246</v>
      </c>
      <c r="H31" s="89">
        <f t="shared" si="8"/>
        <v>220.5</v>
      </c>
      <c r="I31" s="147">
        <f>+H31/2+K32</f>
        <v>165.25</v>
      </c>
      <c r="J31" s="148"/>
      <c r="K31" s="148">
        <v>110</v>
      </c>
      <c r="L31" s="149">
        <f t="shared" si="6"/>
        <v>1652.5</v>
      </c>
    </row>
    <row r="32" spans="1:12" ht="15">
      <c r="A32" s="89" t="s">
        <v>247</v>
      </c>
      <c r="B32" s="89">
        <f t="shared" si="7"/>
        <v>1960</v>
      </c>
      <c r="C32" s="89">
        <f>+B32*0.75+E31</f>
        <v>2450</v>
      </c>
      <c r="D32">
        <f>+B32-C32</f>
        <v>-490</v>
      </c>
      <c r="E32">
        <v>490</v>
      </c>
      <c r="F32" s="149">
        <f t="shared" si="5"/>
        <v>4900</v>
      </c>
      <c r="G32" s="89" t="s">
        <v>247</v>
      </c>
      <c r="H32" s="89">
        <f t="shared" si="8"/>
        <v>220.5</v>
      </c>
      <c r="I32" s="147">
        <f>+H32*0.75+K31</f>
        <v>275.375</v>
      </c>
      <c r="J32" s="148">
        <f>+H32-I32</f>
        <v>-54.875</v>
      </c>
      <c r="K32" s="148">
        <v>55</v>
      </c>
      <c r="L32" s="149">
        <f t="shared" si="6"/>
        <v>2753.75</v>
      </c>
    </row>
    <row r="33" spans="1:12" ht="15">
      <c r="A33" s="89" t="s">
        <v>248</v>
      </c>
      <c r="B33" s="89">
        <f t="shared" si="7"/>
        <v>1960</v>
      </c>
      <c r="C33" s="89">
        <f>+B33*0.75+E30</f>
        <v>2450</v>
      </c>
      <c r="E33">
        <v>490</v>
      </c>
      <c r="F33" s="149">
        <f t="shared" si="5"/>
        <v>4900</v>
      </c>
      <c r="G33" s="89" t="s">
        <v>248</v>
      </c>
      <c r="H33" s="89">
        <f t="shared" si="8"/>
        <v>220.5</v>
      </c>
      <c r="I33" s="147">
        <f>+H33*0.75+K30</f>
        <v>275.375</v>
      </c>
      <c r="J33" s="148"/>
      <c r="K33" s="148">
        <v>55</v>
      </c>
      <c r="L33" s="149">
        <f t="shared" si="6"/>
        <v>2753.75</v>
      </c>
    </row>
    <row r="34" spans="1:12" ht="15">
      <c r="A34" s="89" t="s">
        <v>249</v>
      </c>
      <c r="B34" s="89">
        <f t="shared" si="7"/>
        <v>1960</v>
      </c>
      <c r="C34" s="89">
        <f>+B34*0.75+E29</f>
        <v>2450</v>
      </c>
      <c r="E34">
        <v>490</v>
      </c>
      <c r="F34" s="149">
        <f t="shared" si="5"/>
        <v>4900</v>
      </c>
      <c r="G34" s="89" t="s">
        <v>249</v>
      </c>
      <c r="H34" s="89">
        <f t="shared" si="8"/>
        <v>220.5</v>
      </c>
      <c r="I34" s="147">
        <f>+H34*0.75+K29</f>
        <v>275.375</v>
      </c>
      <c r="J34" s="148"/>
      <c r="K34" s="148">
        <v>55</v>
      </c>
      <c r="L34" s="149">
        <f t="shared" si="6"/>
        <v>2753.75</v>
      </c>
    </row>
    <row r="35" spans="1:12" ht="15">
      <c r="A35" s="89" t="s">
        <v>250</v>
      </c>
      <c r="B35" s="89">
        <f t="shared" si="7"/>
        <v>1960</v>
      </c>
      <c r="C35" s="89">
        <f>+B35+E28</f>
        <v>3430</v>
      </c>
      <c r="F35" s="149">
        <f t="shared" si="5"/>
        <v>6860</v>
      </c>
      <c r="G35" s="89" t="s">
        <v>250</v>
      </c>
      <c r="H35" s="89">
        <f t="shared" si="8"/>
        <v>220.5</v>
      </c>
      <c r="I35" s="147">
        <f>+H35+K28</f>
        <v>385.5</v>
      </c>
      <c r="L35" s="149">
        <f t="shared" si="6"/>
        <v>3855</v>
      </c>
    </row>
    <row r="36" spans="1:12" ht="15">
      <c r="A36" s="89" t="s">
        <v>251</v>
      </c>
      <c r="B36" s="89">
        <f t="shared" si="7"/>
        <v>1960</v>
      </c>
      <c r="C36" s="89">
        <f>+B36+E27</f>
        <v>3430</v>
      </c>
      <c r="F36" s="149">
        <f t="shared" si="5"/>
        <v>6860</v>
      </c>
      <c r="G36" s="89" t="s">
        <v>251</v>
      </c>
      <c r="H36" s="89">
        <f>+H35</f>
        <v>220.5</v>
      </c>
      <c r="I36" s="147">
        <f>+H36+K27</f>
        <v>385.5</v>
      </c>
      <c r="L36" s="149">
        <f t="shared" si="6"/>
        <v>3855</v>
      </c>
    </row>
    <row r="37" spans="1:12" ht="15">
      <c r="A37" s="89" t="s">
        <v>252</v>
      </c>
      <c r="B37" s="89">
        <f>+B36</f>
        <v>1960</v>
      </c>
      <c r="C37" s="89">
        <f>+B37+E26</f>
        <v>3430</v>
      </c>
      <c r="F37" s="149">
        <f>+C37*$J$4</f>
        <v>6860</v>
      </c>
      <c r="G37" s="89" t="s">
        <v>252</v>
      </c>
      <c r="H37" s="89">
        <f>+H36</f>
        <v>220.5</v>
      </c>
      <c r="I37" s="147">
        <f>+H37+K26</f>
        <v>385.5</v>
      </c>
      <c r="L37" s="149">
        <f t="shared" si="6"/>
        <v>3855</v>
      </c>
    </row>
    <row r="38" spans="3:9" ht="15">
      <c r="C38">
        <f>SUM(C26:C37)</f>
        <v>23520</v>
      </c>
      <c r="I38" s="148">
        <f>SUM(I26:I37)</f>
        <v>2643.75</v>
      </c>
    </row>
    <row r="40" spans="1:13" ht="15">
      <c r="A40" t="s">
        <v>276</v>
      </c>
      <c r="B40" s="95" t="s">
        <v>277</v>
      </c>
      <c r="C40" s="95" t="s">
        <v>258</v>
      </c>
      <c r="D40" s="95" t="s">
        <v>259</v>
      </c>
      <c r="E40" s="95" t="s">
        <v>260</v>
      </c>
      <c r="F40" s="95" t="s">
        <v>261</v>
      </c>
      <c r="G40" s="95" t="s">
        <v>262</v>
      </c>
      <c r="H40" s="95" t="s">
        <v>263</v>
      </c>
      <c r="I40" s="95" t="s">
        <v>264</v>
      </c>
      <c r="J40" s="95" t="s">
        <v>265</v>
      </c>
      <c r="K40" s="95" t="s">
        <v>266</v>
      </c>
      <c r="L40" s="95" t="s">
        <v>267</v>
      </c>
      <c r="M40" s="95" t="s">
        <v>268</v>
      </c>
    </row>
    <row r="41" spans="1:14" ht="15">
      <c r="A41" s="95" t="s">
        <v>234</v>
      </c>
      <c r="B41" s="149">
        <f>+F11+L11+L26+F26</f>
        <v>3088.75</v>
      </c>
      <c r="C41" s="149">
        <f>+F12+L12+L27+F27</f>
        <v>3088.75</v>
      </c>
      <c r="D41" s="149">
        <f>+F13+K13+K28+F28</f>
        <v>2825</v>
      </c>
      <c r="E41" s="149">
        <f>+F14+L14+L29+F29</f>
        <v>9265</v>
      </c>
      <c r="F41" s="149">
        <f>+F15+L15+L30+F30</f>
        <v>9265</v>
      </c>
      <c r="G41" s="149">
        <f>+F16+L16+L31+F31</f>
        <v>9265</v>
      </c>
      <c r="H41" s="149">
        <f>+F17+L17+L32+F32</f>
        <v>15441.25</v>
      </c>
      <c r="I41" s="149">
        <f>+F18+L18+L33+F33</f>
        <v>15441.25</v>
      </c>
      <c r="J41" s="149">
        <f>+F19+L19+L34+F34</f>
        <v>15441.25</v>
      </c>
      <c r="K41" s="149">
        <f>+F20+L20+L35+F35</f>
        <v>21617.5</v>
      </c>
      <c r="L41" s="149">
        <f>+F36+L36+L21+F21</f>
        <v>21617.5</v>
      </c>
      <c r="M41" s="149">
        <f>+L37+F37+L22+F22</f>
        <v>21617.5</v>
      </c>
      <c r="N41" s="1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21.7109375" style="0" customWidth="1"/>
    <col min="2" max="2" width="13.28125" style="0" bestFit="1" customWidth="1"/>
    <col min="3" max="9" width="14.00390625" style="0" bestFit="1" customWidth="1"/>
    <col min="10" max="10" width="14.421875" style="0" customWidth="1"/>
    <col min="11" max="11" width="13.28125" style="0" bestFit="1" customWidth="1"/>
    <col min="12" max="12" width="14.57421875" style="0" bestFit="1" customWidth="1"/>
    <col min="13" max="13" width="13.57421875" style="0" bestFit="1" customWidth="1"/>
  </cols>
  <sheetData>
    <row r="1" ht="15.75" thickBot="1"/>
    <row r="2" spans="1:13" ht="15.75" thickBot="1">
      <c r="A2" s="60"/>
      <c r="B2" s="166" t="s">
        <v>257</v>
      </c>
      <c r="C2" s="167" t="s">
        <v>258</v>
      </c>
      <c r="D2" s="167" t="s">
        <v>259</v>
      </c>
      <c r="E2" s="167" t="s">
        <v>260</v>
      </c>
      <c r="F2" s="167" t="s">
        <v>261</v>
      </c>
      <c r="G2" s="167" t="s">
        <v>262</v>
      </c>
      <c r="H2" s="167" t="s">
        <v>263</v>
      </c>
      <c r="I2" s="167" t="s">
        <v>264</v>
      </c>
      <c r="J2" s="167" t="s">
        <v>265</v>
      </c>
      <c r="K2" s="167" t="s">
        <v>266</v>
      </c>
      <c r="L2" s="167" t="s">
        <v>267</v>
      </c>
      <c r="M2" s="168" t="s">
        <v>268</v>
      </c>
    </row>
    <row r="3" spans="1:13" ht="15">
      <c r="A3" s="161" t="s">
        <v>269</v>
      </c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ht="15">
      <c r="A4" s="162" t="s">
        <v>270</v>
      </c>
      <c r="B4" s="153">
        <f>+'COSTOS OPERATIVOS'!C7</f>
        <v>5481.25</v>
      </c>
      <c r="C4" s="153">
        <f>+'COSTOS OPERATIVOS'!C7</f>
        <v>5481.25</v>
      </c>
      <c r="D4" s="153">
        <f>+'COSTOS OPERATIVOS'!C7</f>
        <v>5481.25</v>
      </c>
      <c r="E4" s="153">
        <f>+'COSTOS OPERATIVOS'!C7</f>
        <v>5481.25</v>
      </c>
      <c r="F4" s="153">
        <f>+'COSTOS OPERATIVOS'!C7</f>
        <v>5481.25</v>
      </c>
      <c r="G4" s="153">
        <f>+'COSTOS OPERATIVOS'!C7</f>
        <v>5481.25</v>
      </c>
      <c r="H4" s="153">
        <f>+'COSTOS OPERATIVOS'!C7</f>
        <v>5481.25</v>
      </c>
      <c r="I4" s="153">
        <f>+'COSTOS OPERATIVOS'!C7</f>
        <v>5481.25</v>
      </c>
      <c r="J4" s="153">
        <f>+'COSTOS OPERATIVOS'!C7</f>
        <v>5481.25</v>
      </c>
      <c r="K4" s="153">
        <f>+'COSTOS OPERATIVOS'!C7</f>
        <v>5481.25</v>
      </c>
      <c r="L4" s="153">
        <f>+'COSTOS OPERATIVOS'!C7</f>
        <v>5481.25</v>
      </c>
      <c r="M4" s="153">
        <f>+'COSTOS OPERATIVOS'!C7</f>
        <v>5481.25</v>
      </c>
    </row>
    <row r="5" spans="1:13" ht="15">
      <c r="A5" s="162" t="s">
        <v>271</v>
      </c>
      <c r="B5" s="153">
        <f>+'COSTOS NO OPERATIVOS'!D51</f>
        <v>5839.71</v>
      </c>
      <c r="C5" s="153">
        <f>+'COSTOS NO OPERATIVOS'!D51</f>
        <v>5839.71</v>
      </c>
      <c r="D5" s="154">
        <f aca="true" t="shared" si="0" ref="D5:M5">$D$5</f>
        <v>4536.070000000001</v>
      </c>
      <c r="E5" s="154">
        <f t="shared" si="0"/>
        <v>4536.070000000001</v>
      </c>
      <c r="F5" s="154">
        <f t="shared" si="0"/>
        <v>4536.070000000001</v>
      </c>
      <c r="G5" s="154">
        <f t="shared" si="0"/>
        <v>4536.070000000001</v>
      </c>
      <c r="H5" s="154">
        <f t="shared" si="0"/>
        <v>4536.070000000001</v>
      </c>
      <c r="I5" s="154">
        <f t="shared" si="0"/>
        <v>4536.070000000001</v>
      </c>
      <c r="J5" s="154">
        <f t="shared" si="0"/>
        <v>4536.070000000001</v>
      </c>
      <c r="K5" s="154">
        <f t="shared" si="0"/>
        <v>4536.070000000001</v>
      </c>
      <c r="L5" s="154">
        <f t="shared" si="0"/>
        <v>4536.070000000001</v>
      </c>
      <c r="M5" s="155">
        <f t="shared" si="0"/>
        <v>4536.070000000001</v>
      </c>
    </row>
    <row r="6" spans="1:13" ht="15">
      <c r="A6" s="163" t="s">
        <v>272</v>
      </c>
      <c r="B6" s="153">
        <f>+B4+B5</f>
        <v>11320.96</v>
      </c>
      <c r="C6" s="153">
        <f aca="true" t="shared" si="1" ref="C6:M6">+C4+C5</f>
        <v>11320.96</v>
      </c>
      <c r="D6" s="153">
        <f t="shared" si="1"/>
        <v>11787.21</v>
      </c>
      <c r="E6" s="153">
        <f t="shared" si="1"/>
        <v>11787.21</v>
      </c>
      <c r="F6" s="153">
        <f t="shared" si="1"/>
        <v>11787.21</v>
      </c>
      <c r="G6" s="153">
        <f t="shared" si="1"/>
        <v>11787.21</v>
      </c>
      <c r="H6" s="153">
        <f t="shared" si="1"/>
        <v>11787.21</v>
      </c>
      <c r="I6" s="153">
        <f t="shared" si="1"/>
        <v>11787.21</v>
      </c>
      <c r="J6" s="153">
        <f t="shared" si="1"/>
        <v>11787.21</v>
      </c>
      <c r="K6" s="153">
        <f t="shared" si="1"/>
        <v>11787.21</v>
      </c>
      <c r="L6" s="153">
        <f t="shared" si="1"/>
        <v>11787.21</v>
      </c>
      <c r="M6" s="153">
        <f t="shared" si="1"/>
        <v>11787.21</v>
      </c>
    </row>
    <row r="7" spans="1:13" ht="15">
      <c r="A7" s="164" t="s">
        <v>234</v>
      </c>
      <c r="B7" s="156"/>
      <c r="C7" s="60"/>
      <c r="D7" s="60"/>
      <c r="E7" s="60"/>
      <c r="F7" s="60"/>
      <c r="G7" s="60"/>
      <c r="H7" s="60"/>
      <c r="I7" s="60"/>
      <c r="J7" s="60"/>
      <c r="K7" s="60"/>
      <c r="L7" s="60"/>
      <c r="M7" s="157"/>
    </row>
    <row r="8" spans="1:13" ht="15">
      <c r="A8" s="162" t="s">
        <v>273</v>
      </c>
      <c r="B8" s="153">
        <f>+DEMANDA!B41</f>
        <v>3088.75</v>
      </c>
      <c r="C8" s="153">
        <f>+DEMANDA!C41</f>
        <v>3088.75</v>
      </c>
      <c r="D8" s="153">
        <f>+DEMANDA!D41</f>
        <v>2825</v>
      </c>
      <c r="E8" s="153">
        <f>+DEMANDA!E41</f>
        <v>9265</v>
      </c>
      <c r="F8" s="153">
        <f>+DEMANDA!F41</f>
        <v>9265</v>
      </c>
      <c r="G8" s="153">
        <f>+DEMANDA!G41</f>
        <v>9265</v>
      </c>
      <c r="H8" s="153">
        <f>+DEMANDA!H41</f>
        <v>15441.25</v>
      </c>
      <c r="I8" s="153">
        <f>+DEMANDA!I41</f>
        <v>15441.25</v>
      </c>
      <c r="J8" s="153">
        <f>+DEMANDA!J41</f>
        <v>15441.25</v>
      </c>
      <c r="K8" s="153">
        <f>+DEMANDA!K41</f>
        <v>21617.5</v>
      </c>
      <c r="L8" s="153">
        <f>+DEMANDA!L41</f>
        <v>21617.5</v>
      </c>
      <c r="M8" s="153">
        <f>+DEMANDA!M41</f>
        <v>21617.5</v>
      </c>
    </row>
    <row r="9" spans="1:13" ht="15">
      <c r="A9" s="165"/>
      <c r="B9" s="156"/>
      <c r="C9" s="60"/>
      <c r="D9" s="60"/>
      <c r="E9" s="60"/>
      <c r="F9" s="60"/>
      <c r="G9" s="60"/>
      <c r="H9" s="60"/>
      <c r="I9" s="60"/>
      <c r="J9" s="60"/>
      <c r="K9" s="60"/>
      <c r="L9" s="60"/>
      <c r="M9" s="157"/>
    </row>
    <row r="10" spans="1:13" ht="15">
      <c r="A10" s="165" t="s">
        <v>274</v>
      </c>
      <c r="B10" s="153">
        <f>B8-B6</f>
        <v>-8232.21</v>
      </c>
      <c r="C10" s="154">
        <f aca="true" t="shared" si="2" ref="C10:M10">C8-(C4+C5)</f>
        <v>-8232.21</v>
      </c>
      <c r="D10" s="154">
        <f t="shared" si="2"/>
        <v>-4671.898160744865</v>
      </c>
      <c r="E10" s="154">
        <f t="shared" si="2"/>
        <v>-1038.199591276637</v>
      </c>
      <c r="F10" s="154">
        <f t="shared" si="2"/>
        <v>-765.0336586283838</v>
      </c>
      <c r="G10" s="154">
        <f t="shared" si="2"/>
        <v>-765.0336586283838</v>
      </c>
      <c r="H10" s="154">
        <f t="shared" si="2"/>
        <v>3185.9749957301774</v>
      </c>
      <c r="I10" s="154">
        <f t="shared" si="2"/>
        <v>3185.9749957301774</v>
      </c>
      <c r="J10" s="154">
        <f t="shared" si="2"/>
        <v>2595.498978191592</v>
      </c>
      <c r="K10" s="154">
        <f t="shared" si="2"/>
        <v>6229.19754765982</v>
      </c>
      <c r="L10" s="154">
        <f t="shared" si="2"/>
        <v>7114.9115739677</v>
      </c>
      <c r="M10" s="155">
        <f t="shared" si="2"/>
        <v>7092.839497846659</v>
      </c>
    </row>
    <row r="11" spans="1:13" ht="15.75" thickBot="1">
      <c r="A11" s="165" t="s">
        <v>275</v>
      </c>
      <c r="B11" s="158">
        <f>B10</f>
        <v>-8232.21</v>
      </c>
      <c r="C11" s="159">
        <f>B11+C10</f>
        <v>-16464.42</v>
      </c>
      <c r="D11" s="159">
        <f aca="true" t="shared" si="3" ref="D11:M11">C11+D10</f>
        <v>-14037.766558355637</v>
      </c>
      <c r="E11" s="159">
        <f t="shared" si="3"/>
        <v>-15075.966149632273</v>
      </c>
      <c r="F11" s="159">
        <f t="shared" si="3"/>
        <v>-15840.999808260658</v>
      </c>
      <c r="G11" s="159">
        <f t="shared" si="3"/>
        <v>-16606.033466889043</v>
      </c>
      <c r="H11" s="159">
        <f t="shared" si="3"/>
        <v>-13420.058471158865</v>
      </c>
      <c r="I11" s="159">
        <f t="shared" si="3"/>
        <v>-10234.083475428688</v>
      </c>
      <c r="J11" s="159">
        <f t="shared" si="3"/>
        <v>-7638.584497237096</v>
      </c>
      <c r="K11" s="159">
        <f t="shared" si="3"/>
        <v>-1409.386949577276</v>
      </c>
      <c r="L11" s="159">
        <f t="shared" si="3"/>
        <v>5705.524624390424</v>
      </c>
      <c r="M11" s="160">
        <f t="shared" si="3"/>
        <v>12798.364122237082</v>
      </c>
    </row>
    <row r="13" spans="2:3" ht="15">
      <c r="B13" s="223"/>
      <c r="C13" s="22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6"/>
  <sheetViews>
    <sheetView zoomScale="78" zoomScaleNormal="78" zoomScalePageLayoutView="0" workbookViewId="0" topLeftCell="A19">
      <selection activeCell="K48" sqref="K48"/>
    </sheetView>
  </sheetViews>
  <sheetFormatPr defaultColWidth="11.421875" defaultRowHeight="15"/>
  <cols>
    <col min="1" max="1" width="5.8515625" style="54" customWidth="1"/>
    <col min="2" max="2" width="33.7109375" style="54" bestFit="1" customWidth="1"/>
    <col min="3" max="3" width="17.00390625" style="54" customWidth="1"/>
    <col min="4" max="8" width="15.00390625" style="54" customWidth="1"/>
    <col min="9" max="10" width="3.57421875" style="54" customWidth="1"/>
    <col min="11" max="12" width="13.421875" style="54" bestFit="1" customWidth="1"/>
    <col min="13" max="15" width="14.57421875" style="54" bestFit="1" customWidth="1"/>
    <col min="16" max="16384" width="11.421875" style="54" customWidth="1"/>
  </cols>
  <sheetData>
    <row r="1" ht="15" thickBot="1"/>
    <row r="2" spans="2:8" ht="14.25">
      <c r="B2" s="297" t="s">
        <v>278</v>
      </c>
      <c r="C2" s="298"/>
      <c r="D2" s="298"/>
      <c r="E2" s="298"/>
      <c r="F2" s="298"/>
      <c r="G2" s="298"/>
      <c r="H2" s="299"/>
    </row>
    <row r="3" spans="2:8" ht="14.25">
      <c r="B3" s="300"/>
      <c r="C3" s="301"/>
      <c r="D3" s="301"/>
      <c r="E3" s="301"/>
      <c r="F3" s="301"/>
      <c r="G3" s="301"/>
      <c r="H3" s="302"/>
    </row>
    <row r="4" spans="2:8" ht="14.25">
      <c r="B4" s="188"/>
      <c r="C4" s="189" t="s">
        <v>279</v>
      </c>
      <c r="D4" s="189" t="s">
        <v>280</v>
      </c>
      <c r="E4" s="189" t="s">
        <v>281</v>
      </c>
      <c r="F4" s="189" t="s">
        <v>282</v>
      </c>
      <c r="G4" s="189" t="s">
        <v>283</v>
      </c>
      <c r="H4" s="190" t="s">
        <v>284</v>
      </c>
    </row>
    <row r="5" spans="2:8" ht="15">
      <c r="B5" s="191" t="s">
        <v>234</v>
      </c>
      <c r="C5" s="197"/>
      <c r="D5" s="198"/>
      <c r="E5" s="198"/>
      <c r="F5" s="198"/>
      <c r="G5" s="198"/>
      <c r="H5" s="199"/>
    </row>
    <row r="6" spans="2:15" ht="14.25">
      <c r="B6" s="192" t="s">
        <v>285</v>
      </c>
      <c r="C6" s="200"/>
      <c r="D6" s="201">
        <f>+INGRESOS!C4</f>
        <v>148260</v>
      </c>
      <c r="E6" s="201">
        <f>+INGRESOS!D4</f>
        <v>155673</v>
      </c>
      <c r="F6" s="201">
        <f>+INGRESOS!E4</f>
        <v>163456.65</v>
      </c>
      <c r="G6" s="201">
        <f>+INGRESOS!F4</f>
        <v>171629.4825</v>
      </c>
      <c r="H6" s="202">
        <f>+INGRESOS!G4</f>
        <v>180210.95662500002</v>
      </c>
      <c r="K6" s="169">
        <v>93140.95375674474</v>
      </c>
      <c r="L6" s="169">
        <v>97798.00144458198</v>
      </c>
      <c r="M6" s="169">
        <v>102687.9015168111</v>
      </c>
      <c r="N6" s="169">
        <v>107822.29659265165</v>
      </c>
      <c r="O6" s="170">
        <v>113213.41142228423</v>
      </c>
    </row>
    <row r="7" spans="2:8" ht="14.25">
      <c r="B7" s="192"/>
      <c r="C7" s="200"/>
      <c r="D7" s="201"/>
      <c r="E7" s="201"/>
      <c r="F7" s="201"/>
      <c r="G7" s="201"/>
      <c r="H7" s="202"/>
    </row>
    <row r="8" spans="2:8" s="171" customFormat="1" ht="15">
      <c r="B8" s="193" t="s">
        <v>286</v>
      </c>
      <c r="C8" s="203"/>
      <c r="D8" s="204">
        <f>SUM(D6)</f>
        <v>148260</v>
      </c>
      <c r="E8" s="204">
        <f>SUM(E6)</f>
        <v>155673</v>
      </c>
      <c r="F8" s="204">
        <f>SUM(F6)</f>
        <v>163456.65</v>
      </c>
      <c r="G8" s="204">
        <f>SUM(G6)</f>
        <v>171629.4825</v>
      </c>
      <c r="H8" s="205">
        <f>SUM(H6)</f>
        <v>180210.95662500002</v>
      </c>
    </row>
    <row r="9" spans="2:8" ht="14.25">
      <c r="B9" s="191" t="s">
        <v>269</v>
      </c>
      <c r="C9" s="200"/>
      <c r="D9" s="201"/>
      <c r="E9" s="201"/>
      <c r="F9" s="201"/>
      <c r="G9" s="201"/>
      <c r="H9" s="202"/>
    </row>
    <row r="10" spans="2:8" ht="14.25">
      <c r="B10" s="192" t="s">
        <v>287</v>
      </c>
      <c r="C10" s="200"/>
      <c r="D10" s="201">
        <f>+'COSTOS OPERATIVOS'!B14</f>
        <v>65776</v>
      </c>
      <c r="E10" s="201">
        <f>+'COSTOS OPERATIVOS'!C14</f>
        <v>67092.5</v>
      </c>
      <c r="F10" s="201">
        <f>+'COSTOS OPERATIVOS'!D14</f>
        <v>68435.31</v>
      </c>
      <c r="G10" s="201">
        <f>+'COSTOS OPERATIVOS'!E14</f>
        <v>69804.9562</v>
      </c>
      <c r="H10" s="201">
        <f>+'COSTOS OPERATIVOS'!F14</f>
        <v>71201.975324</v>
      </c>
    </row>
    <row r="11" spans="2:8" ht="14.25">
      <c r="B11" s="192" t="s">
        <v>288</v>
      </c>
      <c r="C11" s="206"/>
      <c r="D11" s="207">
        <f>+'COSTOS NO OPERATIVOS'!F51</f>
        <v>70076.52</v>
      </c>
      <c r="E11" s="207">
        <f>+'COSTOS NO OPERATIVOS'!G51</f>
        <v>73831.6416</v>
      </c>
      <c r="F11" s="207">
        <f>+'COSTOS NO OPERATIVOS'!H51</f>
        <v>81298.42724160002</v>
      </c>
      <c r="G11" s="207">
        <f>+'COSTOS NO OPERATIVOS'!I51</f>
        <v>85917.95552092801</v>
      </c>
      <c r="H11" s="207">
        <f>+'COSTOS NO OPERATIVOS'!J51</f>
        <v>90890.12260360226</v>
      </c>
    </row>
    <row r="12" spans="2:8" ht="15.75" thickBot="1">
      <c r="B12" s="193" t="s">
        <v>289</v>
      </c>
      <c r="C12" s="208"/>
      <c r="D12" s="209">
        <f>SUM(D10:D11)</f>
        <v>135852.52000000002</v>
      </c>
      <c r="E12" s="209">
        <f>SUM(E10:E11)</f>
        <v>140924.1416</v>
      </c>
      <c r="F12" s="209">
        <f>SUM(F10:F11)</f>
        <v>149733.7372416</v>
      </c>
      <c r="G12" s="209">
        <f>SUM(G10:G11)</f>
        <v>155722.911720928</v>
      </c>
      <c r="H12" s="210">
        <f>SUM(H10:H11)</f>
        <v>162092.09792760224</v>
      </c>
    </row>
    <row r="13" spans="2:8" s="171" customFormat="1" ht="15.75" thickTop="1">
      <c r="B13" s="193" t="s">
        <v>290</v>
      </c>
      <c r="C13" s="197"/>
      <c r="D13" s="211">
        <f>D8-D12</f>
        <v>12407.479999999981</v>
      </c>
      <c r="E13" s="211">
        <f>E8-E12</f>
        <v>14748.858399999997</v>
      </c>
      <c r="F13" s="211">
        <f>F8-F12</f>
        <v>13722.912758399994</v>
      </c>
      <c r="G13" s="211">
        <f>G8-G12</f>
        <v>15906.570779072004</v>
      </c>
      <c r="H13" s="212">
        <f>H8-H12</f>
        <v>18118.85869739778</v>
      </c>
    </row>
    <row r="14" spans="1:8" s="171" customFormat="1" ht="15">
      <c r="A14" s="172"/>
      <c r="B14" s="194" t="s">
        <v>291</v>
      </c>
      <c r="C14" s="203"/>
      <c r="D14" s="213">
        <f>+INVERSION!K47/5</f>
        <v>101.6</v>
      </c>
      <c r="E14" s="213">
        <f>+D14</f>
        <v>101.6</v>
      </c>
      <c r="F14" s="213">
        <f>+D14</f>
        <v>101.6</v>
      </c>
      <c r="G14" s="213">
        <f>+E14</f>
        <v>101.6</v>
      </c>
      <c r="H14" s="213">
        <f>+F14</f>
        <v>101.6</v>
      </c>
    </row>
    <row r="15" spans="1:8" s="171" customFormat="1" ht="15">
      <c r="A15" s="172"/>
      <c r="B15" s="194" t="s">
        <v>292</v>
      </c>
      <c r="C15" s="203"/>
      <c r="D15" s="213">
        <f>+DEPRECIACION!F35</f>
        <v>2884.0000000000005</v>
      </c>
      <c r="E15" s="213">
        <f>+DEPRECIACION!F35</f>
        <v>2884.0000000000005</v>
      </c>
      <c r="F15" s="213">
        <f>+DEPRECIACION!F35</f>
        <v>2884.0000000000005</v>
      </c>
      <c r="G15" s="213">
        <f>+DEPRECIACION!F35</f>
        <v>2884.0000000000005</v>
      </c>
      <c r="H15" s="213">
        <f>+DEPRECIACION!F35</f>
        <v>2884.0000000000005</v>
      </c>
    </row>
    <row r="16" spans="1:8" s="171" customFormat="1" ht="15">
      <c r="A16" s="172"/>
      <c r="B16" s="194" t="s">
        <v>293</v>
      </c>
      <c r="C16" s="203"/>
      <c r="D16" s="213">
        <f>+AMORTIZACION!L14</f>
        <v>1062.906752372695</v>
      </c>
      <c r="E16" s="213">
        <f>+AMORTIZACION!L15</f>
        <v>674.4596224633287</v>
      </c>
      <c r="F16" s="213">
        <f>+AMORTIZACION!L16</f>
        <v>247.16777956302545</v>
      </c>
      <c r="G16" s="213"/>
      <c r="H16" s="214"/>
    </row>
    <row r="17" spans="1:8" ht="14.25">
      <c r="A17" s="172"/>
      <c r="B17" s="194" t="s">
        <v>294</v>
      </c>
      <c r="C17" s="215"/>
      <c r="D17" s="201">
        <f>+AMORTIZACION!L21</f>
        <v>3884.4712990936523</v>
      </c>
      <c r="E17" s="201">
        <f>+AMORTIZACION!L22</f>
        <v>4272.918429003019</v>
      </c>
      <c r="F17" s="201">
        <f>+AMORTIZACION!L23</f>
        <v>4700.210271903323</v>
      </c>
      <c r="G17" s="201"/>
      <c r="H17" s="202"/>
    </row>
    <row r="18" spans="1:8" ht="15">
      <c r="A18" s="172"/>
      <c r="B18" s="191" t="s">
        <v>295</v>
      </c>
      <c r="C18" s="203"/>
      <c r="D18" s="229">
        <f>D13-D14-D15-D16-D17</f>
        <v>4474.501948533633</v>
      </c>
      <c r="E18" s="229">
        <f>E13-E14-E15-E16-E17</f>
        <v>6815.880348533648</v>
      </c>
      <c r="F18" s="204">
        <f>F13-F14-F15-F16-F17</f>
        <v>5789.934706933645</v>
      </c>
      <c r="G18" s="204">
        <f>G13-G14-G15-G16-G17</f>
        <v>12920.970779072004</v>
      </c>
      <c r="H18" s="205">
        <f>H13-H14-H15-H16-H17</f>
        <v>15133.258697397781</v>
      </c>
    </row>
    <row r="19" spans="1:8" ht="14.25">
      <c r="A19" s="172"/>
      <c r="B19" s="194" t="s">
        <v>296</v>
      </c>
      <c r="C19" s="200"/>
      <c r="D19" s="201">
        <f>0.25*D18</f>
        <v>1118.6254871334083</v>
      </c>
      <c r="E19" s="201">
        <f>0.25*E18</f>
        <v>1703.970087133412</v>
      </c>
      <c r="F19" s="201">
        <f>0.25*F18</f>
        <v>1447.4836767334114</v>
      </c>
      <c r="G19" s="201">
        <f>0.25*G18</f>
        <v>3230.242694768001</v>
      </c>
      <c r="H19" s="201">
        <f>0.25*H18</f>
        <v>3783.3146743494453</v>
      </c>
    </row>
    <row r="20" spans="1:8" ht="15" thickBot="1">
      <c r="A20" s="172"/>
      <c r="B20" s="194" t="s">
        <v>297</v>
      </c>
      <c r="C20" s="216"/>
      <c r="D20" s="217">
        <f>0.15*D18</f>
        <v>671.175292280045</v>
      </c>
      <c r="E20" s="217">
        <f>0.15*E18</f>
        <v>1022.3820522800472</v>
      </c>
      <c r="F20" s="217">
        <f>0.15*F18</f>
        <v>868.4902060400468</v>
      </c>
      <c r="G20" s="217">
        <f>0.15*G18</f>
        <v>1938.1456168608006</v>
      </c>
      <c r="H20" s="217">
        <f>0.15*H18</f>
        <v>2269.988804609667</v>
      </c>
    </row>
    <row r="21" spans="1:8" ht="15.75" thickTop="1">
      <c r="A21" s="172"/>
      <c r="B21" s="193" t="s">
        <v>298</v>
      </c>
      <c r="C21" s="200"/>
      <c r="D21" s="229">
        <f>D18-D19-D20</f>
        <v>2684.7011691201797</v>
      </c>
      <c r="E21" s="229">
        <f>E18-E19-E20</f>
        <v>4089.52820912019</v>
      </c>
      <c r="F21" s="204">
        <f>F18-F19-F20</f>
        <v>3473.9608241601877</v>
      </c>
      <c r="G21" s="204">
        <f>G18-G19-G20</f>
        <v>7752.582467443202</v>
      </c>
      <c r="H21" s="205">
        <f>H18-H19-H20</f>
        <v>9079.955218438668</v>
      </c>
    </row>
    <row r="22" spans="1:8" ht="14.25">
      <c r="A22" s="172"/>
      <c r="B22" s="194" t="s">
        <v>299</v>
      </c>
      <c r="C22" s="200"/>
      <c r="D22" s="201">
        <f aca="true" t="shared" si="0" ref="D22:H23">D14</f>
        <v>101.6</v>
      </c>
      <c r="E22" s="201">
        <f t="shared" si="0"/>
        <v>101.6</v>
      </c>
      <c r="F22" s="201">
        <f t="shared" si="0"/>
        <v>101.6</v>
      </c>
      <c r="G22" s="201">
        <f t="shared" si="0"/>
        <v>101.6</v>
      </c>
      <c r="H22" s="202">
        <f t="shared" si="0"/>
        <v>101.6</v>
      </c>
    </row>
    <row r="23" spans="1:8" ht="14.25">
      <c r="A23" s="173"/>
      <c r="B23" s="194" t="s">
        <v>300</v>
      </c>
      <c r="C23" s="200"/>
      <c r="D23" s="201">
        <f t="shared" si="0"/>
        <v>2884.0000000000005</v>
      </c>
      <c r="E23" s="201">
        <f t="shared" si="0"/>
        <v>2884.0000000000005</v>
      </c>
      <c r="F23" s="201">
        <f t="shared" si="0"/>
        <v>2884.0000000000005</v>
      </c>
      <c r="G23" s="201">
        <f t="shared" si="0"/>
        <v>2884.0000000000005</v>
      </c>
      <c r="H23" s="202">
        <f t="shared" si="0"/>
        <v>2884.0000000000005</v>
      </c>
    </row>
    <row r="24" spans="1:8" ht="14.25">
      <c r="A24" s="172"/>
      <c r="B24" s="194" t="s">
        <v>301</v>
      </c>
      <c r="C24" s="219">
        <f>+-AMORTIZACION!F4</f>
        <v>-18368</v>
      </c>
      <c r="D24" s="201"/>
      <c r="E24" s="201"/>
      <c r="F24" s="220">
        <v>-5430</v>
      </c>
      <c r="G24" s="201"/>
      <c r="H24" s="202"/>
    </row>
    <row r="25" spans="1:8" ht="15">
      <c r="A25" s="173"/>
      <c r="B25" s="194" t="s">
        <v>302</v>
      </c>
      <c r="C25" s="221">
        <f>+AMORTIZACION!G13</f>
        <v>12857.6</v>
      </c>
      <c r="D25" s="204"/>
      <c r="E25" s="204"/>
      <c r="F25" s="204"/>
      <c r="G25" s="204"/>
      <c r="H25" s="205"/>
    </row>
    <row r="26" spans="1:8" ht="14.25">
      <c r="A26" s="173"/>
      <c r="B26" s="194" t="s">
        <v>303</v>
      </c>
      <c r="C26" s="231">
        <v>-16606.03</v>
      </c>
      <c r="D26" s="201"/>
      <c r="E26" s="201"/>
      <c r="F26" s="201"/>
      <c r="G26" s="201"/>
      <c r="H26" s="202"/>
    </row>
    <row r="27" spans="1:8" ht="14.25">
      <c r="A27" s="172"/>
      <c r="B27" s="194" t="s">
        <v>304</v>
      </c>
      <c r="C27" s="219"/>
      <c r="D27" s="201"/>
      <c r="E27" s="201"/>
      <c r="F27" s="201"/>
      <c r="G27" s="201"/>
      <c r="H27" s="202">
        <f>-C26</f>
        <v>16606.03</v>
      </c>
    </row>
    <row r="28" spans="1:8" ht="15" thickBot="1">
      <c r="A28" s="173"/>
      <c r="B28" s="194" t="s">
        <v>305</v>
      </c>
      <c r="C28" s="222"/>
      <c r="D28" s="217"/>
      <c r="E28" s="217"/>
      <c r="F28" s="217"/>
      <c r="G28" s="217"/>
      <c r="H28" s="218">
        <f>+DEPRECIACION!I35</f>
        <v>1655</v>
      </c>
    </row>
    <row r="29" spans="2:8" ht="15.75" thickBot="1" thickTop="1">
      <c r="B29" s="195" t="s">
        <v>306</v>
      </c>
      <c r="C29" s="196">
        <f>SUM(C24:C26)</f>
        <v>-22116.43</v>
      </c>
      <c r="D29" s="196">
        <f>+D21+D22+D23</f>
        <v>5670.30116912018</v>
      </c>
      <c r="E29" s="196">
        <f>+E21+E22+E23</f>
        <v>7075.12820912019</v>
      </c>
      <c r="F29" s="196">
        <f>+F21+F22+F23+F24</f>
        <v>1029.5608241601876</v>
      </c>
      <c r="G29" s="196">
        <f>+G21+G22+G23</f>
        <v>10738.182467443203</v>
      </c>
      <c r="H29" s="196">
        <f>+H21+H22+H23+H27+H28</f>
        <v>30326.585218438668</v>
      </c>
    </row>
    <row r="30" ht="14.25">
      <c r="B30" s="174"/>
    </row>
    <row r="31" ht="15" thickBot="1">
      <c r="B31" s="174"/>
    </row>
    <row r="32" spans="2:3" ht="15.75" thickBot="1">
      <c r="B32" s="303" t="s">
        <v>307</v>
      </c>
      <c r="C32" s="304"/>
    </row>
    <row r="33" spans="2:3" ht="18">
      <c r="B33" s="175" t="s">
        <v>308</v>
      </c>
      <c r="C33" s="176">
        <f>NPV(C35,D29:H29)+C29</f>
        <v>1766.340203330139</v>
      </c>
    </row>
    <row r="34" spans="2:3" ht="18">
      <c r="B34" s="177" t="s">
        <v>309</v>
      </c>
      <c r="C34" s="239">
        <f>+IRR(C29:H29)</f>
        <v>0.2791311322300727</v>
      </c>
    </row>
    <row r="35" spans="2:3" ht="18.75" thickBot="1">
      <c r="B35" s="178" t="s">
        <v>310</v>
      </c>
      <c r="C35" s="240">
        <f>+CAPM!B4</f>
        <v>0.25067500000000004</v>
      </c>
    </row>
    <row r="36" spans="5:8" ht="15">
      <c r="E36" s="179"/>
      <c r="F36" s="179"/>
      <c r="G36" s="179"/>
      <c r="H36" s="60"/>
    </row>
    <row r="37" spans="4:8" ht="16.5">
      <c r="D37" s="180" t="s">
        <v>311</v>
      </c>
      <c r="E37" s="181"/>
      <c r="F37" s="182"/>
      <c r="G37" s="182"/>
      <c r="H37" s="183"/>
    </row>
    <row r="38" spans="4:8" ht="16.5">
      <c r="D38" s="184"/>
      <c r="E38" s="184"/>
      <c r="F38" s="184"/>
      <c r="G38" s="184"/>
      <c r="H38" s="184"/>
    </row>
    <row r="39" spans="4:8" ht="14.25">
      <c r="D39" s="305" t="s">
        <v>312</v>
      </c>
      <c r="E39" s="305" t="s">
        <v>313</v>
      </c>
      <c r="F39" s="305" t="s">
        <v>314</v>
      </c>
      <c r="G39" s="305" t="s">
        <v>315</v>
      </c>
      <c r="H39" s="305" t="s">
        <v>316</v>
      </c>
    </row>
    <row r="40" spans="4:8" ht="14.25">
      <c r="D40" s="306"/>
      <c r="E40" s="306"/>
      <c r="F40" s="306"/>
      <c r="G40" s="306"/>
      <c r="H40" s="306"/>
    </row>
    <row r="41" spans="4:8" ht="14.25">
      <c r="D41" s="185">
        <v>1</v>
      </c>
      <c r="E41" s="186">
        <f>+AMORTIZACION!G10</f>
        <v>12857.6</v>
      </c>
      <c r="F41" s="110">
        <f>D29</f>
        <v>5670.30116912018</v>
      </c>
      <c r="G41" s="110">
        <f>+E41*AMORTIZACION!$E$10</f>
        <v>1285.7600000000002</v>
      </c>
      <c r="H41" s="110">
        <f aca="true" t="shared" si="1" ref="H41:H46">F41-G41</f>
        <v>4384.54116912018</v>
      </c>
    </row>
    <row r="42" spans="4:8" ht="14.25">
      <c r="D42" s="187">
        <v>2</v>
      </c>
      <c r="E42" s="186">
        <f>+E41-H41</f>
        <v>8473.058830879821</v>
      </c>
      <c r="F42" s="186">
        <f>E29</f>
        <v>7075.12820912019</v>
      </c>
      <c r="G42" s="110">
        <f>+E42*AMORTIZACION!$E$10</f>
        <v>847.3058830879822</v>
      </c>
      <c r="H42" s="110">
        <f t="shared" si="1"/>
        <v>6227.822326032208</v>
      </c>
    </row>
    <row r="43" spans="4:8" ht="14.25">
      <c r="D43" s="185">
        <v>3</v>
      </c>
      <c r="E43" s="186">
        <f>+E42-H42</f>
        <v>2245.236504847613</v>
      </c>
      <c r="F43" s="110">
        <f>F29</f>
        <v>1029.5608241601876</v>
      </c>
      <c r="G43" s="110">
        <f>+E43*AMORTIZACION!$E$10</f>
        <v>224.52365048476133</v>
      </c>
      <c r="H43" s="110">
        <f t="shared" si="1"/>
        <v>805.0371736754263</v>
      </c>
    </row>
    <row r="44" spans="4:8" ht="14.25">
      <c r="D44" s="185">
        <v>4</v>
      </c>
      <c r="E44" s="186">
        <f>+E43-H43</f>
        <v>1440.1993311721867</v>
      </c>
      <c r="F44" s="110">
        <f>G29</f>
        <v>10738.182467443203</v>
      </c>
      <c r="G44" s="110">
        <f>+E44*AMORTIZACION!$E$10</f>
        <v>144.01993311721867</v>
      </c>
      <c r="H44" s="110">
        <f t="shared" si="1"/>
        <v>10594.162534325984</v>
      </c>
    </row>
    <row r="45" spans="4:8" ht="14.25">
      <c r="D45" s="185">
        <v>5</v>
      </c>
      <c r="E45" s="186">
        <f>+E44-H44</f>
        <v>-9153.963203153797</v>
      </c>
      <c r="F45" s="110">
        <f>H29</f>
        <v>30326.585218438668</v>
      </c>
      <c r="G45" s="110">
        <f>+E45*AMORTIZACION!$E$10</f>
        <v>-915.3963203153797</v>
      </c>
      <c r="H45" s="110">
        <f t="shared" si="1"/>
        <v>31241.981538754048</v>
      </c>
    </row>
    <row r="46" spans="5:8" ht="14.25">
      <c r="E46" s="186">
        <f>+E45-H45</f>
        <v>-40395.94474190784</v>
      </c>
      <c r="F46" s="110">
        <f>H30</f>
        <v>0</v>
      </c>
      <c r="G46" s="110">
        <f>+E46*AMORTIZACION!$E$10</f>
        <v>-4039.5944741907842</v>
      </c>
      <c r="H46" s="110">
        <f t="shared" si="1"/>
        <v>4039.5944741907842</v>
      </c>
    </row>
  </sheetData>
  <sheetProtection/>
  <mergeCells count="7">
    <mergeCell ref="B2:H3"/>
    <mergeCell ref="B32:C32"/>
    <mergeCell ref="D39:D40"/>
    <mergeCell ref="E39:E40"/>
    <mergeCell ref="F39:F40"/>
    <mergeCell ref="G39:G40"/>
    <mergeCell ref="H39:H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lucho</dc:creator>
  <cp:keywords/>
  <dc:description/>
  <cp:lastModifiedBy>Juan Carlos</cp:lastModifiedBy>
  <dcterms:created xsi:type="dcterms:W3CDTF">2010-04-28T00:15:10Z</dcterms:created>
  <dcterms:modified xsi:type="dcterms:W3CDTF">2010-05-02T22:38:50Z</dcterms:modified>
  <cp:category/>
  <cp:version/>
  <cp:contentType/>
  <cp:contentStatus/>
</cp:coreProperties>
</file>