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370" tabRatio="823" firstSheet="9" activeTab="9"/>
  </bookViews>
  <sheets>
    <sheet name="Gastos" sheetId="1" r:id="rId1"/>
    <sheet name="Inversion" sheetId="2" r:id="rId2"/>
    <sheet name="Costos" sheetId="3" r:id="rId3"/>
    <sheet name="Estruct. Adminst." sheetId="4" r:id="rId4"/>
    <sheet name="Activos" sheetId="5" r:id="rId5"/>
    <sheet name="Poblacion" sheetId="6" r:id="rId6"/>
    <sheet name="Ingresos" sheetId="7" r:id="rId7"/>
    <sheet name="Calc. Demanda" sheetId="8" r:id="rId8"/>
    <sheet name="Def. Acum. Max." sheetId="9" r:id="rId9"/>
    <sheet name="Flujo caja Acc." sheetId="10" r:id="rId10"/>
    <sheet name="Flujo de Caja Proy." sheetId="11" r:id="rId11"/>
    <sheet name="Est. de Pedr.  Gan." sheetId="12" r:id="rId12"/>
    <sheet name="Pay Back" sheetId="13" r:id="rId13"/>
    <sheet name="Anal. de Sens." sheetId="14" r:id="rId14"/>
    <sheet name="Est. de Sit. Actual" sheetId="15" r:id="rId15"/>
    <sheet name="TMAR" sheetId="16" r:id="rId16"/>
    <sheet name="Val. de Salv." sheetId="17" r:id="rId17"/>
    <sheet name="Punto Eq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The Wolf</author>
  </authors>
  <commentList>
    <comment ref="B18" authorId="0">
      <text>
        <r>
          <rPr>
            <b/>
            <sz val="8"/>
            <rFont val="Tahoma"/>
            <family val="0"/>
          </rPr>
          <t>The Wolf:</t>
        </r>
        <r>
          <rPr>
            <sz val="8"/>
            <rFont val="Tahoma"/>
            <family val="0"/>
          </rPr>
          <t xml:space="preserve">
1 m</t>
        </r>
        <r>
          <rPr>
            <vertAlign val="superscript"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es 2000 litros</t>
        </r>
      </text>
    </comment>
    <comment ref="B19" authorId="0">
      <text>
        <r>
          <rPr>
            <b/>
            <sz val="8"/>
            <rFont val="Tahoma"/>
            <family val="0"/>
          </rPr>
          <t>The Wolf:</t>
        </r>
        <r>
          <rPr>
            <sz val="8"/>
            <rFont val="Tahoma"/>
            <family val="0"/>
          </rPr>
          <t xml:space="preserve">
Tarifa basica de $6</t>
        </r>
      </text>
    </comment>
  </commentList>
</comments>
</file>

<file path=xl/comments10.xml><?xml version="1.0" encoding="utf-8"?>
<comments xmlns="http://schemas.openxmlformats.org/spreadsheetml/2006/main">
  <authors>
    <author>The Wolf</author>
  </authors>
  <commentList>
    <comment ref="D9" authorId="0">
      <text>
        <r>
          <rPr>
            <b/>
            <sz val="8"/>
            <rFont val="Tahoma"/>
            <family val="0"/>
          </rPr>
          <t>The Wolf:</t>
        </r>
        <r>
          <rPr>
            <sz val="8"/>
            <rFont val="Tahoma"/>
            <family val="0"/>
          </rPr>
          <t xml:space="preserve">
En los ultimos años se ha incrementado el salario en un promedio de 10%
</t>
        </r>
      </text>
    </comment>
  </commentList>
</comments>
</file>

<file path=xl/comments11.xml><?xml version="1.0" encoding="utf-8"?>
<comments xmlns="http://schemas.openxmlformats.org/spreadsheetml/2006/main">
  <authors>
    <author>auxiliar</author>
  </authors>
  <commentList>
    <comment ref="D9" authorId="0">
      <text>
        <r>
          <rPr>
            <b/>
            <sz val="8"/>
            <rFont val="Tahoma"/>
            <family val="0"/>
          </rPr>
          <t>En los ultimos años se ha incrementado el salario en un promedio del 10%</t>
        </r>
      </text>
    </comment>
  </commentList>
</comments>
</file>

<file path=xl/comments16.xml><?xml version="1.0" encoding="utf-8"?>
<comments xmlns="http://schemas.openxmlformats.org/spreadsheetml/2006/main">
  <authors>
    <author>auxiliar</author>
  </authors>
  <commentList>
    <comment ref="C17" authorId="0">
      <text>
        <r>
          <rPr>
            <b/>
            <sz val="8"/>
            <rFont val="Tahoma"/>
            <family val="0"/>
          </rPr>
          <t>Riesgo Pais al 20 feb 2010 es de 810 puntos base</t>
        </r>
      </text>
    </comment>
    <comment ref="A18" authorId="0">
      <text>
        <r>
          <rPr>
            <b/>
            <sz val="8"/>
            <rFont val="Tahoma"/>
            <family val="0"/>
          </rPr>
          <t>Tasa libre de riesgo</t>
        </r>
      </text>
    </comment>
    <comment ref="A24" authorId="0">
      <text>
        <r>
          <rPr>
            <b/>
            <sz val="8"/>
            <rFont val="Tahoma"/>
            <family val="0"/>
          </rPr>
          <t>Tasa libre de riesgo Ecuador</t>
        </r>
      </text>
    </comment>
  </commentList>
</comments>
</file>

<file path=xl/comments17.xml><?xml version="1.0" encoding="utf-8"?>
<comments xmlns="http://schemas.openxmlformats.org/spreadsheetml/2006/main">
  <authors>
    <author>auxiliar</author>
  </authors>
  <commentList>
    <comment ref="G12" authorId="0">
      <text>
        <r>
          <rPr>
            <b/>
            <sz val="8"/>
            <rFont val="Tahoma"/>
            <family val="0"/>
          </rPr>
          <t>Se Reinvierte en el cuarto periodo
 (año 4)</t>
        </r>
      </text>
    </comment>
  </commentList>
</comments>
</file>

<file path=xl/comments3.xml><?xml version="1.0" encoding="utf-8"?>
<comments xmlns="http://schemas.openxmlformats.org/spreadsheetml/2006/main">
  <authors>
    <author>efrain suarez</author>
  </authors>
  <commentList>
    <comment ref="C23" authorId="0">
      <text>
        <r>
          <rPr>
            <b/>
            <sz val="9"/>
            <rFont val="Tahoma"/>
            <family val="2"/>
          </rPr>
          <t>efrain suarez:</t>
        </r>
        <r>
          <rPr>
            <sz val="9"/>
            <rFont val="Tahoma"/>
            <family val="2"/>
          </rPr>
          <t xml:space="preserve">
precio de compra x kintal</t>
        </r>
      </text>
    </comment>
    <comment ref="B23" authorId="0">
      <text>
        <r>
          <rPr>
            <b/>
            <sz val="9"/>
            <rFont val="Tahoma"/>
            <family val="2"/>
          </rPr>
          <t>efrain suarez:</t>
        </r>
        <r>
          <rPr>
            <sz val="9"/>
            <rFont val="Tahoma"/>
            <family val="2"/>
          </rPr>
          <t xml:space="preserve">
36000 litros d leche</t>
        </r>
      </text>
    </comment>
  </commentList>
</comments>
</file>

<file path=xl/comments5.xml><?xml version="1.0" encoding="utf-8"?>
<comments xmlns="http://schemas.openxmlformats.org/spreadsheetml/2006/main">
  <authors>
    <author>Leonor Mogrovejo</author>
  </authors>
  <commentList>
    <comment ref="C80" authorId="0">
      <text>
        <r>
          <rPr>
            <sz val="8"/>
            <rFont val="Tahoma"/>
            <family val="0"/>
          </rPr>
          <t>dos dias de haber ingresado la escritura de constitucion a la super de compañia</t>
        </r>
      </text>
    </comment>
    <comment ref="C82" authorId="0">
      <text>
        <r>
          <rPr>
            <sz val="8"/>
            <rFont val="Tahoma"/>
            <family val="0"/>
          </rPr>
          <t>se lo hace un dia despues de tner de escritura de constitucion ya aprobada por la Super de cia</t>
        </r>
      </text>
    </comment>
    <comment ref="D82" authorId="0">
      <text>
        <r>
          <rPr>
            <sz val="8"/>
            <rFont val="Tahoma"/>
            <family val="0"/>
          </rPr>
          <t>En el telegrafo</t>
        </r>
      </text>
    </comment>
    <comment ref="D85" authorId="0">
      <text>
        <r>
          <rPr>
            <sz val="8"/>
            <rFont val="Tahoma"/>
            <family val="0"/>
          </rPr>
          <t xml:space="preserve">Registro el nombraminetode un representante eso me vale 12 si registro de mas representante cada uno vale 12
</t>
        </r>
      </text>
    </comment>
    <comment ref="C102" authorId="0">
      <text>
        <r>
          <rPr>
            <sz val="8"/>
            <rFont val="Tahoma"/>
            <family val="0"/>
          </rPr>
          <t>A personas juridicas pagan 150 y naturales 75</t>
        </r>
      </text>
    </comment>
  </commentList>
</comments>
</file>

<file path=xl/sharedStrings.xml><?xml version="1.0" encoding="utf-8"?>
<sst xmlns="http://schemas.openxmlformats.org/spreadsheetml/2006/main" count="873" uniqueCount="475">
  <si>
    <t>CANTIDAD</t>
  </si>
  <si>
    <t>Sueldos Administrativos</t>
  </si>
  <si>
    <t>Agua</t>
  </si>
  <si>
    <t>Teléfono</t>
  </si>
  <si>
    <t>Total Gastos Administrativos</t>
  </si>
  <si>
    <t>DESCRIPCIóN</t>
  </si>
  <si>
    <t>MENSUAL</t>
  </si>
  <si>
    <t>TOTAL MENSUAL</t>
  </si>
  <si>
    <t>ANUAL</t>
  </si>
  <si>
    <t>Gerente</t>
  </si>
  <si>
    <t>Ayudante Maq y Empacador</t>
  </si>
  <si>
    <t xml:space="preserve">Guardiania </t>
  </si>
  <si>
    <t>Mantenimiento y Limpieza</t>
  </si>
  <si>
    <t>GASTOS ADMINISTRATIVOS</t>
  </si>
  <si>
    <t>Servicios Básicos</t>
  </si>
  <si>
    <t>Bodega</t>
  </si>
  <si>
    <t>Gastos de Instalacion y Mantenimiento</t>
  </si>
  <si>
    <t>Electricidad 2000 Kv por mes</t>
  </si>
  <si>
    <t>Director de Planta (Maq. Empacadora)</t>
  </si>
  <si>
    <t>Director Financiero</t>
  </si>
  <si>
    <t>Consumo /Energía/Eléctrica:</t>
  </si>
  <si>
    <t xml:space="preserve">        Consumo Kw/hora</t>
  </si>
  <si>
    <t>Kw/hora</t>
  </si>
  <si>
    <t>Horas/día</t>
  </si>
  <si>
    <t>Kw/Diario</t>
  </si>
  <si>
    <t>Mensual</t>
  </si>
  <si>
    <t>Coste$/kw./hora</t>
  </si>
  <si>
    <t>Consumo mensual</t>
  </si>
  <si>
    <t>Anual</t>
  </si>
  <si>
    <t>Consumo Anual $</t>
  </si>
  <si>
    <t>Computadora</t>
  </si>
  <si>
    <t>Maquina Empacadora</t>
  </si>
  <si>
    <t>Maq. Elevadora</t>
  </si>
  <si>
    <t>Focos Encendidos</t>
  </si>
  <si>
    <t>Aire Acondicionado</t>
  </si>
  <si>
    <t>TOTAL CONSUMO ENERGIA ELECTRICA</t>
  </si>
  <si>
    <t>Maq. Procesadora de leche</t>
  </si>
  <si>
    <t>GASTO DE VENTA Y PUBLICIDAD</t>
  </si>
  <si>
    <t>Nombre Medio</t>
  </si>
  <si>
    <t>Detalle</t>
  </si>
  <si>
    <t>1/4 pag. Color</t>
  </si>
  <si>
    <t>1/4 B y N</t>
  </si>
  <si>
    <t>Afiches de 64 * 44 cms papel caushe</t>
  </si>
  <si>
    <t>Total Gasto de Venta y Publicidad</t>
  </si>
  <si>
    <t>Diario La Metro</t>
  </si>
  <si>
    <t>Diario El Expreso 1/4 B y N</t>
  </si>
  <si>
    <t>Banda Transportadora</t>
  </si>
  <si>
    <t>Refrigeradoras industriales</t>
  </si>
  <si>
    <t>EQUIPOS DE OFICINAS</t>
  </si>
  <si>
    <t>SUMINISTRO DE LIMPIEZA</t>
  </si>
  <si>
    <t xml:space="preserve">EQUIPOS DE PLANTA </t>
  </si>
  <si>
    <t>EQUIPO</t>
  </si>
  <si>
    <t>DETALLE</t>
  </si>
  <si>
    <t>Valor Unitario</t>
  </si>
  <si>
    <t>Valor Total</t>
  </si>
  <si>
    <t>Monitor, CPU, Mouse, Teclado, Impresora, regulador, parlantes</t>
  </si>
  <si>
    <t>Vehiculos</t>
  </si>
  <si>
    <t>Escritorio en L de 150*150</t>
  </si>
  <si>
    <t>Sillas secretaria con brazos</t>
  </si>
  <si>
    <t>Sillas fijas con brazo</t>
  </si>
  <si>
    <t>Archivadores de 4 gavetas</t>
  </si>
  <si>
    <t>Cartel con nombre y logo del local</t>
  </si>
  <si>
    <t>Extintor de incendio de 10 libras</t>
  </si>
  <si>
    <t>Paquete de 500 hojas A4 75 gr.</t>
  </si>
  <si>
    <t>Plumas Bic azul, negras y rojas puntas finas</t>
  </si>
  <si>
    <t>Lápiz tradicional marca MONGOL</t>
  </si>
  <si>
    <t>Archivador Ideal oficio 7 cm</t>
  </si>
  <si>
    <t>Grapas en cajas</t>
  </si>
  <si>
    <t>Borradores</t>
  </si>
  <si>
    <t>Saca punta metal</t>
  </si>
  <si>
    <t>Goma Ega 250 gr.</t>
  </si>
  <si>
    <t>Saca grapa, Perforadora y grapadora</t>
  </si>
  <si>
    <t>Notas, cinta autodhasivas 40 m</t>
  </si>
  <si>
    <t>Suministro de Oficina</t>
  </si>
  <si>
    <t>Equipo de Computacion</t>
  </si>
  <si>
    <t>Furgon Termoquin Chevrolet a Diesel</t>
  </si>
  <si>
    <t>Muebles y Enseres de Oficina</t>
  </si>
  <si>
    <t>Escritorio Basico de Oficina</t>
  </si>
  <si>
    <t>Tachos de Basura</t>
  </si>
  <si>
    <t>Aire acondicionado Mini Split 12000 BTU Modelo : AS12CDB</t>
  </si>
  <si>
    <t>Utiles de Oficina</t>
  </si>
  <si>
    <t>Clip en cajas</t>
  </si>
  <si>
    <t>TOTAL</t>
  </si>
  <si>
    <t>Suministro de Limpieza</t>
  </si>
  <si>
    <t>Escoba</t>
  </si>
  <si>
    <t>Escoba cerdas plasticas</t>
  </si>
  <si>
    <t>Desinfectante</t>
  </si>
  <si>
    <t>Ultra desinfectante 100 cm3</t>
  </si>
  <si>
    <t xml:space="preserve">Detergente </t>
  </si>
  <si>
    <t>Deja FAB</t>
  </si>
  <si>
    <t>Trapeador</t>
  </si>
  <si>
    <t>Jerga de Lana</t>
  </si>
  <si>
    <t>Jabón</t>
  </si>
  <si>
    <t>Liquido</t>
  </si>
  <si>
    <t>Papel Higienico</t>
  </si>
  <si>
    <t>Industrial</t>
  </si>
  <si>
    <t xml:space="preserve">Empacadora Automática Industrial </t>
  </si>
  <si>
    <t>Para el enfriamiento y conservacion de llos productos</t>
  </si>
  <si>
    <t>Banda Transportadora y de Proced.</t>
  </si>
  <si>
    <t>Aumenta la velocidad de transferencia</t>
  </si>
  <si>
    <t>Vallas publicitarias</t>
  </si>
  <si>
    <t>Maquina Procesadora de Leche</t>
  </si>
  <si>
    <t>Producción de leche de soya, para la alimentación humana o animal</t>
  </si>
  <si>
    <r>
      <t>8m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0"/>
      </rPr>
      <t>=$,45</t>
    </r>
  </si>
  <si>
    <t>COSTO FIJO</t>
  </si>
  <si>
    <t>MANO DE OBRA INDIRECTA</t>
  </si>
  <si>
    <t>DESCRIPCION</t>
  </si>
  <si>
    <t>TOTAL ANUAL</t>
  </si>
  <si>
    <t>Total</t>
  </si>
  <si>
    <t>MANO DE OBRA DIRECTA</t>
  </si>
  <si>
    <t>CARGO</t>
  </si>
  <si>
    <t>COSTO VARIABLE</t>
  </si>
  <si>
    <t>MATERIALES DIRECTOS</t>
  </si>
  <si>
    <t xml:space="preserve">Cantidad </t>
  </si>
  <si>
    <t>Precio compra</t>
  </si>
  <si>
    <t>MATERIALES INDIRECTOS</t>
  </si>
  <si>
    <t>Suministro de limpieza</t>
  </si>
  <si>
    <t>Suministro de oficina</t>
  </si>
  <si>
    <t>Carne de Soya</t>
  </si>
  <si>
    <t>Torta de Soya</t>
  </si>
  <si>
    <t>Leche de Soya</t>
  </si>
  <si>
    <t>Helado de Soya</t>
  </si>
  <si>
    <t>Pan de Soya</t>
  </si>
  <si>
    <t>Queso de Soya</t>
  </si>
  <si>
    <t>Precio</t>
  </si>
  <si>
    <t>MENSUAL PROM</t>
  </si>
  <si>
    <t>Diesel Mensual galones</t>
  </si>
  <si>
    <t>COSTO DE TRANSPORTE</t>
  </si>
  <si>
    <t>COSTO  DE PLANTA Y BODEGA</t>
  </si>
  <si>
    <t>Tamaño bodega m2</t>
  </si>
  <si>
    <t>Años plazo</t>
  </si>
  <si>
    <t>Costo</t>
  </si>
  <si>
    <t>Cuota entrada</t>
  </si>
  <si>
    <t>Tasa mensual</t>
  </si>
  <si>
    <t>Cuota Mensual</t>
  </si>
  <si>
    <t xml:space="preserve">Asistentes </t>
  </si>
  <si>
    <t>25^2</t>
  </si>
  <si>
    <t>600 m2</t>
  </si>
  <si>
    <t>Cuota de entrada en porcentaje</t>
  </si>
  <si>
    <t>FINANCIAMIENTO Bodega</t>
  </si>
  <si>
    <t>Año 1</t>
  </si>
  <si>
    <t>Año 2</t>
  </si>
  <si>
    <t>Año 3</t>
  </si>
  <si>
    <t>Año 4</t>
  </si>
  <si>
    <t>Año 5</t>
  </si>
  <si>
    <t>COSTOS</t>
  </si>
  <si>
    <t>COSTOS FIJOS</t>
  </si>
  <si>
    <t>Mano de Obra Directa</t>
  </si>
  <si>
    <t>Mano de Obra Indirecta</t>
  </si>
  <si>
    <t>Costo de planta y bodega</t>
  </si>
  <si>
    <t>COSTOS VARIABLES</t>
  </si>
  <si>
    <t>Materiales Directos</t>
  </si>
  <si>
    <t>Materiales Indirectos</t>
  </si>
  <si>
    <t>COSTOS TOTALES</t>
  </si>
  <si>
    <t>Pago Anual</t>
  </si>
  <si>
    <t>PERSONAS REQUERIDAS</t>
  </si>
  <si>
    <t>INFRAESTRUCTURA FISICA</t>
  </si>
  <si>
    <t>USD $</t>
  </si>
  <si>
    <t>Adecuacion de una oficina</t>
  </si>
  <si>
    <t>Asistentes</t>
  </si>
  <si>
    <t>ACTIVOS FIJOS</t>
  </si>
  <si>
    <t>EQUIPOS DE PLANTA EMPACADORA</t>
  </si>
  <si>
    <t>PRECIO</t>
  </si>
  <si>
    <t>PRECIO TOTAL</t>
  </si>
  <si>
    <t>Pallets</t>
  </si>
  <si>
    <t>Kavetas</t>
  </si>
  <si>
    <t>Maquina Envasadora</t>
  </si>
  <si>
    <t xml:space="preserve">Maquina envasadora de botellas por gravedad para envasado de productos líquidos, en botellas plásticas o de vidrio.  </t>
  </si>
  <si>
    <t>Poblacion del Ecuador</t>
  </si>
  <si>
    <t>Rubro</t>
  </si>
  <si>
    <t>% de Consumo</t>
  </si>
  <si>
    <t>Preg7</t>
  </si>
  <si>
    <t xml:space="preserve"> </t>
  </si>
  <si>
    <t>Frecuencia</t>
  </si>
  <si>
    <t>Porcentaje</t>
  </si>
  <si>
    <t>Porcentaje válido</t>
  </si>
  <si>
    <t>Porcentaje acumulado</t>
  </si>
  <si>
    <t>Válidos</t>
  </si>
  <si>
    <t>Perdidos</t>
  </si>
  <si>
    <t>Sistema</t>
  </si>
  <si>
    <t>Frecuencia de
Consumo por semana</t>
  </si>
  <si>
    <t>porcentajes de Consumidores</t>
  </si>
  <si>
    <t>Consumo Anual de Mercado</t>
  </si>
  <si>
    <t>Consumo Mensual de Mecado</t>
  </si>
  <si>
    <t>Demanda Total Anual</t>
  </si>
  <si>
    <t xml:space="preserve">Demanda anual </t>
  </si>
  <si>
    <t>Porcentaje de
Demanda Esperada</t>
  </si>
  <si>
    <t>Demanda Mensual</t>
  </si>
  <si>
    <t>Preg10</t>
  </si>
  <si>
    <t>Pequeño</t>
  </si>
  <si>
    <t>Mediano</t>
  </si>
  <si>
    <t>Familiar</t>
  </si>
  <si>
    <t>Presentacion Familiar</t>
  </si>
  <si>
    <t>500gr.</t>
  </si>
  <si>
    <t>1 litro</t>
  </si>
  <si>
    <t>Presentacion  Familiar</t>
  </si>
  <si>
    <t>Costo de Produccion</t>
  </si>
  <si>
    <t>Produccion Mensual Esperada</t>
  </si>
  <si>
    <t>Produccion Anual Esperada</t>
  </si>
  <si>
    <t>Precio de Venta ($)</t>
  </si>
  <si>
    <t>Furgon termoquin Chevrolet 2005</t>
  </si>
  <si>
    <t>Almacenaje de alimentos</t>
  </si>
  <si>
    <t>EQUIPOS DE OFICINA</t>
  </si>
  <si>
    <t>Equipo de Computación</t>
  </si>
  <si>
    <t>Tacho de Basura</t>
  </si>
  <si>
    <t>Aire acondicionado Mini Split 12000 BTU
Modelo : AS12CDB</t>
  </si>
  <si>
    <t>TOTAl</t>
  </si>
  <si>
    <t>MUEBLES Y DECORACION</t>
  </si>
  <si>
    <t>UTILIES DE OFICINA</t>
  </si>
  <si>
    <t>Clic en cajas</t>
  </si>
  <si>
    <t>PRECIO
TOTAL</t>
  </si>
  <si>
    <t>ACTIVOS DIFERIDOS</t>
  </si>
  <si>
    <t>Tiempo del Tramite en día laborables</t>
  </si>
  <si>
    <t>Aprobación de denominación en la Superintendencia de Cía</t>
  </si>
  <si>
    <t>Escitura Pública de Constitución de Compañía</t>
  </si>
  <si>
    <t>Aporte en número: apertura de Cuenta de Integración Capital en Banco (Capital mínimo US$800, 25% al inicio)</t>
  </si>
  <si>
    <t>Valuación de bienes muebles e inmuebles que se aportarán como Capital</t>
  </si>
  <si>
    <t>Elaboración de Minuta - Escritura Pública</t>
  </si>
  <si>
    <t>Solicitud de aprobación dirigida a la Superintendencia de Compañía</t>
  </si>
  <si>
    <t>Resolución aprobada emitidapor parte de la Superintendencia de Compañía</t>
  </si>
  <si>
    <t>Publicación de extracto (Prensa escrita)</t>
  </si>
  <si>
    <t>Anotaciones Marginales</t>
  </si>
  <si>
    <t>Inscribir Escritura en Registro Mercantil</t>
  </si>
  <si>
    <t>Proceder a realizar los nombramientos correspondiente y a su respectiva inscriccion en el registro Mercantil</t>
  </si>
  <si>
    <t>Obtención del RUC</t>
  </si>
  <si>
    <t>Afiliación a la Cámara de la Industria</t>
  </si>
  <si>
    <t>Retiro de fondos depositados en Cuenta de Integración de Capital</t>
  </si>
  <si>
    <t>(-) Devolución por Integración de Capital</t>
  </si>
  <si>
    <t>Total de Gastos de Constitución</t>
  </si>
  <si>
    <t>GASTOS DE FUNCIONAMIENTO</t>
  </si>
  <si>
    <t>VALORES ANUALES</t>
  </si>
  <si>
    <t>COSTO</t>
  </si>
  <si>
    <t>OBSERVACIONES</t>
  </si>
  <si>
    <t>Registro del negocio en el SRI</t>
  </si>
  <si>
    <t>sin costo</t>
  </si>
  <si>
    <t>Permisos Municipales</t>
  </si>
  <si>
    <t>Registro de Patente Municipal Anual</t>
  </si>
  <si>
    <t>A personas juridicas</t>
  </si>
  <si>
    <t>Tasa de habitación de Establecimiento</t>
  </si>
  <si>
    <t>Permiso del Ministerio de Salud</t>
  </si>
  <si>
    <t>Certificado Sanitario de los empleados de la empresa</t>
  </si>
  <si>
    <t>Pago anual al Benemérito Cuerpo de Bomberos</t>
  </si>
  <si>
    <t>Pago Anual al Ministerio de Gobierno y Policía</t>
  </si>
  <si>
    <t>Rubros</t>
  </si>
  <si>
    <t>Costo Total US $</t>
  </si>
  <si>
    <t>Gastos de Constitución</t>
  </si>
  <si>
    <t>Gastos de Funcionamiento</t>
  </si>
  <si>
    <t>Total Activos Diferidos</t>
  </si>
  <si>
    <t>Cantidad de Consumidores</t>
  </si>
  <si>
    <t>¿ Que tipos de productos derivados de ls Soya actualmente consume o le gustaria consumir?</t>
  </si>
  <si>
    <t>Que tipo de presentcion prefiere o preferiria?</t>
  </si>
  <si>
    <t>Ing. Mensual</t>
  </si>
  <si>
    <t>Demanda anual</t>
  </si>
  <si>
    <t>Ing. Anual</t>
  </si>
  <si>
    <t xml:space="preserve">Precio De Venta </t>
  </si>
  <si>
    <t>Demanda</t>
  </si>
  <si>
    <t>Ingreso</t>
  </si>
  <si>
    <t>INGRESO TOTAL ANUAL</t>
  </si>
  <si>
    <t>Ingresos de Leche, Queso y carne</t>
  </si>
  <si>
    <t>CALCULO DE LA DEMANDA</t>
  </si>
  <si>
    <t>Damanda Total</t>
  </si>
  <si>
    <t>Demanda mensual</t>
  </si>
  <si>
    <t>Demanda Anual</t>
  </si>
  <si>
    <t>Periodo</t>
  </si>
  <si>
    <t>Demanda Esperada de Leche de Soya</t>
  </si>
  <si>
    <t>Demanda Esperada Queso de Soya</t>
  </si>
  <si>
    <t>Demanda Esperada Carne de Soya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</si>
  <si>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</si>
  <si>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</si>
  <si>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</si>
  <si>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</si>
  <si>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</si>
  <si>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</si>
  <si>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</si>
  <si>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</si>
  <si>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</si>
  <si>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</si>
  <si>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</si>
  <si>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</si>
  <si>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 (q)</t>
  </si>
  <si>
    <t>Ventas ($)</t>
  </si>
  <si>
    <t>Ventas Totales ($)</t>
  </si>
  <si>
    <t>Cantidad Producida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</si>
  <si>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</si>
  <si>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</si>
  <si>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</si>
  <si>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</si>
  <si>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</si>
  <si>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</si>
  <si>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</si>
  <si>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</si>
  <si>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</si>
  <si>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</si>
  <si>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</si>
  <si>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</si>
  <si>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</si>
  <si>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Ingreso Mensual</t>
  </si>
  <si>
    <t>Egreso Mensual</t>
  </si>
  <si>
    <t>Saldo Mensual</t>
  </si>
  <si>
    <t>Saldo Acumulado</t>
  </si>
  <si>
    <t>Método del Déficit Acumulado Máximo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</si>
  <si>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</si>
  <si>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</si>
  <si>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</si>
  <si>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</si>
  <si>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</si>
  <si>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</si>
  <si>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</si>
  <si>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</si>
  <si>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</si>
  <si>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</si>
  <si>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</si>
  <si>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</si>
  <si>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INGRESO</t>
  </si>
  <si>
    <t>EGRESOS</t>
  </si>
  <si>
    <t>Material Directo</t>
  </si>
  <si>
    <t>Gastos Administrativos</t>
  </si>
  <si>
    <t>Gastos de Ventas</t>
  </si>
  <si>
    <t>Total Mensual</t>
  </si>
  <si>
    <t>Total Anual</t>
  </si>
  <si>
    <t>FLUJO DE CAJA DE LOS ACCIONISTA</t>
  </si>
  <si>
    <t>Año 0</t>
  </si>
  <si>
    <t>Ingresos</t>
  </si>
  <si>
    <t>Egresos</t>
  </si>
  <si>
    <t>Costos de Venta</t>
  </si>
  <si>
    <t>Costos de Bodega</t>
  </si>
  <si>
    <t>Coste de Fabricación</t>
  </si>
  <si>
    <t>Gasto Administrativo</t>
  </si>
  <si>
    <t>Gasto de Venta y Publicidad</t>
  </si>
  <si>
    <t>Flujo Operacional</t>
  </si>
  <si>
    <t>Amortización Intangible</t>
  </si>
  <si>
    <t>Depreciación</t>
  </si>
  <si>
    <t>Flujo no Operacional</t>
  </si>
  <si>
    <t>Intereses sobe préstamos</t>
  </si>
  <si>
    <t>Utilidad antes de Impuesto</t>
  </si>
  <si>
    <t>25% Impuesto a la Renta</t>
  </si>
  <si>
    <t>15% Participación de Trabajadores</t>
  </si>
  <si>
    <t>Utilidad Neta</t>
  </si>
  <si>
    <t>Depreciación y Amortización Intangible</t>
  </si>
  <si>
    <t>Prestamo</t>
  </si>
  <si>
    <t>Inversión Inicial</t>
  </si>
  <si>
    <t>Valor de Salvamento</t>
  </si>
  <si>
    <t>Capital de Trabajo</t>
  </si>
  <si>
    <t>Recuperación del Capital de Trabajo</t>
  </si>
  <si>
    <t>Flujo neto del accionistas</t>
  </si>
  <si>
    <t>TMAR (CAPM)</t>
  </si>
  <si>
    <t>TIR</t>
  </si>
  <si>
    <t>VAN</t>
  </si>
  <si>
    <t>ESTADO DE PERDIDAS Y GANANCIAS</t>
  </si>
  <si>
    <t>Costo de Venta</t>
  </si>
  <si>
    <t>Costo de bodega</t>
  </si>
  <si>
    <t>Margen Bruto</t>
  </si>
  <si>
    <t>Gastos Operacionales</t>
  </si>
  <si>
    <t>Amortización</t>
  </si>
  <si>
    <t>Gastos de Venta</t>
  </si>
  <si>
    <t>Utilidad Operacional</t>
  </si>
  <si>
    <t>Gastos Financieros</t>
  </si>
  <si>
    <t>Intereses sobre prestamos</t>
  </si>
  <si>
    <t>Utilidad antes de Impuestos</t>
  </si>
  <si>
    <t>25% Impuestos a la Renta</t>
  </si>
  <si>
    <t>UTILIDAD NETA</t>
  </si>
  <si>
    <t>Eleva las cajas para la entrega a diferentes provincias</t>
  </si>
  <si>
    <t>Maquina Elevadora</t>
  </si>
  <si>
    <t>FLUJO DE CAJA PROYECTO</t>
  </si>
  <si>
    <t>Flujo neto del proyecto</t>
  </si>
  <si>
    <t>WACC</t>
  </si>
  <si>
    <t>PAY BACK</t>
  </si>
  <si>
    <t>Periodo en
(años)</t>
  </si>
  <si>
    <t>Saldo
Inversion</t>
  </si>
  <si>
    <t>Flujo de
caja</t>
  </si>
  <si>
    <t>Rentabilidad
Exigida</t>
  </si>
  <si>
    <t>Recuperacion
Inversion</t>
  </si>
  <si>
    <t>ANALISIS DE SENSIBILIDAD UNIVARIABLE</t>
  </si>
  <si>
    <t>ANALISIS DE SENSIBILIDAD RESPECTO A INGRESOS</t>
  </si>
  <si>
    <t xml:space="preserve">VARIACION
</t>
  </si>
  <si>
    <t xml:space="preserve">      ∆</t>
  </si>
  <si>
    <t>RESULTADO</t>
  </si>
  <si>
    <t>FACTIBLE</t>
  </si>
  <si>
    <t>ANALISIS DE SENSIBILIDAD RESPECTO A COSTOS</t>
  </si>
  <si>
    <t xml:space="preserve">           ∆</t>
  </si>
  <si>
    <t>ESTADO SITUACION INICIAL</t>
  </si>
  <si>
    <t>ACTIVO</t>
  </si>
  <si>
    <t>PASIVO</t>
  </si>
  <si>
    <t>DISPONIBLE</t>
  </si>
  <si>
    <t>Préstamo</t>
  </si>
  <si>
    <t>FIJOS</t>
  </si>
  <si>
    <t>Èquipos de planta Empac.</t>
  </si>
  <si>
    <t>Equipo de Oficina</t>
  </si>
  <si>
    <t>Muebles y Enseres</t>
  </si>
  <si>
    <t>Utiles de oficina</t>
  </si>
  <si>
    <t>DIFERIDOS</t>
  </si>
  <si>
    <t>PATRIMONIO</t>
  </si>
  <si>
    <t>Gasto de Constitución</t>
  </si>
  <si>
    <t>Gasto de Funcionamiento</t>
  </si>
  <si>
    <t>Capital</t>
  </si>
  <si>
    <t>Total Activo</t>
  </si>
  <si>
    <t>Inversion Inicial</t>
  </si>
  <si>
    <t>Capital Inicial</t>
  </si>
  <si>
    <t>Periodo de Pago</t>
  </si>
  <si>
    <t>Numero Total de Cuotas</t>
  </si>
  <si>
    <t>Montos ($)</t>
  </si>
  <si>
    <t>Comisión de Estudio</t>
  </si>
  <si>
    <t>Monto Requerido</t>
  </si>
  <si>
    <t>Comisión de Apertura</t>
  </si>
  <si>
    <t>Capital Propio</t>
  </si>
  <si>
    <t>AMORTIZACION DEL PRESTAMO</t>
  </si>
  <si>
    <t>PERIODO EN AÑOS</t>
  </si>
  <si>
    <t>PAGO</t>
  </si>
  <si>
    <t>INTERES</t>
  </si>
  <si>
    <t>AMORTIZACION</t>
  </si>
  <si>
    <t>CAP. AMORTIZ</t>
  </si>
  <si>
    <t>SALDO</t>
  </si>
  <si>
    <t>TMAR</t>
  </si>
  <si>
    <t>Beta</t>
  </si>
  <si>
    <t>L</t>
  </si>
  <si>
    <t>1-L</t>
  </si>
  <si>
    <t>re=rf+B(rm-rf)+rfecuador</t>
  </si>
  <si>
    <t>Riesgo País 24/02/2010</t>
  </si>
  <si>
    <t>810 Ptos Base</t>
  </si>
  <si>
    <t>L=Pasivo/Activo</t>
  </si>
  <si>
    <t>rf</t>
  </si>
  <si>
    <t>T=Impuesto/Utilidad Ant Imp</t>
  </si>
  <si>
    <t>rm</t>
  </si>
  <si>
    <t>Ba= (1-L)B/(1-TL)</t>
  </si>
  <si>
    <t>rd</t>
  </si>
  <si>
    <t>t</t>
  </si>
  <si>
    <t>1-t</t>
  </si>
  <si>
    <t>rk=rd(1-t)*(L)+(1-L)*re</t>
  </si>
  <si>
    <t>Prima/Riesgo</t>
  </si>
  <si>
    <t>re</t>
  </si>
  <si>
    <t>de los accionistas</t>
  </si>
  <si>
    <t>rk</t>
  </si>
  <si>
    <t>para elproyecto</t>
  </si>
  <si>
    <t>VALOR DE SALVAMENTO</t>
  </si>
  <si>
    <t>VALOR DE COMPRA</t>
  </si>
  <si>
    <t>VIDA CONTABLE</t>
  </si>
  <si>
    <t>DEPREC. ANUAL</t>
  </si>
  <si>
    <t>AÑO DEPREC.</t>
  </si>
  <si>
    <t>DEPREC. ACUMUL.</t>
  </si>
  <si>
    <t>VALOR EN LIBRO</t>
  </si>
  <si>
    <t>Maq. Empacadora</t>
  </si>
  <si>
    <t>Maquina elevadora</t>
  </si>
  <si>
    <t>Depreciacion Acumulada</t>
  </si>
  <si>
    <t>Punto Equilibrio</t>
  </si>
  <si>
    <t>Precio Promedio</t>
  </si>
  <si>
    <t>Ingreso Anual</t>
  </si>
  <si>
    <t xml:space="preserve">Utilidad </t>
  </si>
  <si>
    <t>PUNTO DE EQUILIBRIO</t>
  </si>
  <si>
    <t>Precio Queso de Soya</t>
  </si>
  <si>
    <t>Precio Carne de Soya</t>
  </si>
  <si>
    <t>Precio leche de Soya</t>
  </si>
  <si>
    <t>loja</t>
  </si>
  <si>
    <t>los rios</t>
  </si>
  <si>
    <t>esmeraldas</t>
  </si>
  <si>
    <t>habitantes </t>
  </si>
  <si>
    <t>habitantes aprox.</t>
  </si>
  <si>
    <t>habitantes</t>
  </si>
  <si>
    <t>Poblacion de las Provincias</t>
  </si>
  <si>
    <t xml:space="preserve">Soya </t>
  </si>
  <si>
    <t>Soya</t>
  </si>
  <si>
    <t>Precio compra x tonelada</t>
  </si>
  <si>
    <t>Total Pasivo</t>
  </si>
  <si>
    <t>CALCULO DE BETA</t>
  </si>
  <si>
    <t>Beta Coefficient</t>
  </si>
  <si>
    <t>Market Cap (millones)</t>
  </si>
  <si>
    <t>Beta*(Mark Cap/Total Mark</t>
  </si>
  <si>
    <t>Refrigeradores industriales</t>
  </si>
  <si>
    <t>AMORTIZACION INTANGIBLE</t>
  </si>
  <si>
    <t>Descripción</t>
  </si>
  <si>
    <t>Valor</t>
  </si>
  <si>
    <t>13,65%</t>
  </si>
  <si>
    <t>Maquina Mezcladora</t>
  </si>
  <si>
    <t>Maquina que sirve para la mezcla del queso y carne de soya</t>
  </si>
  <si>
    <t>Utilidad antes de Part. Trab. E Impuestos</t>
  </si>
  <si>
    <t>Pago de Capital e Intereses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</si>
</sst>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409]#,##0;[Red][$$-409]#,##0"/>
    <numFmt numFmtId="185" formatCode="[$$-409]#,##0.0;[Red][$$-409]#,##0.0"/>
    <numFmt numFmtId="186" formatCode="[$$-409]#,##0.00;[Red][$$-409]#,##0.00"/>
    <numFmt numFmtId="187" formatCode="0.000%"/>
    <numFmt numFmtId="188" formatCode="&quot;$&quot;\ #,##0.0;[Red]&quot;$&quot;\ \-#,##0.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##0"/>
    <numFmt numFmtId="192" formatCode="####.0"/>
    <numFmt numFmtId="193" formatCode="0.0%"/>
    <numFmt numFmtId="194" formatCode="0.0"/>
    <numFmt numFmtId="195" formatCode="0.0000;[Red]0.0000"/>
    <numFmt numFmtId="196" formatCode="0.0000%"/>
    <numFmt numFmtId="197" formatCode="0.000000000000000%"/>
    <numFmt numFmtId="198" formatCode="_ * #,##0.000_ ;_ * \-#,##0.000_ ;_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_ * #,##0.000000_ ;_ * \-#,##0.00000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0"/>
      <color indexed="6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Tahoma"/>
      <family val="2"/>
    </font>
    <font>
      <vertAlign val="superscript"/>
      <sz val="10"/>
      <name val="Arial"/>
      <family val="2"/>
    </font>
    <font>
      <b/>
      <sz val="10"/>
      <color indexed="62"/>
      <name val="Arial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color indexed="54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13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7" fontId="20" fillId="0" borderId="10" xfId="0" applyNumberFormat="1" applyFont="1" applyBorder="1" applyAlignment="1">
      <alignment/>
    </xf>
    <xf numFmtId="167" fontId="2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0" fontId="20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67" fontId="20" fillId="0" borderId="0" xfId="0" applyNumberFormat="1" applyFont="1" applyBorder="1" applyAlignment="1">
      <alignment/>
    </xf>
    <xf numFmtId="0" fontId="0" fillId="0" borderId="10" xfId="0" applyFill="1" applyBorder="1" applyAlignment="1">
      <alignment vertical="justify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vertical="justify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 vertical="justify" wrapText="1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justify" wrapText="1"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184" fontId="20" fillId="0" borderId="14" xfId="0" applyNumberFormat="1" applyFont="1" applyBorder="1" applyAlignment="1">
      <alignment/>
    </xf>
    <xf numFmtId="184" fontId="20" fillId="0" borderId="10" xfId="0" applyNumberFormat="1" applyFont="1" applyFill="1" applyBorder="1" applyAlignment="1">
      <alignment/>
    </xf>
    <xf numFmtId="184" fontId="0" fillId="0" borderId="10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0" fillId="0" borderId="10" xfId="0" applyBorder="1" applyAlignment="1">
      <alignment vertical="justify" wrapText="1"/>
    </xf>
    <xf numFmtId="0" fontId="0" fillId="0" borderId="15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185" fontId="20" fillId="0" borderId="10" xfId="0" applyNumberFormat="1" applyFont="1" applyBorder="1" applyAlignment="1">
      <alignment/>
    </xf>
    <xf numFmtId="185" fontId="20" fillId="0" borderId="10" xfId="0" applyNumberFormat="1" applyFont="1" applyFill="1" applyBorder="1" applyAlignment="1">
      <alignment/>
    </xf>
    <xf numFmtId="18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86" fontId="2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187" fontId="0" fillId="0" borderId="0" xfId="54" applyNumberFormat="1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7" fontId="3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88" fontId="0" fillId="0" borderId="10" xfId="0" applyNumberFormat="1" applyBorder="1" applyAlignment="1">
      <alignment/>
    </xf>
    <xf numFmtId="165" fontId="20" fillId="0" borderId="1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Fill="1" applyBorder="1" applyAlignment="1">
      <alignment/>
    </xf>
    <xf numFmtId="0" fontId="28" fillId="0" borderId="10" xfId="0" applyFont="1" applyFill="1" applyBorder="1" applyAlignment="1">
      <alignment/>
    </xf>
    <xf numFmtId="0" fontId="34" fillId="0" borderId="19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4" fillId="0" borderId="22" xfId="0" applyFont="1" applyBorder="1" applyAlignment="1">
      <alignment horizontal="left" vertical="top" wrapText="1"/>
    </xf>
    <xf numFmtId="191" fontId="34" fillId="0" borderId="23" xfId="0" applyNumberFormat="1" applyFont="1" applyBorder="1" applyAlignment="1">
      <alignment horizontal="right" vertical="top"/>
    </xf>
    <xf numFmtId="192" fontId="34" fillId="0" borderId="24" xfId="0" applyNumberFormat="1" applyFont="1" applyBorder="1" applyAlignment="1">
      <alignment horizontal="right" vertical="top"/>
    </xf>
    <xf numFmtId="192" fontId="34" fillId="0" borderId="25" xfId="0" applyNumberFormat="1" applyFont="1" applyBorder="1" applyAlignment="1">
      <alignment horizontal="right" vertical="top"/>
    </xf>
    <xf numFmtId="0" fontId="34" fillId="0" borderId="26" xfId="0" applyFont="1" applyBorder="1" applyAlignment="1">
      <alignment horizontal="left" vertical="top" wrapText="1"/>
    </xf>
    <xf numFmtId="191" fontId="34" fillId="0" borderId="27" xfId="0" applyNumberFormat="1" applyFont="1" applyBorder="1" applyAlignment="1">
      <alignment horizontal="right" vertical="top"/>
    </xf>
    <xf numFmtId="192" fontId="34" fillId="0" borderId="28" xfId="0" applyNumberFormat="1" applyFont="1" applyBorder="1" applyAlignment="1">
      <alignment horizontal="right" vertical="top"/>
    </xf>
    <xf numFmtId="192" fontId="34" fillId="0" borderId="29" xfId="0" applyNumberFormat="1" applyFont="1" applyBorder="1" applyAlignment="1">
      <alignment horizontal="right" vertical="top"/>
    </xf>
    <xf numFmtId="0" fontId="0" fillId="0" borderId="29" xfId="0" applyBorder="1" applyAlignment="1">
      <alignment horizontal="center" vertical="center"/>
    </xf>
    <xf numFmtId="0" fontId="34" fillId="0" borderId="30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191" fontId="34" fillId="0" borderId="31" xfId="0" applyNumberFormat="1" applyFont="1" applyBorder="1" applyAlignment="1">
      <alignment horizontal="right" vertical="top"/>
    </xf>
    <xf numFmtId="192" fontId="34" fillId="0" borderId="32" xfId="0" applyNumberFormat="1" applyFont="1" applyBorder="1" applyAlignment="1">
      <alignment horizontal="right"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9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9" fontId="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0" fontId="0" fillId="0" borderId="34" xfId="0" applyBorder="1" applyAlignment="1">
      <alignment horizontal="center"/>
    </xf>
    <xf numFmtId="0" fontId="20" fillId="0" borderId="10" xfId="0" applyFont="1" applyFill="1" applyBorder="1" applyAlignment="1">
      <alignment vertical="justify"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20" fillId="0" borderId="10" xfId="0" applyNumberFormat="1" applyFont="1" applyFill="1" applyBorder="1" applyAlignment="1">
      <alignment wrapText="1"/>
    </xf>
    <xf numFmtId="186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 wrapText="1"/>
    </xf>
    <xf numFmtId="186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vertical="center" wrapText="1"/>
    </xf>
    <xf numFmtId="0" fontId="20" fillId="0" borderId="0" xfId="0" applyFont="1" applyAlignment="1">
      <alignment/>
    </xf>
    <xf numFmtId="186" fontId="0" fillId="0" borderId="17" xfId="0" applyNumberFormat="1" applyBorder="1" applyAlignment="1">
      <alignment/>
    </xf>
    <xf numFmtId="0" fontId="20" fillId="0" borderId="10" xfId="0" applyFont="1" applyBorder="1" applyAlignment="1">
      <alignment wrapText="1"/>
    </xf>
    <xf numFmtId="184" fontId="20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0" fontId="20" fillId="0" borderId="35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193" fontId="0" fillId="0" borderId="10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left" vertical="top" wrapText="1"/>
    </xf>
    <xf numFmtId="191" fontId="34" fillId="0" borderId="0" xfId="0" applyNumberFormat="1" applyFont="1" applyBorder="1" applyAlignment="1">
      <alignment horizontal="right" vertical="top"/>
    </xf>
    <xf numFmtId="192" fontId="3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2" fontId="43" fillId="0" borderId="10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165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/>
    </xf>
    <xf numFmtId="2" fontId="2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20" fillId="0" borderId="14" xfId="0" applyFont="1" applyBorder="1" applyAlignment="1">
      <alignment horizontal="center"/>
    </xf>
    <xf numFmtId="167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20" fillId="4" borderId="10" xfId="0" applyFont="1" applyFill="1" applyBorder="1" applyAlignment="1">
      <alignment/>
    </xf>
    <xf numFmtId="0" fontId="20" fillId="7" borderId="10" xfId="0" applyFont="1" applyFill="1" applyBorder="1" applyAlignment="1">
      <alignment/>
    </xf>
    <xf numFmtId="0" fontId="20" fillId="8" borderId="10" xfId="0" applyFont="1" applyFill="1" applyBorder="1" applyAlignment="1">
      <alignment/>
    </xf>
    <xf numFmtId="167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2" fontId="0" fillId="4" borderId="10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2" fontId="0" fillId="7" borderId="10" xfId="0" applyNumberFormat="1" applyFill="1" applyBorder="1" applyAlignment="1">
      <alignment/>
    </xf>
    <xf numFmtId="0" fontId="20" fillId="24" borderId="10" xfId="0" applyFont="1" applyFill="1" applyBorder="1" applyAlignment="1">
      <alignment/>
    </xf>
    <xf numFmtId="167" fontId="20" fillId="8" borderId="10" xfId="0" applyNumberFormat="1" applyFont="1" applyFill="1" applyBorder="1" applyAlignment="1">
      <alignment/>
    </xf>
    <xf numFmtId="10" fontId="20" fillId="0" borderId="10" xfId="54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0" fontId="20" fillId="16" borderId="10" xfId="0" applyFont="1" applyFill="1" applyBorder="1" applyAlignment="1">
      <alignment/>
    </xf>
    <xf numFmtId="2" fontId="20" fillId="16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0" fontId="0" fillId="0" borderId="10" xfId="54" applyNumberFormat="1" applyFont="1" applyBorder="1" applyAlignment="1">
      <alignment/>
    </xf>
    <xf numFmtId="9" fontId="20" fillId="8" borderId="10" xfId="0" applyNumberFormat="1" applyFont="1" applyFill="1" applyBorder="1" applyAlignment="1">
      <alignment/>
    </xf>
    <xf numFmtId="2" fontId="20" fillId="8" borderId="10" xfId="0" applyNumberFormat="1" applyFont="1" applyFill="1" applyBorder="1" applyAlignment="1">
      <alignment/>
    </xf>
    <xf numFmtId="10" fontId="20" fillId="8" borderId="10" xfId="54" applyNumberFormat="1" applyFont="1" applyFill="1" applyBorder="1" applyAlignment="1">
      <alignment/>
    </xf>
    <xf numFmtId="9" fontId="2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54" applyFont="1" applyBorder="1" applyAlignment="1">
      <alignment/>
    </xf>
    <xf numFmtId="0" fontId="38" fillId="0" borderId="10" xfId="0" applyFont="1" applyBorder="1" applyAlignment="1">
      <alignment horizontal="left"/>
    </xf>
    <xf numFmtId="9" fontId="0" fillId="0" borderId="10" xfId="0" applyNumberFormat="1" applyFont="1" applyFill="1" applyBorder="1" applyAlignment="1">
      <alignment/>
    </xf>
    <xf numFmtId="10" fontId="0" fillId="0" borderId="10" xfId="5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0" xfId="54" applyNumberFormat="1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0" xfId="0" applyFont="1" applyBorder="1" applyAlignment="1">
      <alignment/>
    </xf>
    <xf numFmtId="9" fontId="0" fillId="0" borderId="10" xfId="54" applyFont="1" applyBorder="1" applyAlignment="1">
      <alignment/>
    </xf>
    <xf numFmtId="193" fontId="20" fillId="10" borderId="10" xfId="54" applyNumberFormat="1" applyFont="1" applyFill="1" applyBorder="1" applyAlignment="1">
      <alignment/>
    </xf>
    <xf numFmtId="195" fontId="0" fillId="0" borderId="10" xfId="54" applyNumberFormat="1" applyFont="1" applyBorder="1" applyAlignment="1">
      <alignment/>
    </xf>
    <xf numFmtId="187" fontId="20" fillId="10" borderId="10" xfId="54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167" fontId="36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vertical="justify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3" fontId="46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65" fontId="20" fillId="0" borderId="10" xfId="0" applyNumberFormat="1" applyFont="1" applyFill="1" applyBorder="1" applyAlignment="1">
      <alignment/>
    </xf>
    <xf numFmtId="170" fontId="20" fillId="0" borderId="10" xfId="50" applyFont="1" applyBorder="1" applyAlignment="1">
      <alignment/>
    </xf>
    <xf numFmtId="170" fontId="20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9" fontId="0" fillId="0" borderId="0" xfId="54" applyFont="1" applyAlignment="1">
      <alignment/>
    </xf>
    <xf numFmtId="170" fontId="4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93" fontId="0" fillId="0" borderId="0" xfId="0" applyNumberFormat="1" applyFill="1" applyBorder="1" applyAlignment="1">
      <alignment/>
    </xf>
    <xf numFmtId="197" fontId="20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 horizontal="left"/>
    </xf>
    <xf numFmtId="170" fontId="48" fillId="0" borderId="10" xfId="0" applyNumberFormat="1" applyFont="1" applyBorder="1" applyAlignment="1">
      <alignment/>
    </xf>
    <xf numFmtId="2" fontId="20" fillId="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19" borderId="10" xfId="0" applyNumberFormat="1" applyFill="1" applyBorder="1" applyAlignment="1">
      <alignment/>
    </xf>
    <xf numFmtId="10" fontId="20" fillId="0" borderId="10" xfId="54" applyNumberFormat="1" applyFont="1" applyBorder="1" applyAlignment="1">
      <alignment horizontal="right"/>
    </xf>
    <xf numFmtId="10" fontId="20" fillId="0" borderId="10" xfId="0" applyNumberFormat="1" applyFont="1" applyBorder="1" applyAlignment="1">
      <alignment horizontal="right"/>
    </xf>
    <xf numFmtId="9" fontId="20" fillId="0" borderId="10" xfId="54" applyFont="1" applyBorder="1" applyAlignment="1">
      <alignment/>
    </xf>
    <xf numFmtId="170" fontId="0" fillId="0" borderId="10" xfId="50" applyFont="1" applyBorder="1" applyAlignment="1">
      <alignment/>
    </xf>
    <xf numFmtId="19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justify" wrapText="1"/>
    </xf>
    <xf numFmtId="0" fontId="0" fillId="0" borderId="10" xfId="0" applyFont="1" applyBorder="1" applyAlignment="1">
      <alignment vertical="justify" wrapText="1"/>
    </xf>
    <xf numFmtId="0" fontId="21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vertical="justify" wrapText="1"/>
    </xf>
    <xf numFmtId="0" fontId="0" fillId="0" borderId="3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0" fillId="0" borderId="10" xfId="0" applyFont="1" applyBorder="1" applyAlignment="1">
      <alignment vertical="justify" wrapText="1"/>
    </xf>
    <xf numFmtId="0" fontId="0" fillId="0" borderId="15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20" fillId="0" borderId="3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186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 horizontal="center" vertical="justify" wrapText="1"/>
    </xf>
    <xf numFmtId="0" fontId="0" fillId="0" borderId="38" xfId="0" applyFont="1" applyBorder="1" applyAlignment="1">
      <alignment horizontal="center" vertical="justify" wrapText="1"/>
    </xf>
    <xf numFmtId="0" fontId="0" fillId="0" borderId="39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6" fontId="0" fillId="0" borderId="35" xfId="0" applyNumberFormat="1" applyFont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37" xfId="0" applyFont="1" applyBorder="1" applyAlignment="1">
      <alignment vertical="justify" wrapText="1"/>
    </xf>
    <xf numFmtId="0" fontId="0" fillId="0" borderId="35" xfId="0" applyFont="1" applyBorder="1" applyAlignment="1">
      <alignment vertical="justify" wrapText="1"/>
    </xf>
    <xf numFmtId="0" fontId="0" fillId="0" borderId="3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6" fontId="0" fillId="0" borderId="14" xfId="0" applyNumberFormat="1" applyFont="1" applyBorder="1" applyAlignment="1">
      <alignment wrapText="1"/>
    </xf>
    <xf numFmtId="0" fontId="20" fillId="0" borderId="35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justify" wrapText="1"/>
    </xf>
    <xf numFmtId="0" fontId="20" fillId="0" borderId="13" xfId="0" applyFont="1" applyBorder="1" applyAlignment="1">
      <alignment horizontal="center" vertical="justify" wrapText="1"/>
    </xf>
    <xf numFmtId="0" fontId="0" fillId="0" borderId="18" xfId="0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37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34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Fill="1" applyBorder="1" applyAlignment="1">
      <alignment vertical="justify" wrapText="1"/>
    </xf>
    <xf numFmtId="0" fontId="20" fillId="11" borderId="10" xfId="0" applyFont="1" applyFill="1" applyBorder="1" applyAlignment="1">
      <alignment horizontal="center"/>
    </xf>
    <xf numFmtId="171" fontId="0" fillId="0" borderId="10" xfId="48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34</xdr:row>
      <xdr:rowOff>19050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215265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7"/>
  <sheetViews>
    <sheetView zoomScalePageLayoutView="0" workbookViewId="0" topLeftCell="A1">
      <selection activeCell="F13" sqref="F13"/>
    </sheetView>
  </sheetViews>
  <sheetFormatPr defaultColWidth="11.421875" defaultRowHeight="12.75"/>
  <cols>
    <col min="3" max="3" width="33.57421875" style="0" customWidth="1"/>
    <col min="4" max="4" width="12.421875" style="0" customWidth="1"/>
    <col min="5" max="5" width="12.140625" style="0" customWidth="1"/>
    <col min="6" max="6" width="15.8515625" style="0" customWidth="1"/>
    <col min="7" max="7" width="18.28125" style="0" customWidth="1"/>
    <col min="8" max="8" width="15.28125" style="0" customWidth="1"/>
    <col min="9" max="9" width="17.421875" style="0" customWidth="1"/>
    <col min="11" max="11" width="16.28125" style="0" customWidth="1"/>
  </cols>
  <sheetData>
    <row r="5" spans="3:7" ht="12.75">
      <c r="C5" s="237" t="s">
        <v>13</v>
      </c>
      <c r="D5" s="237"/>
      <c r="E5" s="237"/>
      <c r="F5" s="237"/>
      <c r="G5" s="237"/>
    </row>
    <row r="6" spans="3:7" ht="12.75">
      <c r="C6" s="1" t="s">
        <v>5</v>
      </c>
      <c r="D6" s="1" t="s">
        <v>0</v>
      </c>
      <c r="E6" s="1" t="s">
        <v>6</v>
      </c>
      <c r="F6" s="1" t="s">
        <v>7</v>
      </c>
      <c r="G6" s="1" t="s">
        <v>8</v>
      </c>
    </row>
    <row r="7" spans="3:7" ht="12.75">
      <c r="C7" s="2" t="s">
        <v>1</v>
      </c>
      <c r="D7" s="3"/>
      <c r="E7" s="4">
        <f>SUM(E8:E14)</f>
        <v>2960</v>
      </c>
      <c r="F7" s="4">
        <f>SUM(F8:F14)</f>
        <v>7140</v>
      </c>
      <c r="G7" s="4">
        <f>SUM(G8:G14)</f>
        <v>85680</v>
      </c>
    </row>
    <row r="8" spans="3:7" ht="12.75">
      <c r="C8" s="5" t="s">
        <v>9</v>
      </c>
      <c r="D8" s="3">
        <v>1</v>
      </c>
      <c r="E8" s="3">
        <v>800</v>
      </c>
      <c r="F8" s="3">
        <f aca="true" t="shared" si="0" ref="F8:F14">E8*D8</f>
        <v>800</v>
      </c>
      <c r="G8" s="3">
        <f aca="true" t="shared" si="1" ref="G8:G14">F8*12</f>
        <v>9600</v>
      </c>
    </row>
    <row r="9" spans="3:7" ht="12.75">
      <c r="C9" s="5" t="s">
        <v>135</v>
      </c>
      <c r="D9" s="3">
        <v>3</v>
      </c>
      <c r="E9" s="3">
        <v>300</v>
      </c>
      <c r="F9" s="3">
        <f t="shared" si="0"/>
        <v>900</v>
      </c>
      <c r="G9" s="3">
        <f t="shared" si="1"/>
        <v>10800</v>
      </c>
    </row>
    <row r="10" spans="3:7" ht="12.75">
      <c r="C10" s="5" t="s">
        <v>18</v>
      </c>
      <c r="D10" s="3">
        <v>1</v>
      </c>
      <c r="E10" s="3">
        <v>500</v>
      </c>
      <c r="F10" s="3">
        <f t="shared" si="0"/>
        <v>500</v>
      </c>
      <c r="G10" s="3">
        <f t="shared" si="1"/>
        <v>6000</v>
      </c>
    </row>
    <row r="11" spans="3:7" ht="12.75">
      <c r="C11" s="5" t="s">
        <v>19</v>
      </c>
      <c r="D11" s="3">
        <v>1</v>
      </c>
      <c r="E11" s="3">
        <v>500</v>
      </c>
      <c r="F11" s="3">
        <f t="shared" si="0"/>
        <v>500</v>
      </c>
      <c r="G11" s="3">
        <f t="shared" si="1"/>
        <v>6000</v>
      </c>
    </row>
    <row r="12" spans="3:7" ht="12.75">
      <c r="C12" s="5" t="s">
        <v>10</v>
      </c>
      <c r="D12" s="3">
        <v>12</v>
      </c>
      <c r="E12" s="3">
        <v>300</v>
      </c>
      <c r="F12" s="3">
        <f t="shared" si="0"/>
        <v>3600</v>
      </c>
      <c r="G12" s="3">
        <f t="shared" si="1"/>
        <v>43200</v>
      </c>
    </row>
    <row r="13" spans="3:7" ht="12.75">
      <c r="C13" s="5" t="s">
        <v>11</v>
      </c>
      <c r="D13" s="3">
        <v>2</v>
      </c>
      <c r="E13" s="3">
        <v>280</v>
      </c>
      <c r="F13" s="3">
        <f t="shared" si="0"/>
        <v>560</v>
      </c>
      <c r="G13" s="3">
        <f t="shared" si="1"/>
        <v>6720</v>
      </c>
    </row>
    <row r="14" spans="3:7" ht="12.75">
      <c r="C14" s="5" t="s">
        <v>12</v>
      </c>
      <c r="D14" s="3">
        <v>1</v>
      </c>
      <c r="E14" s="3">
        <v>280</v>
      </c>
      <c r="F14" s="3">
        <f t="shared" si="0"/>
        <v>280</v>
      </c>
      <c r="G14" s="6">
        <f t="shared" si="1"/>
        <v>3360</v>
      </c>
    </row>
    <row r="15" spans="3:7" ht="12.75">
      <c r="C15" s="2" t="s">
        <v>14</v>
      </c>
      <c r="D15" s="3"/>
      <c r="E15" s="7">
        <f>SUM(E16:E20)</f>
        <v>3563.2</v>
      </c>
      <c r="F15" s="8">
        <f>SUM(F16:F20)</f>
        <v>3563.2</v>
      </c>
      <c r="G15" s="8">
        <f>SUM(G16:G20)</f>
        <v>42758.399999999994</v>
      </c>
    </row>
    <row r="16" spans="3:7" ht="12.75">
      <c r="C16" s="9" t="s">
        <v>15</v>
      </c>
      <c r="D16" s="3">
        <v>1</v>
      </c>
      <c r="E16" s="10">
        <v>1250</v>
      </c>
      <c r="F16" s="10">
        <f>E16*D16</f>
        <v>1250</v>
      </c>
      <c r="G16" s="10">
        <v>15000</v>
      </c>
    </row>
    <row r="17" spans="3:7" ht="12.75">
      <c r="C17" s="3" t="s">
        <v>17</v>
      </c>
      <c r="D17" s="3">
        <f>G37</f>
        <v>14880</v>
      </c>
      <c r="E17" s="10">
        <f>I37</f>
        <v>1339.1999999999998</v>
      </c>
      <c r="F17" s="10">
        <f>I37</f>
        <v>1339.1999999999998</v>
      </c>
      <c r="G17" s="10">
        <f>F17*12</f>
        <v>16070.399999999998</v>
      </c>
    </row>
    <row r="18" spans="1:7" ht="14.25">
      <c r="A18" t="s">
        <v>103</v>
      </c>
      <c r="B18">
        <v>120</v>
      </c>
      <c r="C18" s="3" t="s">
        <v>2</v>
      </c>
      <c r="D18" s="3"/>
      <c r="E18" s="3">
        <f>B18*0.45</f>
        <v>54</v>
      </c>
      <c r="F18" s="3">
        <v>54</v>
      </c>
      <c r="G18" s="3">
        <f>F18*12</f>
        <v>648</v>
      </c>
    </row>
    <row r="19" spans="2:7" ht="12.75">
      <c r="B19">
        <v>60</v>
      </c>
      <c r="C19" s="6" t="s">
        <v>3</v>
      </c>
      <c r="D19" s="3">
        <v>2</v>
      </c>
      <c r="E19" s="3">
        <f>B19*D19</f>
        <v>120</v>
      </c>
      <c r="F19" s="3">
        <f>E19</f>
        <v>120</v>
      </c>
      <c r="G19" s="3">
        <f>F19*12</f>
        <v>1440</v>
      </c>
    </row>
    <row r="20" spans="3:7" ht="12.75">
      <c r="C20" s="6" t="s">
        <v>16</v>
      </c>
      <c r="D20" s="3"/>
      <c r="E20" s="3">
        <v>800</v>
      </c>
      <c r="F20" s="3">
        <f>E20</f>
        <v>800</v>
      </c>
      <c r="G20" s="3">
        <f>F20*12</f>
        <v>9600</v>
      </c>
    </row>
    <row r="21" spans="3:7" ht="12.75">
      <c r="C21" s="11" t="s">
        <v>4</v>
      </c>
      <c r="D21" s="3"/>
      <c r="E21" s="7">
        <f>E7+E15</f>
        <v>6523.2</v>
      </c>
      <c r="F21" s="7">
        <f>F7+F15</f>
        <v>10703.2</v>
      </c>
      <c r="G21" s="8">
        <f>G7+G15</f>
        <v>128438.4</v>
      </c>
    </row>
    <row r="24" spans="5:6" ht="12.75">
      <c r="E24" s="238" t="s">
        <v>20</v>
      </c>
      <c r="F24" s="238"/>
    </row>
    <row r="25" spans="3:11" ht="12.75">
      <c r="C25" s="3"/>
      <c r="D25" s="4" t="s">
        <v>21</v>
      </c>
      <c r="E25" s="3"/>
      <c r="F25" s="3"/>
      <c r="G25" s="3"/>
      <c r="H25" s="3"/>
      <c r="I25" s="3"/>
      <c r="J25" s="3"/>
      <c r="K25" s="3"/>
    </row>
    <row r="26" spans="3:11" ht="12.75">
      <c r="C26" s="3"/>
      <c r="D26" s="1" t="s">
        <v>22</v>
      </c>
      <c r="E26" s="1" t="s">
        <v>23</v>
      </c>
      <c r="F26" s="1" t="s">
        <v>24</v>
      </c>
      <c r="G26" s="1" t="s">
        <v>25</v>
      </c>
      <c r="H26" s="1" t="s">
        <v>26</v>
      </c>
      <c r="I26" s="1" t="s">
        <v>27</v>
      </c>
      <c r="J26" s="1" t="s">
        <v>28</v>
      </c>
      <c r="K26" s="1" t="s">
        <v>29</v>
      </c>
    </row>
    <row r="27" spans="3:11" ht="12.75">
      <c r="C27" s="3" t="s">
        <v>30</v>
      </c>
      <c r="D27" s="12">
        <v>7</v>
      </c>
      <c r="E27" s="3">
        <v>8</v>
      </c>
      <c r="F27" s="12">
        <f>E27*D27</f>
        <v>56</v>
      </c>
      <c r="G27" s="3">
        <f aca="true" t="shared" si="2" ref="G27:G36">F27*20</f>
        <v>1120</v>
      </c>
      <c r="H27" s="3">
        <v>0.09</v>
      </c>
      <c r="I27" s="10">
        <f aca="true" t="shared" si="3" ref="I27:I36">G27*H27</f>
        <v>100.8</v>
      </c>
      <c r="J27" s="3">
        <f aca="true" t="shared" si="4" ref="J27:J36">G27*12</f>
        <v>13440</v>
      </c>
      <c r="K27" s="10">
        <f aca="true" t="shared" si="5" ref="K27:K36">J27*H27</f>
        <v>1209.6</v>
      </c>
    </row>
    <row r="28" spans="3:11" ht="12.75">
      <c r="C28" s="3" t="s">
        <v>36</v>
      </c>
      <c r="D28" s="12">
        <v>4</v>
      </c>
      <c r="E28" s="3">
        <v>8</v>
      </c>
      <c r="F28" s="12">
        <f>E28*D28</f>
        <v>32</v>
      </c>
      <c r="G28" s="3">
        <f t="shared" si="2"/>
        <v>640</v>
      </c>
      <c r="H28" s="3">
        <v>0.09</v>
      </c>
      <c r="I28" s="10">
        <f t="shared" si="3"/>
        <v>57.599999999999994</v>
      </c>
      <c r="J28" s="3">
        <f t="shared" si="4"/>
        <v>7680</v>
      </c>
      <c r="K28" s="10">
        <f t="shared" si="5"/>
        <v>691.1999999999999</v>
      </c>
    </row>
    <row r="29" spans="3:11" ht="12.75">
      <c r="C29" s="3" t="s">
        <v>166</v>
      </c>
      <c r="D29" s="101">
        <v>4</v>
      </c>
      <c r="E29" s="3">
        <v>8</v>
      </c>
      <c r="F29" s="69">
        <v>32</v>
      </c>
      <c r="G29" s="23">
        <f t="shared" si="2"/>
        <v>640</v>
      </c>
      <c r="H29" s="68">
        <v>0.09</v>
      </c>
      <c r="I29" s="3">
        <f t="shared" si="3"/>
        <v>57.599999999999994</v>
      </c>
      <c r="J29" s="3">
        <f t="shared" si="4"/>
        <v>7680</v>
      </c>
      <c r="K29">
        <f t="shared" si="5"/>
        <v>691.1999999999999</v>
      </c>
    </row>
    <row r="30" spans="3:11" ht="12.75">
      <c r="C30" s="3" t="s">
        <v>471</v>
      </c>
      <c r="D30" s="101">
        <v>4</v>
      </c>
      <c r="E30" s="3">
        <v>8</v>
      </c>
      <c r="F30" s="69">
        <v>32</v>
      </c>
      <c r="G30" s="23">
        <v>640</v>
      </c>
      <c r="H30" s="68">
        <v>0.09</v>
      </c>
      <c r="I30" s="235">
        <f>G30*H30</f>
        <v>57.599999999999994</v>
      </c>
      <c r="J30" s="3">
        <f>G30*12</f>
        <v>7680</v>
      </c>
      <c r="K30">
        <f>J30*H30</f>
        <v>691.1999999999999</v>
      </c>
    </row>
    <row r="31" spans="3:11" ht="12.75">
      <c r="C31" s="3" t="s">
        <v>46</v>
      </c>
      <c r="D31" s="12">
        <v>2</v>
      </c>
      <c r="E31" s="3">
        <v>8</v>
      </c>
      <c r="F31" s="12">
        <f aca="true" t="shared" si="6" ref="F31:F36">E31*D31</f>
        <v>16</v>
      </c>
      <c r="G31" s="3">
        <f t="shared" si="2"/>
        <v>320</v>
      </c>
      <c r="H31" s="3">
        <v>0.09</v>
      </c>
      <c r="I31" s="10">
        <f t="shared" si="3"/>
        <v>28.799999999999997</v>
      </c>
      <c r="J31" s="3">
        <f t="shared" si="4"/>
        <v>3840</v>
      </c>
      <c r="K31" s="10">
        <f t="shared" si="5"/>
        <v>345.59999999999997</v>
      </c>
    </row>
    <row r="32" spans="3:11" ht="12.75">
      <c r="C32" s="3" t="s">
        <v>31</v>
      </c>
      <c r="D32" s="12">
        <v>4</v>
      </c>
      <c r="E32" s="3">
        <v>8</v>
      </c>
      <c r="F32" s="12">
        <f t="shared" si="6"/>
        <v>32</v>
      </c>
      <c r="G32" s="3">
        <f t="shared" si="2"/>
        <v>640</v>
      </c>
      <c r="H32" s="3">
        <v>0.09</v>
      </c>
      <c r="I32" s="10">
        <f t="shared" si="3"/>
        <v>57.599999999999994</v>
      </c>
      <c r="J32" s="3">
        <f t="shared" si="4"/>
        <v>7680</v>
      </c>
      <c r="K32" s="10">
        <f t="shared" si="5"/>
        <v>691.1999999999999</v>
      </c>
    </row>
    <row r="33" spans="3:11" ht="12.75">
      <c r="C33" s="3" t="s">
        <v>32</v>
      </c>
      <c r="D33" s="12">
        <v>4</v>
      </c>
      <c r="E33" s="3">
        <v>8</v>
      </c>
      <c r="F33" s="12">
        <f t="shared" si="6"/>
        <v>32</v>
      </c>
      <c r="G33" s="3">
        <f t="shared" si="2"/>
        <v>640</v>
      </c>
      <c r="H33" s="3">
        <v>0.09</v>
      </c>
      <c r="I33" s="10">
        <f t="shared" si="3"/>
        <v>57.599999999999994</v>
      </c>
      <c r="J33" s="3">
        <f t="shared" si="4"/>
        <v>7680</v>
      </c>
      <c r="K33" s="10">
        <f t="shared" si="5"/>
        <v>691.1999999999999</v>
      </c>
    </row>
    <row r="34" spans="3:11" ht="12.75">
      <c r="C34" s="3" t="s">
        <v>47</v>
      </c>
      <c r="D34" s="12">
        <v>16</v>
      </c>
      <c r="E34" s="3">
        <v>24</v>
      </c>
      <c r="F34" s="12">
        <f t="shared" si="6"/>
        <v>384</v>
      </c>
      <c r="G34" s="3">
        <f t="shared" si="2"/>
        <v>7680</v>
      </c>
      <c r="H34" s="3">
        <v>0.09</v>
      </c>
      <c r="I34" s="10">
        <f t="shared" si="3"/>
        <v>691.1999999999999</v>
      </c>
      <c r="J34" s="3">
        <f t="shared" si="4"/>
        <v>92160</v>
      </c>
      <c r="K34" s="10">
        <f t="shared" si="5"/>
        <v>8294.4</v>
      </c>
    </row>
    <row r="35" spans="3:11" ht="12.75">
      <c r="C35" s="3" t="s">
        <v>33</v>
      </c>
      <c r="D35" s="12">
        <v>12</v>
      </c>
      <c r="E35" s="3">
        <v>8</v>
      </c>
      <c r="F35" s="12">
        <f t="shared" si="6"/>
        <v>96</v>
      </c>
      <c r="G35" s="3">
        <f t="shared" si="2"/>
        <v>1920</v>
      </c>
      <c r="H35" s="3">
        <v>0.09</v>
      </c>
      <c r="I35" s="10">
        <f t="shared" si="3"/>
        <v>172.79999999999998</v>
      </c>
      <c r="J35" s="3">
        <f t="shared" si="4"/>
        <v>23040</v>
      </c>
      <c r="K35" s="10">
        <f t="shared" si="5"/>
        <v>2073.6</v>
      </c>
    </row>
    <row r="36" spans="3:11" ht="12.75">
      <c r="C36" s="3" t="s">
        <v>34</v>
      </c>
      <c r="D36" s="12">
        <v>4</v>
      </c>
      <c r="E36" s="13">
        <v>8</v>
      </c>
      <c r="F36" s="12">
        <f t="shared" si="6"/>
        <v>32</v>
      </c>
      <c r="G36" s="3">
        <f t="shared" si="2"/>
        <v>640</v>
      </c>
      <c r="H36" s="3">
        <v>0.09</v>
      </c>
      <c r="I36" s="10">
        <f t="shared" si="3"/>
        <v>57.599999999999994</v>
      </c>
      <c r="J36" s="3">
        <f t="shared" si="4"/>
        <v>7680</v>
      </c>
      <c r="K36" s="10">
        <f t="shared" si="5"/>
        <v>691.1999999999999</v>
      </c>
    </row>
    <row r="37" spans="3:11" ht="12.75">
      <c r="C37" s="14" t="s">
        <v>35</v>
      </c>
      <c r="D37" s="15"/>
      <c r="E37" s="15"/>
      <c r="F37" s="15"/>
      <c r="G37" s="14">
        <f>SUM(G27:G36)</f>
        <v>14880</v>
      </c>
      <c r="H37" s="15"/>
      <c r="I37" s="17">
        <f>SUM(I27:I36)</f>
        <v>1339.1999999999998</v>
      </c>
      <c r="J37" s="16"/>
      <c r="K37" s="17">
        <f>SUM(K27:K36)</f>
        <v>16070.4</v>
      </c>
    </row>
    <row r="41" spans="3:8" ht="12.75">
      <c r="C41" s="239" t="s">
        <v>37</v>
      </c>
      <c r="D41" s="239"/>
      <c r="E41" s="239"/>
      <c r="F41" s="239"/>
      <c r="G41" s="239"/>
      <c r="H41" s="239"/>
    </row>
    <row r="42" spans="3:8" ht="12.75">
      <c r="C42" s="1" t="s">
        <v>38</v>
      </c>
      <c r="D42" s="1" t="s">
        <v>39</v>
      </c>
      <c r="E42" s="1" t="s">
        <v>0</v>
      </c>
      <c r="F42" s="1" t="s">
        <v>6</v>
      </c>
      <c r="G42" s="1" t="s">
        <v>7</v>
      </c>
      <c r="H42" s="1" t="s">
        <v>8</v>
      </c>
    </row>
    <row r="43" spans="3:8" ht="12.75">
      <c r="C43" s="3" t="s">
        <v>44</v>
      </c>
      <c r="D43" s="3" t="s">
        <v>40</v>
      </c>
      <c r="E43" s="3">
        <v>6</v>
      </c>
      <c r="F43" s="3">
        <v>350</v>
      </c>
      <c r="G43" s="3">
        <f>F43</f>
        <v>350</v>
      </c>
      <c r="H43" s="3">
        <f>G43*12</f>
        <v>4200</v>
      </c>
    </row>
    <row r="44" spans="3:8" ht="12.75">
      <c r="C44" s="3" t="s">
        <v>45</v>
      </c>
      <c r="D44" s="3" t="s">
        <v>41</v>
      </c>
      <c r="E44" s="3">
        <v>6</v>
      </c>
      <c r="F44" s="3">
        <v>520</v>
      </c>
      <c r="G44" s="3">
        <f>F44</f>
        <v>520</v>
      </c>
      <c r="H44" s="3">
        <f>G44*12</f>
        <v>6240</v>
      </c>
    </row>
    <row r="45" spans="3:8" ht="12.75">
      <c r="C45" s="3" t="s">
        <v>42</v>
      </c>
      <c r="D45" s="3"/>
      <c r="E45" s="3">
        <v>250</v>
      </c>
      <c r="F45" s="3">
        <v>120</v>
      </c>
      <c r="G45" s="3">
        <f>F45</f>
        <v>120</v>
      </c>
      <c r="H45" s="3">
        <f>G45*12</f>
        <v>1440</v>
      </c>
    </row>
    <row r="46" spans="3:8" ht="12.75">
      <c r="C46" s="13" t="s">
        <v>100</v>
      </c>
      <c r="D46" s="3"/>
      <c r="E46" s="3">
        <v>2</v>
      </c>
      <c r="F46" s="3">
        <v>200</v>
      </c>
      <c r="G46" s="3">
        <f>F46*E46</f>
        <v>400</v>
      </c>
      <c r="H46" s="3">
        <f>G46*12</f>
        <v>4800</v>
      </c>
    </row>
    <row r="47" spans="3:8" ht="12.75">
      <c r="C47" s="11" t="s">
        <v>43</v>
      </c>
      <c r="D47" s="4"/>
      <c r="E47" s="4"/>
      <c r="F47" s="4"/>
      <c r="G47" s="4">
        <f>SUM(G43:G46)</f>
        <v>1390</v>
      </c>
      <c r="H47" s="11">
        <f>SUM(H43:H46)</f>
        <v>16680</v>
      </c>
    </row>
  </sheetData>
  <sheetProtection/>
  <mergeCells count="3">
    <mergeCell ref="C5:G5"/>
    <mergeCell ref="E24:F24"/>
    <mergeCell ref="C41:H41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39.140625" style="0" customWidth="1"/>
    <col min="2" max="2" width="13.421875" style="0" bestFit="1" customWidth="1"/>
    <col min="3" max="6" width="11.8515625" style="0" bestFit="1" customWidth="1"/>
    <col min="7" max="7" width="11.7109375" style="0" bestFit="1" customWidth="1"/>
  </cols>
  <sheetData>
    <row r="1" spans="1:7" ht="12.75">
      <c r="A1" s="308" t="s">
        <v>320</v>
      </c>
      <c r="B1" s="308"/>
      <c r="C1" s="308"/>
      <c r="D1" s="308"/>
      <c r="E1" s="308"/>
      <c r="F1" s="308"/>
      <c r="G1" s="308"/>
    </row>
    <row r="2" spans="1:7" s="15" customFormat="1" ht="12.75">
      <c r="A2" s="146"/>
      <c r="B2" s="146"/>
      <c r="C2" s="146"/>
      <c r="D2" s="146"/>
      <c r="E2" s="146"/>
      <c r="F2" s="146"/>
      <c r="G2" s="146"/>
    </row>
    <row r="3" spans="1:7" ht="12.75">
      <c r="A3" s="1" t="s">
        <v>39</v>
      </c>
      <c r="B3" s="1" t="s">
        <v>321</v>
      </c>
      <c r="C3" s="16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</row>
    <row r="4" spans="1:7" ht="12.75">
      <c r="A4" s="4" t="s">
        <v>322</v>
      </c>
      <c r="B4" s="3"/>
      <c r="C4" s="4">
        <f>Ingresos!C21</f>
        <v>401852.88000000006</v>
      </c>
      <c r="D4" s="4">
        <f>C4*1.02</f>
        <v>409889.93760000006</v>
      </c>
      <c r="E4" s="4">
        <f>D4*1.02</f>
        <v>418087.7363520001</v>
      </c>
      <c r="F4" s="4">
        <f>E4*1.02</f>
        <v>426449.4910790401</v>
      </c>
      <c r="G4" s="4">
        <f>F4*1.02</f>
        <v>434978.4809006209</v>
      </c>
    </row>
    <row r="5" spans="1:7" ht="12.75">
      <c r="A5" s="4" t="s">
        <v>323</v>
      </c>
      <c r="B5" s="3"/>
      <c r="C5" s="4">
        <f>SUM(C8:C10)</f>
        <v>270658.46453098743</v>
      </c>
      <c r="D5" s="4">
        <f>SUM(D8:D10)</f>
        <v>306684.5056</v>
      </c>
      <c r="E5" s="4">
        <f>SUM(E8:E10)</f>
        <v>326622.44723199995</v>
      </c>
      <c r="F5" s="4">
        <f>SUM(F8:F10)</f>
        <v>348407.93284864</v>
      </c>
      <c r="G5" s="4">
        <f>SUM(G8:G10)</f>
        <v>372222.7918448128</v>
      </c>
    </row>
    <row r="6" spans="1:7" ht="12.75">
      <c r="A6" s="6" t="s">
        <v>324</v>
      </c>
      <c r="B6" s="3"/>
      <c r="C6" s="3">
        <f>Costos!F7+Costos!F17+Costos!F24+Costos!E31+Costos!F37</f>
        <v>89614.08</v>
      </c>
      <c r="D6" s="3">
        <f>C6*1.02</f>
        <v>91406.3616</v>
      </c>
      <c r="E6" s="3">
        <f>D6*1.02</f>
        <v>93234.488832</v>
      </c>
      <c r="F6" s="3">
        <f>E6*1.02</f>
        <v>95099.17860864001</v>
      </c>
      <c r="G6" s="3">
        <f>F6*1.02</f>
        <v>97001.16218081281</v>
      </c>
    </row>
    <row r="7" spans="1:7" ht="12.75">
      <c r="A7" s="6" t="s">
        <v>325</v>
      </c>
      <c r="B7" s="3"/>
      <c r="C7" s="10">
        <f>Costos!B54</f>
        <v>35925.98453098745</v>
      </c>
      <c r="D7" s="10">
        <f>Costos!C54</f>
        <v>17500</v>
      </c>
      <c r="E7" s="10">
        <f>Costos!E54</f>
        <v>17500</v>
      </c>
      <c r="F7" s="10">
        <f>Costos!F54</f>
        <v>17500</v>
      </c>
      <c r="G7" s="10">
        <f>Costos!G54</f>
        <v>17500</v>
      </c>
    </row>
    <row r="8" spans="1:7" ht="12.75">
      <c r="A8" s="4" t="s">
        <v>326</v>
      </c>
      <c r="B8" s="3"/>
      <c r="C8" s="4">
        <f>SUM(C6:C7)</f>
        <v>125540.06453098745</v>
      </c>
      <c r="D8" s="4">
        <f>SUM(D6:D7)</f>
        <v>108906.3616</v>
      </c>
      <c r="E8" s="4">
        <f>SUM(E6:E7)</f>
        <v>110734.488832</v>
      </c>
      <c r="F8" s="4">
        <f>SUM(F6:F7)</f>
        <v>112599.17860864001</v>
      </c>
      <c r="G8" s="4">
        <f>SUM(G6:G7)</f>
        <v>114501.16218081281</v>
      </c>
    </row>
    <row r="9" spans="1:7" ht="12.75">
      <c r="A9" s="3" t="s">
        <v>327</v>
      </c>
      <c r="B9" s="3"/>
      <c r="C9" s="10">
        <f>Gastos!G21</f>
        <v>128438.4</v>
      </c>
      <c r="D9" s="10">
        <f>C9*1.41</f>
        <v>181098.14399999997</v>
      </c>
      <c r="E9" s="10">
        <f>D9*1.1</f>
        <v>199207.95839999997</v>
      </c>
      <c r="F9" s="10">
        <f>E9*1.1</f>
        <v>219128.75423999998</v>
      </c>
      <c r="G9" s="10">
        <f>F9*1.1</f>
        <v>241041.629664</v>
      </c>
    </row>
    <row r="10" spans="1:7" ht="12.75">
      <c r="A10" s="3" t="s">
        <v>328</v>
      </c>
      <c r="B10" s="3"/>
      <c r="C10" s="3">
        <f>Gastos!H47</f>
        <v>16680</v>
      </c>
      <c r="D10" s="3">
        <f>$C$10</f>
        <v>16680</v>
      </c>
      <c r="E10" s="3">
        <f>$C$10</f>
        <v>16680</v>
      </c>
      <c r="F10" s="3">
        <f>$C$10</f>
        <v>16680</v>
      </c>
      <c r="G10" s="3">
        <f>$C$10</f>
        <v>16680</v>
      </c>
    </row>
    <row r="11" spans="1:7" ht="12.75">
      <c r="A11" s="163" t="s">
        <v>329</v>
      </c>
      <c r="B11" s="3"/>
      <c r="C11" s="4">
        <f>C4-C5</f>
        <v>131194.41546901263</v>
      </c>
      <c r="D11" s="4">
        <f>D4-D5</f>
        <v>103205.43200000009</v>
      </c>
      <c r="E11" s="4">
        <f>E4-E5</f>
        <v>91465.28912000015</v>
      </c>
      <c r="F11" s="4">
        <f>F4-F5</f>
        <v>78041.55823040009</v>
      </c>
      <c r="G11" s="4">
        <f>G4-G5</f>
        <v>62755.68905580812</v>
      </c>
    </row>
    <row r="12" spans="1:7" ht="12.75">
      <c r="A12" s="6" t="s">
        <v>330</v>
      </c>
      <c r="B12" s="3"/>
      <c r="C12" s="3">
        <f>'Val. de Salv.'!C26</f>
        <v>209.7</v>
      </c>
      <c r="D12" s="3">
        <f>C12</f>
        <v>209.7</v>
      </c>
      <c r="E12" s="3">
        <f>C12</f>
        <v>209.7</v>
      </c>
      <c r="F12" s="3">
        <f>C12</f>
        <v>209.7</v>
      </c>
      <c r="G12" s="3">
        <f>C12</f>
        <v>209.7</v>
      </c>
    </row>
    <row r="13" spans="1:7" ht="12.75">
      <c r="A13" s="6" t="s">
        <v>331</v>
      </c>
      <c r="B13" s="3"/>
      <c r="C13" s="10">
        <f>'Val. de Salv.'!D19</f>
        <v>15138.42</v>
      </c>
      <c r="D13" s="10">
        <f>C13</f>
        <v>15138.42</v>
      </c>
      <c r="E13" s="10">
        <f>C13</f>
        <v>15138.42</v>
      </c>
      <c r="F13" s="10">
        <f>C13</f>
        <v>15138.42</v>
      </c>
      <c r="G13" s="10">
        <f>C13</f>
        <v>15138.42</v>
      </c>
    </row>
    <row r="14" spans="1:7" ht="12.75">
      <c r="A14" s="59" t="s">
        <v>332</v>
      </c>
      <c r="B14" s="3"/>
      <c r="C14" s="7">
        <f>C11-C12-C13</f>
        <v>115846.29546901264</v>
      </c>
      <c r="D14" s="7">
        <f>D11-D12-D13</f>
        <v>87857.31200000009</v>
      </c>
      <c r="E14" s="7">
        <f>E11-E12-E13</f>
        <v>76117.16912000015</v>
      </c>
      <c r="F14" s="7">
        <f>F11-F12-F13</f>
        <v>62693.43823040009</v>
      </c>
      <c r="G14" s="7">
        <f>G11-G12-G13</f>
        <v>47407.569055808126</v>
      </c>
    </row>
    <row r="15" spans="1:7" ht="12.75">
      <c r="A15" s="6" t="s">
        <v>333</v>
      </c>
      <c r="B15" s="3"/>
      <c r="C15" s="10">
        <f>'Est. de Sit. Actual'!C30</f>
        <v>6720.167999999997</v>
      </c>
      <c r="D15" s="10">
        <f>'Est. de Sit. Actual'!C31</f>
        <v>5662.348156521184</v>
      </c>
      <c r="E15" s="10">
        <f>'Est. de Sit. Actual'!C32</f>
        <v>4477.589931824913</v>
      </c>
      <c r="F15" s="10">
        <f>'Est. de Sit. Actual'!C33</f>
        <v>3150.6607201650895</v>
      </c>
      <c r="G15" s="10">
        <f>'Est. de Sit. Actual'!C34</f>
        <v>1664.5000031060872</v>
      </c>
    </row>
    <row r="16" spans="1:7" ht="12.75">
      <c r="A16" s="164" t="s">
        <v>473</v>
      </c>
      <c r="B16" s="3"/>
      <c r="C16" s="7">
        <f>C14-C15</f>
        <v>109126.12746901264</v>
      </c>
      <c r="D16" s="7">
        <f>D14-D15</f>
        <v>82194.96384347891</v>
      </c>
      <c r="E16" s="7">
        <f>E14-E15</f>
        <v>71639.57918817524</v>
      </c>
      <c r="F16" s="7">
        <f>F14-F15</f>
        <v>59542.777510235</v>
      </c>
      <c r="G16" s="7">
        <f>G14-G15</f>
        <v>45743.06905270204</v>
      </c>
    </row>
    <row r="17" spans="1:7" ht="12.75">
      <c r="A17" s="6" t="s">
        <v>336</v>
      </c>
      <c r="B17" s="3"/>
      <c r="C17" s="10">
        <f>C16*0.15</f>
        <v>16368.919120351897</v>
      </c>
      <c r="D17" s="10">
        <f>D16*0.15</f>
        <v>12329.244576521836</v>
      </c>
      <c r="E17" s="10">
        <f>E16*0.15</f>
        <v>10745.936878226285</v>
      </c>
      <c r="F17" s="10">
        <f>F16*0.15</f>
        <v>8931.416626535249</v>
      </c>
      <c r="G17" s="10">
        <f>G16*0.15</f>
        <v>6861.460357905306</v>
      </c>
    </row>
    <row r="18" spans="1:7" ht="12.75">
      <c r="A18" s="164" t="s">
        <v>334</v>
      </c>
      <c r="B18" s="3"/>
      <c r="C18" s="7">
        <f>C16-C17</f>
        <v>92757.20834866074</v>
      </c>
      <c r="D18" s="7">
        <f>D16-D17</f>
        <v>69865.71926695708</v>
      </c>
      <c r="E18" s="7">
        <f>E16-E17</f>
        <v>60893.642309948955</v>
      </c>
      <c r="F18" s="7">
        <f>F16-F17</f>
        <v>50611.36088369975</v>
      </c>
      <c r="G18" s="7">
        <f>G16-G17</f>
        <v>38881.608694796734</v>
      </c>
    </row>
    <row r="19" spans="1:7" ht="12.75">
      <c r="A19" s="6" t="s">
        <v>335</v>
      </c>
      <c r="B19" s="3"/>
      <c r="C19" s="10">
        <f>C18*0.25</f>
        <v>23189.302087165186</v>
      </c>
      <c r="D19" s="10">
        <f>D18*0.25</f>
        <v>17466.42981673927</v>
      </c>
      <c r="E19" s="10">
        <f>E18*0.25</f>
        <v>15223.410577487239</v>
      </c>
      <c r="F19" s="10">
        <f>F18*0.25</f>
        <v>12652.840220924938</v>
      </c>
      <c r="G19" s="10">
        <f>G18*0.25</f>
        <v>9720.402173699184</v>
      </c>
    </row>
    <row r="20" spans="1:7" ht="12.75">
      <c r="A20" s="165" t="s">
        <v>337</v>
      </c>
      <c r="B20" s="3"/>
      <c r="C20" s="7">
        <f>C18-C19</f>
        <v>69567.90626149556</v>
      </c>
      <c r="D20" s="7">
        <f>D18-D19</f>
        <v>52399.28945021781</v>
      </c>
      <c r="E20" s="7">
        <f>E18-E19</f>
        <v>45670.23173246172</v>
      </c>
      <c r="F20" s="7">
        <f>F18-F19</f>
        <v>37958.52066277481</v>
      </c>
      <c r="G20" s="7">
        <f>G18-G19</f>
        <v>29161.20652109755</v>
      </c>
    </row>
    <row r="21" spans="1:7" ht="12.75">
      <c r="A21" s="6" t="s">
        <v>338</v>
      </c>
      <c r="B21" s="3"/>
      <c r="C21" s="10">
        <f>C12+C13</f>
        <v>15348.12</v>
      </c>
      <c r="D21" s="10">
        <f>D12+D13</f>
        <v>15348.12</v>
      </c>
      <c r="E21" s="10">
        <f>E12+E13</f>
        <v>15348.12</v>
      </c>
      <c r="F21" s="10">
        <f>F12+F13</f>
        <v>15348.12</v>
      </c>
      <c r="G21" s="10">
        <f>G12+G13</f>
        <v>15348.12</v>
      </c>
    </row>
    <row r="22" spans="1:7" ht="12.75">
      <c r="A22" s="6" t="s">
        <v>474</v>
      </c>
      <c r="B22" s="3"/>
      <c r="C22" s="10">
        <f>'Est. de Sit. Actual'!B30</f>
        <v>15535.333362323443</v>
      </c>
      <c r="D22" s="10">
        <f>'Est. de Sit. Actual'!B31</f>
        <v>15535.333362323443</v>
      </c>
      <c r="E22" s="10">
        <f>'Est. de Sit. Actual'!B32</f>
        <v>15535.333362323443</v>
      </c>
      <c r="F22" s="10">
        <f>'Est. de Sit. Actual'!B33</f>
        <v>15535.333362323443</v>
      </c>
      <c r="G22" s="10">
        <f>'Est. de Sit. Actual'!B34</f>
        <v>15535.333362323443</v>
      </c>
    </row>
    <row r="23" spans="1:7" ht="12.75">
      <c r="A23" s="6" t="s">
        <v>339</v>
      </c>
      <c r="B23" s="220">
        <f>'Est. de Sit. Actual'!D4</f>
        <v>56001.39999999998</v>
      </c>
      <c r="C23" s="220">
        <v>0</v>
      </c>
      <c r="D23" s="220">
        <v>0</v>
      </c>
      <c r="E23" s="220">
        <f>'Est. de Sit. Actual'!G31</f>
        <v>0</v>
      </c>
      <c r="F23" s="220">
        <f>'Est. de Sit. Actual'!H31</f>
        <v>0</v>
      </c>
      <c r="G23" s="220">
        <v>0</v>
      </c>
    </row>
    <row r="24" spans="1:7" ht="12.75">
      <c r="A24" s="6" t="s">
        <v>340</v>
      </c>
      <c r="B24" s="312">
        <f>-'Est. de Sit. Actual'!B17</f>
        <v>-156360.15999999997</v>
      </c>
      <c r="C24" s="3"/>
      <c r="D24" s="3"/>
      <c r="E24" s="3"/>
      <c r="F24" s="3"/>
      <c r="G24" s="3"/>
    </row>
    <row r="25" spans="1:7" ht="12.75">
      <c r="A25" s="6" t="s">
        <v>341</v>
      </c>
      <c r="B25" s="3"/>
      <c r="C25" s="3"/>
      <c r="D25" s="3"/>
      <c r="E25" s="3"/>
      <c r="F25" s="3"/>
      <c r="G25" s="10">
        <f>'Val. de Salv.'!G19</f>
        <v>22243.059999999998</v>
      </c>
    </row>
    <row r="26" spans="1:7" ht="12.75">
      <c r="A26" s="6" t="s">
        <v>343</v>
      </c>
      <c r="B26" s="3"/>
      <c r="C26" s="3"/>
      <c r="D26" s="3"/>
      <c r="E26" s="3"/>
      <c r="F26" s="3"/>
      <c r="G26" s="147">
        <f>-'Def. Acum. Max.'!F70</f>
        <v>56001.39999999998</v>
      </c>
    </row>
    <row r="27" spans="1:7" ht="12.75">
      <c r="A27" s="166" t="s">
        <v>344</v>
      </c>
      <c r="B27" s="228">
        <f>B23+B24</f>
        <v>-100358.76</v>
      </c>
      <c r="C27" s="7">
        <f>C20+C21-C22</f>
        <v>69380.6928991721</v>
      </c>
      <c r="D27" s="7">
        <f>D20+D21-D22</f>
        <v>52212.07608789436</v>
      </c>
      <c r="E27" s="7">
        <f>E20+E21-E22</f>
        <v>45483.01837013828</v>
      </c>
      <c r="F27" s="7">
        <f>F20+F21-F22</f>
        <v>37771.30730045137</v>
      </c>
      <c r="G27" s="7">
        <f>G20+G21-G22</f>
        <v>28973.99315877411</v>
      </c>
    </row>
    <row r="28" spans="1:7" ht="12.75">
      <c r="A28" s="11" t="s">
        <v>345</v>
      </c>
      <c r="B28" s="233" t="str">
        <f>TMAR!C26</f>
        <v>13,65%</v>
      </c>
      <c r="C28" s="3"/>
      <c r="D28" s="3"/>
      <c r="E28" s="3"/>
      <c r="F28" s="3"/>
      <c r="G28" s="3"/>
    </row>
    <row r="29" spans="1:7" ht="12.75">
      <c r="A29" s="11" t="s">
        <v>346</v>
      </c>
      <c r="B29" s="234">
        <f>IRR(B27:G27)</f>
        <v>0.4522455570081594</v>
      </c>
      <c r="C29" s="3"/>
      <c r="D29" s="3"/>
      <c r="E29" s="3"/>
      <c r="F29" s="3"/>
      <c r="G29" s="3"/>
    </row>
    <row r="30" spans="1:7" ht="12.75">
      <c r="A30" s="4" t="s">
        <v>347</v>
      </c>
      <c r="B30" s="7">
        <f>NPV(13.65%,B27:G27)</f>
        <v>61608.65791694069</v>
      </c>
      <c r="C30" s="3"/>
      <c r="D30" s="3"/>
      <c r="E30" s="3"/>
      <c r="F30" s="3"/>
      <c r="G30" s="3"/>
    </row>
  </sheetData>
  <sheetProtection/>
  <mergeCells count="1">
    <mergeCell ref="A1:G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4.28125" style="0" customWidth="1"/>
    <col min="2" max="2" width="12.28125" style="0" bestFit="1" customWidth="1"/>
  </cols>
  <sheetData>
    <row r="1" spans="1:7" ht="12.75">
      <c r="A1" s="238" t="s">
        <v>363</v>
      </c>
      <c r="B1" s="238"/>
      <c r="C1" s="238"/>
      <c r="D1" s="238"/>
      <c r="E1" s="238"/>
      <c r="F1" s="238"/>
      <c r="G1" s="238"/>
    </row>
    <row r="3" spans="1:7" ht="12.75">
      <c r="A3" s="1" t="s">
        <v>39</v>
      </c>
      <c r="B3" s="1" t="s">
        <v>321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</row>
    <row r="4" spans="1:7" ht="12.75">
      <c r="A4" s="4" t="s">
        <v>322</v>
      </c>
      <c r="B4" s="6"/>
      <c r="C4" s="155">
        <f>Ingresos!C21</f>
        <v>401852.88000000006</v>
      </c>
      <c r="D4" s="4">
        <f>C4*1.02</f>
        <v>409889.93760000006</v>
      </c>
      <c r="E4" s="155">
        <f>D4*1.02</f>
        <v>418087.7363520001</v>
      </c>
      <c r="F4" s="155">
        <f>E4*1.02</f>
        <v>426449.4910790401</v>
      </c>
      <c r="G4" s="155">
        <f>F4*1.02</f>
        <v>434978.4809006209</v>
      </c>
    </row>
    <row r="5" spans="1:7" ht="12.75">
      <c r="A5" s="4" t="s">
        <v>323</v>
      </c>
      <c r="B5" s="6"/>
      <c r="C5" s="155">
        <f>SUM(C8:C10)</f>
        <v>270658.46453098743</v>
      </c>
      <c r="D5" s="155">
        <f>SUM(D8:D10)</f>
        <v>266868.6016</v>
      </c>
      <c r="E5" s="155">
        <f>SUM(E8:E10)</f>
        <v>282824.952832</v>
      </c>
      <c r="F5" s="155">
        <f>SUM(F8:F10)</f>
        <v>300230.68900864</v>
      </c>
      <c r="G5" s="155">
        <f>SUM(G8:G10)</f>
        <v>319227.82362081285</v>
      </c>
    </row>
    <row r="6" spans="1:7" ht="12.75">
      <c r="A6" s="6" t="s">
        <v>324</v>
      </c>
      <c r="B6" s="3"/>
      <c r="C6" s="150">
        <f>Costos!F7+Costos!F17+Costos!F24+Costos!E31+Costos!F37</f>
        <v>89614.08</v>
      </c>
      <c r="D6" s="150">
        <f>C6*1.02</f>
        <v>91406.3616</v>
      </c>
      <c r="E6" s="150">
        <f>D6*1.02</f>
        <v>93234.488832</v>
      </c>
      <c r="F6" s="150">
        <f>E6*1.02</f>
        <v>95099.17860864001</v>
      </c>
      <c r="G6" s="150">
        <f>F6*1.02</f>
        <v>97001.16218081281</v>
      </c>
    </row>
    <row r="7" spans="1:7" ht="12.75">
      <c r="A7" s="6" t="s">
        <v>325</v>
      </c>
      <c r="B7" s="3"/>
      <c r="C7" s="147">
        <f>Costos!B54</f>
        <v>35925.98453098745</v>
      </c>
      <c r="D7" s="147">
        <f>Costos!C54</f>
        <v>17500</v>
      </c>
      <c r="E7" s="147">
        <f>Costos!E54</f>
        <v>17500</v>
      </c>
      <c r="F7" s="147">
        <f>Costos!F54</f>
        <v>17500</v>
      </c>
      <c r="G7" s="147">
        <f>Costos!G54</f>
        <v>17500</v>
      </c>
    </row>
    <row r="8" spans="1:7" ht="12.75">
      <c r="A8" s="4" t="s">
        <v>326</v>
      </c>
      <c r="B8" s="3"/>
      <c r="C8" s="155">
        <f>SUM(C6:C7)</f>
        <v>125540.06453098745</v>
      </c>
      <c r="D8" s="155">
        <f>SUM(D6:D7)</f>
        <v>108906.3616</v>
      </c>
      <c r="E8" s="155">
        <f>SUM(E6:E7)</f>
        <v>110734.488832</v>
      </c>
      <c r="F8" s="155">
        <f>SUM(F6:F7)</f>
        <v>112599.17860864001</v>
      </c>
      <c r="G8" s="155">
        <f>SUM(G6:G7)</f>
        <v>114501.16218081281</v>
      </c>
    </row>
    <row r="9" spans="1:7" ht="12.75">
      <c r="A9" s="3" t="s">
        <v>327</v>
      </c>
      <c r="B9" s="3"/>
      <c r="C9" s="147">
        <f>Gastos!G21</f>
        <v>128438.4</v>
      </c>
      <c r="D9" s="147">
        <f>C9*1.1</f>
        <v>141282.24</v>
      </c>
      <c r="E9" s="147">
        <f>D9*1.1</f>
        <v>155410.464</v>
      </c>
      <c r="F9" s="147">
        <f>E9*1.1</f>
        <v>170951.51040000003</v>
      </c>
      <c r="G9" s="147">
        <f>F9*1.1</f>
        <v>188046.66144000005</v>
      </c>
    </row>
    <row r="10" spans="1:7" ht="12.75">
      <c r="A10" s="3" t="s">
        <v>328</v>
      </c>
      <c r="B10" s="3"/>
      <c r="C10" s="147">
        <f>Gastos!$H$47</f>
        <v>16680</v>
      </c>
      <c r="D10" s="147">
        <f>Gastos!$H$47</f>
        <v>16680</v>
      </c>
      <c r="E10" s="147">
        <f>Gastos!$H$47</f>
        <v>16680</v>
      </c>
      <c r="F10" s="147">
        <f>Gastos!$H$47</f>
        <v>16680</v>
      </c>
      <c r="G10" s="147">
        <f>Gastos!$H$47</f>
        <v>16680</v>
      </c>
    </row>
    <row r="11" spans="1:7" ht="12.75">
      <c r="A11" s="163" t="s">
        <v>329</v>
      </c>
      <c r="B11" s="136"/>
      <c r="C11" s="155">
        <f>C4-C5</f>
        <v>131194.41546901263</v>
      </c>
      <c r="D11" s="155">
        <f>D4-D5</f>
        <v>143021.33600000007</v>
      </c>
      <c r="E11" s="155">
        <f>E4-E5</f>
        <v>135262.7835200001</v>
      </c>
      <c r="F11" s="155">
        <f>F4-F5</f>
        <v>126218.8020704001</v>
      </c>
      <c r="G11" s="155">
        <f>G4-G5</f>
        <v>115750.65727980807</v>
      </c>
    </row>
    <row r="12" spans="1:7" ht="12.75">
      <c r="A12" s="6" t="s">
        <v>330</v>
      </c>
      <c r="B12" s="3"/>
      <c r="C12" s="147">
        <f>'Val. de Salv.'!C26</f>
        <v>209.7</v>
      </c>
      <c r="D12" s="147">
        <f>C12</f>
        <v>209.7</v>
      </c>
      <c r="E12" s="147">
        <f>D12</f>
        <v>209.7</v>
      </c>
      <c r="F12" s="147">
        <f>C12</f>
        <v>209.7</v>
      </c>
      <c r="G12" s="147">
        <f>C12</f>
        <v>209.7</v>
      </c>
    </row>
    <row r="13" spans="1:7" ht="12.75">
      <c r="A13" s="6" t="s">
        <v>331</v>
      </c>
      <c r="B13" s="3"/>
      <c r="C13" s="147">
        <f>'Val. de Salv.'!D19</f>
        <v>15138.42</v>
      </c>
      <c r="D13" s="147">
        <f>C13</f>
        <v>15138.42</v>
      </c>
      <c r="E13" s="147">
        <f>C13</f>
        <v>15138.42</v>
      </c>
      <c r="F13" s="147">
        <f>C13</f>
        <v>15138.42</v>
      </c>
      <c r="G13" s="147">
        <f>C13</f>
        <v>15138.42</v>
      </c>
    </row>
    <row r="14" spans="1:7" ht="12.75">
      <c r="A14" s="171" t="s">
        <v>334</v>
      </c>
      <c r="B14" s="172"/>
      <c r="C14" s="173">
        <f>C11-C12-C13</f>
        <v>115846.29546901264</v>
      </c>
      <c r="D14" s="173">
        <f>D11-D12-D13</f>
        <v>127673.21600000006</v>
      </c>
      <c r="E14" s="173">
        <f>E11-E12-E13</f>
        <v>119914.6635200001</v>
      </c>
      <c r="F14" s="173">
        <f>F11-F12-F13</f>
        <v>110870.6820704001</v>
      </c>
      <c r="G14" s="173">
        <f>G11-G12-G13</f>
        <v>100402.53727980808</v>
      </c>
    </row>
    <row r="15" spans="1:7" ht="12.75">
      <c r="A15" s="6" t="s">
        <v>335</v>
      </c>
      <c r="B15" s="3"/>
      <c r="C15" s="147">
        <f>C14*0.25</f>
        <v>28961.57386725316</v>
      </c>
      <c r="D15" s="147">
        <f>D14*0.25</f>
        <v>31918.304000000015</v>
      </c>
      <c r="E15" s="147">
        <f>E14*0.25</f>
        <v>29978.665880000026</v>
      </c>
      <c r="F15" s="147">
        <f>F14*0.25</f>
        <v>27717.670517600025</v>
      </c>
      <c r="G15" s="147">
        <f>G14*0.25</f>
        <v>25100.63431995202</v>
      </c>
    </row>
    <row r="16" spans="1:7" ht="12.75">
      <c r="A16" s="6" t="s">
        <v>336</v>
      </c>
      <c r="B16" s="3"/>
      <c r="C16" s="147">
        <f>C14*0.15</f>
        <v>17376.944320351893</v>
      </c>
      <c r="D16" s="147">
        <f>D14*0.15</f>
        <v>19150.982400000008</v>
      </c>
      <c r="E16" s="147">
        <f>E14*0.15</f>
        <v>17987.199528000016</v>
      </c>
      <c r="F16" s="147">
        <f>F14*0.15</f>
        <v>16630.602310560014</v>
      </c>
      <c r="G16" s="147">
        <f>G14*0.15</f>
        <v>15060.38059197121</v>
      </c>
    </row>
    <row r="17" spans="1:7" ht="12.75">
      <c r="A17" s="174" t="s">
        <v>337</v>
      </c>
      <c r="B17" s="175"/>
      <c r="C17" s="176">
        <f>C14-C15-C16</f>
        <v>69507.77728140759</v>
      </c>
      <c r="D17" s="176">
        <f>D14-D15-D16</f>
        <v>76603.92960000003</v>
      </c>
      <c r="E17" s="176">
        <f>E14-E15-E16</f>
        <v>71948.79811200006</v>
      </c>
      <c r="F17" s="176">
        <f>F14-F15-F16</f>
        <v>66522.40924224006</v>
      </c>
      <c r="G17" s="176">
        <f>G14-G15-G16</f>
        <v>60241.52236788485</v>
      </c>
    </row>
    <row r="18" spans="1:7" ht="12.75">
      <c r="A18" s="6" t="s">
        <v>338</v>
      </c>
      <c r="B18" s="3"/>
      <c r="C18" s="147">
        <f>C12+C13</f>
        <v>15348.12</v>
      </c>
      <c r="D18" s="147">
        <f>D12+D13</f>
        <v>15348.12</v>
      </c>
      <c r="E18" s="147">
        <f>E12+E13</f>
        <v>15348.12</v>
      </c>
      <c r="F18" s="147">
        <f>F12+F13</f>
        <v>15348.12</v>
      </c>
      <c r="G18" s="147">
        <f>G12+G13</f>
        <v>15348.12</v>
      </c>
    </row>
    <row r="19" spans="1:7" ht="12.75">
      <c r="A19" s="6" t="s">
        <v>340</v>
      </c>
      <c r="B19" s="147">
        <f>+-'Est. de Sit. Actual'!B17</f>
        <v>-156360.15999999997</v>
      </c>
      <c r="C19" s="147"/>
      <c r="D19" s="147"/>
      <c r="E19" s="147"/>
      <c r="F19" s="147"/>
      <c r="G19" s="147"/>
    </row>
    <row r="20" spans="1:7" ht="12.75">
      <c r="A20" s="6" t="s">
        <v>341</v>
      </c>
      <c r="B20" s="3"/>
      <c r="C20" s="147"/>
      <c r="D20" s="147"/>
      <c r="E20" s="149"/>
      <c r="F20" s="147"/>
      <c r="G20" s="147">
        <f>'Val. de Salv.'!G19</f>
        <v>22243.059999999998</v>
      </c>
    </row>
    <row r="21" spans="1:7" ht="12.75">
      <c r="A21" s="6" t="s">
        <v>342</v>
      </c>
      <c r="B21" s="147">
        <f>'Def. Acum. Max.'!F70</f>
        <v>-56001.39999999998</v>
      </c>
      <c r="C21" s="147"/>
      <c r="D21" s="147"/>
      <c r="E21" s="147"/>
      <c r="F21" s="147"/>
      <c r="G21" s="147"/>
    </row>
    <row r="22" spans="1:7" ht="12.75">
      <c r="A22" s="6" t="s">
        <v>343</v>
      </c>
      <c r="B22" s="3"/>
      <c r="C22" s="147"/>
      <c r="D22" s="147"/>
      <c r="E22" s="147"/>
      <c r="F22" s="147"/>
      <c r="G22" s="147">
        <f>-'Def. Acum. Max.'!F70</f>
        <v>56001.39999999998</v>
      </c>
    </row>
    <row r="23" spans="1:7" ht="12.75">
      <c r="A23" s="177" t="s">
        <v>364</v>
      </c>
      <c r="B23" s="178">
        <f>B19+B21</f>
        <v>-212361.55999999994</v>
      </c>
      <c r="C23" s="178">
        <f>C17+C18</f>
        <v>84855.89728140758</v>
      </c>
      <c r="D23" s="178">
        <f>D17+D18</f>
        <v>91952.04960000003</v>
      </c>
      <c r="E23" s="178">
        <f>E17+E18</f>
        <v>87296.91811200006</v>
      </c>
      <c r="F23" s="178">
        <f>F17+F18</f>
        <v>81870.52924224005</v>
      </c>
      <c r="G23" s="178">
        <f>G17+G18</f>
        <v>75589.64236788485</v>
      </c>
    </row>
    <row r="24" spans="1:7" ht="12.75">
      <c r="A24" s="11" t="s">
        <v>365</v>
      </c>
      <c r="B24" s="179">
        <f>TMAR!B27</f>
        <v>0.11984229218380327</v>
      </c>
      <c r="C24" s="147"/>
      <c r="D24" s="147"/>
      <c r="E24" s="147"/>
      <c r="F24" s="147"/>
      <c r="G24" s="147"/>
    </row>
    <row r="25" spans="1:7" ht="12.75">
      <c r="A25" s="11" t="s">
        <v>346</v>
      </c>
      <c r="B25" s="180">
        <f>IRR(B23:G23)</f>
        <v>0.2901597218309191</v>
      </c>
      <c r="C25" s="147"/>
      <c r="D25" s="147"/>
      <c r="E25" s="147"/>
      <c r="F25" s="147"/>
      <c r="G25" s="147"/>
    </row>
    <row r="26" spans="1:7" ht="12.75">
      <c r="A26" s="4" t="s">
        <v>347</v>
      </c>
      <c r="B26" s="7">
        <f>NPV(B24,B23:G23)</f>
        <v>83834.44935382396</v>
      </c>
      <c r="C26" s="147"/>
      <c r="D26" s="147"/>
      <c r="E26" s="147"/>
      <c r="F26" s="147"/>
      <c r="G26" s="147"/>
    </row>
  </sheetData>
  <sheetProtection/>
  <mergeCells count="1">
    <mergeCell ref="A1:G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0.00390625" style="0" customWidth="1"/>
  </cols>
  <sheetData>
    <row r="3" spans="1:6" ht="12.75">
      <c r="A3" s="237" t="s">
        <v>348</v>
      </c>
      <c r="B3" s="237"/>
      <c r="C3" s="237"/>
      <c r="D3" s="237"/>
      <c r="E3" s="237"/>
      <c r="F3" s="237"/>
    </row>
    <row r="4" spans="1:6" ht="12.75">
      <c r="A4" s="1" t="s">
        <v>39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144</v>
      </c>
    </row>
    <row r="5" spans="1:6" ht="12.75">
      <c r="A5" s="3" t="s">
        <v>322</v>
      </c>
      <c r="B5" s="3">
        <f>'Flujo caja Acc.'!C4</f>
        <v>401852.88000000006</v>
      </c>
      <c r="C5" s="3">
        <f>'Flujo caja Acc.'!D4</f>
        <v>409889.93760000006</v>
      </c>
      <c r="D5" s="3">
        <f>'Flujo caja Acc.'!E4</f>
        <v>418087.7363520001</v>
      </c>
      <c r="E5" s="3">
        <f>'Flujo caja Acc.'!F4</f>
        <v>426449.4910790401</v>
      </c>
      <c r="F5" s="3">
        <f>'Flujo caja Acc.'!G4</f>
        <v>434978.4809006209</v>
      </c>
    </row>
    <row r="6" spans="1:6" ht="12.75">
      <c r="A6" s="3" t="s">
        <v>349</v>
      </c>
      <c r="B6" s="147">
        <f>'Flujo caja Acc.'!C6</f>
        <v>89614.08</v>
      </c>
      <c r="C6" s="147">
        <f>'Flujo caja Acc.'!D6</f>
        <v>91406.3616</v>
      </c>
      <c r="D6" s="3">
        <f>'Flujo caja Acc.'!E6</f>
        <v>93234.488832</v>
      </c>
      <c r="E6" s="3">
        <f>'Flujo caja Acc.'!F6</f>
        <v>95099.17860864001</v>
      </c>
      <c r="F6" s="3">
        <f>'Flujo caja Acc.'!G6</f>
        <v>97001.16218081281</v>
      </c>
    </row>
    <row r="7" spans="1:6" ht="12.75">
      <c r="A7" s="3" t="s">
        <v>350</v>
      </c>
      <c r="B7" s="147">
        <f>'Flujo caja Acc.'!C7</f>
        <v>35925.98453098745</v>
      </c>
      <c r="C7" s="147">
        <f>'Flujo caja Acc.'!D7</f>
        <v>17500</v>
      </c>
      <c r="D7" s="147">
        <f>'Flujo caja Acc.'!E7</f>
        <v>17500</v>
      </c>
      <c r="E7" s="147">
        <f>'Flujo caja Acc.'!F7</f>
        <v>17500</v>
      </c>
      <c r="F7" s="147">
        <f>'Flujo caja Acc.'!G7</f>
        <v>17500</v>
      </c>
    </row>
    <row r="8" spans="1:6" ht="12.75">
      <c r="A8" s="4" t="s">
        <v>351</v>
      </c>
      <c r="B8" s="155">
        <f>B5-B6-B7</f>
        <v>276312.8154690126</v>
      </c>
      <c r="C8" s="155">
        <f>C5-C6-C7</f>
        <v>300983.57600000006</v>
      </c>
      <c r="D8" s="155">
        <f>D5-D6-D7</f>
        <v>307353.2475200001</v>
      </c>
      <c r="E8" s="155">
        <f>E5-E6-E7</f>
        <v>313850.3124704001</v>
      </c>
      <c r="F8" s="155">
        <f>F5-F6-F7</f>
        <v>320477.3187198081</v>
      </c>
    </row>
    <row r="9" spans="1:6" ht="12.75">
      <c r="A9" s="4" t="s">
        <v>352</v>
      </c>
      <c r="B9" s="155">
        <f>SUM(B10:B13)</f>
        <v>175395.24000000002</v>
      </c>
      <c r="C9" s="155">
        <f>SUM(C10:C13)</f>
        <v>228054.984</v>
      </c>
      <c r="D9" s="155">
        <f>SUM(D10:D13)</f>
        <v>246164.7984</v>
      </c>
      <c r="E9" s="155">
        <f>SUM(E10:E13)</f>
        <v>266085.59424</v>
      </c>
      <c r="F9" s="155">
        <f>SUM(F10:F13)</f>
        <v>287998.46966400003</v>
      </c>
    </row>
    <row r="10" spans="1:6" ht="12.75">
      <c r="A10" s="3" t="s">
        <v>316</v>
      </c>
      <c r="B10" s="147">
        <f>'Flujo caja Acc.'!C9</f>
        <v>128438.4</v>
      </c>
      <c r="C10" s="147">
        <f>'Flujo caja Acc.'!D9</f>
        <v>181098.14399999997</v>
      </c>
      <c r="D10" s="147">
        <f>'Flujo caja Acc.'!E9</f>
        <v>199207.95839999997</v>
      </c>
      <c r="E10" s="147">
        <f>'Flujo caja Acc.'!F9</f>
        <v>219128.75423999998</v>
      </c>
      <c r="F10" s="147">
        <f>'Flujo caja Acc.'!G9</f>
        <v>241041.629664</v>
      </c>
    </row>
    <row r="11" spans="1:6" ht="12.75">
      <c r="A11" s="3" t="s">
        <v>353</v>
      </c>
      <c r="B11" s="10">
        <f>'Flujo caja Acc.'!C13</f>
        <v>15138.42</v>
      </c>
      <c r="C11" s="10">
        <f>B11</f>
        <v>15138.42</v>
      </c>
      <c r="D11" s="10">
        <f>B11</f>
        <v>15138.42</v>
      </c>
      <c r="E11" s="10">
        <f>B11</f>
        <v>15138.42</v>
      </c>
      <c r="F11" s="10">
        <f>B11</f>
        <v>15138.42</v>
      </c>
    </row>
    <row r="12" spans="1:6" ht="12.75">
      <c r="A12" s="3" t="s">
        <v>331</v>
      </c>
      <c r="B12" s="147">
        <f>'Flujo caja Acc.'!C13</f>
        <v>15138.42</v>
      </c>
      <c r="C12" s="147">
        <f>B12</f>
        <v>15138.42</v>
      </c>
      <c r="D12" s="147">
        <f>B12</f>
        <v>15138.42</v>
      </c>
      <c r="E12" s="147">
        <f>B12</f>
        <v>15138.42</v>
      </c>
      <c r="F12" s="147">
        <f>B12</f>
        <v>15138.42</v>
      </c>
    </row>
    <row r="13" spans="1:6" ht="12.75">
      <c r="A13" s="3" t="s">
        <v>354</v>
      </c>
      <c r="B13" s="3">
        <f>'Flujo caja Acc.'!C10</f>
        <v>16680</v>
      </c>
      <c r="C13" s="3">
        <f>'Flujo caja Acc.'!D10</f>
        <v>16680</v>
      </c>
      <c r="D13" s="3">
        <f>'Flujo caja Acc.'!E10</f>
        <v>16680</v>
      </c>
      <c r="E13" s="3">
        <f>'Flujo caja Acc.'!F10</f>
        <v>16680</v>
      </c>
      <c r="F13" s="3">
        <f>'Flujo caja Acc.'!G10</f>
        <v>16680</v>
      </c>
    </row>
    <row r="14" spans="1:6" ht="12.75">
      <c r="A14" s="4" t="s">
        <v>355</v>
      </c>
      <c r="B14" s="155">
        <f>B8-B9</f>
        <v>100917.57546901258</v>
      </c>
      <c r="C14" s="155">
        <f>C8-C9</f>
        <v>72928.59200000006</v>
      </c>
      <c r="D14" s="155">
        <f>D8-D9</f>
        <v>61188.44912000009</v>
      </c>
      <c r="E14" s="155">
        <f>E8-E9</f>
        <v>47764.71823040012</v>
      </c>
      <c r="F14" s="155">
        <f>F8-F9</f>
        <v>32478.849055808096</v>
      </c>
    </row>
    <row r="15" spans="1:6" ht="12.75">
      <c r="A15" s="4" t="s">
        <v>356</v>
      </c>
      <c r="B15" s="3"/>
      <c r="C15" s="3"/>
      <c r="D15" s="3"/>
      <c r="E15" s="3"/>
      <c r="F15" s="3"/>
    </row>
    <row r="16" spans="1:6" ht="12.75">
      <c r="A16" s="3" t="s">
        <v>357</v>
      </c>
      <c r="B16" s="147">
        <f>'Flujo caja Acc.'!C15</f>
        <v>6720.167999999997</v>
      </c>
      <c r="C16" s="147">
        <f>'Flujo caja Acc.'!D15</f>
        <v>5662.348156521184</v>
      </c>
      <c r="D16" s="147">
        <f>'Flujo caja Acc.'!E15</f>
        <v>4477.589931824913</v>
      </c>
      <c r="E16" s="147">
        <f>'Flujo caja Acc.'!F15</f>
        <v>3150.6607201650895</v>
      </c>
      <c r="F16" s="147">
        <f>'Flujo caja Acc.'!G15</f>
        <v>1664.5000031060872</v>
      </c>
    </row>
    <row r="17" spans="1:6" ht="12.75">
      <c r="A17" s="4" t="s">
        <v>358</v>
      </c>
      <c r="B17" s="155">
        <f>B14-B16</f>
        <v>94197.40746901259</v>
      </c>
      <c r="C17" s="155">
        <f>C14-C16</f>
        <v>67266.24384347888</v>
      </c>
      <c r="D17" s="155">
        <f>D14-D16</f>
        <v>56710.85918817518</v>
      </c>
      <c r="E17" s="155">
        <f>E14-E16</f>
        <v>44614.05751023503</v>
      </c>
      <c r="F17" s="155">
        <f>F14-F16</f>
        <v>30814.349052702008</v>
      </c>
    </row>
    <row r="18" spans="1:6" ht="12.75">
      <c r="A18" s="3" t="s">
        <v>359</v>
      </c>
      <c r="B18" s="147">
        <f>B17*0.25</f>
        <v>23549.351867253146</v>
      </c>
      <c r="C18" s="147">
        <f>C17*0.25</f>
        <v>16816.56096086972</v>
      </c>
      <c r="D18" s="147">
        <f>D17*0.25</f>
        <v>14177.714797043795</v>
      </c>
      <c r="E18" s="147">
        <f>E17*0.25</f>
        <v>11153.514377558757</v>
      </c>
      <c r="F18" s="147">
        <f>F17*0.25</f>
        <v>7703.587263175502</v>
      </c>
    </row>
    <row r="19" spans="1:6" ht="12.75">
      <c r="A19" s="3" t="s">
        <v>336</v>
      </c>
      <c r="B19" s="147">
        <f>B17*0.15</f>
        <v>14129.611120351887</v>
      </c>
      <c r="C19" s="147">
        <f>C17*0.15</f>
        <v>10089.936576521832</v>
      </c>
      <c r="D19" s="147">
        <f>D17*0.15</f>
        <v>8506.628878226276</v>
      </c>
      <c r="E19" s="147">
        <f>E17*0.15</f>
        <v>6692.108626535254</v>
      </c>
      <c r="F19" s="147">
        <f>F17*0.15</f>
        <v>4622.152357905301</v>
      </c>
    </row>
    <row r="20" spans="1:6" ht="12.75">
      <c r="A20" s="11" t="s">
        <v>360</v>
      </c>
      <c r="B20" s="148">
        <f>B17-B18-B19</f>
        <v>56518.44448140755</v>
      </c>
      <c r="C20" s="148">
        <f>C17-C18-C19</f>
        <v>40359.74630608733</v>
      </c>
      <c r="D20" s="148">
        <f>D17-D18-D19</f>
        <v>34026.515512905105</v>
      </c>
      <c r="E20" s="148">
        <f>E17-E18-E19</f>
        <v>26768.434506141017</v>
      </c>
      <c r="F20" s="229">
        <f>F17-F18-F19</f>
        <v>18488.609431621204</v>
      </c>
    </row>
  </sheetData>
  <sheetProtection/>
  <mergeCells count="1">
    <mergeCell ref="A3:F3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4" sqref="D4"/>
    </sheetView>
  </sheetViews>
  <sheetFormatPr defaultColWidth="11.421875" defaultRowHeight="12.75"/>
  <sheetData>
    <row r="1" spans="1:5" ht="12.75">
      <c r="A1" s="238" t="s">
        <v>366</v>
      </c>
      <c r="B1" s="238"/>
      <c r="C1" s="238"/>
      <c r="D1" s="238"/>
      <c r="E1" s="238"/>
    </row>
    <row r="2" spans="1:5" ht="38.25">
      <c r="A2" s="117" t="s">
        <v>367</v>
      </c>
      <c r="B2" s="117" t="s">
        <v>368</v>
      </c>
      <c r="C2" s="117" t="s">
        <v>369</v>
      </c>
      <c r="D2" s="117" t="s">
        <v>370</v>
      </c>
      <c r="E2" s="117" t="s">
        <v>371</v>
      </c>
    </row>
    <row r="3" spans="1:5" ht="12.75">
      <c r="A3" s="181">
        <v>1</v>
      </c>
      <c r="B3" s="182">
        <f>'Est. de Sit. Actual'!D4</f>
        <v>56001.39999999998</v>
      </c>
      <c r="C3" s="182">
        <f>'Flujo caja Acc.'!C27</f>
        <v>69380.6928991721</v>
      </c>
      <c r="D3" s="182">
        <f>B3*TMAR!B26</f>
        <v>7643.891581787591</v>
      </c>
      <c r="E3" s="182">
        <f>C3-D3</f>
        <v>61736.80131738452</v>
      </c>
    </row>
    <row r="4" spans="1:5" ht="12.75">
      <c r="A4" s="3">
        <v>2</v>
      </c>
      <c r="B4" s="147">
        <f>B3-E3</f>
        <v>-5735.401317384538</v>
      </c>
      <c r="C4" s="147">
        <f>'Flujo caja Acc.'!D27</f>
        <v>52212.07608789436</v>
      </c>
      <c r="D4" s="147">
        <f>B4*TMAR!B26</f>
        <v>-782.8516045693349</v>
      </c>
      <c r="E4" s="147">
        <f>C4-D4</f>
        <v>52994.927692463694</v>
      </c>
    </row>
    <row r="5" spans="1:5" ht="12.75">
      <c r="A5" s="3">
        <v>3</v>
      </c>
      <c r="B5" s="147">
        <f>B4-E4</f>
        <v>-58730.32900984823</v>
      </c>
      <c r="C5" s="147">
        <f>'Flujo caja Acc.'!E27</f>
        <v>45483.01837013828</v>
      </c>
      <c r="D5" s="147">
        <f>B5*TMAR!B26</f>
        <v>-8016.375796212142</v>
      </c>
      <c r="E5" s="147">
        <f>C5-D5</f>
        <v>53499.39416635042</v>
      </c>
    </row>
    <row r="6" spans="1:5" ht="12.75">
      <c r="A6" s="3">
        <v>4</v>
      </c>
      <c r="B6" s="147">
        <f>B5-E5</f>
        <v>-112229.72317619866</v>
      </c>
      <c r="C6" s="147">
        <f>'Flujo caja Acc.'!F27</f>
        <v>37771.30730045137</v>
      </c>
      <c r="D6" s="147">
        <f>B6*TMAR!B26</f>
        <v>-15318.756963449076</v>
      </c>
      <c r="E6" s="147">
        <f>C6-D6</f>
        <v>53090.06426390045</v>
      </c>
    </row>
    <row r="7" spans="1:5" ht="12.75">
      <c r="A7" s="3">
        <v>5</v>
      </c>
      <c r="B7" s="147">
        <f>B6-E6</f>
        <v>-165319.7874400991</v>
      </c>
      <c r="C7" s="147">
        <f>'Flujo caja Acc.'!G27</f>
        <v>28973.99315877411</v>
      </c>
      <c r="D7" s="147">
        <f>B7*TMAR!B26</f>
        <v>-22565.26678826401</v>
      </c>
      <c r="E7" s="147">
        <f>C7-D7</f>
        <v>51539.25994703812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11.421875" defaultRowHeight="12.75"/>
  <sheetData>
    <row r="1" spans="1:5" ht="12.75">
      <c r="A1" s="238" t="s">
        <v>372</v>
      </c>
      <c r="B1" s="238"/>
      <c r="C1" s="238"/>
      <c r="D1" s="238"/>
      <c r="E1" s="238"/>
    </row>
    <row r="3" spans="1:5" ht="12.75">
      <c r="A3" s="238" t="s">
        <v>373</v>
      </c>
      <c r="B3" s="238"/>
      <c r="C3" s="238"/>
      <c r="D3" s="238"/>
      <c r="E3" s="238"/>
    </row>
    <row r="5" spans="1:5" ht="15.75">
      <c r="A5" s="298" t="s">
        <v>374</v>
      </c>
      <c r="B5" s="170" t="s">
        <v>375</v>
      </c>
      <c r="C5" s="4" t="s">
        <v>347</v>
      </c>
      <c r="D5" s="4" t="s">
        <v>346</v>
      </c>
      <c r="E5" s="4" t="s">
        <v>376</v>
      </c>
    </row>
    <row r="6" spans="1:5" ht="12.75">
      <c r="A6" s="298"/>
      <c r="B6" s="183">
        <v>0.05</v>
      </c>
      <c r="C6" s="184">
        <v>661209.1872102559</v>
      </c>
      <c r="D6" s="185">
        <v>1.2436074575361025</v>
      </c>
      <c r="E6" s="9"/>
    </row>
    <row r="7" spans="1:5" ht="12.75">
      <c r="A7" s="298"/>
      <c r="B7" s="183">
        <v>0</v>
      </c>
      <c r="C7" s="184">
        <v>410063.69789169537</v>
      </c>
      <c r="D7" s="185">
        <v>0.7574854027618261</v>
      </c>
      <c r="E7" s="9"/>
    </row>
    <row r="8" spans="1:5" ht="12.75">
      <c r="A8" s="298"/>
      <c r="B8" s="183">
        <v>-0.05</v>
      </c>
      <c r="C8" s="184">
        <v>158918.2085731343</v>
      </c>
      <c r="D8" s="185">
        <v>0.3467517368893096</v>
      </c>
      <c r="E8" s="9"/>
    </row>
    <row r="9" spans="1:5" ht="12.75">
      <c r="A9" s="298"/>
      <c r="B9" s="186">
        <v>-0.08</v>
      </c>
      <c r="C9" s="187">
        <v>8230.914981998792</v>
      </c>
      <c r="D9" s="188">
        <v>0.14646431476362426</v>
      </c>
      <c r="E9" s="166" t="s">
        <v>377</v>
      </c>
    </row>
    <row r="10" spans="1:5" ht="12.75">
      <c r="A10" s="298"/>
      <c r="B10" s="189">
        <v>-0.09</v>
      </c>
      <c r="C10" s="155">
        <v>-41998.182881713066</v>
      </c>
      <c r="D10" s="179">
        <v>0.08708442156446113</v>
      </c>
      <c r="E10" s="4"/>
    </row>
    <row r="11" spans="1:5" ht="12.75">
      <c r="A11" s="190"/>
      <c r="B11" s="191"/>
      <c r="C11" s="156"/>
      <c r="D11" s="192"/>
      <c r="E11" s="15"/>
    </row>
    <row r="13" spans="1:5" ht="12.75">
      <c r="A13" s="238" t="s">
        <v>378</v>
      </c>
      <c r="B13" s="238"/>
      <c r="C13" s="238"/>
      <c r="D13" s="238"/>
      <c r="E13" s="238"/>
    </row>
    <row r="15" spans="1:5" ht="15.75">
      <c r="A15" s="298" t="s">
        <v>374</v>
      </c>
      <c r="B15" s="193" t="s">
        <v>379</v>
      </c>
      <c r="C15" s="4" t="s">
        <v>347</v>
      </c>
      <c r="D15" s="4" t="s">
        <v>346</v>
      </c>
      <c r="E15" s="4" t="s">
        <v>376</v>
      </c>
    </row>
    <row r="16" spans="1:5" ht="12.75">
      <c r="A16" s="298"/>
      <c r="B16" s="183">
        <v>-0.05</v>
      </c>
      <c r="C16" s="168">
        <v>463306.40762338083</v>
      </c>
      <c r="D16" s="185">
        <v>0.9598919493027332</v>
      </c>
      <c r="E16" s="9"/>
    </row>
    <row r="17" spans="1:5" ht="12.75">
      <c r="A17" s="298"/>
      <c r="B17" s="183">
        <v>0</v>
      </c>
      <c r="C17" s="168">
        <v>410063.69789169537</v>
      </c>
      <c r="D17" s="185">
        <v>0.7574854027618261</v>
      </c>
      <c r="E17" s="9"/>
    </row>
    <row r="18" spans="1:5" ht="12.75">
      <c r="A18" s="298"/>
      <c r="B18" s="194">
        <v>0.1</v>
      </c>
      <c r="C18" s="168">
        <v>303578.27842832427</v>
      </c>
      <c r="D18" s="195">
        <v>0.48447886308568594</v>
      </c>
      <c r="E18" s="196"/>
    </row>
    <row r="19" spans="1:5" ht="12.75">
      <c r="A19" s="298"/>
      <c r="B19" s="194">
        <v>0.2</v>
      </c>
      <c r="C19" s="168">
        <v>197092.85896495357</v>
      </c>
      <c r="D19" s="195">
        <v>0.3176553031066329</v>
      </c>
      <c r="E19" s="196"/>
    </row>
    <row r="20" spans="1:5" ht="12.75">
      <c r="A20" s="298"/>
      <c r="B20" s="186">
        <v>0.35</v>
      </c>
      <c r="C20" s="187">
        <v>37364.72976989705</v>
      </c>
      <c r="D20" s="188">
        <v>0.16314477195233912</v>
      </c>
      <c r="E20" s="166" t="s">
        <v>377</v>
      </c>
    </row>
    <row r="21" spans="1:5" ht="12.75">
      <c r="A21" s="298"/>
      <c r="B21" s="189">
        <v>0.39</v>
      </c>
      <c r="C21" s="155">
        <v>-5229.438015451175</v>
      </c>
      <c r="D21" s="179">
        <v>0.132969574517351</v>
      </c>
      <c r="E21" s="3"/>
    </row>
  </sheetData>
  <sheetProtection/>
  <mergeCells count="5">
    <mergeCell ref="A15:A21"/>
    <mergeCell ref="A1:E1"/>
    <mergeCell ref="A3:E3"/>
    <mergeCell ref="A5:A10"/>
    <mergeCell ref="A13:E13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23.00390625" style="0" customWidth="1"/>
    <col min="2" max="2" width="15.7109375" style="0" bestFit="1" customWidth="1"/>
    <col min="3" max="3" width="12.421875" style="0" customWidth="1"/>
    <col min="4" max="4" width="16.28125" style="0" customWidth="1"/>
    <col min="5" max="5" width="14.140625" style="0" customWidth="1"/>
    <col min="6" max="6" width="14.28125" style="0" bestFit="1" customWidth="1"/>
    <col min="8" max="8" width="11.8515625" style="0" bestFit="1" customWidth="1"/>
  </cols>
  <sheetData>
    <row r="1" spans="1:4" ht="12.75">
      <c r="A1" s="237" t="s">
        <v>380</v>
      </c>
      <c r="B1" s="237"/>
      <c r="C1" s="237"/>
      <c r="D1" s="237"/>
    </row>
    <row r="2" spans="1:4" ht="12.75">
      <c r="A2" s="4" t="s">
        <v>381</v>
      </c>
      <c r="B2" s="3"/>
      <c r="C2" s="4" t="s">
        <v>382</v>
      </c>
      <c r="D2" s="3"/>
    </row>
    <row r="3" spans="1:4" ht="12.75">
      <c r="A3" s="3"/>
      <c r="B3" s="3"/>
      <c r="C3" s="3"/>
      <c r="D3" s="3"/>
    </row>
    <row r="4" spans="1:6" ht="12.75">
      <c r="A4" s="4" t="s">
        <v>383</v>
      </c>
      <c r="B4" s="218"/>
      <c r="C4" s="3" t="s">
        <v>339</v>
      </c>
      <c r="D4" s="10">
        <f>B5</f>
        <v>56001.39999999998</v>
      </c>
      <c r="E4" s="197"/>
      <c r="F4" s="221">
        <f>D4/B15</f>
        <v>0.35815645110621525</v>
      </c>
    </row>
    <row r="5" spans="1:4" ht="12.75">
      <c r="A5" s="3" t="s">
        <v>342</v>
      </c>
      <c r="B5" s="7">
        <f>-'Def. Acum. Max.'!F70</f>
        <v>56001.39999999998</v>
      </c>
      <c r="C5" s="3"/>
      <c r="D5" s="3"/>
    </row>
    <row r="6" spans="1:4" ht="12.75">
      <c r="A6" s="3"/>
      <c r="B6" s="3"/>
      <c r="C6" s="3"/>
      <c r="D6" s="3"/>
    </row>
    <row r="7" spans="1:4" ht="12.75">
      <c r="A7" s="4" t="s">
        <v>385</v>
      </c>
      <c r="B7" s="217">
        <f>SUM(B8:B11)</f>
        <v>99310.26000000001</v>
      </c>
      <c r="C7" s="3"/>
      <c r="D7" s="3"/>
    </row>
    <row r="8" spans="1:4" ht="12.75">
      <c r="A8" s="3" t="s">
        <v>386</v>
      </c>
      <c r="B8" s="49">
        <f>Activos!D14</f>
        <v>90156</v>
      </c>
      <c r="C8" s="3"/>
      <c r="D8" s="3"/>
    </row>
    <row r="9" spans="1:4" ht="12.75">
      <c r="A9" s="3" t="s">
        <v>387</v>
      </c>
      <c r="B9" s="10">
        <f>Activos!D29</f>
        <v>8804.16</v>
      </c>
      <c r="C9" s="3"/>
      <c r="D9" s="3"/>
    </row>
    <row r="10" spans="1:4" ht="12.75">
      <c r="A10" s="3" t="s">
        <v>388</v>
      </c>
      <c r="B10" s="49">
        <f>Activos!D36</f>
        <v>250</v>
      </c>
      <c r="C10" s="3"/>
      <c r="D10" s="3"/>
    </row>
    <row r="11" spans="1:4" ht="12.75">
      <c r="A11" s="3" t="s">
        <v>389</v>
      </c>
      <c r="B11" s="10">
        <f>Activos!D53</f>
        <v>100.1</v>
      </c>
      <c r="C11" s="3"/>
      <c r="D11" s="3"/>
    </row>
    <row r="12" spans="1:4" ht="12.75">
      <c r="A12" s="4" t="s">
        <v>390</v>
      </c>
      <c r="B12" s="11">
        <f>SUM(B13:B14)</f>
        <v>1048.5</v>
      </c>
      <c r="C12" s="4" t="s">
        <v>391</v>
      </c>
      <c r="D12" s="3"/>
    </row>
    <row r="13" spans="1:4" ht="12.75">
      <c r="A13" s="3" t="s">
        <v>392</v>
      </c>
      <c r="B13" s="3">
        <f>Activos!D93</f>
        <v>335.5</v>
      </c>
      <c r="C13" s="3"/>
      <c r="D13" s="3"/>
    </row>
    <row r="14" spans="1:5" ht="12.75">
      <c r="A14" s="3" t="s">
        <v>393</v>
      </c>
      <c r="B14" s="3">
        <f>Activos!C108</f>
        <v>713</v>
      </c>
      <c r="C14" s="3" t="s">
        <v>394</v>
      </c>
      <c r="D14" s="220">
        <f>B15-D4</f>
        <v>100358.76</v>
      </c>
      <c r="E14" s="197"/>
    </row>
    <row r="15" spans="1:6" ht="12.75">
      <c r="A15" s="4" t="s">
        <v>395</v>
      </c>
      <c r="B15" s="7">
        <f>B5+B7+B12</f>
        <v>156360.15999999997</v>
      </c>
      <c r="C15" s="4" t="s">
        <v>461</v>
      </c>
      <c r="D15" s="219">
        <f>D4+D14</f>
        <v>156360.15999999997</v>
      </c>
      <c r="F15" s="221">
        <f>D14/B15</f>
        <v>0.6418435488937848</v>
      </c>
    </row>
    <row r="17" spans="1:2" ht="12.75">
      <c r="A17" s="4" t="s">
        <v>396</v>
      </c>
      <c r="B17" s="217">
        <f>B7+B12+B5</f>
        <v>156360.15999999997</v>
      </c>
    </row>
    <row r="18" spans="6:8" ht="12.75">
      <c r="F18" s="292" t="s">
        <v>397</v>
      </c>
      <c r="G18" s="292"/>
      <c r="H18" s="220">
        <f>F29</f>
        <v>56001.39999999998</v>
      </c>
    </row>
    <row r="19" spans="6:8" ht="12.75">
      <c r="F19" s="292" t="s">
        <v>398</v>
      </c>
      <c r="G19" s="292"/>
      <c r="H19" s="3">
        <v>5</v>
      </c>
    </row>
    <row r="20" spans="6:8" ht="12.75">
      <c r="F20" s="309" t="s">
        <v>399</v>
      </c>
      <c r="G20" s="309"/>
      <c r="H20" s="3">
        <v>5</v>
      </c>
    </row>
    <row r="21" spans="2:8" ht="15">
      <c r="B21" s="198" t="s">
        <v>400</v>
      </c>
      <c r="C21" s="198" t="s">
        <v>174</v>
      </c>
      <c r="F21" s="309" t="s">
        <v>401</v>
      </c>
      <c r="G21" s="309"/>
      <c r="H21" s="3"/>
    </row>
    <row r="22" spans="1:8" ht="15">
      <c r="A22" s="199" t="s">
        <v>402</v>
      </c>
      <c r="B22" s="222">
        <f>B15</f>
        <v>156360.15999999997</v>
      </c>
      <c r="C22" s="57">
        <v>1</v>
      </c>
      <c r="F22" s="309" t="s">
        <v>403</v>
      </c>
      <c r="G22" s="309"/>
      <c r="H22" s="57">
        <v>0.12</v>
      </c>
    </row>
    <row r="23" spans="1:8" ht="15">
      <c r="A23" s="199" t="s">
        <v>404</v>
      </c>
      <c r="B23" s="222">
        <f>D14</f>
        <v>100358.76</v>
      </c>
      <c r="C23" s="57">
        <f>B23/B22</f>
        <v>0.6418435488937848</v>
      </c>
      <c r="H23" s="15"/>
    </row>
    <row r="24" spans="1:8" ht="15">
      <c r="A24" s="199" t="s">
        <v>384</v>
      </c>
      <c r="B24" s="222">
        <f>D4</f>
        <v>56001.39999999998</v>
      </c>
      <c r="C24" s="57">
        <f>B5/B15</f>
        <v>0.35815645110621525</v>
      </c>
      <c r="H24" s="200"/>
    </row>
    <row r="27" spans="1:6" ht="12.75">
      <c r="A27" s="237" t="s">
        <v>405</v>
      </c>
      <c r="B27" s="237"/>
      <c r="C27" s="237"/>
      <c r="D27" s="237"/>
      <c r="E27" s="237"/>
      <c r="F27" s="237"/>
    </row>
    <row r="28" spans="1:6" ht="12.75">
      <c r="A28" s="1" t="s">
        <v>406</v>
      </c>
      <c r="B28" s="1" t="s">
        <v>407</v>
      </c>
      <c r="C28" s="1" t="s">
        <v>408</v>
      </c>
      <c r="D28" s="1" t="s">
        <v>409</v>
      </c>
      <c r="E28" s="1" t="s">
        <v>410</v>
      </c>
      <c r="F28" s="1" t="s">
        <v>411</v>
      </c>
    </row>
    <row r="29" spans="1:6" ht="12.75">
      <c r="A29" s="1" t="s">
        <v>321</v>
      </c>
      <c r="B29" s="3"/>
      <c r="C29" s="3"/>
      <c r="D29" s="3"/>
      <c r="E29" s="3"/>
      <c r="F29" s="220">
        <f>D4</f>
        <v>56001.39999999998</v>
      </c>
    </row>
    <row r="30" spans="1:6" ht="12.75">
      <c r="A30" s="1" t="s">
        <v>140</v>
      </c>
      <c r="B30" s="10">
        <f>PMT(H22,H20,-H18)</f>
        <v>15535.333362323443</v>
      </c>
      <c r="C30" s="10">
        <f>F29*$H$22</f>
        <v>6720.167999999997</v>
      </c>
      <c r="D30" s="10">
        <f>B30-C30</f>
        <v>8815.165362323445</v>
      </c>
      <c r="E30" s="10">
        <f>D30</f>
        <v>8815.165362323445</v>
      </c>
      <c r="F30" s="220">
        <f>F29-D30</f>
        <v>47186.234637676534</v>
      </c>
    </row>
    <row r="31" spans="1:6" ht="12.75">
      <c r="A31" s="1" t="s">
        <v>141</v>
      </c>
      <c r="B31" s="10">
        <f>B30</f>
        <v>15535.333362323443</v>
      </c>
      <c r="C31" s="10">
        <f>F30*H22</f>
        <v>5662.348156521184</v>
      </c>
      <c r="D31" s="10">
        <f>B31-C31</f>
        <v>9872.985205802259</v>
      </c>
      <c r="E31" s="10">
        <f>D31</f>
        <v>9872.985205802259</v>
      </c>
      <c r="F31" s="220">
        <f>F30-D31</f>
        <v>37313.249431874276</v>
      </c>
    </row>
    <row r="32" spans="1:6" ht="12.75">
      <c r="A32" s="1" t="s">
        <v>142</v>
      </c>
      <c r="B32" s="10">
        <f>B30</f>
        <v>15535.333362323443</v>
      </c>
      <c r="C32" s="10">
        <f>F31*H22</f>
        <v>4477.589931824913</v>
      </c>
      <c r="D32" s="10">
        <f>B32-C32</f>
        <v>11057.743430498529</v>
      </c>
      <c r="E32" s="10">
        <f>D32</f>
        <v>11057.743430498529</v>
      </c>
      <c r="F32" s="220">
        <f>F31-D32</f>
        <v>26255.506001375747</v>
      </c>
    </row>
    <row r="33" spans="1:6" ht="12.75">
      <c r="A33" s="1" t="s">
        <v>143</v>
      </c>
      <c r="B33" s="10">
        <f>B30</f>
        <v>15535.333362323443</v>
      </c>
      <c r="C33" s="10">
        <f>F32*H22</f>
        <v>3150.6607201650895</v>
      </c>
      <c r="D33" s="10">
        <f>B33-C33</f>
        <v>12384.672642158353</v>
      </c>
      <c r="E33" s="10">
        <f>D33</f>
        <v>12384.672642158353</v>
      </c>
      <c r="F33" s="220">
        <f>F32-D33</f>
        <v>13870.833359217393</v>
      </c>
    </row>
    <row r="34" spans="1:6" ht="12.75">
      <c r="A34" s="1" t="s">
        <v>144</v>
      </c>
      <c r="B34" s="10">
        <f>B30</f>
        <v>15535.333362323443</v>
      </c>
      <c r="C34" s="10">
        <f>F33*H22</f>
        <v>1664.5000031060872</v>
      </c>
      <c r="D34" s="10">
        <f>B34-C34</f>
        <v>13870.833359217355</v>
      </c>
      <c r="E34" s="10">
        <f>D34</f>
        <v>13870.833359217355</v>
      </c>
      <c r="F34" s="219">
        <f>F33-D34</f>
        <v>3.8198777474462986E-11</v>
      </c>
    </row>
  </sheetData>
  <sheetProtection/>
  <mergeCells count="7">
    <mergeCell ref="F21:G21"/>
    <mergeCell ref="F22:G22"/>
    <mergeCell ref="A27:F27"/>
    <mergeCell ref="A1:D1"/>
    <mergeCell ref="F18:G18"/>
    <mergeCell ref="F19:G19"/>
    <mergeCell ref="F20:G20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20.28125" style="0" customWidth="1"/>
    <col min="2" max="2" width="20.421875" style="0" bestFit="1" customWidth="1"/>
    <col min="3" max="3" width="13.57421875" style="0" customWidth="1"/>
    <col min="4" max="4" width="20.421875" style="0" bestFit="1" customWidth="1"/>
  </cols>
  <sheetData>
    <row r="1" spans="1:7" ht="12.75">
      <c r="A1" s="243"/>
      <c r="B1" s="243"/>
      <c r="C1" s="223"/>
      <c r="D1" s="223"/>
      <c r="E1" s="223"/>
      <c r="F1" s="223"/>
      <c r="G1" s="223"/>
    </row>
    <row r="2" spans="1:7" ht="12.75">
      <c r="A2" s="243" t="s">
        <v>462</v>
      </c>
      <c r="B2" s="243"/>
      <c r="C2" s="243"/>
      <c r="D2" s="243"/>
      <c r="E2" s="243"/>
      <c r="F2" s="223"/>
      <c r="G2" s="223"/>
    </row>
    <row r="3" spans="1:7" ht="12.75">
      <c r="A3" s="13"/>
      <c r="B3" s="310"/>
      <c r="C3" s="310"/>
      <c r="D3" s="310"/>
      <c r="E3" s="310"/>
      <c r="F3" s="13"/>
      <c r="G3" s="223"/>
    </row>
    <row r="4" spans="1:7" ht="12.75">
      <c r="A4" s="13"/>
      <c r="B4" s="310"/>
      <c r="C4" s="310"/>
      <c r="D4" s="310"/>
      <c r="E4" s="310"/>
      <c r="F4" s="13"/>
      <c r="G4" s="223"/>
    </row>
    <row r="5" spans="1:7" ht="12.75">
      <c r="A5" s="13" t="s">
        <v>463</v>
      </c>
      <c r="B5" s="13">
        <v>0.34</v>
      </c>
      <c r="C5" s="13">
        <v>0.44</v>
      </c>
      <c r="D5" s="13">
        <v>0.6</v>
      </c>
      <c r="E5" s="13">
        <v>0.54</v>
      </c>
      <c r="F5" s="13"/>
      <c r="G5" s="223"/>
    </row>
    <row r="6" spans="1:7" ht="12.75">
      <c r="A6" s="13" t="s">
        <v>464</v>
      </c>
      <c r="B6" s="13">
        <v>16.5</v>
      </c>
      <c r="C6" s="13">
        <v>11.2</v>
      </c>
      <c r="D6" s="13">
        <v>4.3</v>
      </c>
      <c r="E6" s="13">
        <v>2.5</v>
      </c>
      <c r="F6" s="13">
        <f>SUM(B6:E6)</f>
        <v>34.5</v>
      </c>
      <c r="G6" s="223"/>
    </row>
    <row r="7" spans="1:7" ht="12.75">
      <c r="A7" s="13"/>
      <c r="B7" s="13"/>
      <c r="C7" s="13"/>
      <c r="D7" s="13"/>
      <c r="E7" s="13"/>
      <c r="F7" s="13"/>
      <c r="G7" s="223"/>
    </row>
    <row r="8" spans="1:7" ht="12.75">
      <c r="A8" s="310" t="s">
        <v>465</v>
      </c>
      <c r="B8" s="13"/>
      <c r="C8" s="13"/>
      <c r="D8" s="13"/>
      <c r="E8" s="13"/>
      <c r="F8" s="11" t="s">
        <v>413</v>
      </c>
      <c r="G8" s="223"/>
    </row>
    <row r="9" spans="1:7" ht="12.75">
      <c r="A9" s="310" t="s">
        <v>465</v>
      </c>
      <c r="B9" s="13">
        <f>B5*(B6/F6)</f>
        <v>0.16260869565217392</v>
      </c>
      <c r="C9" s="13">
        <f>C5*(C6/F6)</f>
        <v>0.1428405797101449</v>
      </c>
      <c r="D9" s="13">
        <f>D5*(D6/F6)</f>
        <v>0.07478260869565216</v>
      </c>
      <c r="E9" s="13">
        <f>E5*(E6/F6)</f>
        <v>0.0391304347826087</v>
      </c>
      <c r="F9" s="13">
        <f>SUM(B9:E9)</f>
        <v>0.4193623188405797</v>
      </c>
      <c r="G9" s="223"/>
    </row>
    <row r="10" spans="1:7" ht="12.75">
      <c r="A10" s="223"/>
      <c r="B10" s="224"/>
      <c r="C10" s="223"/>
      <c r="D10" s="223"/>
      <c r="E10" s="223"/>
      <c r="F10" s="223"/>
      <c r="G10" s="223"/>
    </row>
    <row r="11" spans="1:7" ht="12.75">
      <c r="A11" s="223"/>
      <c r="B11" s="223"/>
      <c r="C11" s="223"/>
      <c r="D11" s="223"/>
      <c r="E11" s="223"/>
      <c r="F11" s="223"/>
      <c r="G11" s="223"/>
    </row>
    <row r="12" spans="1:7" ht="12.75">
      <c r="A12" s="223"/>
      <c r="B12" s="225"/>
      <c r="C12" s="223"/>
      <c r="D12" s="223"/>
      <c r="E12" s="223"/>
      <c r="F12" s="223"/>
      <c r="G12" s="223"/>
    </row>
    <row r="13" spans="1:2" ht="12.75">
      <c r="A13" s="311" t="s">
        <v>412</v>
      </c>
      <c r="B13" s="311"/>
    </row>
    <row r="14" spans="1:2" ht="12.75">
      <c r="A14" s="3" t="s">
        <v>413</v>
      </c>
      <c r="B14" s="3">
        <f>F9</f>
        <v>0.4193623188405797</v>
      </c>
    </row>
    <row r="15" spans="1:2" ht="12.75">
      <c r="A15" s="3" t="s">
        <v>414</v>
      </c>
      <c r="B15" s="201">
        <f>'Est. de Sit. Actual'!D4/'Est. de Sit. Actual'!B15</f>
        <v>0.35815645110621525</v>
      </c>
    </row>
    <row r="16" spans="1:6" ht="12.75">
      <c r="A16" s="3" t="s">
        <v>415</v>
      </c>
      <c r="B16" s="57">
        <f>1-B15</f>
        <v>0.6418435488937848</v>
      </c>
      <c r="D16">
        <f>810</f>
        <v>810</v>
      </c>
      <c r="F16" t="s">
        <v>416</v>
      </c>
    </row>
    <row r="17" spans="1:6" ht="12.75">
      <c r="A17" s="3" t="s">
        <v>417</v>
      </c>
      <c r="B17" s="122">
        <f>E17</f>
        <v>0.081</v>
      </c>
      <c r="C17" s="3" t="s">
        <v>418</v>
      </c>
      <c r="D17">
        <f>D16/100</f>
        <v>8.1</v>
      </c>
      <c r="E17" s="202">
        <f>D17/100</f>
        <v>0.081</v>
      </c>
      <c r="F17" t="s">
        <v>419</v>
      </c>
    </row>
    <row r="18" spans="1:6" ht="12.75">
      <c r="A18" s="3" t="s">
        <v>420</v>
      </c>
      <c r="B18" s="203">
        <v>0.0479</v>
      </c>
      <c r="D18">
        <v>4.79</v>
      </c>
      <c r="E18" s="204">
        <f>D18/100</f>
        <v>0.0479</v>
      </c>
      <c r="F18" t="s">
        <v>421</v>
      </c>
    </row>
    <row r="19" spans="1:6" ht="12.75">
      <c r="A19" s="3" t="s">
        <v>422</v>
      </c>
      <c r="B19" s="3">
        <v>0.06601</v>
      </c>
      <c r="F19" t="s">
        <v>423</v>
      </c>
    </row>
    <row r="20" spans="1:2" ht="12.75">
      <c r="A20" s="13" t="s">
        <v>424</v>
      </c>
      <c r="B20" s="57">
        <f>'Est. de Sit. Actual'!H22</f>
        <v>0.12</v>
      </c>
    </row>
    <row r="21" spans="1:6" ht="12.75">
      <c r="A21" s="13" t="s">
        <v>425</v>
      </c>
      <c r="B21" s="57">
        <v>0.25</v>
      </c>
      <c r="F21" s="115" t="s">
        <v>365</v>
      </c>
    </row>
    <row r="22" spans="1:6" ht="12.75">
      <c r="A22" s="13" t="s">
        <v>426</v>
      </c>
      <c r="B22" s="57">
        <f>1-B21</f>
        <v>0.75</v>
      </c>
      <c r="F22" t="s">
        <v>427</v>
      </c>
    </row>
    <row r="23" spans="1:2" ht="12.75">
      <c r="A23" s="13"/>
      <c r="B23" s="3"/>
    </row>
    <row r="24" spans="1:2" ht="12.75">
      <c r="A24" s="3" t="s">
        <v>420</v>
      </c>
      <c r="B24" s="122">
        <f>B17+B18</f>
        <v>0.12890000000000001</v>
      </c>
    </row>
    <row r="25" spans="1:2" ht="12.75">
      <c r="A25" s="3" t="s">
        <v>428</v>
      </c>
      <c r="B25" s="205">
        <f>B19-B18</f>
        <v>0.01811</v>
      </c>
    </row>
    <row r="26" spans="1:4" ht="12.75">
      <c r="A26" s="227" t="s">
        <v>429</v>
      </c>
      <c r="B26" s="226">
        <f>B24+B14*B25</f>
        <v>0.1364946515942029</v>
      </c>
      <c r="C26" s="232" t="s">
        <v>470</v>
      </c>
      <c r="D26" t="s">
        <v>430</v>
      </c>
    </row>
    <row r="27" spans="1:4" ht="12.75">
      <c r="A27" s="227" t="s">
        <v>431</v>
      </c>
      <c r="B27" s="226">
        <f>(B20*B22*B15)+(B16*B26)</f>
        <v>0.11984229218380327</v>
      </c>
      <c r="C27" s="180">
        <f>B27</f>
        <v>0.11984229218380327</v>
      </c>
      <c r="D27" t="s">
        <v>432</v>
      </c>
    </row>
    <row r="31" ht="12.75">
      <c r="C31" s="221"/>
    </row>
    <row r="32" ht="12.75">
      <c r="D32" s="236"/>
    </row>
    <row r="34" ht="12.75">
      <c r="D34" s="221">
        <f>+B26+B17</f>
        <v>0.2174946515942029</v>
      </c>
    </row>
  </sheetData>
  <sheetProtection/>
  <mergeCells count="8">
    <mergeCell ref="A8:A9"/>
    <mergeCell ref="A13:B13"/>
    <mergeCell ref="A1:B1"/>
    <mergeCell ref="A2:E2"/>
    <mergeCell ref="B3:B4"/>
    <mergeCell ref="C3:C4"/>
    <mergeCell ref="D3:D4"/>
    <mergeCell ref="E3:E4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8.7109375" style="0" customWidth="1"/>
    <col min="3" max="3" width="12.28125" style="0" customWidth="1"/>
  </cols>
  <sheetData>
    <row r="1" spans="1:7" ht="12.75">
      <c r="A1" s="237" t="s">
        <v>433</v>
      </c>
      <c r="B1" s="237"/>
      <c r="C1" s="237"/>
      <c r="D1" s="237"/>
      <c r="E1" s="237"/>
      <c r="F1" s="237"/>
      <c r="G1" s="237"/>
    </row>
    <row r="2" spans="1:7" ht="12.75">
      <c r="A2" s="298" t="s">
        <v>381</v>
      </c>
      <c r="B2" s="298" t="s">
        <v>434</v>
      </c>
      <c r="C2" s="298" t="s">
        <v>435</v>
      </c>
      <c r="D2" s="298" t="s">
        <v>436</v>
      </c>
      <c r="E2" s="298" t="s">
        <v>437</v>
      </c>
      <c r="F2" s="298" t="s">
        <v>438</v>
      </c>
      <c r="G2" s="298" t="s">
        <v>439</v>
      </c>
    </row>
    <row r="3" spans="1:7" ht="12.75">
      <c r="A3" s="298"/>
      <c r="B3" s="298"/>
      <c r="C3" s="298"/>
      <c r="D3" s="298"/>
      <c r="E3" s="298"/>
      <c r="F3" s="298"/>
      <c r="G3" s="298"/>
    </row>
    <row r="4" spans="1:7" ht="12.75">
      <c r="A4" s="13" t="s">
        <v>200</v>
      </c>
      <c r="B4" s="10">
        <f>Activos!D5</f>
        <v>44316</v>
      </c>
      <c r="C4" s="3">
        <v>5</v>
      </c>
      <c r="D4" s="10">
        <f aca="true" t="shared" si="0" ref="D4:D18">B4/C4</f>
        <v>8863.2</v>
      </c>
      <c r="E4" s="3">
        <v>5</v>
      </c>
      <c r="F4" s="10">
        <f aca="true" t="shared" si="1" ref="F4:F18">D4*E4</f>
        <v>44316</v>
      </c>
      <c r="G4" s="10">
        <f aca="true" t="shared" si="2" ref="G4:G18">B4-F4</f>
        <v>0</v>
      </c>
    </row>
    <row r="5" spans="1:7" ht="12.75">
      <c r="A5" s="27" t="s">
        <v>101</v>
      </c>
      <c r="B5" s="10">
        <f>Activos!D6</f>
        <v>10400</v>
      </c>
      <c r="C5" s="3">
        <v>10</v>
      </c>
      <c r="D5" s="10">
        <f t="shared" si="0"/>
        <v>1040</v>
      </c>
      <c r="E5" s="3">
        <v>5</v>
      </c>
      <c r="F5" s="10">
        <f t="shared" si="1"/>
        <v>5200</v>
      </c>
      <c r="G5" s="10">
        <f t="shared" si="2"/>
        <v>5200</v>
      </c>
    </row>
    <row r="6" spans="1:7" ht="12.75">
      <c r="A6" s="27" t="s">
        <v>471</v>
      </c>
      <c r="B6" s="10">
        <f>Activos!D7</f>
        <v>5600</v>
      </c>
      <c r="C6" s="3">
        <v>10</v>
      </c>
      <c r="D6" s="10">
        <f>B6/C6</f>
        <v>560</v>
      </c>
      <c r="E6" s="3">
        <v>5</v>
      </c>
      <c r="F6" s="10">
        <f>D6*E6</f>
        <v>2800</v>
      </c>
      <c r="G6" s="10">
        <f>B6-F6</f>
        <v>2800</v>
      </c>
    </row>
    <row r="7" spans="1:7" ht="12.75">
      <c r="A7" s="3" t="s">
        <v>166</v>
      </c>
      <c r="B7" s="10">
        <f>Activos!D8</f>
        <v>2500</v>
      </c>
      <c r="C7" s="3">
        <v>10</v>
      </c>
      <c r="D7" s="10">
        <f t="shared" si="0"/>
        <v>250</v>
      </c>
      <c r="E7" s="3">
        <v>5</v>
      </c>
      <c r="F7" s="10">
        <f t="shared" si="1"/>
        <v>1250</v>
      </c>
      <c r="G7" s="10">
        <f t="shared" si="2"/>
        <v>1250</v>
      </c>
    </row>
    <row r="8" spans="1:7" ht="12.75">
      <c r="A8" s="3" t="s">
        <v>98</v>
      </c>
      <c r="B8" s="10">
        <f>Activos!D9</f>
        <v>3200</v>
      </c>
      <c r="C8" s="3">
        <v>10</v>
      </c>
      <c r="D8" s="10">
        <f t="shared" si="0"/>
        <v>320</v>
      </c>
      <c r="E8" s="3">
        <v>5</v>
      </c>
      <c r="F8" s="10">
        <f t="shared" si="1"/>
        <v>1600</v>
      </c>
      <c r="G8" s="10">
        <f t="shared" si="2"/>
        <v>1600</v>
      </c>
    </row>
    <row r="9" spans="1:7" ht="12.75">
      <c r="A9" s="3" t="s">
        <v>440</v>
      </c>
      <c r="B9" s="49">
        <f>Activos!D11</f>
        <v>4500</v>
      </c>
      <c r="C9" s="3">
        <v>10</v>
      </c>
      <c r="D9" s="10">
        <f t="shared" si="0"/>
        <v>450</v>
      </c>
      <c r="E9" s="3">
        <v>5</v>
      </c>
      <c r="F9" s="10">
        <f t="shared" si="1"/>
        <v>2250</v>
      </c>
      <c r="G9" s="10">
        <f t="shared" si="2"/>
        <v>2250</v>
      </c>
    </row>
    <row r="10" spans="1:7" ht="12.75">
      <c r="A10" s="3" t="s">
        <v>441</v>
      </c>
      <c r="B10" s="49">
        <f>Activos!D10</f>
        <v>6800</v>
      </c>
      <c r="C10" s="3">
        <v>10</v>
      </c>
      <c r="D10" s="10">
        <f t="shared" si="0"/>
        <v>680</v>
      </c>
      <c r="E10" s="3">
        <v>5</v>
      </c>
      <c r="F10" s="10">
        <f t="shared" si="1"/>
        <v>3400</v>
      </c>
      <c r="G10" s="10">
        <f t="shared" si="2"/>
        <v>3400</v>
      </c>
    </row>
    <row r="11" spans="1:7" ht="12.75">
      <c r="A11" s="13" t="s">
        <v>466</v>
      </c>
      <c r="B11" s="49">
        <f>Activos!D12</f>
        <v>12000</v>
      </c>
      <c r="C11" s="3">
        <v>10</v>
      </c>
      <c r="D11" s="10">
        <f t="shared" si="0"/>
        <v>1200</v>
      </c>
      <c r="E11" s="3">
        <v>5</v>
      </c>
      <c r="F11" s="10">
        <f t="shared" si="1"/>
        <v>6000</v>
      </c>
      <c r="G11" s="10">
        <f t="shared" si="2"/>
        <v>6000</v>
      </c>
    </row>
    <row r="12" spans="1:7" ht="12.75">
      <c r="A12" s="3" t="s">
        <v>203</v>
      </c>
      <c r="B12" s="10">
        <f>Activos!D20</f>
        <v>3914.16</v>
      </c>
      <c r="C12" s="3">
        <v>3</v>
      </c>
      <c r="D12" s="10">
        <f t="shared" si="0"/>
        <v>1304.72</v>
      </c>
      <c r="E12" s="3">
        <v>5</v>
      </c>
      <c r="F12" s="10">
        <f t="shared" si="1"/>
        <v>6523.6</v>
      </c>
      <c r="G12" s="10">
        <f t="shared" si="2"/>
        <v>-2609.4400000000005</v>
      </c>
    </row>
    <row r="13" spans="1:7" ht="12.75">
      <c r="A13" s="3" t="s">
        <v>57</v>
      </c>
      <c r="B13" s="49">
        <f>Activos!D21</f>
        <v>160</v>
      </c>
      <c r="C13" s="3">
        <v>10</v>
      </c>
      <c r="D13" s="10">
        <f t="shared" si="0"/>
        <v>16</v>
      </c>
      <c r="E13" s="3">
        <v>5</v>
      </c>
      <c r="F13" s="10">
        <f t="shared" si="1"/>
        <v>80</v>
      </c>
      <c r="G13" s="10">
        <f t="shared" si="2"/>
        <v>80</v>
      </c>
    </row>
    <row r="14" spans="1:7" ht="12.75">
      <c r="A14" s="3" t="s">
        <v>58</v>
      </c>
      <c r="B14" s="49">
        <f>Activos!D22</f>
        <v>480</v>
      </c>
      <c r="C14" s="3">
        <v>10</v>
      </c>
      <c r="D14" s="10">
        <f t="shared" si="0"/>
        <v>48</v>
      </c>
      <c r="E14" s="3">
        <v>5</v>
      </c>
      <c r="F14" s="10">
        <f t="shared" si="1"/>
        <v>240</v>
      </c>
      <c r="G14" s="10">
        <f t="shared" si="2"/>
        <v>240</v>
      </c>
    </row>
    <row r="15" spans="1:7" ht="12.75">
      <c r="A15" s="3" t="s">
        <v>59</v>
      </c>
      <c r="B15" s="49">
        <f>Activos!D24</f>
        <v>150</v>
      </c>
      <c r="C15" s="3">
        <v>10</v>
      </c>
      <c r="D15" s="10">
        <f t="shared" si="0"/>
        <v>15</v>
      </c>
      <c r="E15" s="3">
        <v>5</v>
      </c>
      <c r="F15" s="10">
        <f t="shared" si="1"/>
        <v>75</v>
      </c>
      <c r="G15" s="10">
        <f t="shared" si="2"/>
        <v>75</v>
      </c>
    </row>
    <row r="16" spans="1:7" ht="12.75">
      <c r="A16" s="3" t="s">
        <v>60</v>
      </c>
      <c r="B16" s="49">
        <f>Activos!D26</f>
        <v>315</v>
      </c>
      <c r="C16" s="3">
        <v>10</v>
      </c>
      <c r="D16" s="10">
        <f t="shared" si="0"/>
        <v>31.5</v>
      </c>
      <c r="E16" s="3">
        <v>5</v>
      </c>
      <c r="F16" s="10">
        <f t="shared" si="1"/>
        <v>157.5</v>
      </c>
      <c r="G16" s="10">
        <f t="shared" si="2"/>
        <v>157.5</v>
      </c>
    </row>
    <row r="17" spans="1:7" ht="12.75">
      <c r="A17" s="3" t="s">
        <v>62</v>
      </c>
      <c r="B17" s="49">
        <f>Activos!D27</f>
        <v>90</v>
      </c>
      <c r="C17" s="3">
        <v>10</v>
      </c>
      <c r="D17" s="10">
        <f t="shared" si="0"/>
        <v>9</v>
      </c>
      <c r="E17" s="3">
        <v>5</v>
      </c>
      <c r="F17" s="10">
        <f t="shared" si="1"/>
        <v>45</v>
      </c>
      <c r="G17" s="10">
        <f t="shared" si="2"/>
        <v>45</v>
      </c>
    </row>
    <row r="18" spans="1:7" ht="12.75">
      <c r="A18" s="3" t="s">
        <v>205</v>
      </c>
      <c r="B18" s="10">
        <f>Activos!D28</f>
        <v>3510</v>
      </c>
      <c r="C18" s="3">
        <v>10</v>
      </c>
      <c r="D18" s="10">
        <f t="shared" si="0"/>
        <v>351</v>
      </c>
      <c r="E18" s="3">
        <v>5</v>
      </c>
      <c r="F18" s="10">
        <f t="shared" si="1"/>
        <v>1755</v>
      </c>
      <c r="G18" s="10">
        <f t="shared" si="2"/>
        <v>1755</v>
      </c>
    </row>
    <row r="19" spans="2:7" ht="12.75">
      <c r="B19" s="238" t="s">
        <v>442</v>
      </c>
      <c r="C19" s="238"/>
      <c r="D19" s="8">
        <f>SUM(D4:D18)</f>
        <v>15138.42</v>
      </c>
      <c r="E19" s="238" t="s">
        <v>341</v>
      </c>
      <c r="F19" s="238"/>
      <c r="G19" s="8">
        <f>SUM(G4:G18)</f>
        <v>22243.059999999998</v>
      </c>
    </row>
    <row r="22" spans="1:7" ht="12.75">
      <c r="A22" s="237" t="s">
        <v>467</v>
      </c>
      <c r="B22" s="237"/>
      <c r="C22" s="237"/>
      <c r="D22" s="237"/>
      <c r="E22" s="237"/>
      <c r="F22" s="237"/>
      <c r="G22" s="237"/>
    </row>
    <row r="23" spans="1:7" ht="12.75">
      <c r="A23" s="1" t="s">
        <v>468</v>
      </c>
      <c r="B23" s="1" t="s">
        <v>469</v>
      </c>
      <c r="C23" s="1" t="s">
        <v>140</v>
      </c>
      <c r="D23" s="1" t="s">
        <v>141</v>
      </c>
      <c r="E23" s="1" t="s">
        <v>142</v>
      </c>
      <c r="F23" s="1" t="s">
        <v>143</v>
      </c>
      <c r="G23" s="1" t="s">
        <v>144</v>
      </c>
    </row>
    <row r="24" spans="1:7" ht="12.75">
      <c r="A24" s="3" t="str">
        <f>Activos!A114</f>
        <v>Gastos de Constitución</v>
      </c>
      <c r="B24" s="3">
        <f>Activos!C114</f>
        <v>335.5</v>
      </c>
      <c r="C24" s="3">
        <f>B24/5</f>
        <v>67.1</v>
      </c>
      <c r="D24" s="3">
        <f>B24/5</f>
        <v>67.1</v>
      </c>
      <c r="E24" s="3">
        <f>B24/5</f>
        <v>67.1</v>
      </c>
      <c r="F24" s="3">
        <f>B24/5</f>
        <v>67.1</v>
      </c>
      <c r="G24" s="3">
        <f>B24/5</f>
        <v>67.1</v>
      </c>
    </row>
    <row r="25" spans="1:7" ht="12.75">
      <c r="A25" s="3" t="str">
        <f>Activos!A115</f>
        <v>Gastos de Funcionamiento</v>
      </c>
      <c r="B25" s="3">
        <f>Activos!C115</f>
        <v>713</v>
      </c>
      <c r="C25" s="3">
        <f>B25/5</f>
        <v>142.6</v>
      </c>
      <c r="D25" s="3">
        <f>B25/5</f>
        <v>142.6</v>
      </c>
      <c r="E25" s="3">
        <f>B25/5</f>
        <v>142.6</v>
      </c>
      <c r="F25" s="3">
        <f>B25/5</f>
        <v>142.6</v>
      </c>
      <c r="G25" s="3">
        <f>B25/5</f>
        <v>142.6</v>
      </c>
    </row>
    <row r="26" spans="1:7" ht="12.75">
      <c r="A26" s="211" t="s">
        <v>247</v>
      </c>
      <c r="B26" s="210">
        <f aca="true" t="shared" si="3" ref="B26:G26">SUM(B24:B25)</f>
        <v>1048.5</v>
      </c>
      <c r="C26" s="3">
        <f t="shared" si="3"/>
        <v>209.7</v>
      </c>
      <c r="D26" s="3">
        <f t="shared" si="3"/>
        <v>209.7</v>
      </c>
      <c r="E26" s="3">
        <f t="shared" si="3"/>
        <v>209.7</v>
      </c>
      <c r="F26" s="3">
        <f t="shared" si="3"/>
        <v>209.7</v>
      </c>
      <c r="G26" s="3">
        <f t="shared" si="3"/>
        <v>209.7</v>
      </c>
    </row>
  </sheetData>
  <sheetProtection/>
  <mergeCells count="11">
    <mergeCell ref="G2:G3"/>
    <mergeCell ref="A22:G22"/>
    <mergeCell ref="B19:C19"/>
    <mergeCell ref="E19:F19"/>
    <mergeCell ref="A1:G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" footer="0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6">
      <selection activeCell="L31" sqref="L31"/>
    </sheetView>
  </sheetViews>
  <sheetFormatPr defaultColWidth="11.421875" defaultRowHeight="12.75"/>
  <cols>
    <col min="1" max="1" width="25.00390625" style="0" customWidth="1"/>
    <col min="2" max="2" width="13.8515625" style="0" customWidth="1"/>
    <col min="3" max="3" width="13.28125" style="0" bestFit="1" customWidth="1"/>
    <col min="6" max="6" width="24.421875" style="0" customWidth="1"/>
    <col min="7" max="7" width="14.28125" style="0" customWidth="1"/>
    <col min="10" max="10" width="24.140625" style="0" customWidth="1"/>
    <col min="11" max="11" width="13.8515625" style="0" customWidth="1"/>
  </cols>
  <sheetData>
    <row r="1" spans="1:8" ht="12.75">
      <c r="A1" s="144" t="s">
        <v>39</v>
      </c>
      <c r="B1" s="1" t="s">
        <v>321</v>
      </c>
      <c r="C1" s="1" t="s">
        <v>140</v>
      </c>
      <c r="F1" s="3"/>
      <c r="G1" s="1"/>
      <c r="H1" s="1" t="s">
        <v>140</v>
      </c>
    </row>
    <row r="2" spans="1:8" ht="12.75">
      <c r="A2" s="11" t="s">
        <v>322</v>
      </c>
      <c r="B2" s="3"/>
      <c r="C2" s="10">
        <f>H2*H3</f>
        <v>270658.46453098743</v>
      </c>
      <c r="F2" s="3" t="s">
        <v>255</v>
      </c>
      <c r="G2" s="3" t="s">
        <v>443</v>
      </c>
      <c r="H2" s="162">
        <f>C3/H3</f>
        <v>96663.73733249551</v>
      </c>
    </row>
    <row r="3" spans="1:8" ht="12.75">
      <c r="A3" s="11" t="s">
        <v>323</v>
      </c>
      <c r="B3" s="3"/>
      <c r="C3" s="7">
        <f>C6+C7+C8</f>
        <v>270658.46453098743</v>
      </c>
      <c r="F3" s="3" t="s">
        <v>444</v>
      </c>
      <c r="G3" s="3"/>
      <c r="H3">
        <f>Poblacion!C22+Poblacion!C23+Poblacion!C24/3</f>
        <v>2.8</v>
      </c>
    </row>
    <row r="4" spans="1:7" ht="12.75">
      <c r="A4" s="50" t="s">
        <v>324</v>
      </c>
      <c r="B4" s="3"/>
      <c r="C4" s="3">
        <f>Costos!F7+Costos!F17+Costos!F24+Costos!E31+Costos!$F$37</f>
        <v>89614.08</v>
      </c>
      <c r="F4" s="3" t="s">
        <v>445</v>
      </c>
      <c r="G4" s="3"/>
    </row>
    <row r="5" spans="1:3" ht="12.75">
      <c r="A5" s="50" t="s">
        <v>325</v>
      </c>
      <c r="B5" s="3"/>
      <c r="C5" s="10">
        <f>Costos!$B$54</f>
        <v>35925.98453098745</v>
      </c>
    </row>
    <row r="6" spans="1:3" ht="12.75">
      <c r="A6" s="11" t="s">
        <v>326</v>
      </c>
      <c r="B6" s="3"/>
      <c r="C6" s="4">
        <f>SUM(C4:C5)</f>
        <v>125540.06453098745</v>
      </c>
    </row>
    <row r="7" spans="1:3" ht="12.75">
      <c r="A7" s="13" t="s">
        <v>327</v>
      </c>
      <c r="B7" s="10"/>
      <c r="C7" s="10">
        <f>Gastos!$G$21</f>
        <v>128438.4</v>
      </c>
    </row>
    <row r="8" spans="1:3" ht="12.75">
      <c r="A8" s="13" t="s">
        <v>328</v>
      </c>
      <c r="B8" s="3"/>
      <c r="C8" s="3">
        <f>Gastos!$H$47</f>
        <v>16680</v>
      </c>
    </row>
    <row r="9" spans="1:3" ht="12.75">
      <c r="A9" s="50" t="s">
        <v>446</v>
      </c>
      <c r="B9" s="3"/>
      <c r="C9" s="7">
        <f>C2-C3</f>
        <v>0</v>
      </c>
    </row>
    <row r="10" spans="1:3" ht="12.75">
      <c r="A10" s="206"/>
      <c r="B10" s="15"/>
      <c r="C10" s="15"/>
    </row>
    <row r="11" spans="1:8" ht="12.75">
      <c r="A11" s="207"/>
      <c r="B11" s="208"/>
      <c r="C11" s="208"/>
      <c r="D11" s="208"/>
      <c r="E11" s="208"/>
      <c r="F11" s="208"/>
      <c r="G11" s="208"/>
      <c r="H11" s="208"/>
    </row>
    <row r="12" spans="1:3" ht="12.75">
      <c r="A12" s="206"/>
      <c r="B12" s="15"/>
      <c r="C12" s="15"/>
    </row>
    <row r="14" spans="1:12" ht="12.75">
      <c r="A14" s="244" t="s">
        <v>120</v>
      </c>
      <c r="B14" s="244"/>
      <c r="C14" s="244"/>
      <c r="F14" s="244" t="s">
        <v>123</v>
      </c>
      <c r="G14" s="244"/>
      <c r="H14" s="244"/>
      <c r="J14" s="237" t="s">
        <v>118</v>
      </c>
      <c r="K14" s="237"/>
      <c r="L14" s="237"/>
    </row>
    <row r="16" spans="1:12" ht="12.75">
      <c r="A16" s="3"/>
      <c r="B16" s="1"/>
      <c r="C16" s="1" t="s">
        <v>140</v>
      </c>
      <c r="F16" s="3"/>
      <c r="G16" s="1"/>
      <c r="H16" s="1" t="s">
        <v>140</v>
      </c>
      <c r="J16" s="3"/>
      <c r="K16" s="1"/>
      <c r="L16" s="1" t="s">
        <v>140</v>
      </c>
    </row>
    <row r="17" spans="1:12" ht="12.75">
      <c r="A17" s="3" t="s">
        <v>255</v>
      </c>
      <c r="B17" s="3" t="s">
        <v>443</v>
      </c>
      <c r="C17" s="162">
        <f>C24/C18</f>
        <v>100243.87575221757</v>
      </c>
      <c r="F17" s="3" t="s">
        <v>255</v>
      </c>
      <c r="G17" s="3" t="s">
        <v>443</v>
      </c>
      <c r="H17" s="162">
        <f>H24/H18</f>
        <v>75182.90681416319</v>
      </c>
      <c r="J17" s="3" t="s">
        <v>255</v>
      </c>
      <c r="K17" s="3" t="s">
        <v>443</v>
      </c>
      <c r="L17" s="162">
        <f>L24/L18</f>
        <v>60146.325451330544</v>
      </c>
    </row>
    <row r="18" spans="1:12" ht="12.75">
      <c r="A18" s="3" t="s">
        <v>450</v>
      </c>
      <c r="B18" s="3"/>
      <c r="C18" s="216">
        <f>Poblacion!C23</f>
        <v>0.9</v>
      </c>
      <c r="F18" s="3" t="s">
        <v>448</v>
      </c>
      <c r="G18" s="3"/>
      <c r="H18" s="216">
        <f>Poblacion!C24</f>
        <v>1.2</v>
      </c>
      <c r="J18" s="3" t="s">
        <v>449</v>
      </c>
      <c r="K18" s="3"/>
      <c r="L18" s="216">
        <f>Poblacion!C22</f>
        <v>1.5</v>
      </c>
    </row>
    <row r="19" spans="1:11" ht="12.75">
      <c r="A19" s="3" t="s">
        <v>445</v>
      </c>
      <c r="B19" s="3"/>
      <c r="F19" s="3" t="s">
        <v>445</v>
      </c>
      <c r="G19" s="3"/>
      <c r="J19" s="3" t="s">
        <v>445</v>
      </c>
      <c r="K19" s="3"/>
    </row>
    <row r="21" spans="1:12" ht="12.75">
      <c r="A21" s="237" t="s">
        <v>447</v>
      </c>
      <c r="B21" s="237"/>
      <c r="C21" s="237"/>
      <c r="F21" s="237" t="s">
        <v>447</v>
      </c>
      <c r="G21" s="237"/>
      <c r="H21" s="237"/>
      <c r="J21" s="237" t="s">
        <v>447</v>
      </c>
      <c r="K21" s="237"/>
      <c r="L21" s="237"/>
    </row>
    <row r="22" spans="1:12" ht="12.75">
      <c r="A22" s="144" t="s">
        <v>39</v>
      </c>
      <c r="B22" s="1" t="s">
        <v>321</v>
      </c>
      <c r="C22" s="1" t="s">
        <v>140</v>
      </c>
      <c r="F22" s="144" t="s">
        <v>39</v>
      </c>
      <c r="G22" s="1" t="s">
        <v>321</v>
      </c>
      <c r="H22" s="1" t="s">
        <v>140</v>
      </c>
      <c r="J22" s="144" t="s">
        <v>39</v>
      </c>
      <c r="K22" s="1" t="s">
        <v>321</v>
      </c>
      <c r="L22" s="1" t="s">
        <v>140</v>
      </c>
    </row>
    <row r="23" spans="1:12" ht="12.75">
      <c r="A23" s="11" t="s">
        <v>322</v>
      </c>
      <c r="B23" s="3"/>
      <c r="C23" s="10">
        <f>C17*C18</f>
        <v>90219.48817699582</v>
      </c>
      <c r="F23" s="11" t="s">
        <v>322</v>
      </c>
      <c r="G23" s="3"/>
      <c r="H23" s="10">
        <f>H17*H18</f>
        <v>90219.48817699582</v>
      </c>
      <c r="J23" s="11" t="s">
        <v>322</v>
      </c>
      <c r="K23" s="3"/>
      <c r="L23" s="10">
        <f>L17*L18</f>
        <v>90219.48817699582</v>
      </c>
    </row>
    <row r="24" spans="1:12" ht="12.75">
      <c r="A24" s="11" t="s">
        <v>323</v>
      </c>
      <c r="B24" s="3"/>
      <c r="C24" s="7">
        <f>C27+C28+C29</f>
        <v>90219.48817699582</v>
      </c>
      <c r="F24" s="11" t="s">
        <v>323</v>
      </c>
      <c r="G24" s="3"/>
      <c r="H24" s="7">
        <f>H27+H28+H29</f>
        <v>90219.48817699582</v>
      </c>
      <c r="J24" s="11" t="s">
        <v>323</v>
      </c>
      <c r="K24" s="3"/>
      <c r="L24" s="7">
        <f>L27+L28+L29</f>
        <v>90219.48817699582</v>
      </c>
    </row>
    <row r="25" spans="1:12" ht="12.75">
      <c r="A25" s="50" t="s">
        <v>324</v>
      </c>
      <c r="B25" s="3"/>
      <c r="C25" s="3">
        <f>C4/3</f>
        <v>29871.36</v>
      </c>
      <c r="F25" s="50" t="s">
        <v>324</v>
      </c>
      <c r="G25" s="3"/>
      <c r="H25" s="3">
        <f>C4/3</f>
        <v>29871.36</v>
      </c>
      <c r="J25" s="50" t="s">
        <v>324</v>
      </c>
      <c r="K25" s="3"/>
      <c r="L25" s="3">
        <f>C4/3</f>
        <v>29871.36</v>
      </c>
    </row>
    <row r="26" spans="1:12" ht="12.75">
      <c r="A26" s="50" t="s">
        <v>325</v>
      </c>
      <c r="B26" s="3"/>
      <c r="C26" s="10">
        <f>C5/3</f>
        <v>11975.328176995818</v>
      </c>
      <c r="F26" s="50" t="s">
        <v>325</v>
      </c>
      <c r="G26" s="3"/>
      <c r="H26" s="10">
        <f>C5/3</f>
        <v>11975.328176995818</v>
      </c>
      <c r="J26" s="50" t="s">
        <v>325</v>
      </c>
      <c r="K26" s="3"/>
      <c r="L26" s="10">
        <f>C5/3</f>
        <v>11975.328176995818</v>
      </c>
    </row>
    <row r="27" spans="1:12" ht="12.75">
      <c r="A27" s="11" t="s">
        <v>326</v>
      </c>
      <c r="B27" s="3"/>
      <c r="C27" s="209">
        <f>C25+C26</f>
        <v>41846.68817699582</v>
      </c>
      <c r="F27" s="11" t="s">
        <v>326</v>
      </c>
      <c r="G27" s="3"/>
      <c r="H27" s="209">
        <f>H25+H26</f>
        <v>41846.68817699582</v>
      </c>
      <c r="J27" s="11" t="s">
        <v>326</v>
      </c>
      <c r="K27" s="3"/>
      <c r="L27" s="209">
        <f>L25+L26</f>
        <v>41846.68817699582</v>
      </c>
    </row>
    <row r="28" spans="1:12" ht="12.75">
      <c r="A28" s="13" t="s">
        <v>327</v>
      </c>
      <c r="B28" s="3"/>
      <c r="C28" s="10">
        <f>C7/3</f>
        <v>42812.799999999996</v>
      </c>
      <c r="F28" s="13" t="s">
        <v>327</v>
      </c>
      <c r="G28" s="3"/>
      <c r="H28" s="10">
        <f>C7/3</f>
        <v>42812.799999999996</v>
      </c>
      <c r="J28" s="13" t="s">
        <v>327</v>
      </c>
      <c r="K28" s="3"/>
      <c r="L28" s="10">
        <f>C7/3</f>
        <v>42812.799999999996</v>
      </c>
    </row>
    <row r="29" spans="1:12" ht="12.75">
      <c r="A29" s="13" t="s">
        <v>328</v>
      </c>
      <c r="B29" s="3"/>
      <c r="C29" s="3">
        <f>C8/3</f>
        <v>5560</v>
      </c>
      <c r="F29" s="13" t="s">
        <v>328</v>
      </c>
      <c r="G29" s="3"/>
      <c r="H29" s="3">
        <f>C8/3</f>
        <v>5560</v>
      </c>
      <c r="J29" s="13" t="s">
        <v>328</v>
      </c>
      <c r="K29" s="3"/>
      <c r="L29" s="3">
        <f>C8/3</f>
        <v>5560</v>
      </c>
    </row>
    <row r="30" spans="1:12" ht="12.75">
      <c r="A30" s="50" t="s">
        <v>446</v>
      </c>
      <c r="B30" s="3"/>
      <c r="C30" s="7">
        <f>C23-C24</f>
        <v>0</v>
      </c>
      <c r="F30" s="50" t="s">
        <v>446</v>
      </c>
      <c r="G30" s="3"/>
      <c r="H30" s="7">
        <f>H23-H24</f>
        <v>0</v>
      </c>
      <c r="J30" s="50" t="s">
        <v>446</v>
      </c>
      <c r="K30" s="3"/>
      <c r="L30" s="7">
        <f>L23-L24</f>
        <v>0</v>
      </c>
    </row>
  </sheetData>
  <sheetProtection/>
  <mergeCells count="6">
    <mergeCell ref="J14:L14"/>
    <mergeCell ref="J21:L21"/>
    <mergeCell ref="A14:C14"/>
    <mergeCell ref="F14:H14"/>
    <mergeCell ref="A21:C21"/>
    <mergeCell ref="F21:H2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B37">
      <selection activeCell="F51" sqref="F51"/>
    </sheetView>
  </sheetViews>
  <sheetFormatPr defaultColWidth="11.421875" defaultRowHeight="12.75"/>
  <cols>
    <col min="1" max="1" width="11.7109375" style="0" customWidth="1"/>
    <col min="2" max="2" width="34.421875" style="0" customWidth="1"/>
    <col min="3" max="3" width="32.57421875" style="0" customWidth="1"/>
    <col min="4" max="4" width="12.8515625" style="0" customWidth="1"/>
  </cols>
  <sheetData>
    <row r="1" spans="1:5" ht="12.75">
      <c r="A1" s="240" t="s">
        <v>48</v>
      </c>
      <c r="B1" s="240"/>
      <c r="C1" s="240"/>
      <c r="D1" s="240"/>
      <c r="E1" s="240"/>
    </row>
    <row r="3" spans="2:6" ht="31.5">
      <c r="B3" s="25" t="s">
        <v>51</v>
      </c>
      <c r="C3" s="25" t="s">
        <v>52</v>
      </c>
      <c r="D3" s="25" t="s">
        <v>0</v>
      </c>
      <c r="E3" s="25" t="s">
        <v>53</v>
      </c>
      <c r="F3" s="32" t="s">
        <v>54</v>
      </c>
    </row>
    <row r="4" spans="2:6" ht="27" customHeight="1">
      <c r="B4" s="27" t="s">
        <v>74</v>
      </c>
      <c r="C4" s="26" t="s">
        <v>55</v>
      </c>
      <c r="D4" s="27">
        <v>6</v>
      </c>
      <c r="E4" s="27">
        <v>652.36</v>
      </c>
      <c r="F4" s="30">
        <f>+E4*D4</f>
        <v>3914.16</v>
      </c>
    </row>
    <row r="5" spans="2:6" ht="12.75">
      <c r="B5" s="27" t="s">
        <v>56</v>
      </c>
      <c r="C5" s="27" t="s">
        <v>75</v>
      </c>
      <c r="D5" s="27">
        <v>2</v>
      </c>
      <c r="E5" s="27">
        <v>22158</v>
      </c>
      <c r="F5" s="30">
        <f aca="true" t="shared" si="0" ref="F5:F15">+E5*D5</f>
        <v>44316</v>
      </c>
    </row>
    <row r="6" spans="2:6" ht="12.75" customHeight="1">
      <c r="B6" s="28"/>
      <c r="C6" s="26" t="s">
        <v>57</v>
      </c>
      <c r="D6" s="27">
        <v>1</v>
      </c>
      <c r="E6" s="27">
        <v>160</v>
      </c>
      <c r="F6" s="30">
        <f t="shared" si="0"/>
        <v>160</v>
      </c>
    </row>
    <row r="7" spans="2:6" ht="12.75" customHeight="1">
      <c r="B7" s="28"/>
      <c r="C7" s="26" t="s">
        <v>77</v>
      </c>
      <c r="D7" s="27">
        <v>4</v>
      </c>
      <c r="E7" s="16">
        <v>120</v>
      </c>
      <c r="F7" s="30">
        <f t="shared" si="0"/>
        <v>480</v>
      </c>
    </row>
    <row r="8" spans="2:6" ht="12.75">
      <c r="B8" s="28"/>
      <c r="C8" s="26" t="s">
        <v>58</v>
      </c>
      <c r="D8" s="27">
        <v>3</v>
      </c>
      <c r="E8" s="27">
        <v>55</v>
      </c>
      <c r="F8" s="30">
        <f t="shared" si="0"/>
        <v>165</v>
      </c>
    </row>
    <row r="9" spans="2:6" ht="12.75">
      <c r="B9" s="28"/>
      <c r="C9" s="26" t="s">
        <v>59</v>
      </c>
      <c r="D9" s="27">
        <v>3</v>
      </c>
      <c r="E9" s="27">
        <v>50</v>
      </c>
      <c r="F9" s="30">
        <f t="shared" si="0"/>
        <v>150</v>
      </c>
    </row>
    <row r="10" spans="2:6" ht="12.75">
      <c r="B10" s="28"/>
      <c r="C10" s="26" t="s">
        <v>78</v>
      </c>
      <c r="D10" s="27">
        <v>4</v>
      </c>
      <c r="E10" s="16">
        <v>5</v>
      </c>
      <c r="F10" s="30">
        <f t="shared" si="0"/>
        <v>20</v>
      </c>
    </row>
    <row r="11" spans="2:6" ht="12.75">
      <c r="B11" s="27" t="s">
        <v>76</v>
      </c>
      <c r="C11" s="26" t="s">
        <v>60</v>
      </c>
      <c r="D11" s="27">
        <v>3</v>
      </c>
      <c r="E11" s="27">
        <v>105</v>
      </c>
      <c r="F11" s="30">
        <f t="shared" si="0"/>
        <v>315</v>
      </c>
    </row>
    <row r="12" spans="2:6" ht="12.75">
      <c r="B12" s="28"/>
      <c r="C12" s="26" t="s">
        <v>61</v>
      </c>
      <c r="D12" s="27">
        <v>1</v>
      </c>
      <c r="E12" s="27">
        <v>250</v>
      </c>
      <c r="F12" s="30">
        <f t="shared" si="0"/>
        <v>250</v>
      </c>
    </row>
    <row r="13" spans="2:6" ht="12.75">
      <c r="B13" s="28"/>
      <c r="C13" s="26" t="s">
        <v>62</v>
      </c>
      <c r="D13" s="27">
        <v>2</v>
      </c>
      <c r="E13" s="27">
        <v>45</v>
      </c>
      <c r="F13" s="30">
        <f t="shared" si="0"/>
        <v>90</v>
      </c>
    </row>
    <row r="14" spans="1:6" ht="25.5">
      <c r="A14" s="19"/>
      <c r="B14" s="29"/>
      <c r="C14" s="22" t="s">
        <v>79</v>
      </c>
      <c r="D14" s="20">
        <v>3</v>
      </c>
      <c r="E14" s="3">
        <v>1170</v>
      </c>
      <c r="F14" s="23">
        <f>+E14*D14</f>
        <v>3510</v>
      </c>
    </row>
    <row r="15" spans="1:6" ht="12.75">
      <c r="A15" s="15"/>
      <c r="B15" s="27"/>
      <c r="C15" s="26" t="s">
        <v>63</v>
      </c>
      <c r="D15" s="27">
        <v>4</v>
      </c>
      <c r="E15" s="27">
        <v>3.15</v>
      </c>
      <c r="F15" s="30">
        <f t="shared" si="0"/>
        <v>12.6</v>
      </c>
    </row>
    <row r="16" spans="1:6" ht="25.5">
      <c r="A16" s="15"/>
      <c r="B16" s="27"/>
      <c r="C16" s="26" t="s">
        <v>64</v>
      </c>
      <c r="D16" s="27">
        <v>18</v>
      </c>
      <c r="E16" s="27">
        <v>0.4</v>
      </c>
      <c r="F16" s="30">
        <f aca="true" t="shared" si="1" ref="F16:F25">+E16*D16</f>
        <v>7.2</v>
      </c>
    </row>
    <row r="17" spans="1:6" ht="12.75">
      <c r="A17" s="15"/>
      <c r="B17" s="27"/>
      <c r="C17" s="26" t="s">
        <v>65</v>
      </c>
      <c r="D17" s="27">
        <v>6</v>
      </c>
      <c r="E17" s="27">
        <v>0.2</v>
      </c>
      <c r="F17" s="30">
        <f>+E17*D17</f>
        <v>1.2000000000000002</v>
      </c>
    </row>
    <row r="18" spans="1:6" ht="12.75">
      <c r="A18" s="15"/>
      <c r="B18" s="27"/>
      <c r="C18" s="26" t="s">
        <v>66</v>
      </c>
      <c r="D18" s="27">
        <v>6</v>
      </c>
      <c r="E18" s="27">
        <v>2.41</v>
      </c>
      <c r="F18" s="30">
        <f t="shared" si="1"/>
        <v>14.46</v>
      </c>
    </row>
    <row r="19" spans="1:6" ht="12.75">
      <c r="A19" s="15"/>
      <c r="B19" s="27" t="s">
        <v>80</v>
      </c>
      <c r="C19" s="26" t="s">
        <v>67</v>
      </c>
      <c r="D19" s="27">
        <v>4</v>
      </c>
      <c r="E19" s="27">
        <v>0.67</v>
      </c>
      <c r="F19" s="30">
        <f t="shared" si="1"/>
        <v>2.68</v>
      </c>
    </row>
    <row r="20" spans="1:6" ht="12.75">
      <c r="A20" s="15"/>
      <c r="B20" s="27"/>
      <c r="C20" s="26" t="s">
        <v>68</v>
      </c>
      <c r="D20" s="27">
        <v>4</v>
      </c>
      <c r="E20" s="27">
        <v>0.15</v>
      </c>
      <c r="F20" s="30">
        <f t="shared" si="1"/>
        <v>0.6</v>
      </c>
    </row>
    <row r="21" spans="1:6" ht="12.75">
      <c r="A21" s="15"/>
      <c r="B21" s="27"/>
      <c r="C21" s="26" t="s">
        <v>81</v>
      </c>
      <c r="D21" s="27">
        <v>4</v>
      </c>
      <c r="E21" s="27">
        <v>0.45</v>
      </c>
      <c r="F21" s="30">
        <f t="shared" si="1"/>
        <v>1.8</v>
      </c>
    </row>
    <row r="22" spans="1:6" ht="12.75">
      <c r="A22" s="15"/>
      <c r="B22" s="27"/>
      <c r="C22" s="26" t="s">
        <v>69</v>
      </c>
      <c r="D22" s="27">
        <v>4</v>
      </c>
      <c r="E22" s="27">
        <v>0.24</v>
      </c>
      <c r="F22" s="30">
        <f t="shared" si="1"/>
        <v>0.96</v>
      </c>
    </row>
    <row r="23" spans="1:6" ht="12.75">
      <c r="A23" s="15"/>
      <c r="B23" s="27"/>
      <c r="C23" s="26" t="s">
        <v>70</v>
      </c>
      <c r="D23" s="27">
        <v>4</v>
      </c>
      <c r="E23" s="27">
        <v>1.01</v>
      </c>
      <c r="F23" s="30">
        <f t="shared" si="1"/>
        <v>4.04</v>
      </c>
    </row>
    <row r="24" spans="1:6" ht="17.25" customHeight="1">
      <c r="A24" s="15"/>
      <c r="B24" s="27"/>
      <c r="C24" s="26" t="s">
        <v>71</v>
      </c>
      <c r="D24" s="27">
        <v>4</v>
      </c>
      <c r="E24" s="27">
        <f>0.65+6+5.52</f>
        <v>12.17</v>
      </c>
      <c r="F24" s="30">
        <f>+E24*D24</f>
        <v>48.68</v>
      </c>
    </row>
    <row r="25" spans="1:6" ht="12.75">
      <c r="A25" s="19"/>
      <c r="B25" s="20"/>
      <c r="C25" s="22" t="s">
        <v>72</v>
      </c>
      <c r="D25" s="20">
        <v>4</v>
      </c>
      <c r="E25" s="20">
        <f>0.85+0.62</f>
        <v>1.47</v>
      </c>
      <c r="F25" s="31">
        <f t="shared" si="1"/>
        <v>5.88</v>
      </c>
    </row>
    <row r="26" spans="2:6" ht="12.75">
      <c r="B26" s="27" t="s">
        <v>82</v>
      </c>
      <c r="C26" s="27"/>
      <c r="D26" s="27"/>
      <c r="E26" s="3">
        <f>SUM(E15:E25)</f>
        <v>22.32</v>
      </c>
      <c r="F26" s="33">
        <f>SUM(F15:F25)</f>
        <v>100.1</v>
      </c>
    </row>
    <row r="27" spans="2:6" ht="12.75">
      <c r="B27" s="27"/>
      <c r="C27" s="27"/>
      <c r="D27" s="27"/>
      <c r="E27" s="27"/>
      <c r="F27" s="30"/>
    </row>
    <row r="28" spans="1:6" ht="12.75">
      <c r="A28" s="24"/>
      <c r="B28" s="3" t="s">
        <v>73</v>
      </c>
      <c r="C28" s="3"/>
      <c r="D28" s="3"/>
      <c r="E28" s="3">
        <f>+E15+E16+E17+E18+E19+E20+E21+E22+E23+E24+E25</f>
        <v>22.32</v>
      </c>
      <c r="F28" s="23">
        <f>+F15+F16+F17+F18+F19+F20+F21+F23+F22+F24+F25</f>
        <v>100.1</v>
      </c>
    </row>
    <row r="32" spans="1:5" ht="12.75">
      <c r="A32" s="240" t="s">
        <v>49</v>
      </c>
      <c r="B32" s="240"/>
      <c r="C32" s="240"/>
      <c r="D32" s="240"/>
      <c r="E32" s="240"/>
    </row>
    <row r="34" spans="2:6" ht="31.5">
      <c r="B34" s="25" t="s">
        <v>83</v>
      </c>
      <c r="C34" s="25" t="s">
        <v>52</v>
      </c>
      <c r="D34" s="25" t="s">
        <v>0</v>
      </c>
      <c r="E34" s="25" t="s">
        <v>53</v>
      </c>
      <c r="F34" s="25" t="s">
        <v>54</v>
      </c>
    </row>
    <row r="35" spans="2:6" ht="12.75">
      <c r="B35" s="3" t="s">
        <v>84</v>
      </c>
      <c r="C35" s="18" t="s">
        <v>85</v>
      </c>
      <c r="D35" s="3">
        <v>3</v>
      </c>
      <c r="E35" s="3">
        <v>2.19</v>
      </c>
      <c r="F35" s="3">
        <f aca="true" t="shared" si="2" ref="F35:F40">+D35*E35</f>
        <v>6.57</v>
      </c>
    </row>
    <row r="36" spans="2:6" ht="12.75">
      <c r="B36" s="3" t="s">
        <v>86</v>
      </c>
      <c r="C36" s="18" t="s">
        <v>87</v>
      </c>
      <c r="D36" s="3">
        <v>3</v>
      </c>
      <c r="E36" s="3">
        <v>2.5</v>
      </c>
      <c r="F36" s="3">
        <f t="shared" si="2"/>
        <v>7.5</v>
      </c>
    </row>
    <row r="37" spans="2:6" ht="12.75">
      <c r="B37" s="3" t="s">
        <v>88</v>
      </c>
      <c r="C37" s="18" t="s">
        <v>89</v>
      </c>
      <c r="D37" s="3">
        <v>3</v>
      </c>
      <c r="E37" s="3">
        <v>6.25</v>
      </c>
      <c r="F37" s="3">
        <f t="shared" si="2"/>
        <v>18.75</v>
      </c>
    </row>
    <row r="38" spans="2:6" ht="12.75">
      <c r="B38" s="3" t="s">
        <v>90</v>
      </c>
      <c r="C38" s="18" t="s">
        <v>91</v>
      </c>
      <c r="D38" s="3">
        <v>3</v>
      </c>
      <c r="E38" s="3">
        <v>2.24</v>
      </c>
      <c r="F38" s="3">
        <f t="shared" si="2"/>
        <v>6.720000000000001</v>
      </c>
    </row>
    <row r="39" spans="2:6" ht="12.75">
      <c r="B39" s="3" t="s">
        <v>92</v>
      </c>
      <c r="C39" s="18" t="s">
        <v>93</v>
      </c>
      <c r="D39" s="3">
        <v>2</v>
      </c>
      <c r="E39" s="3">
        <v>2.5</v>
      </c>
      <c r="F39" s="3">
        <f t="shared" si="2"/>
        <v>5</v>
      </c>
    </row>
    <row r="40" spans="2:6" ht="12.75">
      <c r="B40" s="3" t="s">
        <v>94</v>
      </c>
      <c r="C40" s="18" t="s">
        <v>95</v>
      </c>
      <c r="D40" s="3">
        <v>6</v>
      </c>
      <c r="E40" s="3">
        <v>2.6</v>
      </c>
      <c r="F40" s="3">
        <f t="shared" si="2"/>
        <v>15.600000000000001</v>
      </c>
    </row>
    <row r="41" spans="2:6" ht="12.75">
      <c r="B41" s="3" t="s">
        <v>82</v>
      </c>
      <c r="C41" s="3"/>
      <c r="D41" s="3"/>
      <c r="E41" s="4">
        <f>SUM(E35:E40)</f>
        <v>18.28</v>
      </c>
      <c r="F41" s="4">
        <f>SUM(F35:F40)</f>
        <v>60.14</v>
      </c>
    </row>
    <row r="45" spans="1:5" ht="12.75">
      <c r="A45" s="240" t="s">
        <v>50</v>
      </c>
      <c r="B45" s="240"/>
      <c r="C45" s="240"/>
      <c r="D45" s="240"/>
      <c r="E45" s="240"/>
    </row>
    <row r="47" spans="2:6" ht="31.5">
      <c r="B47" s="25" t="s">
        <v>51</v>
      </c>
      <c r="C47" s="32" t="s">
        <v>52</v>
      </c>
      <c r="D47" s="25" t="s">
        <v>0</v>
      </c>
      <c r="E47" s="25" t="s">
        <v>53</v>
      </c>
      <c r="F47" s="32" t="s">
        <v>54</v>
      </c>
    </row>
    <row r="48" spans="2:6" ht="12.75">
      <c r="B48" s="27" t="s">
        <v>101</v>
      </c>
      <c r="C48" s="37" t="s">
        <v>102</v>
      </c>
      <c r="D48" s="27">
        <v>2</v>
      </c>
      <c r="E48" s="27">
        <v>5200</v>
      </c>
      <c r="F48" s="30">
        <f aca="true" t="shared" si="3" ref="F48:F55">+E48*D48</f>
        <v>10400</v>
      </c>
    </row>
    <row r="49" spans="2:6" ht="12.75">
      <c r="B49" s="3" t="s">
        <v>166</v>
      </c>
      <c r="C49" t="s">
        <v>167</v>
      </c>
      <c r="D49" s="3">
        <v>1</v>
      </c>
      <c r="E49" s="3">
        <v>2500</v>
      </c>
      <c r="F49" s="3">
        <f t="shared" si="3"/>
        <v>2500</v>
      </c>
    </row>
    <row r="50" spans="2:6" ht="12.75">
      <c r="B50" s="3" t="s">
        <v>471</v>
      </c>
      <c r="C50" t="s">
        <v>472</v>
      </c>
      <c r="D50" s="27">
        <v>2</v>
      </c>
      <c r="E50" s="27">
        <v>2800</v>
      </c>
      <c r="F50" s="30">
        <f>+E50*D50</f>
        <v>5600</v>
      </c>
    </row>
    <row r="51" spans="2:6" ht="12.75">
      <c r="B51" s="3" t="s">
        <v>98</v>
      </c>
      <c r="C51" t="s">
        <v>99</v>
      </c>
      <c r="D51" s="27">
        <v>1</v>
      </c>
      <c r="E51" s="27">
        <v>3200</v>
      </c>
      <c r="F51" s="30">
        <f t="shared" si="3"/>
        <v>3200</v>
      </c>
    </row>
    <row r="52" spans="2:11" ht="12.75">
      <c r="B52" s="3" t="s">
        <v>32</v>
      </c>
      <c r="C52" s="3" t="s">
        <v>361</v>
      </c>
      <c r="D52" s="62">
        <v>2</v>
      </c>
      <c r="E52" s="24">
        <v>3400</v>
      </c>
      <c r="F52" s="62">
        <f>+E52*D52</f>
        <v>6800</v>
      </c>
      <c r="G52" s="15"/>
      <c r="H52" s="15"/>
      <c r="I52" s="167"/>
      <c r="J52" s="15"/>
      <c r="K52" s="167"/>
    </row>
    <row r="53" spans="2:6" ht="12.75">
      <c r="B53" s="67" t="s">
        <v>31</v>
      </c>
      <c r="C53" s="36" t="s">
        <v>96</v>
      </c>
      <c r="D53" s="3">
        <v>1</v>
      </c>
      <c r="E53" s="3">
        <v>4500</v>
      </c>
      <c r="F53" s="31">
        <f t="shared" si="3"/>
        <v>4500</v>
      </c>
    </row>
    <row r="54" spans="2:6" ht="25.5">
      <c r="B54" s="3" t="s">
        <v>47</v>
      </c>
      <c r="C54" s="38" t="s">
        <v>97</v>
      </c>
      <c r="D54" s="35">
        <v>2</v>
      </c>
      <c r="E54" s="35">
        <v>6000</v>
      </c>
      <c r="F54" s="34">
        <f t="shared" si="3"/>
        <v>12000</v>
      </c>
    </row>
    <row r="55" spans="2:6" ht="12.75">
      <c r="B55" s="13" t="s">
        <v>164</v>
      </c>
      <c r="C55" s="102" t="s">
        <v>201</v>
      </c>
      <c r="D55" s="13">
        <v>100</v>
      </c>
      <c r="E55" s="13">
        <v>5</v>
      </c>
      <c r="F55" s="33">
        <f t="shared" si="3"/>
        <v>500</v>
      </c>
    </row>
    <row r="56" ht="12.75">
      <c r="C56" s="21"/>
    </row>
    <row r="57" spans="4:8" ht="12.75">
      <c r="D57" s="15"/>
      <c r="E57" s="15"/>
      <c r="F57" s="15"/>
      <c r="G57" s="15"/>
      <c r="H57" s="15"/>
    </row>
    <row r="58" spans="2:8" ht="12.75">
      <c r="B58" s="15"/>
      <c r="C58" s="15"/>
      <c r="D58" s="169"/>
      <c r="E58" s="15"/>
      <c r="F58" s="169"/>
      <c r="G58" s="15"/>
      <c r="H58" s="15"/>
    </row>
  </sheetData>
  <sheetProtection/>
  <mergeCells count="3">
    <mergeCell ref="A45:E45"/>
    <mergeCell ref="A1:E1"/>
    <mergeCell ref="A32:E3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52">
      <selection activeCell="B67" sqref="B67"/>
    </sheetView>
  </sheetViews>
  <sheetFormatPr defaultColWidth="11.421875" defaultRowHeight="12.75"/>
  <cols>
    <col min="1" max="1" width="33.8515625" style="0" customWidth="1"/>
    <col min="2" max="2" width="14.421875" style="0" customWidth="1"/>
    <col min="3" max="3" width="21.28125" style="0" customWidth="1"/>
    <col min="4" max="4" width="17.00390625" style="0" hidden="1" customWidth="1"/>
    <col min="5" max="5" width="16.8515625" style="0" customWidth="1"/>
    <col min="6" max="6" width="13.140625" style="0" customWidth="1"/>
  </cols>
  <sheetData>
    <row r="1" spans="1:5" ht="12.75">
      <c r="A1" s="243" t="s">
        <v>104</v>
      </c>
      <c r="B1" s="243"/>
      <c r="C1" s="243"/>
      <c r="D1" s="243"/>
      <c r="E1" s="243"/>
    </row>
    <row r="3" spans="1:5" ht="12.75">
      <c r="A3" s="237" t="s">
        <v>105</v>
      </c>
      <c r="B3" s="237"/>
      <c r="C3" s="237"/>
      <c r="D3" s="237"/>
      <c r="E3" s="237"/>
    </row>
    <row r="4" spans="1:6" ht="12.75">
      <c r="A4" s="1" t="s">
        <v>106</v>
      </c>
      <c r="B4" s="1" t="s">
        <v>0</v>
      </c>
      <c r="C4" s="1" t="s">
        <v>6</v>
      </c>
      <c r="D4" s="1" t="s">
        <v>7</v>
      </c>
      <c r="E4" s="144" t="s">
        <v>7</v>
      </c>
      <c r="F4" s="1" t="s">
        <v>107</v>
      </c>
    </row>
    <row r="5" spans="1:6" ht="12.75">
      <c r="A5" s="6" t="s">
        <v>11</v>
      </c>
      <c r="B5" s="3">
        <f>Gastos!D13</f>
        <v>2</v>
      </c>
      <c r="C5" s="43">
        <f>Gastos!E13</f>
        <v>280</v>
      </c>
      <c r="D5" s="43">
        <f>C5*B5</f>
        <v>560</v>
      </c>
      <c r="E5" s="45">
        <f>C5*B5</f>
        <v>560</v>
      </c>
      <c r="F5" s="43">
        <f>E5*12</f>
        <v>6720</v>
      </c>
    </row>
    <row r="6" spans="1:6" ht="12.75">
      <c r="A6" s="6" t="s">
        <v>12</v>
      </c>
      <c r="B6" s="39">
        <f>Gastos!D14</f>
        <v>1</v>
      </c>
      <c r="C6" s="44">
        <f>Gastos!E14</f>
        <v>280</v>
      </c>
      <c r="D6" s="43">
        <f>C6*B6</f>
        <v>280</v>
      </c>
      <c r="E6" s="45">
        <f>C6*B6</f>
        <v>280</v>
      </c>
      <c r="F6" s="43">
        <f>E6*12</f>
        <v>3360</v>
      </c>
    </row>
    <row r="7" spans="1:6" ht="12.75">
      <c r="A7" s="4" t="s">
        <v>82</v>
      </c>
      <c r="B7" s="24"/>
      <c r="C7" s="40"/>
      <c r="D7" s="41">
        <f>SUM(D5:D6)</f>
        <v>840</v>
      </c>
      <c r="E7" s="118">
        <f>SUM(E5:E6)</f>
        <v>840</v>
      </c>
      <c r="F7" s="42">
        <f>SUM(F5:F6)</f>
        <v>10080</v>
      </c>
    </row>
    <row r="10" spans="1:5" ht="12.75">
      <c r="A10" s="240" t="s">
        <v>109</v>
      </c>
      <c r="B10" s="240"/>
      <c r="C10" s="240"/>
      <c r="D10" s="240"/>
      <c r="E10" s="240"/>
    </row>
    <row r="11" spans="1:6" ht="12.75">
      <c r="A11" s="1" t="s">
        <v>110</v>
      </c>
      <c r="B11" s="1" t="s">
        <v>0</v>
      </c>
      <c r="C11" s="1" t="s">
        <v>6</v>
      </c>
      <c r="D11" s="1" t="s">
        <v>7</v>
      </c>
      <c r="E11" s="144" t="s">
        <v>7</v>
      </c>
      <c r="F11" s="1" t="s">
        <v>8</v>
      </c>
    </row>
    <row r="12" spans="1:6" ht="12.75">
      <c r="A12" s="6" t="s">
        <v>9</v>
      </c>
      <c r="B12" s="3">
        <f>Gastos!D8</f>
        <v>1</v>
      </c>
      <c r="C12" s="49">
        <f>Gastos!E8</f>
        <v>800</v>
      </c>
      <c r="D12" s="45">
        <f>C12*B12</f>
        <v>800</v>
      </c>
      <c r="E12" s="49">
        <f>C12*B12</f>
        <v>800</v>
      </c>
      <c r="F12" s="45">
        <f>E12*12</f>
        <v>9600</v>
      </c>
    </row>
    <row r="13" spans="1:6" ht="12.75">
      <c r="A13" s="6" t="s">
        <v>135</v>
      </c>
      <c r="B13" s="6">
        <f>Gastos!D9</f>
        <v>3</v>
      </c>
      <c r="C13" s="49">
        <f>Gastos!E9</f>
        <v>300</v>
      </c>
      <c r="D13" s="45">
        <f>C13*B13</f>
        <v>900</v>
      </c>
      <c r="E13" s="49">
        <f>C13*B13</f>
        <v>900</v>
      </c>
      <c r="F13" s="45">
        <f>E13*12</f>
        <v>10800</v>
      </c>
    </row>
    <row r="14" spans="1:6" ht="12.75">
      <c r="A14" s="6" t="s">
        <v>18</v>
      </c>
      <c r="B14" s="39">
        <f>Gastos!D10</f>
        <v>1</v>
      </c>
      <c r="C14" s="49">
        <f>Gastos!E10</f>
        <v>500</v>
      </c>
      <c r="D14" s="45">
        <f>C14*B14</f>
        <v>500</v>
      </c>
      <c r="E14" s="49">
        <f>C14*B14</f>
        <v>500</v>
      </c>
      <c r="F14" s="45">
        <f>E14*12</f>
        <v>6000</v>
      </c>
    </row>
    <row r="15" spans="1:6" ht="12.75">
      <c r="A15" s="6" t="s">
        <v>19</v>
      </c>
      <c r="B15" s="39">
        <f>Gastos!D11</f>
        <v>1</v>
      </c>
      <c r="C15" s="49">
        <f>Gastos!E11</f>
        <v>500</v>
      </c>
      <c r="D15" s="45">
        <f>C15*B15</f>
        <v>500</v>
      </c>
      <c r="E15" s="49">
        <f>C15*B15</f>
        <v>500</v>
      </c>
      <c r="F15" s="45">
        <f>E15*12</f>
        <v>6000</v>
      </c>
    </row>
    <row r="16" spans="1:6" ht="12.75">
      <c r="A16" s="6" t="s">
        <v>10</v>
      </c>
      <c r="B16" s="47">
        <f>Gastos!D12</f>
        <v>12</v>
      </c>
      <c r="C16" s="46">
        <f>Gastos!E12</f>
        <v>300</v>
      </c>
      <c r="D16" s="45">
        <f>C16*B16</f>
        <v>3600</v>
      </c>
      <c r="E16" s="45">
        <f>C16*B16</f>
        <v>3600</v>
      </c>
      <c r="F16" s="45">
        <f>E16*12</f>
        <v>43200</v>
      </c>
    </row>
    <row r="17" spans="1:6" ht="12.75">
      <c r="A17" s="152" t="s">
        <v>82</v>
      </c>
      <c r="B17" s="24"/>
      <c r="C17" s="151">
        <f>SUM(C12:C16)</f>
        <v>2400</v>
      </c>
      <c r="D17" s="41">
        <f>SUM(D12:D16)</f>
        <v>6300</v>
      </c>
      <c r="E17" s="66">
        <f>SUM(E12:E16)</f>
        <v>6300</v>
      </c>
      <c r="F17" s="42">
        <f>SUM(F12:F16)</f>
        <v>75600</v>
      </c>
    </row>
    <row r="20" spans="1:5" ht="12.75">
      <c r="A20" s="240" t="s">
        <v>111</v>
      </c>
      <c r="B20" s="240"/>
      <c r="C20" s="240"/>
      <c r="D20" s="240"/>
      <c r="E20" s="240"/>
    </row>
    <row r="21" spans="1:5" ht="12.75">
      <c r="A21" s="242" t="s">
        <v>112</v>
      </c>
      <c r="B21" s="242"/>
      <c r="C21" s="242"/>
      <c r="D21" s="242"/>
      <c r="E21" s="242"/>
    </row>
    <row r="22" spans="1:6" ht="12.75">
      <c r="A22" s="1" t="s">
        <v>5</v>
      </c>
      <c r="B22" s="1" t="s">
        <v>113</v>
      </c>
      <c r="C22" s="1" t="s">
        <v>460</v>
      </c>
      <c r="D22" s="1" t="s">
        <v>6</v>
      </c>
      <c r="E22" s="1" t="s">
        <v>7</v>
      </c>
      <c r="F22" s="1" t="s">
        <v>107</v>
      </c>
    </row>
    <row r="23" spans="1:6" ht="12.75">
      <c r="A23" s="6" t="s">
        <v>459</v>
      </c>
      <c r="B23" s="215">
        <v>36000</v>
      </c>
      <c r="C23" s="150">
        <v>11</v>
      </c>
      <c r="D23" s="6"/>
      <c r="E23" s="6">
        <f>C23*4</f>
        <v>44</v>
      </c>
      <c r="F23" s="3">
        <f>E23*12</f>
        <v>528</v>
      </c>
    </row>
    <row r="24" spans="1:6" ht="12.75">
      <c r="A24" s="11" t="s">
        <v>82</v>
      </c>
      <c r="B24" s="6"/>
      <c r="C24" s="150"/>
      <c r="D24" s="4"/>
      <c r="E24" s="11">
        <f>E23</f>
        <v>44</v>
      </c>
      <c r="F24" s="4">
        <f>F23</f>
        <v>528</v>
      </c>
    </row>
    <row r="27" spans="1:5" ht="12.75">
      <c r="A27" s="240" t="s">
        <v>115</v>
      </c>
      <c r="B27" s="240"/>
      <c r="C27" s="240"/>
      <c r="D27" s="240"/>
      <c r="E27" s="240"/>
    </row>
    <row r="28" spans="1:5" ht="12.75">
      <c r="A28" s="1" t="s">
        <v>5</v>
      </c>
      <c r="B28" s="1" t="s">
        <v>0</v>
      </c>
      <c r="C28" s="1" t="s">
        <v>6</v>
      </c>
      <c r="D28" s="1" t="s">
        <v>7</v>
      </c>
      <c r="E28" s="1" t="s">
        <v>8</v>
      </c>
    </row>
    <row r="29" spans="1:5" ht="12.75">
      <c r="A29" s="3" t="s">
        <v>116</v>
      </c>
      <c r="B29" s="3"/>
      <c r="C29" s="53">
        <f>Inversion!$F$41</f>
        <v>60.14</v>
      </c>
      <c r="D29" s="53">
        <v>62.5</v>
      </c>
      <c r="E29" s="53">
        <f>C29*12</f>
        <v>721.6800000000001</v>
      </c>
    </row>
    <row r="30" spans="1:5" ht="12.75">
      <c r="A30" s="3" t="s">
        <v>117</v>
      </c>
      <c r="B30" s="3"/>
      <c r="C30" s="53">
        <f>Inversion!$F$28</f>
        <v>100.1</v>
      </c>
      <c r="D30" s="53">
        <v>102.75</v>
      </c>
      <c r="E30" s="53">
        <f>C30*12</f>
        <v>1201.1999999999998</v>
      </c>
    </row>
    <row r="31" spans="1:5" ht="12.75">
      <c r="A31" s="3" t="s">
        <v>108</v>
      </c>
      <c r="B31" s="3"/>
      <c r="C31" s="51">
        <f>SUM(C29:C30)</f>
        <v>160.24</v>
      </c>
      <c r="D31" s="51">
        <f>SUM(D29:D30)</f>
        <v>165.25</v>
      </c>
      <c r="E31" s="52">
        <f>SUM(E29:E30)</f>
        <v>1922.8799999999999</v>
      </c>
    </row>
    <row r="34" spans="1:5" ht="12.75">
      <c r="A34" s="240" t="s">
        <v>104</v>
      </c>
      <c r="B34" s="240"/>
      <c r="C34" s="240"/>
      <c r="D34" s="240"/>
      <c r="E34" s="240"/>
    </row>
    <row r="35" spans="1:5" ht="12.75">
      <c r="A35" s="242" t="s">
        <v>127</v>
      </c>
      <c r="B35" s="242"/>
      <c r="C35" s="242"/>
      <c r="D35" s="242"/>
      <c r="E35" s="242"/>
    </row>
    <row r="36" spans="1:6" ht="12.75">
      <c r="A36" s="1" t="s">
        <v>5</v>
      </c>
      <c r="B36" s="1" t="s">
        <v>113</v>
      </c>
      <c r="C36" s="1" t="s">
        <v>124</v>
      </c>
      <c r="D36" s="1" t="s">
        <v>125</v>
      </c>
      <c r="E36" s="153" t="s">
        <v>318</v>
      </c>
      <c r="F36" s="1" t="s">
        <v>107</v>
      </c>
    </row>
    <row r="37" spans="1:6" ht="12.75">
      <c r="A37" s="54" t="s">
        <v>126</v>
      </c>
      <c r="B37" s="6">
        <v>120</v>
      </c>
      <c r="C37" s="55">
        <v>1.03</v>
      </c>
      <c r="D37" s="55">
        <f>C37*B37</f>
        <v>123.60000000000001</v>
      </c>
      <c r="E37" s="4">
        <f>B37*C37</f>
        <v>123.60000000000001</v>
      </c>
      <c r="F37" s="51">
        <f>E37*12</f>
        <v>1483.2</v>
      </c>
    </row>
    <row r="41" spans="1:6" ht="12.75">
      <c r="A41" s="237" t="s">
        <v>128</v>
      </c>
      <c r="B41" s="237"/>
      <c r="C41" s="237"/>
      <c r="D41" s="237"/>
      <c r="E41" s="154"/>
      <c r="F41" s="15"/>
    </row>
    <row r="43" spans="1:2" ht="12.75">
      <c r="A43" s="1" t="s">
        <v>5</v>
      </c>
      <c r="B43" s="3"/>
    </row>
    <row r="44" spans="1:2" ht="12.75">
      <c r="A44" s="3" t="s">
        <v>129</v>
      </c>
      <c r="B44" s="56" t="s">
        <v>137</v>
      </c>
    </row>
    <row r="45" spans="1:2" ht="12.75">
      <c r="A45" s="3" t="s">
        <v>138</v>
      </c>
      <c r="B45" s="57">
        <v>0.25</v>
      </c>
    </row>
    <row r="46" spans="1:4" ht="12.75">
      <c r="A46" s="3" t="s">
        <v>130</v>
      </c>
      <c r="B46" s="3">
        <v>5</v>
      </c>
      <c r="D46" t="s">
        <v>136</v>
      </c>
    </row>
    <row r="47" spans="1:2" ht="12.75">
      <c r="A47" s="3" t="s">
        <v>131</v>
      </c>
      <c r="B47" s="45">
        <v>70000</v>
      </c>
    </row>
    <row r="48" spans="1:2" ht="12.75">
      <c r="A48" s="3" t="s">
        <v>132</v>
      </c>
      <c r="B48" s="45">
        <f>B45*B47</f>
        <v>17500</v>
      </c>
    </row>
    <row r="49" spans="1:2" ht="12.75">
      <c r="A49" s="16" t="s">
        <v>133</v>
      </c>
      <c r="B49" s="58">
        <f>((1.12)^(1/12))-1</f>
        <v>0.009488792934583046</v>
      </c>
    </row>
    <row r="50" spans="1:2" ht="12.75">
      <c r="A50" s="3" t="s">
        <v>134</v>
      </c>
      <c r="B50" s="10">
        <f>PMT(B49,60,-B47)</f>
        <v>1535.4987109156211</v>
      </c>
    </row>
    <row r="51" spans="1:2" ht="12.75">
      <c r="A51" s="13" t="s">
        <v>28</v>
      </c>
      <c r="B51" s="10">
        <f>B50*12</f>
        <v>18425.984530987454</v>
      </c>
    </row>
    <row r="53" spans="1:8" ht="12.75">
      <c r="A53" s="1" t="s">
        <v>139</v>
      </c>
      <c r="B53" s="1" t="s">
        <v>140</v>
      </c>
      <c r="C53" s="1" t="s">
        <v>141</v>
      </c>
      <c r="D53" s="1" t="s">
        <v>142</v>
      </c>
      <c r="E53" s="144" t="s">
        <v>142</v>
      </c>
      <c r="F53" s="1" t="s">
        <v>143</v>
      </c>
      <c r="G53" s="1" t="s">
        <v>144</v>
      </c>
      <c r="H53" s="59" t="s">
        <v>82</v>
      </c>
    </row>
    <row r="54" spans="1:8" ht="12.75">
      <c r="A54" s="60" t="s">
        <v>154</v>
      </c>
      <c r="B54" s="10">
        <f aca="true" t="shared" si="0" ref="B54:G54">B51+$B$48</f>
        <v>35925.98453098745</v>
      </c>
      <c r="C54" s="10">
        <f t="shared" si="0"/>
        <v>17500</v>
      </c>
      <c r="D54" s="10">
        <f t="shared" si="0"/>
        <v>17500</v>
      </c>
      <c r="E54" s="10">
        <f t="shared" si="0"/>
        <v>17500</v>
      </c>
      <c r="F54" s="10">
        <f t="shared" si="0"/>
        <v>17500</v>
      </c>
      <c r="G54" s="10">
        <f t="shared" si="0"/>
        <v>17500</v>
      </c>
      <c r="H54" s="61">
        <f>SUM(B54:G54)</f>
        <v>123425.98453098745</v>
      </c>
    </row>
    <row r="58" spans="1:2" ht="12.75">
      <c r="A58" s="241" t="s">
        <v>145</v>
      </c>
      <c r="B58" s="241"/>
    </row>
    <row r="60" spans="1:2" ht="12.75">
      <c r="A60" s="4" t="s">
        <v>146</v>
      </c>
      <c r="B60" s="8">
        <f>SUM(B61:B63)</f>
        <v>121605.98453098745</v>
      </c>
    </row>
    <row r="61" spans="1:2" ht="12.75">
      <c r="A61" s="62" t="s">
        <v>147</v>
      </c>
      <c r="B61" s="63">
        <f>F17</f>
        <v>75600</v>
      </c>
    </row>
    <row r="62" spans="1:2" ht="12.75">
      <c r="A62" s="62" t="s">
        <v>148</v>
      </c>
      <c r="B62" s="63">
        <f>F7</f>
        <v>10080</v>
      </c>
    </row>
    <row r="63" spans="1:2" ht="12.75">
      <c r="A63" s="62" t="s">
        <v>149</v>
      </c>
      <c r="B63" s="63">
        <f>B54</f>
        <v>35925.98453098745</v>
      </c>
    </row>
    <row r="64" spans="1:2" ht="12.75">
      <c r="A64" s="4" t="s">
        <v>150</v>
      </c>
      <c r="B64" s="8">
        <f>SUM(B65:B66)</f>
        <v>2450.88</v>
      </c>
    </row>
    <row r="65" spans="1:2" ht="12.75">
      <c r="A65" s="62" t="s">
        <v>151</v>
      </c>
      <c r="B65" s="63">
        <f>F24</f>
        <v>528</v>
      </c>
    </row>
    <row r="66" spans="1:2" ht="12.75">
      <c r="A66" s="62" t="s">
        <v>152</v>
      </c>
      <c r="B66" s="63">
        <f>$E$31</f>
        <v>1922.8799999999999</v>
      </c>
    </row>
    <row r="67" spans="1:2" ht="12.75">
      <c r="A67" s="4" t="s">
        <v>153</v>
      </c>
      <c r="B67" s="8">
        <f>B60+B64</f>
        <v>124056.86453098746</v>
      </c>
    </row>
  </sheetData>
  <sheetProtection/>
  <mergeCells count="11">
    <mergeCell ref="A1:E1"/>
    <mergeCell ref="A3:E3"/>
    <mergeCell ref="A10:E10"/>
    <mergeCell ref="A20:E20"/>
    <mergeCell ref="A58:B58"/>
    <mergeCell ref="A21:E21"/>
    <mergeCell ref="A27:E27"/>
    <mergeCell ref="A34:E34"/>
    <mergeCell ref="A35:E35"/>
    <mergeCell ref="A41:B41"/>
    <mergeCell ref="C41:D4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32.8515625" style="0" bestFit="1" customWidth="1"/>
    <col min="2" max="2" width="16.8515625" style="0" customWidth="1"/>
    <col min="4" max="4" width="13.140625" style="0" customWidth="1"/>
  </cols>
  <sheetData>
    <row r="1" spans="1:5" ht="12.75">
      <c r="A1" s="244" t="s">
        <v>155</v>
      </c>
      <c r="B1" s="244"/>
      <c r="C1" s="244"/>
      <c r="D1" s="244"/>
      <c r="E1" s="244"/>
    </row>
    <row r="3" spans="1:5" ht="12.75">
      <c r="A3" s="1" t="s">
        <v>106</v>
      </c>
      <c r="B3" s="1" t="s">
        <v>0</v>
      </c>
      <c r="C3" s="1" t="s">
        <v>6</v>
      </c>
      <c r="D3" s="1" t="s">
        <v>7</v>
      </c>
      <c r="E3" s="1" t="s">
        <v>107</v>
      </c>
    </row>
    <row r="4" spans="1:5" ht="12.75">
      <c r="A4" s="6" t="s">
        <v>9</v>
      </c>
      <c r="B4" s="6">
        <f>Gastos!D8</f>
        <v>1</v>
      </c>
      <c r="C4" s="43">
        <f>Gastos!E8</f>
        <v>800</v>
      </c>
      <c r="D4" s="43">
        <f aca="true" t="shared" si="0" ref="D4:D10">+C4*B4</f>
        <v>800</v>
      </c>
      <c r="E4" s="43">
        <f aca="true" t="shared" si="1" ref="E4:E11">+D4*12</f>
        <v>9600</v>
      </c>
    </row>
    <row r="5" spans="1:5" ht="12.75">
      <c r="A5" s="6" t="s">
        <v>159</v>
      </c>
      <c r="B5" s="6">
        <f>Gastos!D9</f>
        <v>3</v>
      </c>
      <c r="C5" s="43">
        <f>Gastos!E9</f>
        <v>300</v>
      </c>
      <c r="D5" s="43">
        <f t="shared" si="0"/>
        <v>900</v>
      </c>
      <c r="E5" s="43">
        <f t="shared" si="1"/>
        <v>10800</v>
      </c>
    </row>
    <row r="6" spans="1:5" ht="12.75">
      <c r="A6" s="6" t="s">
        <v>18</v>
      </c>
      <c r="B6" s="6">
        <f>Gastos!D10</f>
        <v>1</v>
      </c>
      <c r="C6" s="43">
        <f>Gastos!E10</f>
        <v>500</v>
      </c>
      <c r="D6" s="43">
        <f t="shared" si="0"/>
        <v>500</v>
      </c>
      <c r="E6" s="43">
        <f t="shared" si="1"/>
        <v>6000</v>
      </c>
    </row>
    <row r="7" spans="1:5" ht="12.75">
      <c r="A7" s="6" t="s">
        <v>19</v>
      </c>
      <c r="B7" s="6">
        <f>Gastos!D11</f>
        <v>1</v>
      </c>
      <c r="C7" s="43">
        <f>Gastos!E11</f>
        <v>500</v>
      </c>
      <c r="D7" s="43">
        <f>+C7*B7</f>
        <v>500</v>
      </c>
      <c r="E7" s="43">
        <f>+D7*12</f>
        <v>6000</v>
      </c>
    </row>
    <row r="8" spans="1:5" ht="12.75">
      <c r="A8" s="6" t="s">
        <v>10</v>
      </c>
      <c r="B8" s="6">
        <f>Gastos!D12</f>
        <v>12</v>
      </c>
      <c r="C8" s="43">
        <f>Gastos!E12</f>
        <v>300</v>
      </c>
      <c r="D8" s="43">
        <f t="shared" si="0"/>
        <v>3600</v>
      </c>
      <c r="E8" s="43">
        <f t="shared" si="1"/>
        <v>43200</v>
      </c>
    </row>
    <row r="9" spans="1:5" ht="12.75">
      <c r="A9" s="6" t="s">
        <v>11</v>
      </c>
      <c r="B9" s="6">
        <f>Gastos!D13</f>
        <v>2</v>
      </c>
      <c r="C9" s="43">
        <f>Gastos!E13</f>
        <v>280</v>
      </c>
      <c r="D9" s="43">
        <f t="shared" si="0"/>
        <v>560</v>
      </c>
      <c r="E9" s="43">
        <f t="shared" si="1"/>
        <v>6720</v>
      </c>
    </row>
    <row r="10" spans="1:5" ht="12.75">
      <c r="A10" s="6" t="s">
        <v>12</v>
      </c>
      <c r="B10" s="6">
        <f>Gastos!D14</f>
        <v>1</v>
      </c>
      <c r="C10" s="43">
        <f>Gastos!E14</f>
        <v>280</v>
      </c>
      <c r="D10" s="43">
        <f t="shared" si="0"/>
        <v>280</v>
      </c>
      <c r="E10" s="43">
        <f t="shared" si="1"/>
        <v>3360</v>
      </c>
    </row>
    <row r="11" spans="1:5" ht="12.75">
      <c r="A11" s="11" t="s">
        <v>82</v>
      </c>
      <c r="B11" s="50">
        <f>SUM(B4:B10)</f>
        <v>21</v>
      </c>
      <c r="C11" s="42">
        <f>SUM(C4:C10)</f>
        <v>2960</v>
      </c>
      <c r="D11" s="42">
        <f>SUM(D4:D10)</f>
        <v>7140</v>
      </c>
      <c r="E11" s="42">
        <f t="shared" si="1"/>
        <v>85680</v>
      </c>
    </row>
    <row r="15" spans="1:2" ht="12.75">
      <c r="A15" s="244" t="s">
        <v>156</v>
      </c>
      <c r="B15" s="244"/>
    </row>
    <row r="17" spans="1:2" ht="12.75">
      <c r="A17" s="64" t="s">
        <v>106</v>
      </c>
      <c r="B17" s="64" t="s">
        <v>157</v>
      </c>
    </row>
    <row r="18" spans="1:2" ht="12.75">
      <c r="A18" s="6" t="s">
        <v>158</v>
      </c>
      <c r="B18" s="43">
        <v>1500</v>
      </c>
    </row>
    <row r="19" spans="1:2" ht="12.75">
      <c r="A19" s="50" t="s">
        <v>108</v>
      </c>
      <c r="B19" s="43">
        <f>B18</f>
        <v>1500</v>
      </c>
    </row>
  </sheetData>
  <sheetProtection/>
  <mergeCells count="2">
    <mergeCell ref="A1:E1"/>
    <mergeCell ref="A15:B1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34.140625" style="0" customWidth="1"/>
    <col min="2" max="2" width="23.57421875" style="0" customWidth="1"/>
    <col min="3" max="3" width="16.00390625" style="0" customWidth="1"/>
    <col min="4" max="4" width="17.57421875" style="0" customWidth="1"/>
  </cols>
  <sheetData>
    <row r="1" spans="1:4" ht="12.75">
      <c r="A1" s="237" t="s">
        <v>160</v>
      </c>
      <c r="B1" s="237"/>
      <c r="C1" s="237"/>
      <c r="D1" s="237"/>
    </row>
    <row r="2" spans="1:4" ht="12.75">
      <c r="A2" s="240" t="s">
        <v>161</v>
      </c>
      <c r="B2" s="240"/>
      <c r="C2" s="240"/>
      <c r="D2" s="240"/>
    </row>
    <row r="4" spans="1:4" ht="12.75">
      <c r="A4" s="4" t="s">
        <v>52</v>
      </c>
      <c r="B4" s="4" t="s">
        <v>0</v>
      </c>
      <c r="C4" s="4" t="s">
        <v>162</v>
      </c>
      <c r="D4" s="4" t="s">
        <v>163</v>
      </c>
    </row>
    <row r="5" spans="1:4" ht="12.75">
      <c r="A5" s="13" t="s">
        <v>200</v>
      </c>
      <c r="B5" s="27">
        <f>Inversion!D5</f>
        <v>2</v>
      </c>
      <c r="C5" s="49">
        <f>Inversion!E5</f>
        <v>22158</v>
      </c>
      <c r="D5" s="10">
        <f aca="true" t="shared" si="0" ref="D5:D13">C5*B5</f>
        <v>44316</v>
      </c>
    </row>
    <row r="6" spans="1:4" ht="12.75">
      <c r="A6" s="27" t="s">
        <v>101</v>
      </c>
      <c r="B6" s="3">
        <f>Inversion!D48</f>
        <v>2</v>
      </c>
      <c r="C6" s="49">
        <f>Inversion!E48</f>
        <v>5200</v>
      </c>
      <c r="D6" s="49">
        <f t="shared" si="0"/>
        <v>10400</v>
      </c>
    </row>
    <row r="7" spans="1:4" ht="12.75">
      <c r="A7" s="27" t="s">
        <v>471</v>
      </c>
      <c r="B7" s="3">
        <f>Inversion!D50</f>
        <v>2</v>
      </c>
      <c r="C7" s="49">
        <f>Inversion!E50</f>
        <v>2800</v>
      </c>
      <c r="D7" s="49">
        <f>C7*B7</f>
        <v>5600</v>
      </c>
    </row>
    <row r="8" spans="1:4" ht="12.75">
      <c r="A8" s="3" t="s">
        <v>166</v>
      </c>
      <c r="B8" s="3">
        <f>Inversion!D49</f>
        <v>1</v>
      </c>
      <c r="C8" s="49">
        <f>Inversion!E49</f>
        <v>2500</v>
      </c>
      <c r="D8" s="49">
        <f t="shared" si="0"/>
        <v>2500</v>
      </c>
    </row>
    <row r="9" spans="1:4" ht="12.75">
      <c r="A9" s="3" t="s">
        <v>98</v>
      </c>
      <c r="B9" s="3">
        <f>Inversion!D51</f>
        <v>1</v>
      </c>
      <c r="C9" s="49">
        <f>Inversion!E51</f>
        <v>3200</v>
      </c>
      <c r="D9" s="49">
        <f t="shared" si="0"/>
        <v>3200</v>
      </c>
    </row>
    <row r="10" spans="1:4" ht="12.75">
      <c r="A10" s="27" t="s">
        <v>362</v>
      </c>
      <c r="B10" s="3">
        <f>Inversion!D52</f>
        <v>2</v>
      </c>
      <c r="C10" s="49">
        <f>Inversion!E52</f>
        <v>3400</v>
      </c>
      <c r="D10" s="49">
        <f>C10*B10</f>
        <v>6800</v>
      </c>
    </row>
    <row r="11" spans="1:4" ht="12.75">
      <c r="A11" s="67" t="s">
        <v>31</v>
      </c>
      <c r="B11" s="3">
        <f>Inversion!D53</f>
        <v>1</v>
      </c>
      <c r="C11" s="49">
        <f>Inversion!E53</f>
        <v>4500</v>
      </c>
      <c r="D11" s="49">
        <f t="shared" si="0"/>
        <v>4500</v>
      </c>
    </row>
    <row r="12" spans="1:4" ht="12.75">
      <c r="A12" s="3" t="s">
        <v>47</v>
      </c>
      <c r="B12" s="3">
        <f>Inversion!D54</f>
        <v>2</v>
      </c>
      <c r="C12" s="49">
        <f>Inversion!E54</f>
        <v>6000</v>
      </c>
      <c r="D12" s="49">
        <f t="shared" si="0"/>
        <v>12000</v>
      </c>
    </row>
    <row r="13" spans="1:4" ht="12.75">
      <c r="A13" s="3" t="s">
        <v>165</v>
      </c>
      <c r="B13" s="3">
        <v>200</v>
      </c>
      <c r="C13" s="65">
        <v>4.2</v>
      </c>
      <c r="D13" s="49">
        <f t="shared" si="0"/>
        <v>840</v>
      </c>
    </row>
    <row r="14" spans="1:4" ht="12.75">
      <c r="A14" s="4" t="s">
        <v>82</v>
      </c>
      <c r="B14" s="4"/>
      <c r="C14" s="66">
        <f>SUM(C5:C13)</f>
        <v>49762.2</v>
      </c>
      <c r="D14" s="66">
        <f>SUM(D5:D13)</f>
        <v>90156</v>
      </c>
    </row>
    <row r="18" spans="1:4" ht="12.75">
      <c r="A18" s="237" t="s">
        <v>202</v>
      </c>
      <c r="B18" s="237"/>
      <c r="C18" s="237"/>
      <c r="D18" s="237"/>
    </row>
    <row r="19" spans="1:4" ht="12.75">
      <c r="A19" s="4" t="s">
        <v>52</v>
      </c>
      <c r="B19" s="4" t="s">
        <v>0</v>
      </c>
      <c r="C19" s="4" t="s">
        <v>162</v>
      </c>
      <c r="D19" s="4" t="s">
        <v>163</v>
      </c>
    </row>
    <row r="20" spans="1:4" ht="12.75">
      <c r="A20" s="3" t="s">
        <v>203</v>
      </c>
      <c r="B20" s="3">
        <f>Inversion!D4</f>
        <v>6</v>
      </c>
      <c r="C20" s="10">
        <f>Inversion!E4</f>
        <v>652.36</v>
      </c>
      <c r="D20" s="10">
        <f aca="true" t="shared" si="1" ref="D20:D28">C20*B20</f>
        <v>3914.16</v>
      </c>
    </row>
    <row r="21" spans="1:4" ht="12.75">
      <c r="A21" s="3" t="s">
        <v>57</v>
      </c>
      <c r="B21" s="3">
        <f>Inversion!D6</f>
        <v>1</v>
      </c>
      <c r="C21" s="49">
        <f>Inversion!E6</f>
        <v>160</v>
      </c>
      <c r="D21" s="49">
        <f t="shared" si="1"/>
        <v>160</v>
      </c>
    </row>
    <row r="22" spans="1:4" ht="12.75">
      <c r="A22" s="3" t="s">
        <v>77</v>
      </c>
      <c r="B22" s="3">
        <f>Inversion!D7</f>
        <v>4</v>
      </c>
      <c r="C22" s="49">
        <f>Inversion!E7</f>
        <v>120</v>
      </c>
      <c r="D22" s="49">
        <f t="shared" si="1"/>
        <v>480</v>
      </c>
    </row>
    <row r="23" spans="1:4" ht="12.75">
      <c r="A23" s="3" t="s">
        <v>58</v>
      </c>
      <c r="B23" s="3">
        <f>Inversion!D8</f>
        <v>3</v>
      </c>
      <c r="C23" s="49">
        <f>Inversion!E8</f>
        <v>55</v>
      </c>
      <c r="D23" s="49">
        <f t="shared" si="1"/>
        <v>165</v>
      </c>
    </row>
    <row r="24" spans="1:4" ht="12.75">
      <c r="A24" s="3" t="s">
        <v>59</v>
      </c>
      <c r="B24" s="3">
        <f>Inversion!D9</f>
        <v>3</v>
      </c>
      <c r="C24" s="49">
        <f>Inversion!E9</f>
        <v>50</v>
      </c>
      <c r="D24" s="49">
        <f t="shared" si="1"/>
        <v>150</v>
      </c>
    </row>
    <row r="25" spans="1:4" ht="12.75">
      <c r="A25" s="3" t="s">
        <v>204</v>
      </c>
      <c r="B25" s="3">
        <f>Inversion!D10</f>
        <v>4</v>
      </c>
      <c r="C25" s="49">
        <f>Inversion!E10</f>
        <v>5</v>
      </c>
      <c r="D25" s="49">
        <f t="shared" si="1"/>
        <v>20</v>
      </c>
    </row>
    <row r="26" spans="1:4" ht="12.75">
      <c r="A26" s="3" t="s">
        <v>60</v>
      </c>
      <c r="B26" s="3">
        <f>Inversion!D11</f>
        <v>3</v>
      </c>
      <c r="C26" s="49">
        <f>Inversion!E11</f>
        <v>105</v>
      </c>
      <c r="D26" s="49">
        <f t="shared" si="1"/>
        <v>315</v>
      </c>
    </row>
    <row r="27" spans="1:4" ht="12.75">
      <c r="A27" s="3" t="s">
        <v>62</v>
      </c>
      <c r="B27" s="3">
        <f>Inversion!D13</f>
        <v>2</v>
      </c>
      <c r="C27" s="49">
        <f>Inversion!E13</f>
        <v>45</v>
      </c>
      <c r="D27" s="49">
        <f t="shared" si="1"/>
        <v>90</v>
      </c>
    </row>
    <row r="28" spans="1:4" ht="12.75">
      <c r="A28" s="3" t="s">
        <v>205</v>
      </c>
      <c r="B28" s="3">
        <f>Inversion!D14</f>
        <v>3</v>
      </c>
      <c r="C28" s="10">
        <f>Inversion!E14</f>
        <v>1170</v>
      </c>
      <c r="D28" s="10">
        <f t="shared" si="1"/>
        <v>3510</v>
      </c>
    </row>
    <row r="29" spans="1:4" ht="12.75">
      <c r="A29" s="11" t="s">
        <v>206</v>
      </c>
      <c r="B29" s="4"/>
      <c r="C29" s="7">
        <f>SUM(C20:C28)</f>
        <v>2362.36</v>
      </c>
      <c r="D29" s="7">
        <f>SUM(D20:D28)</f>
        <v>8804.16</v>
      </c>
    </row>
    <row r="33" spans="1:5" ht="12.75">
      <c r="A33" s="237" t="s">
        <v>207</v>
      </c>
      <c r="B33" s="237"/>
      <c r="C33" s="237"/>
      <c r="D33" s="237"/>
      <c r="E33" s="237"/>
    </row>
    <row r="34" spans="1:4" ht="12.75">
      <c r="A34" s="4" t="s">
        <v>52</v>
      </c>
      <c r="B34" s="4" t="s">
        <v>0</v>
      </c>
      <c r="C34" s="4" t="s">
        <v>162</v>
      </c>
      <c r="D34" s="4" t="s">
        <v>163</v>
      </c>
    </row>
    <row r="35" spans="1:4" ht="12.75">
      <c r="A35" s="3" t="s">
        <v>61</v>
      </c>
      <c r="B35" s="3">
        <f>Inversion!D12</f>
        <v>1</v>
      </c>
      <c r="C35" s="49">
        <f>Inversion!E12</f>
        <v>250</v>
      </c>
      <c r="D35" s="49">
        <f>C35*B35</f>
        <v>250</v>
      </c>
    </row>
    <row r="36" spans="1:4" ht="12.75">
      <c r="A36" s="4" t="s">
        <v>108</v>
      </c>
      <c r="B36" s="4"/>
      <c r="C36" s="66">
        <f>C35</f>
        <v>250</v>
      </c>
      <c r="D36" s="66">
        <f>D35</f>
        <v>250</v>
      </c>
    </row>
    <row r="40" spans="1:4" ht="12.75">
      <c r="A40" s="237" t="s">
        <v>208</v>
      </c>
      <c r="B40" s="237"/>
      <c r="C40" s="237"/>
      <c r="D40" s="237"/>
    </row>
    <row r="41" spans="1:4" ht="12.75">
      <c r="A41" s="4" t="s">
        <v>52</v>
      </c>
      <c r="B41" s="4" t="s">
        <v>0</v>
      </c>
      <c r="C41" s="4" t="s">
        <v>162</v>
      </c>
      <c r="D41" s="4" t="s">
        <v>163</v>
      </c>
    </row>
    <row r="42" spans="1:4" ht="12.75">
      <c r="A42" s="18" t="s">
        <v>63</v>
      </c>
      <c r="B42" s="3">
        <f>Inversion!D15</f>
        <v>4</v>
      </c>
      <c r="C42" s="10">
        <f>Inversion!E15</f>
        <v>3.15</v>
      </c>
      <c r="D42" s="10">
        <f aca="true" t="shared" si="2" ref="D42:D52">C42*B42</f>
        <v>12.6</v>
      </c>
    </row>
    <row r="43" spans="1:4" ht="25.5">
      <c r="A43" s="18" t="s">
        <v>64</v>
      </c>
      <c r="B43" s="3">
        <f>Inversion!D16</f>
        <v>18</v>
      </c>
      <c r="C43" s="10">
        <f>Inversion!E16</f>
        <v>0.4</v>
      </c>
      <c r="D43" s="10">
        <f t="shared" si="2"/>
        <v>7.2</v>
      </c>
    </row>
    <row r="44" spans="1:4" ht="12.75">
      <c r="A44" s="18" t="s">
        <v>65</v>
      </c>
      <c r="B44" s="3">
        <f>Inversion!D17</f>
        <v>6</v>
      </c>
      <c r="C44" s="10">
        <f>Inversion!E17</f>
        <v>0.2</v>
      </c>
      <c r="D44" s="10">
        <f t="shared" si="2"/>
        <v>1.2000000000000002</v>
      </c>
    </row>
    <row r="45" spans="1:4" ht="12.75">
      <c r="A45" s="18" t="s">
        <v>66</v>
      </c>
      <c r="B45" s="3">
        <f>Inversion!D18</f>
        <v>6</v>
      </c>
      <c r="C45" s="10">
        <f>Inversion!E18</f>
        <v>2.41</v>
      </c>
      <c r="D45" s="10">
        <f t="shared" si="2"/>
        <v>14.46</v>
      </c>
    </row>
    <row r="46" spans="1:4" ht="12.75">
      <c r="A46" s="18" t="s">
        <v>67</v>
      </c>
      <c r="B46" s="3">
        <f>Inversion!D19</f>
        <v>4</v>
      </c>
      <c r="C46" s="10">
        <f>Inversion!E19</f>
        <v>0.67</v>
      </c>
      <c r="D46" s="10">
        <f t="shared" si="2"/>
        <v>2.68</v>
      </c>
    </row>
    <row r="47" spans="1:4" ht="12.75">
      <c r="A47" s="18" t="s">
        <v>68</v>
      </c>
      <c r="B47" s="3">
        <f>Inversion!D20</f>
        <v>4</v>
      </c>
      <c r="C47" s="10">
        <f>Inversion!E20</f>
        <v>0.15</v>
      </c>
      <c r="D47" s="10">
        <f t="shared" si="2"/>
        <v>0.6</v>
      </c>
    </row>
    <row r="48" spans="1:4" ht="12.75">
      <c r="A48" s="18" t="s">
        <v>209</v>
      </c>
      <c r="B48" s="3">
        <f>Inversion!D21</f>
        <v>4</v>
      </c>
      <c r="C48" s="10">
        <f>Inversion!E21</f>
        <v>0.45</v>
      </c>
      <c r="D48" s="10">
        <f t="shared" si="2"/>
        <v>1.8</v>
      </c>
    </row>
    <row r="49" spans="1:4" ht="12.75">
      <c r="A49" s="18" t="s">
        <v>69</v>
      </c>
      <c r="B49" s="3">
        <f>Inversion!D22</f>
        <v>4</v>
      </c>
      <c r="C49" s="10">
        <f>Inversion!E22</f>
        <v>0.24</v>
      </c>
      <c r="D49" s="10">
        <f t="shared" si="2"/>
        <v>0.96</v>
      </c>
    </row>
    <row r="50" spans="1:4" ht="12.75">
      <c r="A50" s="18" t="s">
        <v>70</v>
      </c>
      <c r="B50" s="3">
        <f>Inversion!D23</f>
        <v>4</v>
      </c>
      <c r="C50" s="10">
        <f>Inversion!E23</f>
        <v>1.01</v>
      </c>
      <c r="D50" s="10">
        <f t="shared" si="2"/>
        <v>4.04</v>
      </c>
    </row>
    <row r="51" spans="1:4" ht="25.5">
      <c r="A51" s="18" t="s">
        <v>71</v>
      </c>
      <c r="B51" s="3">
        <f>Inversion!D24</f>
        <v>4</v>
      </c>
      <c r="C51" s="10">
        <f>Inversion!E24</f>
        <v>12.17</v>
      </c>
      <c r="D51" s="10">
        <f t="shared" si="2"/>
        <v>48.68</v>
      </c>
    </row>
    <row r="52" spans="1:4" ht="12.75">
      <c r="A52" s="18" t="s">
        <v>72</v>
      </c>
      <c r="B52" s="3">
        <f>Inversion!D25</f>
        <v>4</v>
      </c>
      <c r="C52" s="10">
        <f>Inversion!E25</f>
        <v>1.47</v>
      </c>
      <c r="D52" s="10">
        <f t="shared" si="2"/>
        <v>5.88</v>
      </c>
    </row>
    <row r="53" spans="1:4" ht="12.75">
      <c r="A53" s="103" t="s">
        <v>82</v>
      </c>
      <c r="B53" s="4"/>
      <c r="C53" s="7">
        <f>SUM(C42:C52)</f>
        <v>22.32</v>
      </c>
      <c r="D53" s="7">
        <f>SUM(D42:D52)</f>
        <v>100.1</v>
      </c>
    </row>
    <row r="58" spans="1:2" ht="25.5">
      <c r="A58" s="104" t="s">
        <v>52</v>
      </c>
      <c r="B58" s="104" t="s">
        <v>210</v>
      </c>
    </row>
    <row r="59" spans="1:2" ht="12.75">
      <c r="A59" s="105" t="s">
        <v>161</v>
      </c>
      <c r="B59" s="106">
        <f>D14</f>
        <v>90156</v>
      </c>
    </row>
    <row r="60" spans="1:2" ht="12.75">
      <c r="A60" s="105" t="s">
        <v>202</v>
      </c>
      <c r="B60" s="107">
        <f>D29</f>
        <v>8804.16</v>
      </c>
    </row>
    <row r="61" spans="1:2" ht="12.75">
      <c r="A61" s="105" t="s">
        <v>207</v>
      </c>
      <c r="B61" s="106">
        <f>D36</f>
        <v>250</v>
      </c>
    </row>
    <row r="62" spans="1:2" ht="12.75">
      <c r="A62" s="105" t="s">
        <v>208</v>
      </c>
      <c r="B62" s="107">
        <f>D53</f>
        <v>100.1</v>
      </c>
    </row>
    <row r="63" spans="1:2" ht="12.75">
      <c r="A63" s="108" t="s">
        <v>82</v>
      </c>
      <c r="B63" s="109">
        <f>SUM(B59:B62)</f>
        <v>99310.26000000001</v>
      </c>
    </row>
    <row r="68" spans="1:4" ht="12.75">
      <c r="A68" s="281" t="s">
        <v>211</v>
      </c>
      <c r="B68" s="281"/>
      <c r="C68" s="281"/>
      <c r="D68" s="281"/>
    </row>
    <row r="69" spans="1:4" ht="12.75" customHeight="1">
      <c r="A69" s="282" t="s">
        <v>52</v>
      </c>
      <c r="B69" s="283"/>
      <c r="C69" s="278" t="s">
        <v>212</v>
      </c>
      <c r="D69" s="276" t="s">
        <v>131</v>
      </c>
    </row>
    <row r="70" spans="1:4" ht="12.75">
      <c r="A70" s="284"/>
      <c r="B70" s="285"/>
      <c r="C70" s="279"/>
      <c r="D70" s="277"/>
    </row>
    <row r="71" spans="1:4" ht="12.75">
      <c r="A71" s="246" t="s">
        <v>213</v>
      </c>
      <c r="B71" s="267"/>
      <c r="C71" s="6">
        <v>1</v>
      </c>
      <c r="D71" s="110">
        <v>0</v>
      </c>
    </row>
    <row r="72" spans="1:4" ht="12.75">
      <c r="A72" s="246" t="s">
        <v>214</v>
      </c>
      <c r="B72" s="267"/>
      <c r="C72" s="6">
        <v>2</v>
      </c>
      <c r="D72" s="112">
        <v>200</v>
      </c>
    </row>
    <row r="73" spans="1:4" ht="12.75">
      <c r="A73" s="246" t="s">
        <v>215</v>
      </c>
      <c r="B73" s="267"/>
      <c r="C73" s="280">
        <v>1</v>
      </c>
      <c r="D73" s="275">
        <v>200</v>
      </c>
    </row>
    <row r="74" spans="1:4" ht="12.75">
      <c r="A74" s="246"/>
      <c r="B74" s="267"/>
      <c r="C74" s="274"/>
      <c r="D74" s="275"/>
    </row>
    <row r="75" spans="1:4" ht="12.75">
      <c r="A75" s="246" t="s">
        <v>216</v>
      </c>
      <c r="B75" s="267"/>
      <c r="C75" s="273">
        <v>1</v>
      </c>
      <c r="D75" s="275">
        <v>0</v>
      </c>
    </row>
    <row r="76" spans="1:4" ht="12.75">
      <c r="A76" s="246"/>
      <c r="B76" s="267"/>
      <c r="C76" s="274"/>
      <c r="D76" s="275"/>
    </row>
    <row r="77" spans="1:4" ht="12.75">
      <c r="A77" s="246" t="s">
        <v>217</v>
      </c>
      <c r="B77" s="246"/>
      <c r="C77" s="27">
        <v>1</v>
      </c>
      <c r="D77" s="110">
        <v>0</v>
      </c>
    </row>
    <row r="78" spans="1:4" ht="12.75">
      <c r="A78" s="246" t="s">
        <v>218</v>
      </c>
      <c r="B78" s="246"/>
      <c r="C78" s="257">
        <v>1</v>
      </c>
      <c r="D78" s="258">
        <v>0</v>
      </c>
    </row>
    <row r="79" spans="1:4" ht="12.75">
      <c r="A79" s="246"/>
      <c r="B79" s="246"/>
      <c r="C79" s="257"/>
      <c r="D79" s="258"/>
    </row>
    <row r="80" spans="1:4" ht="12.75">
      <c r="A80" s="246" t="s">
        <v>219</v>
      </c>
      <c r="B80" s="246"/>
      <c r="C80" s="257">
        <v>2</v>
      </c>
      <c r="D80" s="258">
        <v>0</v>
      </c>
    </row>
    <row r="81" spans="1:4" ht="12.75">
      <c r="A81" s="246"/>
      <c r="B81" s="246"/>
      <c r="C81" s="257"/>
      <c r="D81" s="258"/>
    </row>
    <row r="82" spans="1:4" ht="12.75">
      <c r="A82" s="267" t="s">
        <v>220</v>
      </c>
      <c r="B82" s="268"/>
      <c r="C82" s="6">
        <v>3</v>
      </c>
      <c r="D82" s="110">
        <v>25</v>
      </c>
    </row>
    <row r="83" spans="1:4" ht="12.75">
      <c r="A83" s="267" t="s">
        <v>221</v>
      </c>
      <c r="B83" s="268"/>
      <c r="C83" s="6">
        <v>1</v>
      </c>
      <c r="D83" s="110">
        <v>0</v>
      </c>
    </row>
    <row r="84" spans="1:4" ht="12.75">
      <c r="A84" s="267" t="s">
        <v>222</v>
      </c>
      <c r="B84" s="268"/>
      <c r="C84" s="6">
        <v>7</v>
      </c>
      <c r="D84" s="110">
        <v>42</v>
      </c>
    </row>
    <row r="85" spans="1:4" ht="12.75">
      <c r="A85" s="269" t="s">
        <v>223</v>
      </c>
      <c r="B85" s="270"/>
      <c r="C85" s="257">
        <v>3</v>
      </c>
      <c r="D85" s="258">
        <v>12</v>
      </c>
    </row>
    <row r="86" spans="1:4" ht="12.75">
      <c r="A86" s="271"/>
      <c r="B86" s="272"/>
      <c r="C86" s="257"/>
      <c r="D86" s="258"/>
    </row>
    <row r="87" spans="1:4" ht="12.75">
      <c r="A87" s="246" t="s">
        <v>224</v>
      </c>
      <c r="B87" s="246"/>
      <c r="C87" s="113">
        <v>2</v>
      </c>
      <c r="D87" s="111">
        <v>0</v>
      </c>
    </row>
    <row r="88" spans="1:4" ht="12.75">
      <c r="A88" s="246" t="s">
        <v>225</v>
      </c>
      <c r="B88" s="246"/>
      <c r="C88" s="114">
        <v>1</v>
      </c>
      <c r="D88" s="110">
        <v>56.5</v>
      </c>
    </row>
    <row r="89" spans="1:4" ht="12.75">
      <c r="A89" s="259" t="s">
        <v>226</v>
      </c>
      <c r="B89" s="260"/>
      <c r="C89" s="263">
        <v>1</v>
      </c>
      <c r="D89" s="265">
        <v>0</v>
      </c>
    </row>
    <row r="90" spans="1:4" ht="12.75">
      <c r="A90" s="261"/>
      <c r="B90" s="262"/>
      <c r="C90" s="264"/>
      <c r="D90" s="266"/>
    </row>
    <row r="91" spans="1:4" ht="12.75">
      <c r="A91" s="255" t="s">
        <v>82</v>
      </c>
      <c r="B91" s="256"/>
      <c r="C91" s="20">
        <f>SUM(C71:C90)</f>
        <v>27</v>
      </c>
      <c r="D91" s="116">
        <f>SUM(D71:D90)</f>
        <v>535.5</v>
      </c>
    </row>
    <row r="92" spans="1:4" ht="12.75">
      <c r="A92" s="253" t="s">
        <v>227</v>
      </c>
      <c r="B92" s="254"/>
      <c r="C92" s="23"/>
      <c r="D92" s="112">
        <v>200</v>
      </c>
    </row>
    <row r="93" spans="1:4" ht="12.75">
      <c r="A93" s="249" t="s">
        <v>228</v>
      </c>
      <c r="B93" s="250"/>
      <c r="C93" s="251"/>
      <c r="D93" s="55">
        <f>+D91-D92</f>
        <v>335.5</v>
      </c>
    </row>
    <row r="97" spans="1:4" ht="12.75">
      <c r="A97" s="237" t="s">
        <v>229</v>
      </c>
      <c r="B97" s="237"/>
      <c r="C97" s="237"/>
      <c r="D97" s="237"/>
    </row>
    <row r="98" spans="1:4" ht="12.75">
      <c r="A98" s="4" t="s">
        <v>230</v>
      </c>
      <c r="B98" s="3"/>
      <c r="C98" s="3"/>
      <c r="D98" s="3"/>
    </row>
    <row r="99" spans="1:4" ht="25.5">
      <c r="A99" s="245" t="s">
        <v>52</v>
      </c>
      <c r="B99" s="245"/>
      <c r="C99" s="1" t="s">
        <v>231</v>
      </c>
      <c r="D99" s="117" t="s">
        <v>232</v>
      </c>
    </row>
    <row r="100" spans="1:4" ht="12.75">
      <c r="A100" s="246" t="s">
        <v>233</v>
      </c>
      <c r="B100" s="246"/>
      <c r="C100" s="43">
        <v>0</v>
      </c>
      <c r="D100" s="3" t="s">
        <v>234</v>
      </c>
    </row>
    <row r="101" spans="1:4" ht="12.75">
      <c r="A101" s="252" t="s">
        <v>235</v>
      </c>
      <c r="B101" s="252"/>
      <c r="C101" s="118">
        <f>SUM(C102:C103)</f>
        <v>300</v>
      </c>
      <c r="D101" s="3"/>
    </row>
    <row r="102" spans="1:4" ht="12.75">
      <c r="A102" s="246" t="s">
        <v>236</v>
      </c>
      <c r="B102" s="246"/>
      <c r="C102" s="43">
        <v>150</v>
      </c>
      <c r="D102" s="3" t="s">
        <v>237</v>
      </c>
    </row>
    <row r="103" spans="1:4" ht="12.75">
      <c r="A103" s="246" t="s">
        <v>238</v>
      </c>
      <c r="B103" s="246"/>
      <c r="C103" s="43">
        <v>150</v>
      </c>
      <c r="D103" s="3"/>
    </row>
    <row r="104" spans="1:4" ht="12.75">
      <c r="A104" s="247" t="s">
        <v>239</v>
      </c>
      <c r="B104" s="247"/>
      <c r="C104" s="43">
        <v>300</v>
      </c>
      <c r="D104" s="3"/>
    </row>
    <row r="105" spans="1:4" ht="12.75">
      <c r="A105" s="246" t="s">
        <v>240</v>
      </c>
      <c r="B105" s="246"/>
      <c r="C105" s="43">
        <v>20</v>
      </c>
      <c r="D105" s="3"/>
    </row>
    <row r="106" spans="1:4" ht="12.75">
      <c r="A106" s="247" t="s">
        <v>241</v>
      </c>
      <c r="B106" s="247"/>
      <c r="C106" s="43">
        <v>80</v>
      </c>
      <c r="D106" s="3"/>
    </row>
    <row r="107" spans="1:4" ht="12.75">
      <c r="A107" s="247" t="s">
        <v>242</v>
      </c>
      <c r="B107" s="247"/>
      <c r="C107" s="43">
        <v>13</v>
      </c>
      <c r="D107" s="3"/>
    </row>
    <row r="108" spans="1:4" ht="12.75">
      <c r="A108" s="248" t="s">
        <v>82</v>
      </c>
      <c r="B108" s="248"/>
      <c r="C108" s="118">
        <f>(C101+C104+C105+C106+C107)</f>
        <v>713</v>
      </c>
      <c r="D108" s="3"/>
    </row>
    <row r="113" spans="1:3" ht="12.75">
      <c r="A113" s="245" t="s">
        <v>243</v>
      </c>
      <c r="B113" s="245"/>
      <c r="C113" s="1" t="s">
        <v>244</v>
      </c>
    </row>
    <row r="114" spans="1:3" ht="12.75">
      <c r="A114" s="246" t="s">
        <v>245</v>
      </c>
      <c r="B114" s="246"/>
      <c r="C114" s="119">
        <f>D93</f>
        <v>335.5</v>
      </c>
    </row>
    <row r="115" spans="1:3" ht="12.75">
      <c r="A115" s="246" t="s">
        <v>246</v>
      </c>
      <c r="B115" s="246"/>
      <c r="C115" s="45">
        <f>C108</f>
        <v>713</v>
      </c>
    </row>
    <row r="116" spans="1:3" ht="12.75">
      <c r="A116" s="248" t="s">
        <v>247</v>
      </c>
      <c r="B116" s="248"/>
      <c r="C116" s="55">
        <f>SUM(C114:C115)</f>
        <v>1048.5</v>
      </c>
    </row>
  </sheetData>
  <sheetProtection/>
  <mergeCells count="53">
    <mergeCell ref="A1:D1"/>
    <mergeCell ref="A2:D2"/>
    <mergeCell ref="A18:D18"/>
    <mergeCell ref="A33:E33"/>
    <mergeCell ref="A40:D40"/>
    <mergeCell ref="A68:D68"/>
    <mergeCell ref="D69:D70"/>
    <mergeCell ref="C69:C70"/>
    <mergeCell ref="A72:B72"/>
    <mergeCell ref="A71:B71"/>
    <mergeCell ref="A73:B74"/>
    <mergeCell ref="C73:C74"/>
    <mergeCell ref="D73:D74"/>
    <mergeCell ref="A69:B70"/>
    <mergeCell ref="D75:D76"/>
    <mergeCell ref="A77:B77"/>
    <mergeCell ref="D78:D79"/>
    <mergeCell ref="A80:B81"/>
    <mergeCell ref="C80:C81"/>
    <mergeCell ref="D80:D81"/>
    <mergeCell ref="A78:B79"/>
    <mergeCell ref="C78:C79"/>
    <mergeCell ref="A82:B82"/>
    <mergeCell ref="A83:B83"/>
    <mergeCell ref="A84:B84"/>
    <mergeCell ref="A85:B86"/>
    <mergeCell ref="A75:B76"/>
    <mergeCell ref="C75:C76"/>
    <mergeCell ref="A92:B92"/>
    <mergeCell ref="A91:B91"/>
    <mergeCell ref="C85:C86"/>
    <mergeCell ref="D85:D86"/>
    <mergeCell ref="A87:B87"/>
    <mergeCell ref="A88:B88"/>
    <mergeCell ref="A89:B90"/>
    <mergeCell ref="C89:C90"/>
    <mergeCell ref="D89:D90"/>
    <mergeCell ref="A115:B115"/>
    <mergeCell ref="A116:B116"/>
    <mergeCell ref="A93:C93"/>
    <mergeCell ref="A97:D97"/>
    <mergeCell ref="A99:B99"/>
    <mergeCell ref="A100:B100"/>
    <mergeCell ref="A101:B101"/>
    <mergeCell ref="A102:B102"/>
    <mergeCell ref="A103:B103"/>
    <mergeCell ref="A104:B104"/>
    <mergeCell ref="A113:B113"/>
    <mergeCell ref="A114:B114"/>
    <mergeCell ref="A105:B105"/>
    <mergeCell ref="A106:B106"/>
    <mergeCell ref="A107:B107"/>
    <mergeCell ref="A108:B108"/>
  </mergeCells>
  <printOptions/>
  <pageMargins left="0.75" right="0.75" top="1" bottom="1" header="0" footer="0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F35" sqref="F35"/>
    </sheetView>
  </sheetViews>
  <sheetFormatPr defaultColWidth="11.421875" defaultRowHeight="12.75"/>
  <cols>
    <col min="1" max="1" width="18.8515625" style="0" customWidth="1"/>
    <col min="2" max="2" width="12.140625" style="0" customWidth="1"/>
    <col min="4" max="4" width="14.421875" style="0" customWidth="1"/>
    <col min="6" max="6" width="25.00390625" style="0" customWidth="1"/>
  </cols>
  <sheetData>
    <row r="2" spans="1:11" ht="15">
      <c r="A2" s="242" t="s">
        <v>168</v>
      </c>
      <c r="B2" s="242"/>
      <c r="C2" s="242" t="s">
        <v>457</v>
      </c>
      <c r="D2" s="242"/>
      <c r="E2" s="4" t="s">
        <v>181</v>
      </c>
      <c r="F2" s="4" t="s">
        <v>248</v>
      </c>
      <c r="H2" s="214">
        <v>550000</v>
      </c>
      <c r="I2" t="s">
        <v>454</v>
      </c>
      <c r="K2" s="213" t="s">
        <v>452</v>
      </c>
    </row>
    <row r="3" spans="1:11" ht="15">
      <c r="A3" s="292">
        <v>14000000</v>
      </c>
      <c r="B3" s="292"/>
      <c r="C3" s="293">
        <f>H2+H3+H4</f>
        <v>780000</v>
      </c>
      <c r="D3" s="292"/>
      <c r="E3" s="121">
        <v>0.44</v>
      </c>
      <c r="F3" s="60">
        <f>C3*E3</f>
        <v>343200</v>
      </c>
      <c r="H3" s="214">
        <v>120000</v>
      </c>
      <c r="I3" t="s">
        <v>455</v>
      </c>
      <c r="K3" s="213" t="s">
        <v>453</v>
      </c>
    </row>
    <row r="4" spans="8:11" ht="15">
      <c r="H4" s="212">
        <v>110000</v>
      </c>
      <c r="I4" t="s">
        <v>456</v>
      </c>
      <c r="K4" s="213" t="s">
        <v>451</v>
      </c>
    </row>
    <row r="5" spans="1:5" ht="63.75">
      <c r="A5" s="117" t="s">
        <v>169</v>
      </c>
      <c r="B5" s="117" t="s">
        <v>170</v>
      </c>
      <c r="C5" s="117" t="s">
        <v>180</v>
      </c>
      <c r="D5" s="117" t="s">
        <v>183</v>
      </c>
      <c r="E5" s="117" t="s">
        <v>182</v>
      </c>
    </row>
    <row r="6" spans="1:5" ht="12.75">
      <c r="A6" s="3" t="s">
        <v>120</v>
      </c>
      <c r="B6" s="122">
        <v>0.3935</v>
      </c>
      <c r="C6" s="3">
        <v>1</v>
      </c>
      <c r="D6" s="3">
        <f>B6*$F$3</f>
        <v>135049.2</v>
      </c>
      <c r="E6" s="3">
        <f>D6*12</f>
        <v>1620590.4000000001</v>
      </c>
    </row>
    <row r="7" spans="1:5" ht="12.75">
      <c r="A7" s="3" t="s">
        <v>123</v>
      </c>
      <c r="B7" s="122">
        <v>0.343</v>
      </c>
      <c r="C7" s="3">
        <v>1</v>
      </c>
      <c r="D7" s="3">
        <f>B7*$F$3</f>
        <v>117717.6</v>
      </c>
      <c r="E7" s="3">
        <f>D7*12</f>
        <v>1412611.2000000002</v>
      </c>
    </row>
    <row r="8" spans="1:5" ht="12.75">
      <c r="A8" s="3" t="s">
        <v>118</v>
      </c>
      <c r="B8" s="57">
        <v>0.14</v>
      </c>
      <c r="C8" s="3">
        <v>1</v>
      </c>
      <c r="D8" s="3">
        <f>B8*$F$3</f>
        <v>48048.00000000001</v>
      </c>
      <c r="E8" s="3">
        <f>D8*12</f>
        <v>576576.0000000001</v>
      </c>
    </row>
    <row r="12" spans="1:5" ht="12.75">
      <c r="A12" s="294" t="s">
        <v>185</v>
      </c>
      <c r="B12" s="240"/>
      <c r="C12" s="240"/>
      <c r="D12" s="240"/>
      <c r="E12" s="240"/>
    </row>
    <row r="13" spans="1:5" ht="51">
      <c r="A13" s="117" t="s">
        <v>169</v>
      </c>
      <c r="B13" s="117" t="s">
        <v>192</v>
      </c>
      <c r="C13" s="117" t="s">
        <v>186</v>
      </c>
      <c r="D13" s="117" t="s">
        <v>187</v>
      </c>
      <c r="E13" s="117" t="s">
        <v>184</v>
      </c>
    </row>
    <row r="14" spans="1:5" ht="12.75">
      <c r="A14" s="3" t="s">
        <v>123</v>
      </c>
      <c r="B14" s="3" t="s">
        <v>193</v>
      </c>
      <c r="C14" s="88">
        <v>0.1</v>
      </c>
      <c r="D14" s="3">
        <f>C14*D6</f>
        <v>13504.920000000002</v>
      </c>
      <c r="E14" s="3">
        <f>D14*12</f>
        <v>162059.04000000004</v>
      </c>
    </row>
    <row r="15" spans="1:5" ht="12.75">
      <c r="A15" s="3" t="s">
        <v>120</v>
      </c>
      <c r="B15" s="3" t="s">
        <v>194</v>
      </c>
      <c r="C15" s="88">
        <v>0.1</v>
      </c>
      <c r="D15" s="3">
        <f>C15*D7</f>
        <v>11771.760000000002</v>
      </c>
      <c r="E15" s="3">
        <f>D15*12</f>
        <v>141261.12000000002</v>
      </c>
    </row>
    <row r="16" spans="1:5" ht="12.75">
      <c r="A16" s="3" t="s">
        <v>118</v>
      </c>
      <c r="B16" s="3" t="s">
        <v>193</v>
      </c>
      <c r="C16" s="88">
        <v>0.1</v>
      </c>
      <c r="D16" s="3">
        <f>C16*D8</f>
        <v>4804.800000000001</v>
      </c>
      <c r="E16" s="3">
        <f>D16*12</f>
        <v>57657.60000000001</v>
      </c>
    </row>
    <row r="17" spans="1:7" ht="12.75">
      <c r="A17" s="15"/>
      <c r="B17" s="98"/>
      <c r="C17" s="15"/>
      <c r="D17" s="15"/>
      <c r="E17" s="15"/>
      <c r="F17" s="15"/>
      <c r="G17" s="15"/>
    </row>
    <row r="18" spans="1:7" ht="12.75">
      <c r="A18" s="15"/>
      <c r="B18" s="99"/>
      <c r="C18" s="15"/>
      <c r="D18" s="15"/>
      <c r="E18" s="15"/>
      <c r="F18" s="15"/>
      <c r="G18" s="15"/>
    </row>
    <row r="19" spans="1:7" ht="12.75">
      <c r="A19" s="92"/>
      <c r="B19" s="100"/>
      <c r="C19" s="91"/>
      <c r="D19" s="91"/>
      <c r="E19" s="91"/>
      <c r="F19" s="91"/>
      <c r="G19" s="91"/>
    </row>
    <row r="20" spans="1:7" ht="12.75">
      <c r="A20" s="92"/>
      <c r="B20" s="93"/>
      <c r="C20" s="89"/>
      <c r="D20" s="89"/>
      <c r="E20" s="89"/>
      <c r="F20" s="89"/>
      <c r="G20" s="89"/>
    </row>
    <row r="21" spans="1:7" ht="36">
      <c r="A21" s="133" t="s">
        <v>169</v>
      </c>
      <c r="B21" s="134" t="s">
        <v>195</v>
      </c>
      <c r="C21" s="134" t="s">
        <v>199</v>
      </c>
      <c r="D21" s="134" t="s">
        <v>196</v>
      </c>
      <c r="E21" s="134" t="s">
        <v>197</v>
      </c>
      <c r="F21" s="134" t="s">
        <v>198</v>
      </c>
      <c r="G21" s="89"/>
    </row>
    <row r="22" spans="1:7" ht="12.75">
      <c r="A22" s="3" t="s">
        <v>118</v>
      </c>
      <c r="B22" s="3" t="s">
        <v>193</v>
      </c>
      <c r="C22" s="94">
        <v>1.5</v>
      </c>
      <c r="D22" s="94">
        <v>0.8</v>
      </c>
      <c r="E22" s="95">
        <f>D14</f>
        <v>13504.920000000002</v>
      </c>
      <c r="F22" s="95">
        <f>E22*12</f>
        <v>162059.04000000004</v>
      </c>
      <c r="G22" s="89"/>
    </row>
    <row r="23" spans="1:7" ht="12.75">
      <c r="A23" s="3" t="s">
        <v>120</v>
      </c>
      <c r="B23" s="3" t="s">
        <v>194</v>
      </c>
      <c r="C23" s="94">
        <v>0.9</v>
      </c>
      <c r="D23" s="94">
        <v>0.6</v>
      </c>
      <c r="E23" s="96">
        <f>D15</f>
        <v>11771.760000000002</v>
      </c>
      <c r="F23" s="96">
        <f>E23*12</f>
        <v>141261.12000000002</v>
      </c>
      <c r="G23" s="89"/>
    </row>
    <row r="24" spans="1:7" ht="12.75">
      <c r="A24" s="3" t="s">
        <v>123</v>
      </c>
      <c r="B24" s="3" t="s">
        <v>193</v>
      </c>
      <c r="C24" s="94">
        <v>1.2</v>
      </c>
      <c r="D24" s="94">
        <v>0.7</v>
      </c>
      <c r="E24" s="95">
        <f>D16</f>
        <v>4804.800000000001</v>
      </c>
      <c r="F24" s="95">
        <f>E24*12</f>
        <v>57657.60000000001</v>
      </c>
      <c r="G24" s="89"/>
    </row>
    <row r="25" spans="1:7" ht="12.75">
      <c r="A25" s="92"/>
      <c r="B25" s="93"/>
      <c r="C25" s="89"/>
      <c r="D25" s="89"/>
      <c r="E25" s="89"/>
      <c r="F25" s="89"/>
      <c r="G25" s="89"/>
    </row>
    <row r="26" spans="1:7" ht="12.75">
      <c r="A26" s="92"/>
      <c r="B26" s="93"/>
      <c r="C26" s="89"/>
      <c r="D26" s="89"/>
      <c r="E26" s="89"/>
      <c r="F26" s="89"/>
      <c r="G26" s="89"/>
    </row>
    <row r="27" spans="1:7" ht="12.75">
      <c r="A27" s="92"/>
      <c r="B27" s="93"/>
      <c r="C27" s="89"/>
      <c r="D27" s="89"/>
      <c r="E27" s="89"/>
      <c r="F27" s="89"/>
      <c r="G27" s="89"/>
    </row>
    <row r="28" spans="1:14" ht="12.75">
      <c r="A28" s="115" t="s">
        <v>249</v>
      </c>
      <c r="B28" s="124"/>
      <c r="C28" s="125"/>
      <c r="D28" s="126"/>
      <c r="E28" s="126"/>
      <c r="F28" s="126"/>
      <c r="G28" s="90"/>
      <c r="I28" s="100"/>
      <c r="J28" s="91"/>
      <c r="K28" s="91"/>
      <c r="L28" s="91"/>
      <c r="M28" s="91"/>
      <c r="N28" s="91"/>
    </row>
    <row r="29" spans="2:14" ht="13.5" thickBot="1">
      <c r="B29" s="286" t="s">
        <v>171</v>
      </c>
      <c r="C29" s="287"/>
      <c r="D29" s="287"/>
      <c r="E29" s="287"/>
      <c r="F29" s="287"/>
      <c r="G29" s="287"/>
      <c r="I29" s="123"/>
      <c r="J29" s="91"/>
      <c r="K29" s="90"/>
      <c r="L29" s="90"/>
      <c r="M29" s="90"/>
      <c r="N29" s="90"/>
    </row>
    <row r="30" spans="2:14" ht="24.75" thickBot="1">
      <c r="B30" s="288" t="s">
        <v>172</v>
      </c>
      <c r="C30" s="289"/>
      <c r="D30" s="70" t="s">
        <v>173</v>
      </c>
      <c r="E30" s="71" t="s">
        <v>174</v>
      </c>
      <c r="F30" s="71" t="s">
        <v>175</v>
      </c>
      <c r="G30" s="72" t="s">
        <v>176</v>
      </c>
      <c r="I30" s="131"/>
      <c r="J30" s="127"/>
      <c r="K30" s="128"/>
      <c r="L30" s="129"/>
      <c r="M30" s="129"/>
      <c r="N30" s="129"/>
    </row>
    <row r="31" spans="2:14" ht="24">
      <c r="B31" s="290" t="s">
        <v>177</v>
      </c>
      <c r="C31" s="73" t="s">
        <v>123</v>
      </c>
      <c r="D31" s="74">
        <v>102</v>
      </c>
      <c r="E31" s="75">
        <v>26.493506493506494</v>
      </c>
      <c r="F31" s="75">
        <v>31.677018633540374</v>
      </c>
      <c r="G31" s="76">
        <v>31.677018633540374</v>
      </c>
      <c r="I31" s="91"/>
      <c r="J31" s="127"/>
      <c r="K31" s="128"/>
      <c r="L31" s="129"/>
      <c r="M31" s="129"/>
      <c r="N31" s="129"/>
    </row>
    <row r="32" spans="2:14" ht="24">
      <c r="B32" s="291"/>
      <c r="C32" s="77" t="s">
        <v>119</v>
      </c>
      <c r="D32" s="78">
        <v>24</v>
      </c>
      <c r="E32" s="79">
        <v>6.233766233766234</v>
      </c>
      <c r="F32" s="79">
        <v>7.453416149068323</v>
      </c>
      <c r="G32" s="80">
        <v>39.130434782608695</v>
      </c>
      <c r="I32" s="91"/>
      <c r="J32" s="127"/>
      <c r="K32" s="128"/>
      <c r="L32" s="129"/>
      <c r="M32" s="129"/>
      <c r="N32" s="129"/>
    </row>
    <row r="33" spans="2:14" ht="24">
      <c r="B33" s="291"/>
      <c r="C33" s="77" t="s">
        <v>120</v>
      </c>
      <c r="D33" s="78">
        <v>119</v>
      </c>
      <c r="E33" s="79">
        <v>30.90909090909091</v>
      </c>
      <c r="F33" s="79">
        <v>36.95652173913044</v>
      </c>
      <c r="G33" s="80">
        <v>76.08695652173913</v>
      </c>
      <c r="I33" s="91"/>
      <c r="J33" s="127"/>
      <c r="K33" s="128"/>
      <c r="L33" s="129"/>
      <c r="M33" s="129"/>
      <c r="N33" s="130"/>
    </row>
    <row r="34" spans="2:14" ht="24">
      <c r="B34" s="291"/>
      <c r="C34" s="77" t="s">
        <v>121</v>
      </c>
      <c r="D34" s="78">
        <v>12</v>
      </c>
      <c r="E34" s="79">
        <v>3.116883116883117</v>
      </c>
      <c r="F34" s="79">
        <v>3.7267080745341614</v>
      </c>
      <c r="G34" s="80">
        <v>79.8136645962733</v>
      </c>
      <c r="I34" s="127"/>
      <c r="J34" s="127"/>
      <c r="K34" s="128"/>
      <c r="L34" s="129"/>
      <c r="M34" s="130"/>
      <c r="N34" s="130"/>
    </row>
    <row r="35" spans="2:14" ht="12.75">
      <c r="B35" s="291"/>
      <c r="C35" s="77" t="s">
        <v>122</v>
      </c>
      <c r="D35" s="78">
        <v>20</v>
      </c>
      <c r="E35" s="79">
        <v>5.194805194805195</v>
      </c>
      <c r="F35" s="79">
        <v>6.211180124223603</v>
      </c>
      <c r="G35" s="80">
        <v>86.0248447204969</v>
      </c>
      <c r="I35" s="131"/>
      <c r="J35" s="91"/>
      <c r="K35" s="128"/>
      <c r="L35" s="129"/>
      <c r="M35" s="130"/>
      <c r="N35" s="130"/>
    </row>
    <row r="36" spans="2:7" ht="24">
      <c r="B36" s="291"/>
      <c r="C36" s="77" t="s">
        <v>118</v>
      </c>
      <c r="D36" s="78">
        <v>45</v>
      </c>
      <c r="E36" s="79">
        <v>11.688311688311689</v>
      </c>
      <c r="F36" s="79">
        <v>13.975155279503106</v>
      </c>
      <c r="G36" s="80">
        <v>100</v>
      </c>
    </row>
    <row r="37" spans="2:7" ht="12.75">
      <c r="B37" s="291"/>
      <c r="C37" s="77" t="s">
        <v>108</v>
      </c>
      <c r="D37" s="78">
        <v>322</v>
      </c>
      <c r="E37" s="79">
        <v>83.63636363636364</v>
      </c>
      <c r="F37" s="79">
        <v>100</v>
      </c>
      <c r="G37" s="81"/>
    </row>
    <row r="38" spans="2:7" ht="12.75">
      <c r="B38" s="82" t="s">
        <v>178</v>
      </c>
      <c r="C38" s="77" t="s">
        <v>179</v>
      </c>
      <c r="D38" s="78">
        <v>63</v>
      </c>
      <c r="E38" s="79">
        <v>16.363636363636363</v>
      </c>
      <c r="F38" s="83"/>
      <c r="G38" s="81"/>
    </row>
    <row r="39" spans="2:7" ht="13.5" thickBot="1">
      <c r="B39" s="295" t="s">
        <v>108</v>
      </c>
      <c r="C39" s="296"/>
      <c r="D39" s="84">
        <v>385</v>
      </c>
      <c r="E39" s="85">
        <v>100</v>
      </c>
      <c r="F39" s="86"/>
      <c r="G39" s="87"/>
    </row>
    <row r="42" ht="12.75">
      <c r="A42" s="115" t="s">
        <v>250</v>
      </c>
    </row>
    <row r="44" spans="1:6" ht="13.5" thickBot="1">
      <c r="A44" s="286" t="s">
        <v>188</v>
      </c>
      <c r="B44" s="287"/>
      <c r="C44" s="287"/>
      <c r="D44" s="287"/>
      <c r="E44" s="287"/>
      <c r="F44" s="287"/>
    </row>
    <row r="45" spans="1:6" ht="24.75" thickBot="1">
      <c r="A45" s="288" t="s">
        <v>172</v>
      </c>
      <c r="B45" s="289"/>
      <c r="C45" s="70" t="s">
        <v>173</v>
      </c>
      <c r="D45" s="71" t="s">
        <v>174</v>
      </c>
      <c r="E45" s="71" t="s">
        <v>175</v>
      </c>
      <c r="F45" s="72" t="s">
        <v>176</v>
      </c>
    </row>
    <row r="46" spans="1:6" ht="12.75">
      <c r="A46" s="290" t="s">
        <v>177</v>
      </c>
      <c r="B46" s="73" t="s">
        <v>189</v>
      </c>
      <c r="C46" s="74">
        <v>92</v>
      </c>
      <c r="D46" s="75">
        <v>23.896103896103895</v>
      </c>
      <c r="E46" s="75">
        <v>28.571428571428573</v>
      </c>
      <c r="F46" s="76">
        <v>28.571428571428573</v>
      </c>
    </row>
    <row r="47" spans="1:6" ht="12.75">
      <c r="A47" s="291"/>
      <c r="B47" s="77" t="s">
        <v>190</v>
      </c>
      <c r="C47" s="78">
        <v>97</v>
      </c>
      <c r="D47" s="79">
        <v>25.194805194805195</v>
      </c>
      <c r="E47" s="79">
        <v>30.124223602484474</v>
      </c>
      <c r="F47" s="80">
        <v>58.69565217391305</v>
      </c>
    </row>
    <row r="48" spans="1:6" ht="12.75">
      <c r="A48" s="291"/>
      <c r="B48" s="77" t="s">
        <v>191</v>
      </c>
      <c r="C48" s="78">
        <v>133</v>
      </c>
      <c r="D48" s="79">
        <v>34.54545454545455</v>
      </c>
      <c r="E48" s="79">
        <v>41.30434782608695</v>
      </c>
      <c r="F48" s="80">
        <v>100</v>
      </c>
    </row>
    <row r="49" spans="1:6" ht="12.75">
      <c r="A49" s="291"/>
      <c r="B49" s="77" t="s">
        <v>108</v>
      </c>
      <c r="C49" s="78">
        <v>322</v>
      </c>
      <c r="D49" s="79">
        <v>83.63636363636364</v>
      </c>
      <c r="E49" s="79">
        <v>100</v>
      </c>
      <c r="F49" s="81"/>
    </row>
    <row r="50" spans="1:6" ht="12.75">
      <c r="A50" s="82" t="s">
        <v>178</v>
      </c>
      <c r="B50" s="77" t="s">
        <v>179</v>
      </c>
      <c r="C50" s="78">
        <v>63</v>
      </c>
      <c r="D50" s="79">
        <v>16.363636363636363</v>
      </c>
      <c r="E50" s="83"/>
      <c r="F50" s="81"/>
    </row>
    <row r="51" spans="1:6" ht="13.5" thickBot="1">
      <c r="A51" s="295" t="s">
        <v>108</v>
      </c>
      <c r="B51" s="296"/>
      <c r="C51" s="84">
        <v>385</v>
      </c>
      <c r="D51" s="85">
        <v>100</v>
      </c>
      <c r="E51" s="86"/>
      <c r="F51" s="87"/>
    </row>
  </sheetData>
  <sheetProtection/>
  <mergeCells count="13">
    <mergeCell ref="A45:B45"/>
    <mergeCell ref="A46:A49"/>
    <mergeCell ref="A51:B51"/>
    <mergeCell ref="B39:C39"/>
    <mergeCell ref="A44:F44"/>
    <mergeCell ref="A2:B2"/>
    <mergeCell ref="B29:G29"/>
    <mergeCell ref="B30:C30"/>
    <mergeCell ref="B31:B37"/>
    <mergeCell ref="C2:D2"/>
    <mergeCell ref="A3:B3"/>
    <mergeCell ref="C3:D3"/>
    <mergeCell ref="A12:E1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F7" sqref="F7"/>
    </sheetView>
  </sheetViews>
  <sheetFormatPr defaultColWidth="11.421875" defaultRowHeight="12.75"/>
  <cols>
    <col min="2" max="2" width="17.421875" style="0" customWidth="1"/>
    <col min="3" max="3" width="11.7109375" style="0" bestFit="1" customWidth="1"/>
    <col min="5" max="5" width="11.7109375" style="0" customWidth="1"/>
  </cols>
  <sheetData>
    <row r="2" spans="1:6" ht="15.75">
      <c r="A2" s="297" t="s">
        <v>120</v>
      </c>
      <c r="B2" s="297"/>
      <c r="C2" s="297"/>
      <c r="D2" s="297"/>
      <c r="E2" s="297"/>
      <c r="F2" s="297"/>
    </row>
    <row r="3" spans="1:6" ht="25.5">
      <c r="A3" s="298" t="s">
        <v>52</v>
      </c>
      <c r="B3" s="298"/>
      <c r="C3" s="1" t="s">
        <v>255</v>
      </c>
      <c r="D3" s="132" t="s">
        <v>254</v>
      </c>
      <c r="E3" s="242" t="s">
        <v>256</v>
      </c>
      <c r="F3" s="242"/>
    </row>
    <row r="4" spans="1:6" ht="12.75">
      <c r="A4" s="242" t="s">
        <v>187</v>
      </c>
      <c r="B4" s="242"/>
      <c r="C4" s="3">
        <f>Poblacion!D14</f>
        <v>13504.920000000002</v>
      </c>
      <c r="D4" s="51">
        <f>Poblacion!C23</f>
        <v>0.9</v>
      </c>
      <c r="E4" s="3" t="s">
        <v>251</v>
      </c>
      <c r="F4" s="51">
        <f>C4*D4</f>
        <v>12154.428000000002</v>
      </c>
    </row>
    <row r="5" spans="1:6" ht="12.75">
      <c r="A5" s="242" t="s">
        <v>252</v>
      </c>
      <c r="B5" s="242"/>
      <c r="C5" s="3">
        <f>Poblacion!E14</f>
        <v>162059.04000000004</v>
      </c>
      <c r="D5" s="51">
        <f>D4</f>
        <v>0.9</v>
      </c>
      <c r="E5" s="3" t="s">
        <v>253</v>
      </c>
      <c r="F5" s="52">
        <f>C5*D5</f>
        <v>145853.13600000003</v>
      </c>
    </row>
    <row r="8" spans="1:6" ht="15.75">
      <c r="A8" s="297" t="s">
        <v>123</v>
      </c>
      <c r="B8" s="297"/>
      <c r="C8" s="297"/>
      <c r="D8" s="297"/>
      <c r="E8" s="297"/>
      <c r="F8" s="297"/>
    </row>
    <row r="9" spans="1:6" ht="25.5">
      <c r="A9" s="298" t="s">
        <v>52</v>
      </c>
      <c r="B9" s="298"/>
      <c r="C9" s="1" t="s">
        <v>255</v>
      </c>
      <c r="D9" s="132" t="s">
        <v>254</v>
      </c>
      <c r="E9" s="242" t="s">
        <v>256</v>
      </c>
      <c r="F9" s="242"/>
    </row>
    <row r="10" spans="1:6" ht="12.75">
      <c r="A10" s="242" t="s">
        <v>187</v>
      </c>
      <c r="B10" s="242"/>
      <c r="C10" s="3">
        <f>Poblacion!D15</f>
        <v>11771.760000000002</v>
      </c>
      <c r="D10" s="51">
        <f>Poblacion!C24</f>
        <v>1.2</v>
      </c>
      <c r="E10" s="3" t="s">
        <v>251</v>
      </c>
      <c r="F10" s="51">
        <f>C10*D10</f>
        <v>14126.112000000003</v>
      </c>
    </row>
    <row r="11" spans="1:6" ht="12.75">
      <c r="A11" s="242" t="s">
        <v>252</v>
      </c>
      <c r="B11" s="242"/>
      <c r="C11" s="3">
        <f>Poblacion!E15</f>
        <v>141261.12000000002</v>
      </c>
      <c r="D11" s="51">
        <f>D10</f>
        <v>1.2</v>
      </c>
      <c r="E11" s="3" t="s">
        <v>253</v>
      </c>
      <c r="F11" s="52">
        <f>C11*D11</f>
        <v>169513.344</v>
      </c>
    </row>
    <row r="14" spans="1:6" ht="15.75">
      <c r="A14" s="297" t="s">
        <v>118</v>
      </c>
      <c r="B14" s="297"/>
      <c r="C14" s="297"/>
      <c r="D14" s="297"/>
      <c r="E14" s="297"/>
      <c r="F14" s="297"/>
    </row>
    <row r="15" spans="1:6" ht="25.5">
      <c r="A15" s="298" t="s">
        <v>52</v>
      </c>
      <c r="B15" s="298"/>
      <c r="C15" s="1" t="s">
        <v>255</v>
      </c>
      <c r="D15" s="132" t="s">
        <v>254</v>
      </c>
      <c r="E15" s="242" t="s">
        <v>256</v>
      </c>
      <c r="F15" s="242"/>
    </row>
    <row r="16" spans="1:6" ht="12.75">
      <c r="A16" s="242" t="s">
        <v>187</v>
      </c>
      <c r="B16" s="242"/>
      <c r="C16" s="3">
        <f>Poblacion!D16</f>
        <v>4804.800000000001</v>
      </c>
      <c r="D16" s="51">
        <f>Poblacion!C22</f>
        <v>1.5</v>
      </c>
      <c r="E16" s="3" t="s">
        <v>251</v>
      </c>
      <c r="F16" s="51">
        <f>C16*D16</f>
        <v>7207.200000000002</v>
      </c>
    </row>
    <row r="17" spans="1:6" ht="12.75">
      <c r="A17" s="242" t="s">
        <v>252</v>
      </c>
      <c r="B17" s="242"/>
      <c r="C17" s="3">
        <f>Poblacion!E16</f>
        <v>57657.60000000001</v>
      </c>
      <c r="D17" s="51">
        <f>D16</f>
        <v>1.5</v>
      </c>
      <c r="E17" s="3" t="s">
        <v>253</v>
      </c>
      <c r="F17" s="52">
        <f>C17*D17</f>
        <v>86486.40000000002</v>
      </c>
    </row>
    <row r="20" spans="1:3" ht="12.75">
      <c r="A20" s="242" t="s">
        <v>257</v>
      </c>
      <c r="B20" s="242"/>
      <c r="C20" s="242"/>
    </row>
    <row r="21" spans="1:3" ht="12.75">
      <c r="A21" s="4" t="s">
        <v>258</v>
      </c>
      <c r="B21" s="4"/>
      <c r="C21" s="52">
        <f>(F5+F11+F17)</f>
        <v>401852.88000000006</v>
      </c>
    </row>
  </sheetData>
  <sheetProtection/>
  <mergeCells count="16">
    <mergeCell ref="A9:B9"/>
    <mergeCell ref="E9:F9"/>
    <mergeCell ref="A2:F2"/>
    <mergeCell ref="A3:B3"/>
    <mergeCell ref="E3:F3"/>
    <mergeCell ref="A4:B4"/>
    <mergeCell ref="A5:B5"/>
    <mergeCell ref="A8:F8"/>
    <mergeCell ref="A16:B16"/>
    <mergeCell ref="A17:B17"/>
    <mergeCell ref="A20:C20"/>
    <mergeCell ref="A10:B10"/>
    <mergeCell ref="A11:B11"/>
    <mergeCell ref="A14:F14"/>
    <mergeCell ref="A15:B15"/>
    <mergeCell ref="E15:F15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7">
      <selection activeCell="H27" sqref="H27"/>
    </sheetView>
  </sheetViews>
  <sheetFormatPr defaultColWidth="11.421875" defaultRowHeight="12.75"/>
  <cols>
    <col min="1" max="1" width="16.28125" style="0" customWidth="1"/>
  </cols>
  <sheetData>
    <row r="2" spans="1:5" ht="12.75">
      <c r="A2" s="237" t="s">
        <v>259</v>
      </c>
      <c r="B2" s="237"/>
      <c r="C2" s="237"/>
      <c r="D2" s="237"/>
      <c r="E2" s="237"/>
    </row>
    <row r="4" ht="12.75">
      <c r="A4" s="115" t="s">
        <v>120</v>
      </c>
    </row>
    <row r="6" spans="1:2" ht="12.75">
      <c r="A6" s="4" t="s">
        <v>260</v>
      </c>
      <c r="B6" s="97">
        <f>Poblacion!E14</f>
        <v>162059.04000000004</v>
      </c>
    </row>
    <row r="7" spans="1:2" ht="12.75">
      <c r="A7" s="3" t="s">
        <v>261</v>
      </c>
      <c r="B7" s="3">
        <f>Poblacion!D14</f>
        <v>13504.920000000002</v>
      </c>
    </row>
    <row r="8" spans="1:2" ht="12.75">
      <c r="A8" s="3" t="s">
        <v>262</v>
      </c>
      <c r="B8" s="3">
        <f>B7*12</f>
        <v>162059.04000000004</v>
      </c>
    </row>
    <row r="11" ht="12.75">
      <c r="A11" s="115" t="s">
        <v>123</v>
      </c>
    </row>
    <row r="12" ht="12.75">
      <c r="A12" s="115"/>
    </row>
    <row r="13" spans="1:2" ht="12.75">
      <c r="A13" s="4" t="s">
        <v>260</v>
      </c>
      <c r="B13" s="3">
        <f>Poblacion!E15</f>
        <v>141261.12000000002</v>
      </c>
    </row>
    <row r="14" spans="1:2" ht="12.75">
      <c r="A14" s="3" t="s">
        <v>261</v>
      </c>
      <c r="B14" s="3">
        <f>Poblacion!D15</f>
        <v>11771.760000000002</v>
      </c>
    </row>
    <row r="15" spans="1:2" ht="12.75">
      <c r="A15" s="3" t="s">
        <v>262</v>
      </c>
      <c r="B15" s="3">
        <f>B14*12</f>
        <v>141261.12000000002</v>
      </c>
    </row>
    <row r="18" ht="12.75">
      <c r="A18" s="115" t="s">
        <v>118</v>
      </c>
    </row>
    <row r="20" spans="1:2" ht="12.75">
      <c r="A20" s="4" t="s">
        <v>260</v>
      </c>
      <c r="B20" s="3">
        <f>Poblacion!E16</f>
        <v>57657.60000000001</v>
      </c>
    </row>
    <row r="21" spans="1:2" ht="12.75">
      <c r="A21" s="3" t="s">
        <v>261</v>
      </c>
      <c r="B21" s="3">
        <f>Poblacion!D16</f>
        <v>4804.800000000001</v>
      </c>
    </row>
    <row r="22" spans="1:2" ht="12.75">
      <c r="A22" s="3" t="s">
        <v>262</v>
      </c>
      <c r="B22" s="3">
        <f>B21*12</f>
        <v>57657.60000000001</v>
      </c>
    </row>
    <row r="25" spans="1:8" ht="12.75">
      <c r="A25" s="299" t="s">
        <v>263</v>
      </c>
      <c r="B25" s="300"/>
      <c r="C25" s="300"/>
      <c r="D25" s="135" t="s">
        <v>140</v>
      </c>
      <c r="E25" s="135" t="s">
        <v>141</v>
      </c>
      <c r="F25" s="135" t="s">
        <v>142</v>
      </c>
      <c r="G25" s="135" t="s">
        <v>143</v>
      </c>
      <c r="H25" s="135" t="s">
        <v>144</v>
      </c>
    </row>
    <row r="26" spans="1:8" ht="12.75">
      <c r="A26" s="299" t="s">
        <v>264</v>
      </c>
      <c r="B26" s="300"/>
      <c r="C26" s="300"/>
      <c r="D26" s="3">
        <f>B8</f>
        <v>162059.04000000004</v>
      </c>
      <c r="E26" s="3">
        <f>D26</f>
        <v>162059.04000000004</v>
      </c>
      <c r="F26" s="3">
        <f>D26:D26</f>
        <v>162059.04000000004</v>
      </c>
      <c r="G26" s="3">
        <f>D26</f>
        <v>162059.04000000004</v>
      </c>
      <c r="H26" s="3">
        <f>D26</f>
        <v>162059.04000000004</v>
      </c>
    </row>
    <row r="27" spans="1:8" ht="12.75">
      <c r="A27" s="299" t="s">
        <v>265</v>
      </c>
      <c r="B27" s="300"/>
      <c r="C27" s="300"/>
      <c r="D27" s="3">
        <f>B15</f>
        <v>141261.12000000002</v>
      </c>
      <c r="E27" s="3">
        <f>D27</f>
        <v>141261.12000000002</v>
      </c>
      <c r="F27" s="3">
        <f>D27</f>
        <v>141261.12000000002</v>
      </c>
      <c r="G27" s="3">
        <f>D27</f>
        <v>141261.12000000002</v>
      </c>
      <c r="H27" s="3">
        <f>D27</f>
        <v>141261.12000000002</v>
      </c>
    </row>
    <row r="28" spans="1:8" ht="12.75">
      <c r="A28" s="299" t="s">
        <v>266</v>
      </c>
      <c r="B28" s="300"/>
      <c r="C28" s="300"/>
      <c r="D28" s="3">
        <f>B22</f>
        <v>57657.60000000001</v>
      </c>
      <c r="E28" s="3">
        <f>D28</f>
        <v>57657.60000000001</v>
      </c>
      <c r="F28" s="3">
        <f>D28</f>
        <v>57657.60000000001</v>
      </c>
      <c r="G28" s="3">
        <f>D28</f>
        <v>57657.60000000001</v>
      </c>
      <c r="H28" s="3">
        <f>D28</f>
        <v>57657.60000000001</v>
      </c>
    </row>
  </sheetData>
  <sheetProtection/>
  <mergeCells count="5">
    <mergeCell ref="A28:C28"/>
    <mergeCell ref="A2:E2"/>
    <mergeCell ref="A25:C25"/>
    <mergeCell ref="A26:C26"/>
    <mergeCell ref="A27:C2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70"/>
  <sheetViews>
    <sheetView zoomScalePageLayoutView="0" workbookViewId="0" topLeftCell="A49">
      <selection activeCell="A66" sqref="A66:M70"/>
    </sheetView>
  </sheetViews>
  <sheetFormatPr defaultColWidth="11.421875" defaultRowHeight="12.75"/>
  <cols>
    <col min="1" max="1" width="17.140625" style="0" customWidth="1"/>
    <col min="3" max="3" width="21.140625" style="0" customWidth="1"/>
    <col min="5" max="5" width="13.421875" style="0" customWidth="1"/>
    <col min="7" max="7" width="13.7109375" style="0" customWidth="1"/>
    <col min="10" max="10" width="12.8515625" style="0" customWidth="1"/>
  </cols>
  <sheetData>
    <row r="2" spans="1:14" ht="12.75">
      <c r="A2" s="3"/>
      <c r="B2" s="1"/>
      <c r="C2" s="1" t="s">
        <v>267</v>
      </c>
      <c r="D2" s="1" t="s">
        <v>268</v>
      </c>
      <c r="E2" s="1" t="s">
        <v>269</v>
      </c>
      <c r="F2" s="1" t="s">
        <v>270</v>
      </c>
      <c r="G2" s="1" t="s">
        <v>271</v>
      </c>
      <c r="H2" s="1" t="s">
        <v>272</v>
      </c>
      <c r="I2" s="1" t="s">
        <v>273</v>
      </c>
      <c r="J2" s="1" t="s">
        <v>274</v>
      </c>
      <c r="K2" s="1" t="s">
        <v>275</v>
      </c>
      <c r="L2" s="1" t="s">
        <v>276</v>
      </c>
      <c r="M2" s="1" t="s">
        <v>277</v>
      </c>
      <c r="N2" s="1" t="s">
        <v>278</v>
      </c>
    </row>
    <row r="3" spans="1:14" ht="12.75">
      <c r="A3" s="302" t="s">
        <v>120</v>
      </c>
      <c r="B3" s="136" t="s">
        <v>124</v>
      </c>
      <c r="C3" s="137">
        <f>Poblacion!$C$23</f>
        <v>0.9</v>
      </c>
      <c r="D3" s="137">
        <f>Poblacion!$C$23</f>
        <v>0.9</v>
      </c>
      <c r="E3" s="137">
        <f>Poblacion!$C$23</f>
        <v>0.9</v>
      </c>
      <c r="F3" s="137">
        <f>Poblacion!$C$23</f>
        <v>0.9</v>
      </c>
      <c r="G3" s="137">
        <f>Poblacion!$C$23</f>
        <v>0.9</v>
      </c>
      <c r="H3" s="137">
        <f>Poblacion!$C$23</f>
        <v>0.9</v>
      </c>
      <c r="I3" s="137">
        <f>Poblacion!$C$23</f>
        <v>0.9</v>
      </c>
      <c r="J3" s="137">
        <f>Poblacion!$C$23</f>
        <v>0.9</v>
      </c>
      <c r="K3" s="137">
        <f>Poblacion!$C$23</f>
        <v>0.9</v>
      </c>
      <c r="L3" s="137">
        <f>Poblacion!$C$23</f>
        <v>0.9</v>
      </c>
      <c r="M3" s="137">
        <f>Poblacion!$C$23</f>
        <v>0.9</v>
      </c>
      <c r="N3" s="137">
        <f>Poblacion!$C$23</f>
        <v>0.9</v>
      </c>
    </row>
    <row r="4" spans="1:14" ht="12.75">
      <c r="A4" s="302"/>
      <c r="B4" s="136" t="s">
        <v>279</v>
      </c>
      <c r="C4" s="137">
        <f>C15</f>
        <v>2077.6800000000003</v>
      </c>
      <c r="D4" s="137">
        <f>C16</f>
        <v>4155.360000000001</v>
      </c>
      <c r="E4" s="137">
        <f>C17</f>
        <v>6233.040000000002</v>
      </c>
      <c r="F4" s="137">
        <f>C18</f>
        <v>8310.720000000001</v>
      </c>
      <c r="G4" s="137">
        <f>C19</f>
        <v>10388.400000000001</v>
      </c>
      <c r="H4" s="137">
        <f>C20</f>
        <v>12466.080000000004</v>
      </c>
      <c r="I4" s="137">
        <f>C21</f>
        <v>14543.760000000004</v>
      </c>
      <c r="J4" s="137">
        <f>C22</f>
        <v>16621.440000000002</v>
      </c>
      <c r="K4" s="137">
        <f>C23</f>
        <v>18699.120000000006</v>
      </c>
      <c r="L4" s="137">
        <f>C24</f>
        <v>20776.800000000003</v>
      </c>
      <c r="M4" s="137">
        <f>C25</f>
        <v>22854.480000000007</v>
      </c>
      <c r="N4" s="137">
        <f>C26</f>
        <v>24932.160000000007</v>
      </c>
    </row>
    <row r="5" spans="1:14" ht="12.75">
      <c r="A5" s="302"/>
      <c r="B5" s="136" t="s">
        <v>280</v>
      </c>
      <c r="C5" s="137">
        <f aca="true" t="shared" si="0" ref="C5:N5">C4*C3</f>
        <v>1869.9120000000003</v>
      </c>
      <c r="D5" s="137">
        <f t="shared" si="0"/>
        <v>3739.8240000000005</v>
      </c>
      <c r="E5" s="137">
        <f t="shared" si="0"/>
        <v>5609.736000000002</v>
      </c>
      <c r="F5" s="137">
        <f t="shared" si="0"/>
        <v>7479.648000000001</v>
      </c>
      <c r="G5" s="137">
        <f t="shared" si="0"/>
        <v>9349.560000000001</v>
      </c>
      <c r="H5" s="137">
        <f t="shared" si="0"/>
        <v>11219.472000000003</v>
      </c>
      <c r="I5" s="137">
        <f t="shared" si="0"/>
        <v>13089.384000000004</v>
      </c>
      <c r="J5" s="137">
        <f t="shared" si="0"/>
        <v>14959.296000000002</v>
      </c>
      <c r="K5" s="137">
        <f t="shared" si="0"/>
        <v>16829.208000000006</v>
      </c>
      <c r="L5" s="137">
        <f t="shared" si="0"/>
        <v>18699.120000000003</v>
      </c>
      <c r="M5" s="137">
        <f t="shared" si="0"/>
        <v>20569.032000000007</v>
      </c>
      <c r="N5" s="137">
        <f t="shared" si="0"/>
        <v>22438.944000000007</v>
      </c>
    </row>
    <row r="6" spans="1:14" ht="12.75">
      <c r="A6" s="303" t="s">
        <v>123</v>
      </c>
      <c r="B6" s="138" t="s">
        <v>124</v>
      </c>
      <c r="C6" s="139">
        <f>Poblacion!$C$24</f>
        <v>1.2</v>
      </c>
      <c r="D6" s="139">
        <f>Poblacion!$C$24</f>
        <v>1.2</v>
      </c>
      <c r="E6" s="139">
        <f>Poblacion!$C$24</f>
        <v>1.2</v>
      </c>
      <c r="F6" s="139">
        <f>Poblacion!$C$24</f>
        <v>1.2</v>
      </c>
      <c r="G6" s="139">
        <f>Poblacion!$C$24</f>
        <v>1.2</v>
      </c>
      <c r="H6" s="139">
        <f>Poblacion!$C$24</f>
        <v>1.2</v>
      </c>
      <c r="I6" s="139">
        <f>Poblacion!$C$24</f>
        <v>1.2</v>
      </c>
      <c r="J6" s="139">
        <f>Poblacion!$C$24</f>
        <v>1.2</v>
      </c>
      <c r="K6" s="139">
        <f>Poblacion!$C$24</f>
        <v>1.2</v>
      </c>
      <c r="L6" s="139">
        <f>Poblacion!$C$24</f>
        <v>1.2</v>
      </c>
      <c r="M6" s="139">
        <f>Poblacion!$C$24</f>
        <v>1.2</v>
      </c>
      <c r="N6" s="139">
        <f>Poblacion!$C$24</f>
        <v>1.2</v>
      </c>
    </row>
    <row r="7" spans="1:14" ht="12.75">
      <c r="A7" s="303"/>
      <c r="B7" s="138" t="s">
        <v>279</v>
      </c>
      <c r="C7" s="139">
        <f>C30</f>
        <v>1811.0400000000002</v>
      </c>
      <c r="D7" s="139">
        <f>C31</f>
        <v>3622.0800000000004</v>
      </c>
      <c r="E7" s="139">
        <f>C32</f>
        <v>5433.120000000001</v>
      </c>
      <c r="F7" s="139">
        <f>C33</f>
        <v>7244.160000000001</v>
      </c>
      <c r="G7" s="139">
        <f>C34</f>
        <v>9055.2</v>
      </c>
      <c r="H7" s="139">
        <f>C35</f>
        <v>10866.240000000002</v>
      </c>
      <c r="I7" s="139">
        <f>C36</f>
        <v>12677.280000000002</v>
      </c>
      <c r="J7" s="139">
        <f>C37</f>
        <v>14488.320000000002</v>
      </c>
      <c r="K7" s="139">
        <f>C38</f>
        <v>16299.360000000004</v>
      </c>
      <c r="L7" s="139">
        <f>C39</f>
        <v>18110.4</v>
      </c>
      <c r="M7" s="139">
        <f>C40</f>
        <v>19921.440000000002</v>
      </c>
      <c r="N7" s="139">
        <f>C41</f>
        <v>21732.480000000003</v>
      </c>
    </row>
    <row r="8" spans="1:14" ht="12.75">
      <c r="A8" s="303"/>
      <c r="B8" s="138" t="s">
        <v>280</v>
      </c>
      <c r="C8" s="139">
        <f aca="true" t="shared" si="1" ref="C8:N8">C7*C6</f>
        <v>2173.248</v>
      </c>
      <c r="D8" s="139">
        <f t="shared" si="1"/>
        <v>4346.496</v>
      </c>
      <c r="E8" s="139">
        <f t="shared" si="1"/>
        <v>6519.744000000001</v>
      </c>
      <c r="F8" s="139">
        <f t="shared" si="1"/>
        <v>8692.992</v>
      </c>
      <c r="G8" s="139">
        <f t="shared" si="1"/>
        <v>10866.24</v>
      </c>
      <c r="H8" s="139">
        <f t="shared" si="1"/>
        <v>13039.488000000001</v>
      </c>
      <c r="I8" s="139">
        <f t="shared" si="1"/>
        <v>15212.736000000003</v>
      </c>
      <c r="J8" s="139">
        <f t="shared" si="1"/>
        <v>17385.984</v>
      </c>
      <c r="K8" s="139">
        <f t="shared" si="1"/>
        <v>19559.232000000004</v>
      </c>
      <c r="L8" s="139">
        <f t="shared" si="1"/>
        <v>21732.48</v>
      </c>
      <c r="M8" s="139">
        <f t="shared" si="1"/>
        <v>23905.728000000003</v>
      </c>
      <c r="N8" s="139">
        <f t="shared" si="1"/>
        <v>26078.976000000002</v>
      </c>
    </row>
    <row r="9" spans="1:14" ht="12.75">
      <c r="A9" s="305" t="s">
        <v>118</v>
      </c>
      <c r="B9" s="141" t="s">
        <v>124</v>
      </c>
      <c r="C9" s="145">
        <f>Poblacion!$C$22</f>
        <v>1.5</v>
      </c>
      <c r="D9" s="145">
        <f>Poblacion!$C$22</f>
        <v>1.5</v>
      </c>
      <c r="E9" s="145">
        <f>Poblacion!$C$22</f>
        <v>1.5</v>
      </c>
      <c r="F9" s="145">
        <f>Poblacion!$C$22</f>
        <v>1.5</v>
      </c>
      <c r="G9" s="145">
        <f>Poblacion!$C$22</f>
        <v>1.5</v>
      </c>
      <c r="H9" s="145">
        <f>Poblacion!$C$22</f>
        <v>1.5</v>
      </c>
      <c r="I9" s="145">
        <f>Poblacion!$C$22</f>
        <v>1.5</v>
      </c>
      <c r="J9" s="145">
        <f>Poblacion!$C$22</f>
        <v>1.5</v>
      </c>
      <c r="K9" s="145">
        <f>Poblacion!$C$22</f>
        <v>1.5</v>
      </c>
      <c r="L9" s="145">
        <f>Poblacion!$C$22</f>
        <v>1.5</v>
      </c>
      <c r="M9" s="145">
        <f>Poblacion!$C$22</f>
        <v>1.5</v>
      </c>
      <c r="N9" s="145">
        <f>Poblacion!$C$22</f>
        <v>1.5</v>
      </c>
    </row>
    <row r="10" spans="1:14" ht="12.75">
      <c r="A10" s="306"/>
      <c r="B10" s="141" t="s">
        <v>279</v>
      </c>
      <c r="C10" s="145">
        <f>H30</f>
        <v>739.2000000000002</v>
      </c>
      <c r="D10" s="145">
        <f>H31</f>
        <v>1478.4000000000003</v>
      </c>
      <c r="E10" s="145">
        <f>H32</f>
        <v>2217.600000000001</v>
      </c>
      <c r="F10" s="145">
        <f>H33</f>
        <v>2956.8000000000006</v>
      </c>
      <c r="G10" s="145">
        <f>H34</f>
        <v>3696.0000000000005</v>
      </c>
      <c r="H10" s="145">
        <f>H35</f>
        <v>4435.200000000002</v>
      </c>
      <c r="I10" s="145">
        <f>H36</f>
        <v>5174.4000000000015</v>
      </c>
      <c r="J10" s="145">
        <f>H37</f>
        <v>5913.600000000001</v>
      </c>
      <c r="K10" s="145">
        <f>H38</f>
        <v>6652.800000000002</v>
      </c>
      <c r="L10" s="145">
        <f>H39</f>
        <v>7392.000000000001</v>
      </c>
      <c r="M10" s="145">
        <f>H40</f>
        <v>8131.200000000002</v>
      </c>
      <c r="N10" s="145">
        <f>H41</f>
        <v>8870.400000000003</v>
      </c>
    </row>
    <row r="11" spans="1:14" ht="12.75">
      <c r="A11" s="307"/>
      <c r="B11" s="141" t="s">
        <v>280</v>
      </c>
      <c r="C11" s="145">
        <f aca="true" t="shared" si="2" ref="C11:N11">C10*C9</f>
        <v>1108.8000000000002</v>
      </c>
      <c r="D11" s="145">
        <f t="shared" si="2"/>
        <v>2217.6000000000004</v>
      </c>
      <c r="E11" s="145">
        <f t="shared" si="2"/>
        <v>3326.4000000000015</v>
      </c>
      <c r="F11" s="145">
        <f t="shared" si="2"/>
        <v>4435.200000000001</v>
      </c>
      <c r="G11" s="145">
        <f t="shared" si="2"/>
        <v>5544.000000000001</v>
      </c>
      <c r="H11" s="145">
        <f t="shared" si="2"/>
        <v>6652.800000000003</v>
      </c>
      <c r="I11" s="145">
        <f t="shared" si="2"/>
        <v>7761.600000000002</v>
      </c>
      <c r="J11" s="145">
        <f t="shared" si="2"/>
        <v>8870.400000000001</v>
      </c>
      <c r="K11" s="145">
        <f t="shared" si="2"/>
        <v>9979.200000000003</v>
      </c>
      <c r="L11" s="145">
        <f t="shared" si="2"/>
        <v>11088.000000000002</v>
      </c>
      <c r="M11" s="145">
        <f t="shared" si="2"/>
        <v>12196.800000000003</v>
      </c>
      <c r="N11" s="145">
        <f t="shared" si="2"/>
        <v>13305.600000000006</v>
      </c>
    </row>
    <row r="12" spans="1:14" ht="12.75">
      <c r="A12" s="304" t="s">
        <v>281</v>
      </c>
      <c r="B12" s="304"/>
      <c r="C12" s="140">
        <f aca="true" t="shared" si="3" ref="C12:N12">C5+C8+C11</f>
        <v>5151.960000000001</v>
      </c>
      <c r="D12" s="140">
        <f t="shared" si="3"/>
        <v>10303.920000000002</v>
      </c>
      <c r="E12" s="140">
        <f t="shared" si="3"/>
        <v>15455.880000000005</v>
      </c>
      <c r="F12" s="140">
        <f t="shared" si="3"/>
        <v>20607.840000000004</v>
      </c>
      <c r="G12" s="140">
        <f t="shared" si="3"/>
        <v>25759.800000000003</v>
      </c>
      <c r="H12" s="140">
        <f t="shared" si="3"/>
        <v>30911.76000000001</v>
      </c>
      <c r="I12" s="140">
        <f t="shared" si="3"/>
        <v>36063.72000000001</v>
      </c>
      <c r="J12" s="140">
        <f t="shared" si="3"/>
        <v>41215.68000000001</v>
      </c>
      <c r="K12" s="140">
        <f t="shared" si="3"/>
        <v>46367.640000000014</v>
      </c>
      <c r="L12" s="140">
        <f t="shared" si="3"/>
        <v>51519.600000000006</v>
      </c>
      <c r="M12" s="140">
        <f t="shared" si="3"/>
        <v>56671.56000000001</v>
      </c>
      <c r="N12" s="140">
        <f t="shared" si="3"/>
        <v>61823.52000000002</v>
      </c>
    </row>
    <row r="14" spans="1:4" ht="12.75">
      <c r="A14" s="3"/>
      <c r="B14" s="3"/>
      <c r="C14" s="4" t="s">
        <v>282</v>
      </c>
      <c r="D14" s="120" t="s">
        <v>295</v>
      </c>
    </row>
    <row r="15" spans="1:8" ht="12.75">
      <c r="A15" s="3">
        <v>1</v>
      </c>
      <c r="B15" s="201">
        <f>A15/$A$27</f>
        <v>0.01282051282051282</v>
      </c>
      <c r="C15" s="15">
        <f>H15*B15</f>
        <v>2077.6800000000003</v>
      </c>
      <c r="D15" s="142" t="s">
        <v>283</v>
      </c>
      <c r="F15" s="3" t="s">
        <v>120</v>
      </c>
      <c r="G15" s="3"/>
      <c r="H15" s="3">
        <f>Poblacion!E14</f>
        <v>162059.04000000004</v>
      </c>
    </row>
    <row r="16" spans="1:8" ht="12.75">
      <c r="A16" s="3">
        <v>2</v>
      </c>
      <c r="B16" s="201">
        <f aca="true" t="shared" si="4" ref="B16:B26">A16/$A$27</f>
        <v>0.02564102564102564</v>
      </c>
      <c r="C16" s="15">
        <f>H15*B16</f>
        <v>4155.360000000001</v>
      </c>
      <c r="D16" s="142" t="s">
        <v>284</v>
      </c>
      <c r="F16" s="3" t="s">
        <v>123</v>
      </c>
      <c r="G16" s="3"/>
      <c r="H16" s="3">
        <f>Poblacion!E15</f>
        <v>141261.12000000002</v>
      </c>
    </row>
    <row r="17" spans="1:8" ht="12.75">
      <c r="A17" s="3">
        <v>3</v>
      </c>
      <c r="B17" s="201">
        <f t="shared" si="4"/>
        <v>0.038461538461538464</v>
      </c>
      <c r="C17" s="15">
        <f>H15*B17</f>
        <v>6233.040000000002</v>
      </c>
      <c r="D17" s="142" t="s">
        <v>285</v>
      </c>
      <c r="F17" s="3" t="s">
        <v>118</v>
      </c>
      <c r="G17" s="3"/>
      <c r="H17" s="3">
        <f>Poblacion!E16</f>
        <v>57657.60000000001</v>
      </c>
    </row>
    <row r="18" spans="1:4" ht="12.75">
      <c r="A18" s="3">
        <v>4</v>
      </c>
      <c r="B18" s="201">
        <f t="shared" si="4"/>
        <v>0.05128205128205128</v>
      </c>
      <c r="C18" s="15">
        <f>H15*B18</f>
        <v>8310.720000000001</v>
      </c>
      <c r="D18" s="142" t="s">
        <v>286</v>
      </c>
    </row>
    <row r="19" spans="1:4" ht="12.75">
      <c r="A19" s="3">
        <v>5</v>
      </c>
      <c r="B19" s="201">
        <f t="shared" si="4"/>
        <v>0.0641025641025641</v>
      </c>
      <c r="C19" s="15">
        <f>H15*B19</f>
        <v>10388.400000000001</v>
      </c>
      <c r="D19" s="142" t="s">
        <v>287</v>
      </c>
    </row>
    <row r="20" spans="1:4" ht="12.75">
      <c r="A20" s="3">
        <v>6</v>
      </c>
      <c r="B20" s="201">
        <f t="shared" si="4"/>
        <v>0.07692307692307693</v>
      </c>
      <c r="C20" s="15">
        <f>H15*B20</f>
        <v>12466.080000000004</v>
      </c>
      <c r="D20" s="142" t="s">
        <v>288</v>
      </c>
    </row>
    <row r="21" spans="1:4" ht="12.75">
      <c r="A21" s="3">
        <v>7</v>
      </c>
      <c r="B21" s="201">
        <f t="shared" si="4"/>
        <v>0.08974358974358974</v>
      </c>
      <c r="C21" s="15">
        <f>H15*B21</f>
        <v>14543.760000000004</v>
      </c>
      <c r="D21" s="142" t="s">
        <v>289</v>
      </c>
    </row>
    <row r="22" spans="1:4" ht="12.75">
      <c r="A22" s="3">
        <v>8</v>
      </c>
      <c r="B22" s="201">
        <f t="shared" si="4"/>
        <v>0.10256410256410256</v>
      </c>
      <c r="C22" s="15">
        <f>H15*B22</f>
        <v>16621.440000000002</v>
      </c>
      <c r="D22" s="142" t="s">
        <v>290</v>
      </c>
    </row>
    <row r="23" spans="1:4" ht="12.75">
      <c r="A23" s="3">
        <v>9</v>
      </c>
      <c r="B23" s="201">
        <f t="shared" si="4"/>
        <v>0.11538461538461539</v>
      </c>
      <c r="C23" s="15">
        <f>H15*B23</f>
        <v>18699.120000000006</v>
      </c>
      <c r="D23" s="142" t="s">
        <v>291</v>
      </c>
    </row>
    <row r="24" spans="1:4" ht="12.75">
      <c r="A24" s="3">
        <v>10</v>
      </c>
      <c r="B24" s="201">
        <f t="shared" si="4"/>
        <v>0.1282051282051282</v>
      </c>
      <c r="C24" s="15">
        <f>H15*B24</f>
        <v>20776.800000000003</v>
      </c>
      <c r="D24" s="142" t="s">
        <v>292</v>
      </c>
    </row>
    <row r="25" spans="1:4" ht="12.75">
      <c r="A25" s="3">
        <v>11</v>
      </c>
      <c r="B25" s="201">
        <f t="shared" si="4"/>
        <v>0.14102564102564102</v>
      </c>
      <c r="C25" s="15">
        <f>H15*B25</f>
        <v>22854.480000000007</v>
      </c>
      <c r="D25" s="142" t="s">
        <v>293</v>
      </c>
    </row>
    <row r="26" spans="1:4" ht="12.75">
      <c r="A26" s="3">
        <v>12</v>
      </c>
      <c r="B26" s="201">
        <f t="shared" si="4"/>
        <v>0.15384615384615385</v>
      </c>
      <c r="C26" s="15">
        <f>H15*B26</f>
        <v>24932.160000000007</v>
      </c>
      <c r="D26" s="142" t="s">
        <v>294</v>
      </c>
    </row>
    <row r="27" spans="1:4" ht="12.75">
      <c r="A27" s="3">
        <f>SUM(A15:A26)</f>
        <v>78</v>
      </c>
      <c r="B27" s="3"/>
      <c r="C27" s="3"/>
      <c r="D27" s="31"/>
    </row>
    <row r="29" spans="3:9" ht="12.75">
      <c r="C29" s="4" t="s">
        <v>282</v>
      </c>
      <c r="D29" s="120" t="s">
        <v>295</v>
      </c>
      <c r="H29" s="4" t="s">
        <v>282</v>
      </c>
      <c r="I29" s="120" t="s">
        <v>295</v>
      </c>
    </row>
    <row r="30" spans="1:9" ht="12.75">
      <c r="A30" s="3">
        <v>1</v>
      </c>
      <c r="B30" s="201">
        <f>A30/$A$42</f>
        <v>0.01282051282051282</v>
      </c>
      <c r="C30">
        <f>H16*B30</f>
        <v>1811.0400000000002</v>
      </c>
      <c r="D30" s="142" t="s">
        <v>283</v>
      </c>
      <c r="F30" s="3">
        <v>1</v>
      </c>
      <c r="G30" s="201">
        <f>F30/$F$42</f>
        <v>0.01282051282051282</v>
      </c>
      <c r="H30">
        <f>H17*$G$30</f>
        <v>739.2000000000002</v>
      </c>
      <c r="I30" s="4" t="s">
        <v>283</v>
      </c>
    </row>
    <row r="31" spans="1:9" ht="12.75">
      <c r="A31" s="3">
        <v>2</v>
      </c>
      <c r="B31" s="201">
        <f aca="true" t="shared" si="5" ref="B31:B41">A31/$A$42</f>
        <v>0.02564102564102564</v>
      </c>
      <c r="C31">
        <f>H16*B31</f>
        <v>3622.0800000000004</v>
      </c>
      <c r="D31" s="142" t="s">
        <v>284</v>
      </c>
      <c r="F31" s="3">
        <v>2</v>
      </c>
      <c r="G31" s="201">
        <f aca="true" t="shared" si="6" ref="G31:G41">F31/$F$42</f>
        <v>0.02564102564102564</v>
      </c>
      <c r="H31">
        <f>H17*G31</f>
        <v>1478.4000000000003</v>
      </c>
      <c r="I31" s="4" t="s">
        <v>284</v>
      </c>
    </row>
    <row r="32" spans="1:9" ht="12.75">
      <c r="A32" s="3">
        <v>3</v>
      </c>
      <c r="B32" s="201">
        <f t="shared" si="5"/>
        <v>0.038461538461538464</v>
      </c>
      <c r="C32">
        <f>H16*B32</f>
        <v>5433.120000000001</v>
      </c>
      <c r="D32" s="142" t="s">
        <v>285</v>
      </c>
      <c r="F32" s="3">
        <v>3</v>
      </c>
      <c r="G32" s="201">
        <f t="shared" si="6"/>
        <v>0.038461538461538464</v>
      </c>
      <c r="H32">
        <f>H17*G32</f>
        <v>2217.600000000001</v>
      </c>
      <c r="I32" s="4" t="s">
        <v>285</v>
      </c>
    </row>
    <row r="33" spans="1:9" ht="12.75">
      <c r="A33" s="3">
        <v>4</v>
      </c>
      <c r="B33" s="201">
        <f t="shared" si="5"/>
        <v>0.05128205128205128</v>
      </c>
      <c r="C33">
        <f>H16*B33</f>
        <v>7244.160000000001</v>
      </c>
      <c r="D33" s="142" t="s">
        <v>286</v>
      </c>
      <c r="F33" s="3">
        <v>4</v>
      </c>
      <c r="G33" s="201">
        <f t="shared" si="6"/>
        <v>0.05128205128205128</v>
      </c>
      <c r="H33">
        <f>H17*G33</f>
        <v>2956.8000000000006</v>
      </c>
      <c r="I33" s="4" t="s">
        <v>286</v>
      </c>
    </row>
    <row r="34" spans="1:9" ht="12.75">
      <c r="A34" s="3">
        <v>5</v>
      </c>
      <c r="B34" s="201">
        <f t="shared" si="5"/>
        <v>0.0641025641025641</v>
      </c>
      <c r="C34">
        <f>H16*B34</f>
        <v>9055.2</v>
      </c>
      <c r="D34" s="142" t="s">
        <v>287</v>
      </c>
      <c r="F34" s="3">
        <v>5</v>
      </c>
      <c r="G34" s="201">
        <f t="shared" si="6"/>
        <v>0.0641025641025641</v>
      </c>
      <c r="H34">
        <f>H17*G34</f>
        <v>3696.0000000000005</v>
      </c>
      <c r="I34" s="4" t="s">
        <v>287</v>
      </c>
    </row>
    <row r="35" spans="1:9" ht="12.75">
      <c r="A35" s="3">
        <v>6</v>
      </c>
      <c r="B35" s="201">
        <f t="shared" si="5"/>
        <v>0.07692307692307693</v>
      </c>
      <c r="C35">
        <f>H16*B35</f>
        <v>10866.240000000002</v>
      </c>
      <c r="D35" s="142" t="s">
        <v>288</v>
      </c>
      <c r="F35" s="3">
        <v>6</v>
      </c>
      <c r="G35" s="201">
        <f t="shared" si="6"/>
        <v>0.07692307692307693</v>
      </c>
      <c r="H35">
        <f>H17*G35</f>
        <v>4435.200000000002</v>
      </c>
      <c r="I35" s="4" t="s">
        <v>288</v>
      </c>
    </row>
    <row r="36" spans="1:9" ht="12.75">
      <c r="A36" s="3">
        <v>7</v>
      </c>
      <c r="B36" s="201">
        <f t="shared" si="5"/>
        <v>0.08974358974358974</v>
      </c>
      <c r="C36">
        <f>H16*B36</f>
        <v>12677.280000000002</v>
      </c>
      <c r="D36" s="142" t="s">
        <v>289</v>
      </c>
      <c r="F36" s="3">
        <v>7</v>
      </c>
      <c r="G36" s="201">
        <f t="shared" si="6"/>
        <v>0.08974358974358974</v>
      </c>
      <c r="H36">
        <f>H17*G36</f>
        <v>5174.4000000000015</v>
      </c>
      <c r="I36" s="4" t="s">
        <v>289</v>
      </c>
    </row>
    <row r="37" spans="1:9" ht="12.75">
      <c r="A37" s="3">
        <v>8</v>
      </c>
      <c r="B37" s="201">
        <f t="shared" si="5"/>
        <v>0.10256410256410256</v>
      </c>
      <c r="C37">
        <f>H16*B37</f>
        <v>14488.320000000002</v>
      </c>
      <c r="D37" s="142" t="s">
        <v>290</v>
      </c>
      <c r="F37" s="3">
        <v>8</v>
      </c>
      <c r="G37" s="201">
        <f t="shared" si="6"/>
        <v>0.10256410256410256</v>
      </c>
      <c r="H37">
        <f>H17*G37</f>
        <v>5913.600000000001</v>
      </c>
      <c r="I37" s="4" t="s">
        <v>290</v>
      </c>
    </row>
    <row r="38" spans="1:9" ht="12.75">
      <c r="A38" s="3">
        <v>9</v>
      </c>
      <c r="B38" s="201">
        <f t="shared" si="5"/>
        <v>0.11538461538461539</v>
      </c>
      <c r="C38">
        <f>H16*B38</f>
        <v>16299.360000000004</v>
      </c>
      <c r="D38" s="142" t="s">
        <v>291</v>
      </c>
      <c r="F38" s="3">
        <v>9</v>
      </c>
      <c r="G38" s="201">
        <f t="shared" si="6"/>
        <v>0.11538461538461539</v>
      </c>
      <c r="H38">
        <f>H17*G38</f>
        <v>6652.800000000002</v>
      </c>
      <c r="I38" s="4" t="s">
        <v>291</v>
      </c>
    </row>
    <row r="39" spans="1:9" ht="12.75">
      <c r="A39" s="3">
        <v>10</v>
      </c>
      <c r="B39" s="201">
        <f t="shared" si="5"/>
        <v>0.1282051282051282</v>
      </c>
      <c r="C39">
        <f>H16*B39</f>
        <v>18110.4</v>
      </c>
      <c r="D39" s="142" t="s">
        <v>292</v>
      </c>
      <c r="F39" s="3">
        <v>10</v>
      </c>
      <c r="G39" s="201">
        <f t="shared" si="6"/>
        <v>0.1282051282051282</v>
      </c>
      <c r="H39">
        <f>H17*G39</f>
        <v>7392.000000000001</v>
      </c>
      <c r="I39" s="4" t="s">
        <v>292</v>
      </c>
    </row>
    <row r="40" spans="1:9" ht="12.75">
      <c r="A40" s="3">
        <v>11</v>
      </c>
      <c r="B40" s="201">
        <f t="shared" si="5"/>
        <v>0.14102564102564102</v>
      </c>
      <c r="C40">
        <f>H16*B40</f>
        <v>19921.440000000002</v>
      </c>
      <c r="D40" s="142" t="s">
        <v>293</v>
      </c>
      <c r="F40" s="3">
        <v>11</v>
      </c>
      <c r="G40" s="201">
        <f t="shared" si="6"/>
        <v>0.14102564102564102</v>
      </c>
      <c r="H40">
        <f>H17*G40</f>
        <v>8131.200000000002</v>
      </c>
      <c r="I40" s="4" t="s">
        <v>293</v>
      </c>
    </row>
    <row r="41" spans="1:9" ht="12.75">
      <c r="A41" s="3">
        <v>12</v>
      </c>
      <c r="B41" s="201">
        <f t="shared" si="5"/>
        <v>0.15384615384615385</v>
      </c>
      <c r="C41">
        <f>H16*B41</f>
        <v>21732.480000000003</v>
      </c>
      <c r="D41" s="142" t="s">
        <v>294</v>
      </c>
      <c r="F41" s="3">
        <v>12</v>
      </c>
      <c r="G41" s="201">
        <f t="shared" si="6"/>
        <v>0.15384615384615385</v>
      </c>
      <c r="H41">
        <f>H17*G41</f>
        <v>8870.400000000003</v>
      </c>
      <c r="I41" s="4" t="s">
        <v>294</v>
      </c>
    </row>
    <row r="42" spans="1:6" ht="12.75">
      <c r="A42" s="3">
        <f>SUM(A30:A41)</f>
        <v>78</v>
      </c>
      <c r="B42" s="3"/>
      <c r="F42" s="3">
        <f>SUM(F30:F41)</f>
        <v>78</v>
      </c>
    </row>
    <row r="44" spans="1:13" ht="12.75">
      <c r="A44" s="237" t="s">
        <v>300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</row>
    <row r="45" spans="1:13" ht="12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</row>
    <row r="46" spans="1:13" ht="12.75">
      <c r="A46" s="1" t="s">
        <v>52</v>
      </c>
      <c r="B46" s="1" t="s">
        <v>301</v>
      </c>
      <c r="C46" s="1" t="s">
        <v>302</v>
      </c>
      <c r="D46" s="1" t="s">
        <v>303</v>
      </c>
      <c r="E46" s="1" t="s">
        <v>304</v>
      </c>
      <c r="F46" s="1" t="s">
        <v>305</v>
      </c>
      <c r="G46" s="1" t="s">
        <v>306</v>
      </c>
      <c r="H46" s="1" t="s">
        <v>307</v>
      </c>
      <c r="I46" s="1" t="s">
        <v>308</v>
      </c>
      <c r="J46" s="1" t="s">
        <v>309</v>
      </c>
      <c r="K46" s="1" t="s">
        <v>310</v>
      </c>
      <c r="L46" s="1" t="s">
        <v>311</v>
      </c>
      <c r="M46" s="1" t="s">
        <v>312</v>
      </c>
    </row>
    <row r="47" spans="1:13" ht="12.75">
      <c r="A47" s="4" t="s">
        <v>313</v>
      </c>
      <c r="B47" s="147">
        <f aca="true" t="shared" si="7" ref="B47:M47">C12</f>
        <v>5151.960000000001</v>
      </c>
      <c r="C47" s="147">
        <f t="shared" si="7"/>
        <v>10303.920000000002</v>
      </c>
      <c r="D47" s="147">
        <f t="shared" si="7"/>
        <v>15455.880000000005</v>
      </c>
      <c r="E47" s="147">
        <f t="shared" si="7"/>
        <v>20607.840000000004</v>
      </c>
      <c r="F47" s="147">
        <f t="shared" si="7"/>
        <v>25759.800000000003</v>
      </c>
      <c r="G47" s="147">
        <f t="shared" si="7"/>
        <v>30911.76000000001</v>
      </c>
      <c r="H47" s="147">
        <f t="shared" si="7"/>
        <v>36063.72000000001</v>
      </c>
      <c r="I47" s="147">
        <f t="shared" si="7"/>
        <v>41215.68000000001</v>
      </c>
      <c r="J47" s="147">
        <f t="shared" si="7"/>
        <v>46367.640000000014</v>
      </c>
      <c r="K47" s="147">
        <f t="shared" si="7"/>
        <v>51519.600000000006</v>
      </c>
      <c r="L47" s="147">
        <f t="shared" si="7"/>
        <v>56671.56000000001</v>
      </c>
      <c r="M47" s="147">
        <f t="shared" si="7"/>
        <v>61823.52000000002</v>
      </c>
    </row>
    <row r="48" spans="1:13" ht="12.75">
      <c r="A48" s="4" t="s">
        <v>314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1:13" ht="12.75">
      <c r="A49" s="3" t="s">
        <v>147</v>
      </c>
      <c r="B49" s="147">
        <f>Costos!$E$17</f>
        <v>6300</v>
      </c>
      <c r="C49" s="147">
        <f>B49</f>
        <v>6300</v>
      </c>
      <c r="D49" s="147">
        <f>B49</f>
        <v>6300</v>
      </c>
      <c r="E49" s="147">
        <f>B49</f>
        <v>6300</v>
      </c>
      <c r="F49" s="147">
        <f>B49</f>
        <v>6300</v>
      </c>
      <c r="G49" s="147">
        <f>B49</f>
        <v>6300</v>
      </c>
      <c r="H49" s="147">
        <f>B49</f>
        <v>6300</v>
      </c>
      <c r="I49" s="147">
        <f>B49</f>
        <v>6300</v>
      </c>
      <c r="J49" s="147">
        <f>B49</f>
        <v>6300</v>
      </c>
      <c r="K49" s="147">
        <f>B49</f>
        <v>6300</v>
      </c>
      <c r="L49" s="147">
        <f>B49</f>
        <v>6300</v>
      </c>
      <c r="M49" s="147">
        <f>B49</f>
        <v>6300</v>
      </c>
    </row>
    <row r="50" spans="1:13" ht="12.75">
      <c r="A50" s="3" t="s">
        <v>148</v>
      </c>
      <c r="B50" s="147">
        <f>Costos!$E$7</f>
        <v>840</v>
      </c>
      <c r="C50" s="147">
        <f>Costos!$F$7</f>
        <v>10080</v>
      </c>
      <c r="D50" s="147">
        <f>Costos!$F$7</f>
        <v>10080</v>
      </c>
      <c r="E50" s="147">
        <f>Costos!$F$7</f>
        <v>10080</v>
      </c>
      <c r="F50" s="147">
        <f>Costos!$F$7</f>
        <v>10080</v>
      </c>
      <c r="G50" s="147">
        <f>Costos!$F$7</f>
        <v>10080</v>
      </c>
      <c r="H50" s="147">
        <f>Costos!$F$7</f>
        <v>10080</v>
      </c>
      <c r="I50" s="147">
        <f>Costos!$F$7</f>
        <v>10080</v>
      </c>
      <c r="J50" s="147">
        <f>Costos!$F$7</f>
        <v>10080</v>
      </c>
      <c r="K50" s="147">
        <f>Costos!$F$7</f>
        <v>10080</v>
      </c>
      <c r="L50" s="147">
        <f>Costos!$F$7</f>
        <v>10080</v>
      </c>
      <c r="M50" s="147">
        <f>Costos!$F$7</f>
        <v>10080</v>
      </c>
    </row>
    <row r="51" spans="1:13" ht="12.75">
      <c r="A51" s="3" t="s">
        <v>315</v>
      </c>
      <c r="B51" s="147">
        <f>$K$62</f>
        <v>30.960000000000004</v>
      </c>
      <c r="C51" s="147">
        <f aca="true" t="shared" si="8" ref="C51:M51">$K$62</f>
        <v>30.960000000000004</v>
      </c>
      <c r="D51" s="147">
        <f t="shared" si="8"/>
        <v>30.960000000000004</v>
      </c>
      <c r="E51" s="147">
        <f t="shared" si="8"/>
        <v>30.960000000000004</v>
      </c>
      <c r="F51" s="147">
        <f t="shared" si="8"/>
        <v>30.960000000000004</v>
      </c>
      <c r="G51" s="147">
        <f t="shared" si="8"/>
        <v>30.960000000000004</v>
      </c>
      <c r="H51" s="147">
        <f t="shared" si="8"/>
        <v>30.960000000000004</v>
      </c>
      <c r="I51" s="147">
        <f t="shared" si="8"/>
        <v>30.960000000000004</v>
      </c>
      <c r="J51" s="147">
        <f t="shared" si="8"/>
        <v>30.960000000000004</v>
      </c>
      <c r="K51" s="147">
        <f t="shared" si="8"/>
        <v>30.960000000000004</v>
      </c>
      <c r="L51" s="147">
        <f t="shared" si="8"/>
        <v>30.960000000000004</v>
      </c>
      <c r="M51" s="147">
        <f t="shared" si="8"/>
        <v>30.960000000000004</v>
      </c>
    </row>
    <row r="52" spans="1:13" ht="12.75">
      <c r="A52" s="3" t="s">
        <v>316</v>
      </c>
      <c r="B52" s="147">
        <f>Gastos!$F$21</f>
        <v>10703.2</v>
      </c>
      <c r="C52" s="147">
        <f>Gastos!$F$21</f>
        <v>10703.2</v>
      </c>
      <c r="D52" s="147">
        <f>Gastos!$F$21</f>
        <v>10703.2</v>
      </c>
      <c r="E52" s="147">
        <f>Gastos!$F$21</f>
        <v>10703.2</v>
      </c>
      <c r="F52" s="147">
        <f>Gastos!$F$21</f>
        <v>10703.2</v>
      </c>
      <c r="G52" s="147">
        <f>Gastos!$F$21</f>
        <v>10703.2</v>
      </c>
      <c r="H52" s="147">
        <f>Gastos!$F$21</f>
        <v>10703.2</v>
      </c>
      <c r="I52" s="147">
        <f>Gastos!$F$21</f>
        <v>10703.2</v>
      </c>
      <c r="J52" s="147">
        <f>Gastos!$F$21</f>
        <v>10703.2</v>
      </c>
      <c r="K52" s="147">
        <f>Gastos!$F$21</f>
        <v>10703.2</v>
      </c>
      <c r="L52" s="147">
        <f>Gastos!$F$21</f>
        <v>10703.2</v>
      </c>
      <c r="M52" s="147">
        <f>Gastos!$F$21</f>
        <v>10703.2</v>
      </c>
    </row>
    <row r="53" spans="1:13" ht="12.75">
      <c r="A53" s="3" t="s">
        <v>317</v>
      </c>
      <c r="B53" s="147">
        <f>Gastos!$G$47</f>
        <v>1390</v>
      </c>
      <c r="C53" s="147">
        <f>Gastos!$G$47</f>
        <v>1390</v>
      </c>
      <c r="D53" s="147">
        <f>Gastos!$G$47</f>
        <v>1390</v>
      </c>
      <c r="E53" s="147">
        <f>Gastos!$G$47</f>
        <v>1390</v>
      </c>
      <c r="F53" s="147">
        <f>Gastos!$G$47</f>
        <v>1390</v>
      </c>
      <c r="G53" s="147">
        <f>Gastos!$G$47</f>
        <v>1390</v>
      </c>
      <c r="H53" s="147">
        <f>Gastos!$G$47</f>
        <v>1390</v>
      </c>
      <c r="I53" s="147">
        <f>Gastos!$G$47</f>
        <v>1390</v>
      </c>
      <c r="J53" s="147">
        <f>Gastos!$G$47</f>
        <v>1390</v>
      </c>
      <c r="K53" s="147">
        <f>Gastos!$G$47</f>
        <v>1390</v>
      </c>
      <c r="L53" s="147">
        <f>Gastos!$G$47</f>
        <v>1390</v>
      </c>
      <c r="M53" s="147">
        <f>Gastos!$G$47</f>
        <v>1390</v>
      </c>
    </row>
    <row r="54" spans="1:13" ht="12.75">
      <c r="A54" s="4" t="s">
        <v>297</v>
      </c>
      <c r="B54" s="155">
        <f aca="true" t="shared" si="9" ref="B54:M54">SUM(B49:B53)</f>
        <v>19264.16</v>
      </c>
      <c r="C54" s="155">
        <f t="shared" si="9"/>
        <v>28504.16</v>
      </c>
      <c r="D54" s="155">
        <f t="shared" si="9"/>
        <v>28504.16</v>
      </c>
      <c r="E54" s="155">
        <f t="shared" si="9"/>
        <v>28504.16</v>
      </c>
      <c r="F54" s="155">
        <f t="shared" si="9"/>
        <v>28504.16</v>
      </c>
      <c r="G54" s="155">
        <f t="shared" si="9"/>
        <v>28504.16</v>
      </c>
      <c r="H54" s="155">
        <f t="shared" si="9"/>
        <v>28504.16</v>
      </c>
      <c r="I54" s="155">
        <f t="shared" si="9"/>
        <v>28504.16</v>
      </c>
      <c r="J54" s="155">
        <f t="shared" si="9"/>
        <v>28504.16</v>
      </c>
      <c r="K54" s="155">
        <f t="shared" si="9"/>
        <v>28504.16</v>
      </c>
      <c r="L54" s="155">
        <f t="shared" si="9"/>
        <v>28504.16</v>
      </c>
      <c r="M54" s="155">
        <f t="shared" si="9"/>
        <v>28504.16</v>
      </c>
    </row>
    <row r="55" spans="1:13" ht="12.75">
      <c r="A55" s="99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1:13" ht="12.75">
      <c r="A56" s="99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</row>
    <row r="57" spans="1:13" ht="12.75">
      <c r="A57" s="143"/>
      <c r="B57" s="143"/>
      <c r="C57" s="143"/>
      <c r="D57" s="143"/>
      <c r="E57" s="143"/>
      <c r="F57" s="143"/>
      <c r="G57" s="143"/>
      <c r="H57" s="301" t="s">
        <v>199</v>
      </c>
      <c r="I57" s="301" t="s">
        <v>196</v>
      </c>
      <c r="J57" s="1"/>
      <c r="K57" s="1"/>
      <c r="L57" s="143"/>
      <c r="M57" s="143"/>
    </row>
    <row r="58" spans="1:13" ht="12.75" customHeight="1">
      <c r="A58" s="1" t="s">
        <v>5</v>
      </c>
      <c r="B58" s="1" t="s">
        <v>113</v>
      </c>
      <c r="C58" s="1" t="s">
        <v>114</v>
      </c>
      <c r="D58" s="1" t="s">
        <v>6</v>
      </c>
      <c r="E58" s="1" t="s">
        <v>107</v>
      </c>
      <c r="F58" s="143"/>
      <c r="G58" s="157" t="s">
        <v>5</v>
      </c>
      <c r="H58" s="301"/>
      <c r="I58" s="301"/>
      <c r="J58" s="1" t="s">
        <v>318</v>
      </c>
      <c r="K58" s="1" t="s">
        <v>319</v>
      </c>
      <c r="L58" s="143"/>
      <c r="M58" s="143"/>
    </row>
    <row r="59" spans="1:13" ht="12.75" customHeight="1">
      <c r="A59" s="6" t="s">
        <v>458</v>
      </c>
      <c r="B59" s="3"/>
      <c r="C59" s="147"/>
      <c r="D59" s="147"/>
      <c r="E59" s="147"/>
      <c r="F59" s="143"/>
      <c r="G59" s="48" t="s">
        <v>120</v>
      </c>
      <c r="H59" s="94">
        <f>Poblacion!C23</f>
        <v>0.9</v>
      </c>
      <c r="I59" s="94">
        <f>Poblacion!D23</f>
        <v>0.6</v>
      </c>
      <c r="J59" s="159">
        <f>I59*H59</f>
        <v>0.54</v>
      </c>
      <c r="K59" s="1">
        <f>J59*12</f>
        <v>6.48</v>
      </c>
      <c r="L59" s="143"/>
      <c r="M59" s="143"/>
    </row>
    <row r="60" spans="1:13" ht="12.75">
      <c r="A60" s="6"/>
      <c r="B60" s="3"/>
      <c r="C60" s="147"/>
      <c r="D60" s="147"/>
      <c r="E60" s="147"/>
      <c r="F60" s="143"/>
      <c r="G60" s="48" t="s">
        <v>123</v>
      </c>
      <c r="H60" s="94">
        <f>Poblacion!C24</f>
        <v>1.2</v>
      </c>
      <c r="I60" s="94">
        <f>Poblacion!D24</f>
        <v>0.7</v>
      </c>
      <c r="J60" s="159">
        <f>H60*I60</f>
        <v>0.84</v>
      </c>
      <c r="K60" s="1">
        <f>J60*12</f>
        <v>10.08</v>
      </c>
      <c r="L60" s="143"/>
      <c r="M60" s="143"/>
    </row>
    <row r="61" spans="1:11" ht="12.75">
      <c r="A61" s="6"/>
      <c r="B61" s="149"/>
      <c r="C61" s="147"/>
      <c r="D61" s="147"/>
      <c r="E61" s="147"/>
      <c r="G61" s="48" t="s">
        <v>118</v>
      </c>
      <c r="H61" s="94">
        <f>Poblacion!C22</f>
        <v>1.5</v>
      </c>
      <c r="I61" s="94">
        <f>Poblacion!D22</f>
        <v>0.8</v>
      </c>
      <c r="J61" s="159">
        <f>H61*I61</f>
        <v>1.2000000000000002</v>
      </c>
      <c r="K61" s="1">
        <f>J61*12</f>
        <v>14.400000000000002</v>
      </c>
    </row>
    <row r="62" spans="1:11" ht="12.75">
      <c r="A62" s="11" t="s">
        <v>82</v>
      </c>
      <c r="B62" s="3"/>
      <c r="C62" s="3"/>
      <c r="D62" s="3"/>
      <c r="E62" s="155"/>
      <c r="G62" s="158" t="s">
        <v>82</v>
      </c>
      <c r="H62" s="3"/>
      <c r="I62" s="3"/>
      <c r="J62" s="159">
        <f>SUM(J59:J61)</f>
        <v>2.58</v>
      </c>
      <c r="K62" s="1">
        <f>SUM(K59:K61)</f>
        <v>30.960000000000004</v>
      </c>
    </row>
    <row r="63" spans="1:5" ht="12.75">
      <c r="A63" s="143"/>
      <c r="B63" s="143"/>
      <c r="C63" s="143"/>
      <c r="D63" s="143"/>
      <c r="E63" s="143"/>
    </row>
    <row r="64" spans="1:5" ht="12.75">
      <c r="A64" s="143"/>
      <c r="B64" s="143"/>
      <c r="C64" s="143"/>
      <c r="D64" s="143"/>
      <c r="E64" s="143"/>
    </row>
    <row r="66" spans="2:13" ht="12.75">
      <c r="B66" s="1" t="s">
        <v>267</v>
      </c>
      <c r="C66" s="1" t="s">
        <v>268</v>
      </c>
      <c r="D66" s="1" t="s">
        <v>269</v>
      </c>
      <c r="E66" s="1" t="s">
        <v>270</v>
      </c>
      <c r="F66" s="1" t="s">
        <v>271</v>
      </c>
      <c r="G66" s="1" t="s">
        <v>272</v>
      </c>
      <c r="H66" s="1" t="s">
        <v>273</v>
      </c>
      <c r="I66" s="1" t="s">
        <v>274</v>
      </c>
      <c r="J66" s="1" t="s">
        <v>275</v>
      </c>
      <c r="K66" s="1" t="s">
        <v>276</v>
      </c>
      <c r="L66" s="1" t="s">
        <v>277</v>
      </c>
      <c r="M66" s="1" t="s">
        <v>278</v>
      </c>
    </row>
    <row r="67" spans="1:13" ht="12.75">
      <c r="A67" s="4" t="s">
        <v>296</v>
      </c>
      <c r="B67" s="147">
        <f aca="true" t="shared" si="10" ref="B67:H67">C12</f>
        <v>5151.960000000001</v>
      </c>
      <c r="C67" s="147">
        <f t="shared" si="10"/>
        <v>10303.920000000002</v>
      </c>
      <c r="D67" s="147">
        <f>E12</f>
        <v>15455.880000000005</v>
      </c>
      <c r="E67" s="147">
        <f t="shared" si="10"/>
        <v>20607.840000000004</v>
      </c>
      <c r="F67" s="147">
        <f t="shared" si="10"/>
        <v>25759.800000000003</v>
      </c>
      <c r="G67" s="147">
        <f t="shared" si="10"/>
        <v>30911.76000000001</v>
      </c>
      <c r="H67" s="147">
        <f t="shared" si="10"/>
        <v>36063.72000000001</v>
      </c>
      <c r="I67" s="147">
        <f>J12</f>
        <v>41215.68000000001</v>
      </c>
      <c r="J67" s="147">
        <f>K12</f>
        <v>46367.640000000014</v>
      </c>
      <c r="K67" s="147">
        <f>L12</f>
        <v>51519.600000000006</v>
      </c>
      <c r="L67" s="147">
        <f>M12</f>
        <v>56671.56000000001</v>
      </c>
      <c r="M67" s="147">
        <f>N12</f>
        <v>61823.52000000002</v>
      </c>
    </row>
    <row r="68" spans="1:13" ht="12.75">
      <c r="A68" s="4" t="s">
        <v>297</v>
      </c>
      <c r="B68" s="147">
        <f aca="true" t="shared" si="11" ref="B68:M68">B54</f>
        <v>19264.16</v>
      </c>
      <c r="C68" s="147">
        <f t="shared" si="11"/>
        <v>28504.16</v>
      </c>
      <c r="D68" s="147">
        <f t="shared" si="11"/>
        <v>28504.16</v>
      </c>
      <c r="E68" s="147">
        <f t="shared" si="11"/>
        <v>28504.16</v>
      </c>
      <c r="F68" s="147">
        <f t="shared" si="11"/>
        <v>28504.16</v>
      </c>
      <c r="G68" s="147">
        <f t="shared" si="11"/>
        <v>28504.16</v>
      </c>
      <c r="H68" s="147">
        <f t="shared" si="11"/>
        <v>28504.16</v>
      </c>
      <c r="I68" s="147">
        <f t="shared" si="11"/>
        <v>28504.16</v>
      </c>
      <c r="J68" s="147">
        <f t="shared" si="11"/>
        <v>28504.16</v>
      </c>
      <c r="K68" s="147">
        <f t="shared" si="11"/>
        <v>28504.16</v>
      </c>
      <c r="L68" s="147">
        <f t="shared" si="11"/>
        <v>28504.16</v>
      </c>
      <c r="M68" s="147">
        <f t="shared" si="11"/>
        <v>28504.16</v>
      </c>
    </row>
    <row r="69" spans="1:13" ht="12.75">
      <c r="A69" s="4" t="s">
        <v>298</v>
      </c>
      <c r="B69" s="147">
        <f aca="true" t="shared" si="12" ref="B69:M69">B67-B68</f>
        <v>-14112.199999999999</v>
      </c>
      <c r="C69" s="147">
        <f t="shared" si="12"/>
        <v>-18200.239999999998</v>
      </c>
      <c r="D69" s="147">
        <f t="shared" si="12"/>
        <v>-13048.279999999995</v>
      </c>
      <c r="E69" s="147">
        <f t="shared" si="12"/>
        <v>-7896.319999999996</v>
      </c>
      <c r="F69" s="147">
        <f t="shared" si="12"/>
        <v>-2744.359999999997</v>
      </c>
      <c r="G69" s="147">
        <f t="shared" si="12"/>
        <v>2407.6000000000095</v>
      </c>
      <c r="H69" s="147">
        <f t="shared" si="12"/>
        <v>7559.560000000009</v>
      </c>
      <c r="I69" s="147">
        <f t="shared" si="12"/>
        <v>12711.520000000008</v>
      </c>
      <c r="J69" s="147">
        <f t="shared" si="12"/>
        <v>17863.480000000014</v>
      </c>
      <c r="K69" s="147">
        <f t="shared" si="12"/>
        <v>23015.440000000006</v>
      </c>
      <c r="L69" s="147">
        <f t="shared" si="12"/>
        <v>28167.400000000012</v>
      </c>
      <c r="M69" s="147">
        <f t="shared" si="12"/>
        <v>33319.360000000015</v>
      </c>
    </row>
    <row r="70" spans="1:13" ht="12.75">
      <c r="A70" s="4" t="s">
        <v>299</v>
      </c>
      <c r="B70" s="160">
        <f>B69</f>
        <v>-14112.199999999999</v>
      </c>
      <c r="C70" s="230">
        <f aca="true" t="shared" si="13" ref="C70:M70">+C69+B70</f>
        <v>-32312.439999999995</v>
      </c>
      <c r="D70" s="147">
        <f t="shared" si="13"/>
        <v>-45360.71999999999</v>
      </c>
      <c r="E70" s="147">
        <f t="shared" si="13"/>
        <v>-53257.03999999998</v>
      </c>
      <c r="F70" s="231">
        <f t="shared" si="13"/>
        <v>-56001.39999999998</v>
      </c>
      <c r="G70" s="147">
        <f t="shared" si="13"/>
        <v>-53593.799999999974</v>
      </c>
      <c r="H70" s="147">
        <f t="shared" si="13"/>
        <v>-46034.23999999996</v>
      </c>
      <c r="I70" s="147">
        <f t="shared" si="13"/>
        <v>-33322.71999999996</v>
      </c>
      <c r="J70" s="147">
        <f t="shared" si="13"/>
        <v>-15459.239999999943</v>
      </c>
      <c r="K70" s="160">
        <f t="shared" si="13"/>
        <v>7556.200000000063</v>
      </c>
      <c r="L70" s="147">
        <f t="shared" si="13"/>
        <v>35723.60000000008</v>
      </c>
      <c r="M70" s="147">
        <f t="shared" si="13"/>
        <v>69042.9600000001</v>
      </c>
    </row>
  </sheetData>
  <sheetProtection/>
  <mergeCells count="7">
    <mergeCell ref="H57:H58"/>
    <mergeCell ref="I57:I58"/>
    <mergeCell ref="A44:M44"/>
    <mergeCell ref="A3:A5"/>
    <mergeCell ref="A6:A8"/>
    <mergeCell ref="A12:B12"/>
    <mergeCell ref="A9:A11"/>
  </mergeCells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Wolf</dc:creator>
  <cp:keywords/>
  <dc:description/>
  <cp:lastModifiedBy>Administrator</cp:lastModifiedBy>
  <dcterms:created xsi:type="dcterms:W3CDTF">2010-04-21T19:24:50Z</dcterms:created>
  <dcterms:modified xsi:type="dcterms:W3CDTF">2010-06-07T20:11:09Z</dcterms:modified>
  <cp:category/>
  <cp:version/>
  <cp:contentType/>
  <cp:contentStatus/>
</cp:coreProperties>
</file>