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5480" windowHeight="8475" tabRatio="1000" firstSheet="6" activeTab="11"/>
  </bookViews>
  <sheets>
    <sheet name="INGRESO POR VENTAS " sheetId="11" r:id="rId1"/>
    <sheet name="MATERIA RPIMA" sheetId="2" r:id="rId2"/>
    <sheet name="INVERSION INICIAL" sheetId="1" r:id="rId3"/>
    <sheet name="AMORTIZACION INTANGIBLE" sheetId="3" r:id="rId4"/>
    <sheet name="GASTOS PRE- OPERATIVOS" sheetId="4" r:id="rId5"/>
    <sheet name="GASTOS ADMINISTRATIVOS" sheetId="19" r:id="rId6"/>
    <sheet name="GASTOS DE PUBLCIIDAD" sheetId="8" r:id="rId7"/>
    <sheet name="DEPRECIACION" sheetId="9" r:id="rId8"/>
    <sheet name="AMORTIZACION" sheetId="20" r:id="rId9"/>
    <sheet name="TMAR" sheetId="10" r:id="rId10"/>
    <sheet name="Capital de Trabajo" sheetId="18" r:id="rId11"/>
    <sheet name="FLJO DE CJA" sheetId="12" r:id="rId12"/>
    <sheet name="PERDIDA Y GANANCIAS " sheetId="15" r:id="rId13"/>
    <sheet name="Analisis de Sensibilidad" sheetId="17" r:id="rId14"/>
    <sheet name="SENSIBILIZADO" sheetId="21" r:id="rId15"/>
    <sheet name="Hoja1" sheetId="22" r:id="rId16"/>
    <sheet name="Hoja2" sheetId="23" r:id="rId17"/>
  </sheets>
  <calcPr calcId="125725"/>
</workbook>
</file>

<file path=xl/calcChain.xml><?xml version="1.0" encoding="utf-8"?>
<calcChain xmlns="http://schemas.openxmlformats.org/spreadsheetml/2006/main">
  <c r="D32" i="12"/>
  <c r="C55"/>
  <c r="J32" i="19"/>
  <c r="J24"/>
  <c r="D29"/>
  <c r="F7" i="8"/>
  <c r="C14" i="2"/>
  <c r="E12" i="11"/>
  <c r="D10"/>
  <c r="C37" i="19"/>
  <c r="C71" i="21"/>
  <c r="C74"/>
  <c r="D71"/>
  <c r="D74"/>
  <c r="C55"/>
  <c r="B55"/>
  <c r="C62"/>
  <c r="E6" i="11"/>
  <c r="D4" i="12"/>
  <c r="D10" i="19"/>
  <c r="C121" i="21"/>
  <c r="B116"/>
  <c r="A116"/>
  <c r="B123"/>
  <c r="C123"/>
  <c r="B93"/>
  <c r="B100"/>
  <c r="B101"/>
  <c r="B102"/>
  <c r="G90"/>
  <c r="L59"/>
  <c r="K54"/>
  <c r="J54"/>
  <c r="K61"/>
  <c r="L61"/>
  <c r="C5" i="17"/>
  <c r="C4"/>
  <c r="C3"/>
  <c r="H23" i="15"/>
  <c r="G23"/>
  <c r="F23"/>
  <c r="E23"/>
  <c r="D23"/>
  <c r="D17"/>
  <c r="C11" i="19"/>
  <c r="D9"/>
  <c r="D6"/>
  <c r="E17" i="1"/>
  <c r="D2" i="20"/>
  <c r="C19" i="19"/>
  <c r="C27"/>
  <c r="D26"/>
  <c r="D25"/>
  <c r="D24"/>
  <c r="D18"/>
  <c r="D17"/>
  <c r="D8"/>
  <c r="D7"/>
  <c r="D5"/>
  <c r="D14" i="9"/>
  <c r="D12"/>
  <c r="D10" i="1"/>
  <c r="D13" i="9"/>
  <c r="D8" i="1"/>
  <c r="D11" i="9"/>
  <c r="D7" i="1"/>
  <c r="D10" i="9"/>
  <c r="D6" i="1"/>
  <c r="D9" i="9"/>
  <c r="C10" i="10"/>
  <c r="F8" i="8"/>
  <c r="F5"/>
  <c r="C7" i="4"/>
  <c r="C12" i="3"/>
  <c r="E19" i="1"/>
  <c r="D12"/>
  <c r="G3" i="18"/>
  <c r="G9"/>
  <c r="L3"/>
  <c r="L9"/>
  <c r="E71" i="21"/>
  <c r="E74"/>
  <c r="K3" i="18"/>
  <c r="K9" s="1"/>
  <c r="M3"/>
  <c r="M9" s="1"/>
  <c r="D19" i="19"/>
  <c r="D15" i="15"/>
  <c r="D27" i="19"/>
  <c r="D14" i="15"/>
  <c r="E14"/>
  <c r="F14" s="1"/>
  <c r="G14" s="1"/>
  <c r="H14" s="1"/>
  <c r="D11" i="19"/>
  <c r="D12" i="15"/>
  <c r="E12"/>
  <c r="F12" s="1"/>
  <c r="G12" s="1"/>
  <c r="H12" s="1"/>
  <c r="F6" i="8"/>
  <c r="F9"/>
  <c r="E9"/>
  <c r="B6" i="18"/>
  <c r="G14" i="9"/>
  <c r="F14" s="1"/>
  <c r="C34" i="19"/>
  <c r="D16" i="15"/>
  <c r="H3" i="18"/>
  <c r="H9" s="1"/>
  <c r="D3"/>
  <c r="D9" s="1"/>
  <c r="I3"/>
  <c r="I9" s="1"/>
  <c r="D13" i="15"/>
  <c r="E13" s="1"/>
  <c r="F13" s="1"/>
  <c r="G13" s="1"/>
  <c r="H13" s="1"/>
  <c r="D3" i="21"/>
  <c r="F71"/>
  <c r="C3" i="18"/>
  <c r="C9"/>
  <c r="F3"/>
  <c r="F9"/>
  <c r="G10" i="9"/>
  <c r="J3" i="18"/>
  <c r="J9" s="1"/>
  <c r="B3"/>
  <c r="B9" s="1"/>
  <c r="E3"/>
  <c r="E9"/>
  <c r="L2" i="21"/>
  <c r="F74"/>
  <c r="G71"/>
  <c r="G74"/>
  <c r="C6" i="18"/>
  <c r="D6"/>
  <c r="E6" s="1"/>
  <c r="F6" s="1"/>
  <c r="M2" i="21"/>
  <c r="E3"/>
  <c r="D21" i="15"/>
  <c r="D20" s="1"/>
  <c r="E20"/>
  <c r="F20" s="1"/>
  <c r="G20" s="1"/>
  <c r="H20" s="1"/>
  <c r="D7" i="21"/>
  <c r="E7" s="1"/>
  <c r="F7" s="1"/>
  <c r="G7" s="1"/>
  <c r="H7" s="1"/>
  <c r="D8" i="12"/>
  <c r="E8"/>
  <c r="F8" s="1"/>
  <c r="G8" s="1"/>
  <c r="H8" s="1"/>
  <c r="L6" i="21"/>
  <c r="M6" s="1"/>
  <c r="N6" s="1"/>
  <c r="O6" s="1"/>
  <c r="P6" s="1"/>
  <c r="N2"/>
  <c r="O2"/>
  <c r="G6" i="18"/>
  <c r="H6" s="1"/>
  <c r="I6"/>
  <c r="J6" s="1"/>
  <c r="K6" s="1"/>
  <c r="L6" s="1"/>
  <c r="M6" s="1"/>
  <c r="I14" i="9" l="1"/>
  <c r="J14" s="1"/>
  <c r="D48" i="19"/>
  <c r="C48" s="1"/>
  <c r="N9" i="18"/>
  <c r="G9" i="9"/>
  <c r="D15"/>
  <c r="E18" i="1" s="1"/>
  <c r="F10" i="9"/>
  <c r="G12"/>
  <c r="C15" i="2"/>
  <c r="E15" s="1"/>
  <c r="E14"/>
  <c r="E9" s="1"/>
  <c r="P2" i="21"/>
  <c r="F3"/>
  <c r="G11" i="9"/>
  <c r="F11" s="1"/>
  <c r="G13"/>
  <c r="F13" s="1"/>
  <c r="D7" i="15"/>
  <c r="E4" i="12"/>
  <c r="N6" i="18"/>
  <c r="N3"/>
  <c r="F12" i="9"/>
  <c r="I13" l="1"/>
  <c r="J13" s="1"/>
  <c r="D47" i="19"/>
  <c r="C47" s="1"/>
  <c r="D46"/>
  <c r="C46" s="1"/>
  <c r="I12" i="9"/>
  <c r="J12" s="1"/>
  <c r="F4" i="12"/>
  <c r="D8" i="15"/>
  <c r="E8" s="1"/>
  <c r="F8" s="1"/>
  <c r="G8" s="1"/>
  <c r="H8" s="1"/>
  <c r="E10" i="2"/>
  <c r="I10" i="9"/>
  <c r="J10" s="1"/>
  <c r="D44" i="19"/>
  <c r="C44" s="1"/>
  <c r="G15" i="9"/>
  <c r="F9"/>
  <c r="D9" i="15"/>
  <c r="E7"/>
  <c r="D45" i="19"/>
  <c r="C45" s="1"/>
  <c r="I11" i="9"/>
  <c r="J11" s="1"/>
  <c r="G3" i="21"/>
  <c r="C20"/>
  <c r="C20" i="12"/>
  <c r="F7" i="15" l="1"/>
  <c r="E9"/>
  <c r="I9" i="9"/>
  <c r="J9" s="1"/>
  <c r="F15"/>
  <c r="D43" i="19"/>
  <c r="G4" i="12"/>
  <c r="H3" i="21"/>
  <c r="H25"/>
  <c r="H25" i="12"/>
  <c r="C43" i="19" l="1"/>
  <c r="C49" s="1"/>
  <c r="C53" s="1"/>
  <c r="B5" i="18" s="1"/>
  <c r="D49" i="19"/>
  <c r="D53" s="1"/>
  <c r="F9" i="15"/>
  <c r="G7"/>
  <c r="H4" i="12"/>
  <c r="B20" i="17"/>
  <c r="L10" i="21"/>
  <c r="M10" s="1"/>
  <c r="N10" s="1"/>
  <c r="O10" s="1"/>
  <c r="P10" s="1"/>
  <c r="D11"/>
  <c r="E11" s="1"/>
  <c r="F11" s="1"/>
  <c r="G11" s="1"/>
  <c r="H11" s="1"/>
  <c r="C77"/>
  <c r="D11" i="12"/>
  <c r="B21" i="17" l="1"/>
  <c r="B19"/>
  <c r="B7" i="18"/>
  <c r="C5"/>
  <c r="E11" i="12"/>
  <c r="F11" s="1"/>
  <c r="G11" s="1"/>
  <c r="H11" s="1"/>
  <c r="D18" i="15"/>
  <c r="D77" i="21"/>
  <c r="C79"/>
  <c r="H7" i="15"/>
  <c r="H9" s="1"/>
  <c r="G9"/>
  <c r="D7" i="12"/>
  <c r="D6" i="21"/>
  <c r="D9" i="12" l="1"/>
  <c r="E7"/>
  <c r="E77" i="21"/>
  <c r="D79"/>
  <c r="D5" i="18"/>
  <c r="C7"/>
  <c r="C10" s="1"/>
  <c r="C11" s="1"/>
  <c r="B10"/>
  <c r="D8" i="21"/>
  <c r="E6"/>
  <c r="L5"/>
  <c r="C80"/>
  <c r="C81" s="1"/>
  <c r="C82"/>
  <c r="C84" s="1"/>
  <c r="C93" s="1"/>
  <c r="E18" i="15"/>
  <c r="F18" s="1"/>
  <c r="G18" s="1"/>
  <c r="H18" s="1"/>
  <c r="D11"/>
  <c r="C100" i="21" l="1"/>
  <c r="C101" s="1"/>
  <c r="C102" s="1"/>
  <c r="E8"/>
  <c r="F6"/>
  <c r="B11" i="18"/>
  <c r="D7"/>
  <c r="E5"/>
  <c r="E79" i="21"/>
  <c r="F77"/>
  <c r="C36" i="17"/>
  <c r="C37" s="1"/>
  <c r="E11" i="15"/>
  <c r="L7" i="21"/>
  <c r="L12" s="1"/>
  <c r="M5"/>
  <c r="D80"/>
  <c r="D81" s="1"/>
  <c r="D82"/>
  <c r="D84" s="1"/>
  <c r="D93" s="1"/>
  <c r="D100" s="1"/>
  <c r="D101" s="1"/>
  <c r="E9" i="12"/>
  <c r="F7"/>
  <c r="G7" l="1"/>
  <c r="F9"/>
  <c r="D102" i="21"/>
  <c r="G104"/>
  <c r="M7"/>
  <c r="M12" s="1"/>
  <c r="N5"/>
  <c r="G77"/>
  <c r="G79" s="1"/>
  <c r="F79"/>
  <c r="E7" i="18"/>
  <c r="E10" s="1"/>
  <c r="E11" s="1"/>
  <c r="F5"/>
  <c r="B12"/>
  <c r="G6" i="21"/>
  <c r="F8"/>
  <c r="L13"/>
  <c r="L14" s="1"/>
  <c r="L15"/>
  <c r="L17" s="1"/>
  <c r="F11" i="15"/>
  <c r="E28"/>
  <c r="E31" s="1"/>
  <c r="E80" i="21"/>
  <c r="E81" s="1"/>
  <c r="E82"/>
  <c r="E84" s="1"/>
  <c r="E93" s="1"/>
  <c r="E100" s="1"/>
  <c r="E101" s="1"/>
  <c r="D10" i="18"/>
  <c r="E33" i="15" l="1"/>
  <c r="E32"/>
  <c r="E34" s="1"/>
  <c r="G80" i="21"/>
  <c r="G81" s="1"/>
  <c r="M13"/>
  <c r="M14" s="1"/>
  <c r="G9" i="12"/>
  <c r="H7"/>
  <c r="H9" s="1"/>
  <c r="E102" i="21"/>
  <c r="D11" i="18"/>
  <c r="G11" i="15"/>
  <c r="F28"/>
  <c r="F31" s="1"/>
  <c r="H6" i="21"/>
  <c r="H8" s="1"/>
  <c r="G8"/>
  <c r="C12" i="18"/>
  <c r="D12" s="1"/>
  <c r="E12" s="1"/>
  <c r="F7"/>
  <c r="G5"/>
  <c r="F80" i="21"/>
  <c r="F81" s="1"/>
  <c r="F82"/>
  <c r="F84" s="1"/>
  <c r="F93" s="1"/>
  <c r="O5"/>
  <c r="N7"/>
  <c r="N12" s="1"/>
  <c r="P5" l="1"/>
  <c r="P7" s="1"/>
  <c r="P12" s="1"/>
  <c r="O7"/>
  <c r="O12" s="1"/>
  <c r="F10" i="18"/>
  <c r="E20" i="1"/>
  <c r="E21" s="1"/>
  <c r="C23" i="12"/>
  <c r="H24" s="1"/>
  <c r="C23" i="21"/>
  <c r="D5" i="20"/>
  <c r="H11" i="15"/>
  <c r="H28" s="1"/>
  <c r="H31" s="1"/>
  <c r="G28"/>
  <c r="G31" s="1"/>
  <c r="M15" i="21"/>
  <c r="M17" s="1"/>
  <c r="G82"/>
  <c r="G84" s="1"/>
  <c r="G93" s="1"/>
  <c r="N13"/>
  <c r="N14" s="1"/>
  <c r="N15"/>
  <c r="N17" s="1"/>
  <c r="F100"/>
  <c r="F101" s="1"/>
  <c r="C97"/>
  <c r="H5" i="18"/>
  <c r="G7"/>
  <c r="G10" s="1"/>
  <c r="G11" s="1"/>
  <c r="F32" i="15"/>
  <c r="F33"/>
  <c r="F34" s="1"/>
  <c r="F102" i="21"/>
  <c r="H7" i="18" l="1"/>
  <c r="H10" s="1"/>
  <c r="H11" s="1"/>
  <c r="I5"/>
  <c r="G32" i="15"/>
  <c r="G34" s="1"/>
  <c r="G33"/>
  <c r="D1" i="20"/>
  <c r="E6" s="1"/>
  <c r="E5"/>
  <c r="K22" i="21"/>
  <c r="P23" s="1"/>
  <c r="H24"/>
  <c r="F11" i="18"/>
  <c r="P13" i="21"/>
  <c r="P14" s="1"/>
  <c r="P15"/>
  <c r="P17" s="1"/>
  <c r="G100"/>
  <c r="G101" s="1"/>
  <c r="G102" s="1"/>
  <c r="C96"/>
  <c r="D37" i="17" s="1"/>
  <c r="H32" i="15"/>
  <c r="H33"/>
  <c r="H34" s="1"/>
  <c r="O15" i="21"/>
  <c r="O17" s="1"/>
  <c r="O13"/>
  <c r="O14" s="1"/>
  <c r="F12" i="18" l="1"/>
  <c r="D15" i="20"/>
  <c r="C21" i="12"/>
  <c r="C27" s="1"/>
  <c r="D12" i="20"/>
  <c r="D22" i="12" s="1"/>
  <c r="C11" i="20"/>
  <c r="C21" i="21"/>
  <c r="D13" i="20"/>
  <c r="D14"/>
  <c r="E4"/>
  <c r="D16"/>
  <c r="I7" i="18"/>
  <c r="J5"/>
  <c r="C12" i="20" l="1"/>
  <c r="E12"/>
  <c r="C34" i="12"/>
  <c r="C35" s="1"/>
  <c r="C36" s="1"/>
  <c r="I10" i="18"/>
  <c r="J7"/>
  <c r="J10" s="1"/>
  <c r="J11" s="1"/>
  <c r="K5"/>
  <c r="K20" i="21"/>
  <c r="K26" s="1"/>
  <c r="C27"/>
  <c r="E22" i="12"/>
  <c r="D22" i="21"/>
  <c r="L21" s="1"/>
  <c r="L26" s="1"/>
  <c r="L38" s="1"/>
  <c r="L39" s="1"/>
  <c r="G12" i="18"/>
  <c r="H12" s="1"/>
  <c r="F22" i="12" l="1"/>
  <c r="E22" i="21"/>
  <c r="M21" s="1"/>
  <c r="M26" s="1"/>
  <c r="M38" s="1"/>
  <c r="M39" s="1"/>
  <c r="K38"/>
  <c r="K39" s="1"/>
  <c r="K40" s="1"/>
  <c r="I11" i="18"/>
  <c r="C13" i="20"/>
  <c r="E13"/>
  <c r="I12" i="18"/>
  <c r="C39" i="21"/>
  <c r="C40" s="1"/>
  <c r="C41" s="1"/>
  <c r="K7" i="18"/>
  <c r="K10" s="1"/>
  <c r="K11" s="1"/>
  <c r="L5"/>
  <c r="D12" i="12"/>
  <c r="D13" s="1"/>
  <c r="D12" i="21"/>
  <c r="D13" s="1"/>
  <c r="D27" i="15"/>
  <c r="D26" s="1"/>
  <c r="D28" s="1"/>
  <c r="D31" s="1"/>
  <c r="D34" s="1"/>
  <c r="F12" i="20"/>
  <c r="D14" i="12" l="1"/>
  <c r="D15" s="1"/>
  <c r="E12"/>
  <c r="E13" s="1"/>
  <c r="E27" i="15"/>
  <c r="E26" s="1"/>
  <c r="F13" i="20"/>
  <c r="E12" i="21"/>
  <c r="E13" s="1"/>
  <c r="L40"/>
  <c r="M40" s="1"/>
  <c r="G22" i="12"/>
  <c r="F22" i="21"/>
  <c r="N21" s="1"/>
  <c r="N26" s="1"/>
  <c r="D14"/>
  <c r="D15" s="1"/>
  <c r="D16"/>
  <c r="D18" s="1"/>
  <c r="D27" s="1"/>
  <c r="M5" i="18"/>
  <c r="L7"/>
  <c r="L10" s="1"/>
  <c r="L11" s="1"/>
  <c r="J12"/>
  <c r="K12" s="1"/>
  <c r="E14" i="20"/>
  <c r="C14"/>
  <c r="D39" i="21" l="1"/>
  <c r="D40" s="1"/>
  <c r="D41" s="1"/>
  <c r="H22" i="12"/>
  <c r="H22" i="21" s="1"/>
  <c r="P21" s="1"/>
  <c r="P26" s="1"/>
  <c r="P38" s="1"/>
  <c r="P39" s="1"/>
  <c r="G22"/>
  <c r="O21" s="1"/>
  <c r="O26" s="1"/>
  <c r="O38" s="1"/>
  <c r="O39" s="1"/>
  <c r="E14" i="12"/>
  <c r="E15" s="1"/>
  <c r="E16"/>
  <c r="E18" s="1"/>
  <c r="E27" s="1"/>
  <c r="E34" s="1"/>
  <c r="E35" s="1"/>
  <c r="P42" i="21"/>
  <c r="D16" i="12"/>
  <c r="D18" s="1"/>
  <c r="D27" s="1"/>
  <c r="E15" i="20"/>
  <c r="C15"/>
  <c r="F12" i="12"/>
  <c r="F13" s="1"/>
  <c r="F12" i="21"/>
  <c r="F13" s="1"/>
  <c r="F27" i="15"/>
  <c r="F26" s="1"/>
  <c r="F14" i="20"/>
  <c r="M7" i="18"/>
  <c r="N5"/>
  <c r="N38" i="21"/>
  <c r="N39" s="1"/>
  <c r="L34"/>
  <c r="C21" i="17" s="1"/>
  <c r="L35" i="21"/>
  <c r="E14"/>
  <c r="E15" s="1"/>
  <c r="L12" i="18"/>
  <c r="N40" i="21"/>
  <c r="O40" s="1"/>
  <c r="P40" s="1"/>
  <c r="F14" l="1"/>
  <c r="F15" s="1"/>
  <c r="F16"/>
  <c r="F18" s="1"/>
  <c r="F27" s="1"/>
  <c r="F39" s="1"/>
  <c r="F40" s="1"/>
  <c r="C16" i="20"/>
  <c r="E16"/>
  <c r="D34" i="12"/>
  <c r="D35" s="1"/>
  <c r="D36" s="1"/>
  <c r="E36" s="1"/>
  <c r="E16" i="21"/>
  <c r="E18" s="1"/>
  <c r="E27" s="1"/>
  <c r="M10" i="18"/>
  <c r="N7"/>
  <c r="F14" i="12"/>
  <c r="F15" s="1"/>
  <c r="G27" i="15"/>
  <c r="G26" s="1"/>
  <c r="F15" i="20"/>
  <c r="G12" i="12"/>
  <c r="G13" s="1"/>
  <c r="G12" i="21"/>
  <c r="G13" s="1"/>
  <c r="G14" l="1"/>
  <c r="G15" s="1"/>
  <c r="G16"/>
  <c r="G18" s="1"/>
  <c r="G27" s="1"/>
  <c r="G39" s="1"/>
  <c r="G40" s="1"/>
  <c r="G14" i="12"/>
  <c r="G15" s="1"/>
  <c r="G16"/>
  <c r="G18" s="1"/>
  <c r="G27" s="1"/>
  <c r="G34" s="1"/>
  <c r="G35" s="1"/>
  <c r="M11" i="18"/>
  <c r="N10"/>
  <c r="E39" i="21"/>
  <c r="E40" s="1"/>
  <c r="E41" s="1"/>
  <c r="F41" s="1"/>
  <c r="F16" i="12"/>
  <c r="F18" s="1"/>
  <c r="F27" s="1"/>
  <c r="H12" i="21"/>
  <c r="H13" s="1"/>
  <c r="H12" i="12"/>
  <c r="H13" s="1"/>
  <c r="H27" i="15"/>
  <c r="H26" s="1"/>
  <c r="F16" i="20"/>
  <c r="H14" i="21" l="1"/>
  <c r="H15" s="1"/>
  <c r="H14" i="12"/>
  <c r="H15" s="1"/>
  <c r="G41" i="21"/>
  <c r="N11" i="18"/>
  <c r="M12"/>
  <c r="N12" s="1"/>
  <c r="F34" i="12"/>
  <c r="F35" s="1"/>
  <c r="F36" s="1"/>
  <c r="G36" l="1"/>
  <c r="H38" s="1"/>
  <c r="H43" i="21"/>
  <c r="H16" i="12"/>
  <c r="H18" s="1"/>
  <c r="H27" s="1"/>
  <c r="H16" i="21"/>
  <c r="H18" s="1"/>
  <c r="H27" s="1"/>
  <c r="H34" i="12" l="1"/>
  <c r="H35" s="1"/>
  <c r="C53" i="17"/>
  <c r="D31" i="12"/>
  <c r="D30"/>
  <c r="C54" i="17"/>
  <c r="C52"/>
  <c r="H39" i="21"/>
  <c r="H40" s="1"/>
  <c r="H41" s="1"/>
  <c r="D35"/>
  <c r="C19" i="17" s="1"/>
  <c r="D36" i="21"/>
  <c r="H36" i="12"/>
  <c r="C20" i="17" l="1"/>
  <c r="D36"/>
</calcChain>
</file>

<file path=xl/sharedStrings.xml><?xml version="1.0" encoding="utf-8"?>
<sst xmlns="http://schemas.openxmlformats.org/spreadsheetml/2006/main" count="361" uniqueCount="189">
  <si>
    <t>ENTRADA DE FRANQUICIA</t>
  </si>
  <si>
    <t xml:space="preserve">ACTIVOS FIJOS </t>
  </si>
  <si>
    <t>STORAGE FREEZER</t>
  </si>
  <si>
    <t>SERVING FREEZER</t>
  </si>
  <si>
    <t>COMPUTADORA</t>
  </si>
  <si>
    <t>CAJA REGISTARDORA</t>
  </si>
  <si>
    <t>LICUADORA</t>
  </si>
  <si>
    <t>MOBILIARIO</t>
  </si>
  <si>
    <t>TOTAL</t>
  </si>
  <si>
    <t xml:space="preserve">DEBIDO A QUE LA MATERIA PRIMA ES TRAIDA DESDE QUITO </t>
  </si>
  <si>
    <t xml:space="preserve">YA QUE LA DURACION EN PERFECTO ESTADO ES DE 45 DIAS </t>
  </si>
  <si>
    <t>MATERIA PRIMA MENSUAL</t>
  </si>
  <si>
    <t>DETALLE</t>
  </si>
  <si>
    <t>VALOR</t>
  </si>
  <si>
    <t xml:space="preserve">ESTE COSTO NO ESTA INCLUIDO EN LA FRANQUICIA , ESTE VALOR INCLUYE EL TRANSPORTE </t>
  </si>
  <si>
    <t>DESCRIPCION</t>
  </si>
  <si>
    <t>PATENTE</t>
  </si>
  <si>
    <t>EXTINTOR (20LBS)</t>
  </si>
  <si>
    <t>MINISTERIO DE SALUD</t>
  </si>
  <si>
    <t>CUERPO DE BOMBEROS</t>
  </si>
  <si>
    <t>TASA MUNICIPAL</t>
  </si>
  <si>
    <t>ACTA DE INSPECCION</t>
  </si>
  <si>
    <t>TASA DE HABILITACION</t>
  </si>
  <si>
    <t>ARRIENDO</t>
  </si>
  <si>
    <t>GASTOS LEGALES</t>
  </si>
  <si>
    <t>CARGO</t>
  </si>
  <si>
    <t>CANTIDAD</t>
  </si>
  <si>
    <t>ADMINISTRADOR</t>
  </si>
  <si>
    <t>VENDEDOR 1</t>
  </si>
  <si>
    <t>VENDEDOR 2</t>
  </si>
  <si>
    <t>COSTO</t>
  </si>
  <si>
    <t>ANUAL</t>
  </si>
  <si>
    <t>COSTOS</t>
  </si>
  <si>
    <t>MENSUAL</t>
  </si>
  <si>
    <t xml:space="preserve">VOLANTES 15 CM X11 CM FULL COLOR </t>
  </si>
  <si>
    <t xml:space="preserve">VOLANTES 20 CM X15 CM FULL COLOR </t>
  </si>
  <si>
    <t>VARIOS DE PROMOCIONES</t>
  </si>
  <si>
    <t>TOTAL PUBLICIDAD</t>
  </si>
  <si>
    <t>DEPRECIACION</t>
  </si>
  <si>
    <t>Activos</t>
  </si>
  <si>
    <t>Valor de compra</t>
  </si>
  <si>
    <t>Vida util</t>
  </si>
  <si>
    <t>Deprec. Anual</t>
  </si>
  <si>
    <t>Valor de desecho</t>
  </si>
  <si>
    <t>Años depreciandose</t>
  </si>
  <si>
    <t>Valor en libros</t>
  </si>
  <si>
    <t>MENSUALES</t>
  </si>
  <si>
    <t>ANUALES</t>
  </si>
  <si>
    <t>MATERIA PRIMA ANUAL</t>
  </si>
  <si>
    <t>TMAR</t>
  </si>
  <si>
    <t>riesgo Pais</t>
  </si>
  <si>
    <t>Rf</t>
  </si>
  <si>
    <t>B</t>
  </si>
  <si>
    <t>Rm</t>
  </si>
  <si>
    <t>Ri</t>
  </si>
  <si>
    <t>Ri= Rf + B (Rm-Rf)+RIESGO PAIS</t>
  </si>
  <si>
    <t>Valor de Desecho</t>
  </si>
  <si>
    <t>VAN</t>
  </si>
  <si>
    <t>TIR</t>
  </si>
  <si>
    <t>AGUA</t>
  </si>
  <si>
    <t>LUZ</t>
  </si>
  <si>
    <t>TELEFONO</t>
  </si>
  <si>
    <t>CPM</t>
  </si>
  <si>
    <t>ESTADO DE PERDIDAS Y GANANCIAS</t>
  </si>
  <si>
    <t>Detalle</t>
  </si>
  <si>
    <t>Año 1</t>
  </si>
  <si>
    <t>Año 2</t>
  </si>
  <si>
    <t>Año 3</t>
  </si>
  <si>
    <t>Año 4</t>
  </si>
  <si>
    <t>Año 5</t>
  </si>
  <si>
    <t>Ingresos</t>
  </si>
  <si>
    <t>Costo de Venta</t>
  </si>
  <si>
    <t>Utilidad Bruta</t>
  </si>
  <si>
    <t>Gastos Administrativos</t>
  </si>
  <si>
    <t>Gastos de Venta</t>
  </si>
  <si>
    <t>Utilidad Operacional</t>
  </si>
  <si>
    <t>Utilidad antes de Impuestos</t>
  </si>
  <si>
    <t>25% Impuestos a la Renta</t>
  </si>
  <si>
    <t>15% Participación de Trabajadores</t>
  </si>
  <si>
    <t>UTILIDAD NETA</t>
  </si>
  <si>
    <t>HELADOS</t>
  </si>
  <si>
    <t>POR LA COMPRA DE NUESTRO PRIMER PEDIDO DE 35359 HELADOS MENSUALES</t>
  </si>
  <si>
    <t>anuales</t>
  </si>
  <si>
    <t>CANT.</t>
  </si>
  <si>
    <t>PAPELERIA Y SUMINSTROS</t>
  </si>
  <si>
    <t>VARIOS(SERVILLETAS,CUCHARAS,VASOS)</t>
  </si>
  <si>
    <t>Depreciación Acumulada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</si>
  <si>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</si>
  <si>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</si>
  <si>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</si>
  <si>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</si>
  <si>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</si>
  <si>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</si>
  <si>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</si>
  <si>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</si>
  <si>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</si>
  <si>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</si>
  <si>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</si>
  <si>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</si>
  <si>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INGRESOS</t>
  </si>
  <si>
    <t>Gstos Administrativos</t>
  </si>
  <si>
    <t>Gstos de Ventas</t>
  </si>
  <si>
    <t>EGRESOS</t>
  </si>
  <si>
    <t>SALDO MENSUAL</t>
  </si>
  <si>
    <t>SALDO ACUMULADO</t>
  </si>
  <si>
    <t>SUELDOS Y SALARIOS</t>
  </si>
  <si>
    <t>SUMINISTROS DE OFICINA</t>
  </si>
  <si>
    <t>SERVICIOS BASICOS</t>
  </si>
  <si>
    <t>TOTAL GASTOS ADMINISTRATIVOS</t>
  </si>
  <si>
    <t>REGISTRO MERCANTIL</t>
  </si>
  <si>
    <t>IMPLEMENTOS DE TRABAJO</t>
  </si>
  <si>
    <t>Uniformes</t>
  </si>
  <si>
    <t>UTILES DE LIMPIEZA</t>
  </si>
  <si>
    <t>DEPRECIACION DE ACTIVOS FIJOS</t>
  </si>
  <si>
    <t>ACTIVO</t>
  </si>
  <si>
    <t>ACTIVOS FIJOS</t>
  </si>
  <si>
    <t>TRAMITES LEGALES</t>
  </si>
  <si>
    <t>CAPITAL DE TRABAJO</t>
  </si>
  <si>
    <t>tasa</t>
  </si>
  <si>
    <t>CUOTA</t>
  </si>
  <si>
    <t>SALDO</t>
  </si>
  <si>
    <t>CAPITAL</t>
  </si>
  <si>
    <t>INTERESES</t>
  </si>
  <si>
    <t>INVERSIÓN INICIAL</t>
  </si>
  <si>
    <t>EQUIPOS Y MUEBLES</t>
  </si>
  <si>
    <t>TRÁMITES LEGALES</t>
  </si>
  <si>
    <t>TOTAL INVERSIÓN</t>
  </si>
  <si>
    <t>ENTRADA FRANQUICIA</t>
  </si>
  <si>
    <t>INVERSION</t>
  </si>
  <si>
    <t>TOTAL EGRESOS</t>
  </si>
  <si>
    <t>(-) Amortización Intangible</t>
  </si>
  <si>
    <t>(-) Depreciación</t>
  </si>
  <si>
    <t>(-) Total Depreciación</t>
  </si>
  <si>
    <t>Utilidad antes de Impuesto</t>
  </si>
  <si>
    <t>Impuestos 25%</t>
  </si>
  <si>
    <t>Participacion 15%</t>
  </si>
  <si>
    <t>UtTILIDAD NETA</t>
  </si>
  <si>
    <t>(+)Depreciacion</t>
  </si>
  <si>
    <t>(+) Amortización Intangible</t>
  </si>
  <si>
    <t>Inversión</t>
  </si>
  <si>
    <t>Préstamo</t>
  </si>
  <si>
    <t>Amortización</t>
  </si>
  <si>
    <t>Capital de Trabajo</t>
  </si>
  <si>
    <t>Recuperación Capital de Trabj.</t>
  </si>
  <si>
    <t>Flujo Neto Efectivo</t>
  </si>
  <si>
    <t>Flujo de Efectivo</t>
  </si>
  <si>
    <t>Flujo de Efectivo Descontado</t>
  </si>
  <si>
    <t>Flujo de Efectivo Dsctado. Acumulado</t>
  </si>
  <si>
    <t>PAYBACK</t>
  </si>
  <si>
    <t>ANOS</t>
  </si>
  <si>
    <r>
      <rPr>
        <vertAlign val="subscript"/>
        <sz val="10"/>
        <color indexed="8"/>
        <rFont val="Arial"/>
        <family val="2"/>
      </rPr>
      <t>Re</t>
    </r>
    <r>
      <rPr>
        <sz val="10"/>
        <color indexed="8"/>
        <rFont val="Arial"/>
        <family val="2"/>
      </rPr>
      <t xml:space="preserve"> = r</t>
    </r>
    <r>
      <rPr>
        <vertAlign val="subscript"/>
        <sz val="10"/>
        <color indexed="8"/>
        <rFont val="Arial"/>
        <family val="2"/>
      </rPr>
      <t>f</t>
    </r>
    <r>
      <rPr>
        <sz val="10"/>
        <color indexed="8"/>
        <rFont val="Arial"/>
        <family val="2"/>
      </rPr>
      <t xml:space="preserve"> + b (r</t>
    </r>
    <r>
      <rPr>
        <vertAlign val="subscript"/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 xml:space="preserve"> –  r</t>
    </r>
    <r>
      <rPr>
        <vertAlign val="subscript"/>
        <sz val="10"/>
        <color indexed="8"/>
        <rFont val="Arial"/>
        <family val="2"/>
      </rPr>
      <t>f</t>
    </r>
    <r>
      <rPr>
        <sz val="10"/>
        <color indexed="8"/>
        <rFont val="Arial"/>
        <family val="2"/>
      </rPr>
      <t xml:space="preserve"> )</t>
    </r>
  </si>
  <si>
    <t xml:space="preserve">Re </t>
  </si>
  <si>
    <t>Patrimonio</t>
  </si>
  <si>
    <t>Rd</t>
  </si>
  <si>
    <t>Deuda</t>
  </si>
  <si>
    <t>Beta</t>
  </si>
  <si>
    <t>Riesgo País</t>
  </si>
  <si>
    <t>PPCC</t>
  </si>
  <si>
    <t xml:space="preserve">(-) GASTOS FINANCIEROS </t>
  </si>
  <si>
    <t>PERSONAL DE LIMPIEZA</t>
  </si>
  <si>
    <t>CONTADOR</t>
  </si>
  <si>
    <t>GUARDIA DE SEGURIDAD</t>
  </si>
  <si>
    <t>Deuda a Financiar  (20%)</t>
  </si>
  <si>
    <t>Sueldos y Salarios</t>
  </si>
  <si>
    <t>Alquiler</t>
  </si>
  <si>
    <t>Depreciaciones</t>
  </si>
  <si>
    <t>Servicios Basicos</t>
  </si>
  <si>
    <t>Publicidad</t>
  </si>
  <si>
    <t>Gastos Financieros</t>
  </si>
  <si>
    <t>Intereses</t>
  </si>
  <si>
    <t>Gastos Legales</t>
  </si>
  <si>
    <t>Trámites Legales</t>
  </si>
  <si>
    <t>Suministros de Oficina</t>
  </si>
  <si>
    <t>Utiles de Limpieza</t>
  </si>
  <si>
    <t>PRECIO (ENTRADA)</t>
  </si>
  <si>
    <t>.-5%</t>
  </si>
  <si>
    <t>.+5%</t>
  </si>
  <si>
    <t>TASA DSCTO.</t>
  </si>
  <si>
    <t>Gastos de Ventas</t>
  </si>
  <si>
    <t xml:space="preserve">TOTAL </t>
  </si>
  <si>
    <t>CAJA REGISTRADORA</t>
  </si>
  <si>
    <t>INGRESO POR VENTAS</t>
  </si>
  <si>
    <t>VALLAS PUBLICITARIAS</t>
  </si>
  <si>
    <t>TOTALES</t>
  </si>
  <si>
    <t>GASTOS PRE-OPERATIVOS</t>
  </si>
  <si>
    <t>(2 meses)</t>
  </si>
  <si>
    <t>GASTOS ADMINISTRATIVOS</t>
  </si>
  <si>
    <t>UTILES VARIOS</t>
  </si>
  <si>
    <t>COSTO UNITARIO</t>
  </si>
</sst>
</file>

<file path=xl/styles.xml><?xml version="1.0" encoding="utf-8"?>
<styleSheet xmlns="http://schemas.openxmlformats.org/spreadsheetml/2006/main">
  <numFmts count="5">
    <numFmt numFmtId="8" formatCode="&quot;$&quot;\ #,##0.00_);[Red]\(&quot;$&quot;\ #,##0.00\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(* #,##0_);_(* \(#,##0\);_(* &quot;-&quot;??_);_(@_)"/>
    <numFmt numFmtId="165" formatCode="&quot;$&quot;\ #,##0.00"/>
  </numFmts>
  <fonts count="20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u val="doubleAccounting"/>
      <sz val="9"/>
      <color indexed="8"/>
      <name val="Arial"/>
      <family val="2"/>
    </font>
    <font>
      <b/>
      <sz val="9"/>
      <color indexed="16"/>
      <name val="Arial"/>
      <family val="2"/>
    </font>
    <font>
      <vertAlign val="subscript"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9"/>
      <color indexed="10"/>
      <name val="Arial"/>
      <family val="2"/>
    </font>
    <font>
      <b/>
      <sz val="11"/>
      <color indexed="8"/>
      <name val="Calibri"/>
      <family val="2"/>
    </font>
    <font>
      <sz val="9"/>
      <name val="Arial"/>
      <family val="2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CC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49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3" fillId="0" borderId="0" xfId="0" applyFont="1"/>
    <xf numFmtId="0" fontId="13" fillId="0" borderId="0" xfId="0" applyFont="1" applyAlignment="1">
      <alignment horizontal="center"/>
    </xf>
    <xf numFmtId="4" fontId="0" fillId="0" borderId="0" xfId="0" applyNumberFormat="1"/>
    <xf numFmtId="4" fontId="0" fillId="0" borderId="0" xfId="0" applyNumberFormat="1" applyAlignment="1">
      <alignment horizontal="center" vertical="center"/>
    </xf>
    <xf numFmtId="4" fontId="13" fillId="0" borderId="0" xfId="0" applyNumberFormat="1" applyFont="1"/>
    <xf numFmtId="4" fontId="0" fillId="0" borderId="0" xfId="0" applyNumberFormat="1" applyAlignment="1">
      <alignment horizontal="right"/>
    </xf>
    <xf numFmtId="0" fontId="13" fillId="0" borderId="1" xfId="0" applyFont="1" applyBorder="1" applyAlignment="1">
      <alignment horizontal="center"/>
    </xf>
    <xf numFmtId="4" fontId="0" fillId="0" borderId="1" xfId="0" applyNumberFormat="1" applyBorder="1" applyAlignment="1">
      <alignment horizontal="right"/>
    </xf>
    <xf numFmtId="4" fontId="13" fillId="0" borderId="0" xfId="0" applyNumberFormat="1" applyFont="1" applyAlignment="1">
      <alignment horizontal="right"/>
    </xf>
    <xf numFmtId="0" fontId="0" fillId="0" borderId="2" xfId="0" applyBorder="1"/>
    <xf numFmtId="0" fontId="1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right"/>
    </xf>
    <xf numFmtId="0" fontId="3" fillId="0" borderId="3" xfId="0" applyFont="1" applyBorder="1"/>
    <xf numFmtId="0" fontId="3" fillId="0" borderId="0" xfId="0" applyFont="1"/>
    <xf numFmtId="0" fontId="3" fillId="0" borderId="2" xfId="0" applyFont="1" applyBorder="1"/>
    <xf numFmtId="10" fontId="3" fillId="0" borderId="0" xfId="0" applyNumberFormat="1" applyFont="1"/>
    <xf numFmtId="0" fontId="5" fillId="0" borderId="0" xfId="0" applyFont="1"/>
    <xf numFmtId="43" fontId="5" fillId="0" borderId="0" xfId="1" applyFont="1"/>
    <xf numFmtId="43" fontId="5" fillId="0" borderId="4" xfId="1" applyFont="1" applyBorder="1"/>
    <xf numFmtId="43" fontId="8" fillId="0" borderId="0" xfId="1" applyFont="1"/>
    <xf numFmtId="0" fontId="6" fillId="0" borderId="1" xfId="0" applyFont="1" applyBorder="1"/>
    <xf numFmtId="43" fontId="5" fillId="0" borderId="1" xfId="1" applyFont="1" applyBorder="1"/>
    <xf numFmtId="43" fontId="5" fillId="0" borderId="1" xfId="1" applyFont="1" applyFill="1" applyBorder="1"/>
    <xf numFmtId="0" fontId="5" fillId="0" borderId="0" xfId="0" applyFont="1" applyAlignment="1">
      <alignment horizontal="right"/>
    </xf>
    <xf numFmtId="9" fontId="5" fillId="0" borderId="0" xfId="0" applyNumberFormat="1" applyFont="1"/>
    <xf numFmtId="4" fontId="14" fillId="0" borderId="0" xfId="0" applyNumberFormat="1" applyFont="1"/>
    <xf numFmtId="0" fontId="0" fillId="0" borderId="0" xfId="0" applyBorder="1"/>
    <xf numFmtId="43" fontId="11" fillId="0" borderId="0" xfId="1" applyFont="1" applyBorder="1"/>
    <xf numFmtId="0" fontId="0" fillId="0" borderId="1" xfId="0" applyBorder="1"/>
    <xf numFmtId="4" fontId="0" fillId="0" borderId="1" xfId="0" applyNumberFormat="1" applyFont="1" applyBorder="1" applyAlignment="1">
      <alignment horizontal="right"/>
    </xf>
    <xf numFmtId="4" fontId="0" fillId="0" borderId="5" xfId="0" applyNumberFormat="1" applyFont="1" applyBorder="1" applyAlignment="1">
      <alignment horizontal="right"/>
    </xf>
    <xf numFmtId="4" fontId="0" fillId="0" borderId="5" xfId="0" applyNumberFormat="1" applyBorder="1" applyAlignment="1">
      <alignment horizontal="right"/>
    </xf>
    <xf numFmtId="0" fontId="0" fillId="0" borderId="5" xfId="0" applyBorder="1"/>
    <xf numFmtId="0" fontId="0" fillId="0" borderId="6" xfId="0" applyBorder="1"/>
    <xf numFmtId="0" fontId="6" fillId="0" borderId="7" xfId="0" applyFont="1" applyBorder="1"/>
    <xf numFmtId="0" fontId="6" fillId="0" borderId="8" xfId="0" applyFont="1" applyBorder="1"/>
    <xf numFmtId="0" fontId="6" fillId="0" borderId="9" xfId="0" applyFont="1" applyBorder="1"/>
    <xf numFmtId="9" fontId="16" fillId="0" borderId="1" xfId="0" applyNumberFormat="1" applyFont="1" applyBorder="1"/>
    <xf numFmtId="0" fontId="6" fillId="0" borderId="10" xfId="0" applyFont="1" applyBorder="1"/>
    <xf numFmtId="43" fontId="5" fillId="0" borderId="0" xfId="1" applyFont="1" applyFill="1"/>
    <xf numFmtId="0" fontId="3" fillId="0" borderId="11" xfId="0" applyFont="1" applyBorder="1"/>
    <xf numFmtId="10" fontId="5" fillId="0" borderId="12" xfId="2" applyNumberFormat="1" applyFont="1" applyBorder="1"/>
    <xf numFmtId="10" fontId="5" fillId="0" borderId="13" xfId="0" applyNumberFormat="1" applyFont="1" applyBorder="1"/>
    <xf numFmtId="0" fontId="13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3" fillId="0" borderId="14" xfId="0" applyFont="1" applyBorder="1"/>
    <xf numFmtId="0" fontId="0" fillId="0" borderId="14" xfId="0" applyBorder="1" applyAlignment="1">
      <alignment horizontal="center"/>
    </xf>
    <xf numFmtId="4" fontId="0" fillId="3" borderId="10" xfId="0" applyNumberFormat="1" applyFill="1" applyBorder="1" applyAlignment="1">
      <alignment horizontal="right"/>
    </xf>
    <xf numFmtId="0" fontId="0" fillId="0" borderId="15" xfId="0" applyBorder="1"/>
    <xf numFmtId="0" fontId="13" fillId="3" borderId="10" xfId="0" applyFont="1" applyFill="1" applyBorder="1"/>
    <xf numFmtId="0" fontId="13" fillId="3" borderId="10" xfId="0" applyFont="1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13" fillId="3" borderId="9" xfId="0" applyFont="1" applyFill="1" applyBorder="1" applyAlignment="1">
      <alignment horizontal="center"/>
    </xf>
    <xf numFmtId="44" fontId="4" fillId="3" borderId="17" xfId="0" applyNumberFormat="1" applyFont="1" applyFill="1" applyBorder="1"/>
    <xf numFmtId="0" fontId="6" fillId="3" borderId="9" xfId="0" applyFont="1" applyFill="1" applyBorder="1"/>
    <xf numFmtId="164" fontId="5" fillId="3" borderId="10" xfId="0" applyNumberFormat="1" applyFont="1" applyFill="1" applyBorder="1" applyAlignment="1">
      <alignment vertical="center"/>
    </xf>
    <xf numFmtId="0" fontId="13" fillId="3" borderId="9" xfId="0" applyFont="1" applyFill="1" applyBorder="1"/>
    <xf numFmtId="4" fontId="13" fillId="3" borderId="16" xfId="0" applyNumberFormat="1" applyFont="1" applyFill="1" applyBorder="1"/>
    <xf numFmtId="4" fontId="13" fillId="3" borderId="10" xfId="0" applyNumberFormat="1" applyFont="1" applyFill="1" applyBorder="1"/>
    <xf numFmtId="43" fontId="8" fillId="3" borderId="10" xfId="1" applyFont="1" applyFill="1" applyBorder="1"/>
    <xf numFmtId="43" fontId="8" fillId="3" borderId="16" xfId="1" applyFont="1" applyFill="1" applyBorder="1"/>
    <xf numFmtId="43" fontId="8" fillId="3" borderId="18" xfId="1" applyFont="1" applyFill="1" applyBorder="1"/>
    <xf numFmtId="43" fontId="9" fillId="2" borderId="1" xfId="1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6" fillId="3" borderId="10" xfId="0" applyFont="1" applyFill="1" applyBorder="1"/>
    <xf numFmtId="164" fontId="5" fillId="3" borderId="18" xfId="0" applyNumberFormat="1" applyFont="1" applyFill="1" applyBorder="1" applyAlignment="1">
      <alignment vertical="center"/>
    </xf>
    <xf numFmtId="4" fontId="13" fillId="0" borderId="10" xfId="0" applyNumberFormat="1" applyFont="1" applyBorder="1" applyAlignment="1">
      <alignment horizontal="center" vertical="center"/>
    </xf>
    <xf numFmtId="0" fontId="17" fillId="0" borderId="10" xfId="0" applyFont="1" applyFill="1" applyBorder="1"/>
    <xf numFmtId="4" fontId="0" fillId="3" borderId="18" xfId="0" applyNumberFormat="1" applyFill="1" applyBorder="1" applyAlignment="1">
      <alignment horizontal="center" vertical="center"/>
    </xf>
    <xf numFmtId="0" fontId="0" fillId="3" borderId="10" xfId="0" applyFill="1" applyBorder="1" applyAlignment="1">
      <alignment horizontal="center"/>
    </xf>
    <xf numFmtId="0" fontId="13" fillId="2" borderId="19" xfId="0" applyFont="1" applyFill="1" applyBorder="1" applyAlignment="1">
      <alignment horizontal="center"/>
    </xf>
    <xf numFmtId="0" fontId="0" fillId="0" borderId="20" xfId="0" applyBorder="1"/>
    <xf numFmtId="0" fontId="0" fillId="0" borderId="21" xfId="0" applyBorder="1"/>
    <xf numFmtId="0" fontId="0" fillId="0" borderId="22" xfId="0" applyBorder="1"/>
    <xf numFmtId="4" fontId="0" fillId="0" borderId="23" xfId="0" applyNumberFormat="1" applyBorder="1" applyAlignment="1">
      <alignment horizontal="center" vertical="center"/>
    </xf>
    <xf numFmtId="4" fontId="0" fillId="0" borderId="24" xfId="0" applyNumberFormat="1" applyBorder="1" applyAlignment="1">
      <alignment horizontal="center" vertical="center"/>
    </xf>
    <xf numFmtId="0" fontId="0" fillId="0" borderId="25" xfId="0" applyBorder="1"/>
    <xf numFmtId="4" fontId="0" fillId="0" borderId="26" xfId="0" applyNumberFormat="1" applyBorder="1" applyAlignment="1">
      <alignment horizontal="center" vertical="center"/>
    </xf>
    <xf numFmtId="0" fontId="13" fillId="2" borderId="9" xfId="0" applyFont="1" applyFill="1" applyBorder="1" applyAlignment="1">
      <alignment horizontal="center"/>
    </xf>
    <xf numFmtId="4" fontId="13" fillId="2" borderId="10" xfId="0" applyNumberFormat="1" applyFont="1" applyFill="1" applyBorder="1" applyAlignment="1">
      <alignment horizontal="center" vertical="center"/>
    </xf>
    <xf numFmtId="0" fontId="0" fillId="0" borderId="25" xfId="0" applyFill="1" applyBorder="1"/>
    <xf numFmtId="4" fontId="0" fillId="0" borderId="26" xfId="0" applyNumberFormat="1" applyFill="1" applyBorder="1" applyAlignment="1">
      <alignment horizontal="center" vertical="center"/>
    </xf>
    <xf numFmtId="0" fontId="0" fillId="0" borderId="21" xfId="0" applyFill="1" applyBorder="1"/>
    <xf numFmtId="4" fontId="0" fillId="0" borderId="23" xfId="0" applyNumberFormat="1" applyFill="1" applyBorder="1" applyAlignment="1">
      <alignment horizontal="center" vertical="center"/>
    </xf>
    <xf numFmtId="0" fontId="0" fillId="0" borderId="22" xfId="0" applyFill="1" applyBorder="1"/>
    <xf numFmtId="4" fontId="0" fillId="0" borderId="24" xfId="0" applyNumberForma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horizontal="center"/>
    </xf>
    <xf numFmtId="4" fontId="0" fillId="3" borderId="27" xfId="0" applyNumberFormat="1" applyFill="1" applyBorder="1" applyAlignment="1">
      <alignment horizontal="right"/>
    </xf>
    <xf numFmtId="0" fontId="0" fillId="0" borderId="19" xfId="0" applyBorder="1"/>
    <xf numFmtId="0" fontId="0" fillId="0" borderId="28" xfId="0" applyBorder="1"/>
    <xf numFmtId="4" fontId="0" fillId="0" borderId="29" xfId="0" applyNumberFormat="1" applyBorder="1"/>
    <xf numFmtId="4" fontId="0" fillId="0" borderId="24" xfId="0" applyNumberFormat="1" applyBorder="1"/>
    <xf numFmtId="0" fontId="0" fillId="0" borderId="22" xfId="0" applyBorder="1" applyAlignment="1">
      <alignment horizontal="left"/>
    </xf>
    <xf numFmtId="0" fontId="0" fillId="0" borderId="1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4" fontId="0" fillId="0" borderId="13" xfId="0" applyNumberFormat="1" applyBorder="1" applyAlignment="1">
      <alignment horizontal="center" vertical="center"/>
    </xf>
    <xf numFmtId="0" fontId="13" fillId="2" borderId="10" xfId="0" applyFont="1" applyFill="1" applyBorder="1"/>
    <xf numFmtId="0" fontId="13" fillId="2" borderId="18" xfId="0" applyFont="1" applyFill="1" applyBorder="1" applyAlignment="1">
      <alignment horizontal="center"/>
    </xf>
    <xf numFmtId="0" fontId="13" fillId="2" borderId="10" xfId="0" applyFont="1" applyFill="1" applyBorder="1" applyAlignment="1">
      <alignment horizontal="center" vertical="center"/>
    </xf>
    <xf numFmtId="0" fontId="13" fillId="2" borderId="18" xfId="0" applyFont="1" applyFill="1" applyBorder="1" applyAlignment="1">
      <alignment horizontal="center" vertical="center"/>
    </xf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0" fillId="0" borderId="34" xfId="0" applyBorder="1"/>
    <xf numFmtId="4" fontId="0" fillId="0" borderId="26" xfId="0" applyNumberFormat="1" applyBorder="1" applyAlignment="1">
      <alignment horizontal="center"/>
    </xf>
    <xf numFmtId="0" fontId="13" fillId="2" borderId="8" xfId="0" applyFont="1" applyFill="1" applyBorder="1" applyAlignment="1">
      <alignment horizontal="center"/>
    </xf>
    <xf numFmtId="0" fontId="0" fillId="0" borderId="26" xfId="0" applyBorder="1" applyAlignment="1">
      <alignment horizontal="center" vertical="center"/>
    </xf>
    <xf numFmtId="0" fontId="13" fillId="2" borderId="16" xfId="0" applyFont="1" applyFill="1" applyBorder="1" applyAlignment="1">
      <alignment horizontal="center"/>
    </xf>
    <xf numFmtId="4" fontId="13" fillId="2" borderId="10" xfId="0" applyNumberFormat="1" applyFont="1" applyFill="1" applyBorder="1" applyAlignment="1">
      <alignment horizontal="center"/>
    </xf>
    <xf numFmtId="0" fontId="0" fillId="0" borderId="29" xfId="0" applyBorder="1"/>
    <xf numFmtId="0" fontId="0" fillId="0" borderId="23" xfId="0" applyBorder="1"/>
    <xf numFmtId="0" fontId="0" fillId="3" borderId="24" xfId="0" applyFill="1" applyBorder="1" applyAlignment="1">
      <alignment horizontal="center"/>
    </xf>
    <xf numFmtId="4" fontId="0" fillId="0" borderId="29" xfId="0" applyNumberFormat="1" applyBorder="1" applyAlignment="1">
      <alignment horizontal="center" vertical="center"/>
    </xf>
    <xf numFmtId="4" fontId="13" fillId="3" borderId="24" xfId="0" applyNumberFormat="1" applyFont="1" applyFill="1" applyBorder="1" applyAlignment="1">
      <alignment horizontal="center" vertical="center"/>
    </xf>
    <xf numFmtId="44" fontId="0" fillId="0" borderId="29" xfId="0" applyNumberFormat="1" applyFont="1" applyBorder="1"/>
    <xf numFmtId="44" fontId="0" fillId="0" borderId="23" xfId="0" applyNumberFormat="1" applyFont="1" applyBorder="1"/>
    <xf numFmtId="44" fontId="0" fillId="0" borderId="35" xfId="0" applyNumberFormat="1" applyFont="1" applyBorder="1"/>
    <xf numFmtId="44" fontId="13" fillId="3" borderId="10" xfId="0" applyNumberFormat="1" applyFont="1" applyFill="1" applyBorder="1"/>
    <xf numFmtId="4" fontId="0" fillId="0" borderId="26" xfId="0" applyNumberFormat="1" applyBorder="1" applyAlignment="1">
      <alignment horizontal="right"/>
    </xf>
    <xf numFmtId="4" fontId="0" fillId="0" borderId="23" xfId="0" applyNumberFormat="1" applyBorder="1" applyAlignment="1">
      <alignment horizontal="right"/>
    </xf>
    <xf numFmtId="4" fontId="0" fillId="0" borderId="35" xfId="0" applyNumberFormat="1" applyBorder="1" applyAlignment="1">
      <alignment horizontal="right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4" xfId="0" applyFill="1" applyBorder="1"/>
    <xf numFmtId="0" fontId="13" fillId="2" borderId="38" xfId="0" applyFont="1" applyFill="1" applyBorder="1" applyAlignment="1">
      <alignment horizontal="center"/>
    </xf>
    <xf numFmtId="4" fontId="13" fillId="3" borderId="10" xfId="0" applyNumberFormat="1" applyFont="1" applyFill="1" applyBorder="1" applyAlignment="1">
      <alignment horizontal="right"/>
    </xf>
    <xf numFmtId="4" fontId="0" fillId="0" borderId="39" xfId="0" applyNumberFormat="1" applyBorder="1" applyAlignment="1">
      <alignment horizontal="right"/>
    </xf>
    <xf numFmtId="0" fontId="0" fillId="0" borderId="40" xfId="0" applyBorder="1" applyAlignment="1">
      <alignment wrapText="1"/>
    </xf>
    <xf numFmtId="4" fontId="0" fillId="0" borderId="41" xfId="0" applyNumberFormat="1" applyBorder="1" applyAlignment="1">
      <alignment horizontal="right"/>
    </xf>
    <xf numFmtId="4" fontId="13" fillId="2" borderId="10" xfId="0" applyNumberFormat="1" applyFont="1" applyFill="1" applyBorder="1" applyAlignment="1">
      <alignment horizontal="right"/>
    </xf>
    <xf numFmtId="4" fontId="13" fillId="2" borderId="18" xfId="0" applyNumberFormat="1" applyFont="1" applyFill="1" applyBorder="1" applyAlignment="1">
      <alignment horizontal="right"/>
    </xf>
    <xf numFmtId="0" fontId="13" fillId="3" borderId="12" xfId="0" applyFont="1" applyFill="1" applyBorder="1" applyAlignment="1">
      <alignment horizontal="center"/>
    </xf>
    <xf numFmtId="0" fontId="0" fillId="3" borderId="42" xfId="0" applyFill="1" applyBorder="1" applyAlignment="1">
      <alignment horizontal="center"/>
    </xf>
    <xf numFmtId="4" fontId="13" fillId="3" borderId="13" xfId="0" applyNumberFormat="1" applyFont="1" applyFill="1" applyBorder="1" applyAlignment="1">
      <alignment horizontal="right"/>
    </xf>
    <xf numFmtId="0" fontId="0" fillId="2" borderId="43" xfId="0" applyFill="1" applyBorder="1" applyAlignment="1">
      <alignment horizontal="center"/>
    </xf>
    <xf numFmtId="0" fontId="13" fillId="2" borderId="44" xfId="0" applyFont="1" applyFill="1" applyBorder="1" applyAlignment="1">
      <alignment horizontal="center"/>
    </xf>
    <xf numFmtId="4" fontId="0" fillId="0" borderId="39" xfId="0" applyNumberFormat="1" applyBorder="1" applyAlignment="1">
      <alignment horizontal="right" vertical="center"/>
    </xf>
    <xf numFmtId="0" fontId="13" fillId="2" borderId="29" xfId="0" applyFont="1" applyFill="1" applyBorder="1" applyAlignment="1">
      <alignment horizontal="center"/>
    </xf>
    <xf numFmtId="4" fontId="0" fillId="0" borderId="23" xfId="0" applyNumberFormat="1" applyBorder="1" applyAlignment="1">
      <alignment horizontal="right" vertical="center"/>
    </xf>
    <xf numFmtId="4" fontId="0" fillId="0" borderId="35" xfId="0" applyNumberFormat="1" applyBorder="1" applyAlignment="1">
      <alignment horizontal="right" vertical="center"/>
    </xf>
    <xf numFmtId="4" fontId="0" fillId="0" borderId="45" xfId="0" applyNumberFormat="1" applyBorder="1" applyAlignment="1">
      <alignment horizontal="right" vertical="center"/>
    </xf>
    <xf numFmtId="4" fontId="0" fillId="3" borderId="10" xfId="0" applyNumberFormat="1" applyFill="1" applyBorder="1"/>
    <xf numFmtId="4" fontId="13" fillId="3" borderId="18" xfId="0" applyNumberFormat="1" applyFont="1" applyFill="1" applyBorder="1" applyAlignment="1">
      <alignment horizontal="right" vertical="center"/>
    </xf>
    <xf numFmtId="4" fontId="0" fillId="0" borderId="46" xfId="0" applyNumberFormat="1" applyFont="1" applyBorder="1" applyAlignment="1">
      <alignment horizontal="right"/>
    </xf>
    <xf numFmtId="4" fontId="13" fillId="0" borderId="47" xfId="0" applyNumberFormat="1" applyFont="1" applyBorder="1" applyAlignment="1">
      <alignment horizontal="right"/>
    </xf>
    <xf numFmtId="4" fontId="0" fillId="3" borderId="18" xfId="0" applyNumberFormat="1" applyFont="1" applyFill="1" applyBorder="1" applyAlignment="1">
      <alignment horizontal="right"/>
    </xf>
    <xf numFmtId="4" fontId="0" fillId="0" borderId="7" xfId="0" applyNumberFormat="1" applyBorder="1" applyAlignment="1">
      <alignment horizontal="right"/>
    </xf>
    <xf numFmtId="4" fontId="0" fillId="0" borderId="48" xfId="0" applyNumberFormat="1" applyBorder="1" applyAlignment="1">
      <alignment horizontal="right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0" borderId="7" xfId="0" applyFont="1" applyBorder="1"/>
    <xf numFmtId="0" fontId="13" fillId="0" borderId="48" xfId="0" applyFont="1" applyBorder="1"/>
    <xf numFmtId="0" fontId="2" fillId="3" borderId="10" xfId="0" applyFont="1" applyFill="1" applyBorder="1" applyAlignment="1">
      <alignment horizontal="center"/>
    </xf>
    <xf numFmtId="0" fontId="0" fillId="0" borderId="49" xfId="0" applyBorder="1"/>
    <xf numFmtId="0" fontId="0" fillId="0" borderId="26" xfId="0" applyBorder="1" applyAlignment="1">
      <alignment vertical="center" wrapText="1"/>
    </xf>
    <xf numFmtId="0" fontId="0" fillId="0" borderId="23" xfId="0" applyBorder="1" applyAlignment="1">
      <alignment wrapText="1"/>
    </xf>
    <xf numFmtId="0" fontId="0" fillId="0" borderId="24" xfId="0" applyBorder="1"/>
    <xf numFmtId="0" fontId="0" fillId="2" borderId="9" xfId="0" applyFill="1" applyBorder="1"/>
    <xf numFmtId="0" fontId="0" fillId="0" borderId="37" xfId="0" applyBorder="1" applyAlignment="1">
      <alignment vertical="center"/>
    </xf>
    <xf numFmtId="0" fontId="2" fillId="2" borderId="10" xfId="0" applyFont="1" applyFill="1" applyBorder="1" applyAlignment="1">
      <alignment horizontal="center"/>
    </xf>
    <xf numFmtId="0" fontId="13" fillId="3" borderId="42" xfId="0" applyFont="1" applyFill="1" applyBorder="1" applyAlignment="1">
      <alignment horizontal="center"/>
    </xf>
    <xf numFmtId="0" fontId="13" fillId="3" borderId="13" xfId="0" applyFont="1" applyFill="1" applyBorder="1" applyAlignment="1">
      <alignment horizontal="center"/>
    </xf>
    <xf numFmtId="0" fontId="13" fillId="2" borderId="16" xfId="0" applyFont="1" applyFill="1" applyBorder="1" applyAlignment="1">
      <alignment horizontal="center" vertical="center" wrapText="1"/>
    </xf>
    <xf numFmtId="0" fontId="13" fillId="2" borderId="16" xfId="0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horizontal="center" vertical="center" wrapText="1"/>
    </xf>
    <xf numFmtId="0" fontId="17" fillId="3" borderId="10" xfId="0" applyFont="1" applyFill="1" applyBorder="1" applyAlignment="1">
      <alignment horizontal="center"/>
    </xf>
    <xf numFmtId="0" fontId="0" fillId="0" borderId="26" xfId="0" applyBorder="1"/>
    <xf numFmtId="4" fontId="0" fillId="0" borderId="4" xfId="0" applyNumberFormat="1" applyBorder="1" applyAlignment="1">
      <alignment horizontal="center"/>
    </xf>
    <xf numFmtId="4" fontId="0" fillId="0" borderId="2" xfId="0" applyNumberFormat="1" applyBorder="1" applyAlignment="1">
      <alignment horizontal="center"/>
    </xf>
    <xf numFmtId="4" fontId="0" fillId="0" borderId="31" xfId="0" applyNumberForma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2" borderId="16" xfId="0" applyFill="1" applyBorder="1"/>
    <xf numFmtId="0" fontId="0" fillId="2" borderId="18" xfId="0" applyFill="1" applyBorder="1"/>
    <xf numFmtId="44" fontId="0" fillId="2" borderId="10" xfId="0" applyNumberFormat="1" applyFill="1" applyBorder="1"/>
    <xf numFmtId="0" fontId="3" fillId="0" borderId="51" xfId="0" applyFont="1" applyBorder="1"/>
    <xf numFmtId="0" fontId="3" fillId="0" borderId="46" xfId="0" applyFont="1" applyBorder="1"/>
    <xf numFmtId="0" fontId="3" fillId="0" borderId="52" xfId="0" applyFont="1" applyBorder="1"/>
    <xf numFmtId="0" fontId="3" fillId="0" borderId="45" xfId="0" applyFont="1" applyBorder="1"/>
    <xf numFmtId="0" fontId="3" fillId="0" borderId="21" xfId="0" applyFont="1" applyBorder="1"/>
    <xf numFmtId="0" fontId="3" fillId="0" borderId="39" xfId="0" applyFont="1" applyBorder="1"/>
    <xf numFmtId="0" fontId="3" fillId="0" borderId="53" xfId="0" applyFont="1" applyBorder="1"/>
    <xf numFmtId="0" fontId="3" fillId="0" borderId="54" xfId="0" applyFont="1" applyBorder="1"/>
    <xf numFmtId="0" fontId="3" fillId="0" borderId="55" xfId="0" applyFont="1" applyBorder="1"/>
    <xf numFmtId="44" fontId="3" fillId="0" borderId="29" xfId="0" applyNumberFormat="1" applyFont="1" applyBorder="1"/>
    <xf numFmtId="44" fontId="3" fillId="0" borderId="23" xfId="0" applyNumberFormat="1" applyFont="1" applyBorder="1"/>
    <xf numFmtId="44" fontId="3" fillId="0" borderId="24" xfId="0" applyNumberFormat="1" applyFont="1" applyBorder="1"/>
    <xf numFmtId="44" fontId="3" fillId="0" borderId="27" xfId="0" applyNumberFormat="1" applyFont="1" applyBorder="1"/>
    <xf numFmtId="44" fontId="3" fillId="0" borderId="10" xfId="0" applyNumberFormat="1" applyFont="1" applyBorder="1"/>
    <xf numFmtId="0" fontId="4" fillId="2" borderId="9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4" fontId="3" fillId="0" borderId="23" xfId="0" applyNumberFormat="1" applyFont="1" applyBorder="1"/>
    <xf numFmtId="4" fontId="3" fillId="0" borderId="24" xfId="0" applyNumberFormat="1" applyFont="1" applyBorder="1"/>
    <xf numFmtId="0" fontId="4" fillId="2" borderId="16" xfId="0" applyFont="1" applyFill="1" applyBorder="1" applyAlignment="1">
      <alignment horizontal="center"/>
    </xf>
    <xf numFmtId="4" fontId="3" fillId="0" borderId="2" xfId="0" applyNumberFormat="1" applyFont="1" applyBorder="1"/>
    <xf numFmtId="0" fontId="4" fillId="2" borderId="18" xfId="0" applyFont="1" applyFill="1" applyBorder="1" applyAlignment="1">
      <alignment horizontal="center"/>
    </xf>
    <xf numFmtId="0" fontId="3" fillId="0" borderId="28" xfId="0" applyFont="1" applyBorder="1"/>
    <xf numFmtId="4" fontId="3" fillId="0" borderId="29" xfId="0" applyNumberFormat="1" applyFont="1" applyBorder="1"/>
    <xf numFmtId="0" fontId="3" fillId="0" borderId="56" xfId="0" applyFont="1" applyBorder="1"/>
    <xf numFmtId="0" fontId="3" fillId="0" borderId="29" xfId="0" applyFont="1" applyBorder="1"/>
    <xf numFmtId="0" fontId="3" fillId="0" borderId="44" xfId="0" applyFont="1" applyBorder="1"/>
    <xf numFmtId="4" fontId="3" fillId="0" borderId="39" xfId="0" applyNumberFormat="1" applyFont="1" applyBorder="1"/>
    <xf numFmtId="0" fontId="3" fillId="0" borderId="22" xfId="0" applyFont="1" applyFill="1" applyBorder="1"/>
    <xf numFmtId="4" fontId="3" fillId="0" borderId="31" xfId="0" applyNumberFormat="1" applyFont="1" applyBorder="1"/>
    <xf numFmtId="4" fontId="3" fillId="0" borderId="50" xfId="0" applyNumberFormat="1" applyFont="1" applyBorder="1"/>
    <xf numFmtId="10" fontId="0" fillId="0" borderId="29" xfId="0" applyNumberFormat="1" applyBorder="1"/>
    <xf numFmtId="10" fontId="0" fillId="0" borderId="23" xfId="0" applyNumberFormat="1" applyBorder="1"/>
    <xf numFmtId="4" fontId="0" fillId="0" borderId="23" xfId="0" applyNumberFormat="1" applyBorder="1"/>
    <xf numFmtId="4" fontId="2" fillId="2" borderId="57" xfId="0" applyNumberFormat="1" applyFont="1" applyFill="1" applyBorder="1" applyAlignment="1">
      <alignment horizontal="center"/>
    </xf>
    <xf numFmtId="4" fontId="2" fillId="2" borderId="58" xfId="0" applyNumberFormat="1" applyFont="1" applyFill="1" applyBorder="1" applyAlignment="1">
      <alignment horizontal="center"/>
    </xf>
    <xf numFmtId="4" fontId="0" fillId="0" borderId="0" xfId="0" applyNumberFormat="1" applyBorder="1"/>
    <xf numFmtId="0" fontId="13" fillId="0" borderId="20" xfId="0" applyFont="1" applyBorder="1"/>
    <xf numFmtId="0" fontId="0" fillId="0" borderId="59" xfId="0" applyBorder="1"/>
    <xf numFmtId="0" fontId="13" fillId="0" borderId="28" xfId="0" applyFont="1" applyBorder="1"/>
    <xf numFmtId="0" fontId="13" fillId="0" borderId="21" xfId="0" applyFont="1" applyBorder="1"/>
    <xf numFmtId="0" fontId="2" fillId="0" borderId="21" xfId="0" applyFont="1" applyBorder="1"/>
    <xf numFmtId="0" fontId="2" fillId="0" borderId="22" xfId="0" applyFont="1" applyBorder="1"/>
    <xf numFmtId="4" fontId="2" fillId="2" borderId="60" xfId="0" applyNumberFormat="1" applyFont="1" applyFill="1" applyBorder="1" applyAlignment="1">
      <alignment horizontal="center"/>
    </xf>
    <xf numFmtId="4" fontId="2" fillId="2" borderId="7" xfId="0" applyNumberFormat="1" applyFont="1" applyFill="1" applyBorder="1" applyAlignment="1">
      <alignment horizontal="center"/>
    </xf>
    <xf numFmtId="4" fontId="0" fillId="0" borderId="48" xfId="0" applyNumberFormat="1" applyBorder="1"/>
    <xf numFmtId="4" fontId="2" fillId="2" borderId="51" xfId="0" applyNumberFormat="1" applyFont="1" applyFill="1" applyBorder="1" applyAlignment="1">
      <alignment horizontal="center"/>
    </xf>
    <xf numFmtId="4" fontId="0" fillId="0" borderId="56" xfId="0" applyNumberFormat="1" applyBorder="1"/>
    <xf numFmtId="4" fontId="0" fillId="0" borderId="2" xfId="0" applyNumberFormat="1" applyBorder="1"/>
    <xf numFmtId="4" fontId="0" fillId="0" borderId="31" xfId="0" applyNumberFormat="1" applyBorder="1"/>
    <xf numFmtId="4" fontId="2" fillId="2" borderId="11" xfId="0" applyNumberFormat="1" applyFont="1" applyFill="1" applyBorder="1" applyAlignment="1">
      <alignment horizontal="center"/>
    </xf>
    <xf numFmtId="4" fontId="0" fillId="0" borderId="28" xfId="0" applyNumberFormat="1" applyBorder="1"/>
    <xf numFmtId="4" fontId="0" fillId="0" borderId="59" xfId="0" applyNumberFormat="1" applyBorder="1"/>
    <xf numFmtId="4" fontId="0" fillId="0" borderId="21" xfId="0" applyNumberFormat="1" applyBorder="1"/>
    <xf numFmtId="4" fontId="0" fillId="0" borderId="22" xfId="0" applyNumberFormat="1" applyBorder="1"/>
    <xf numFmtId="4" fontId="2" fillId="2" borderId="46" xfId="0" applyNumberFormat="1" applyFont="1" applyFill="1" applyBorder="1" applyAlignment="1">
      <alignment horizontal="center"/>
    </xf>
    <xf numFmtId="4" fontId="0" fillId="0" borderId="44" xfId="0" applyNumberFormat="1" applyBorder="1"/>
    <xf numFmtId="4" fontId="0" fillId="0" borderId="47" xfId="0" applyNumberFormat="1" applyBorder="1"/>
    <xf numFmtId="4" fontId="0" fillId="0" borderId="39" xfId="0" applyNumberFormat="1" applyBorder="1"/>
    <xf numFmtId="4" fontId="0" fillId="0" borderId="50" xfId="0" applyNumberFormat="1" applyFill="1" applyBorder="1"/>
    <xf numFmtId="4" fontId="2" fillId="2" borderId="10" xfId="0" applyNumberFormat="1" applyFont="1" applyFill="1" applyBorder="1" applyAlignment="1">
      <alignment horizontal="center"/>
    </xf>
    <xf numFmtId="4" fontId="0" fillId="0" borderId="26" xfId="0" applyNumberFormat="1" applyBorder="1"/>
    <xf numFmtId="4" fontId="0" fillId="0" borderId="2" xfId="0" applyNumberFormat="1" applyFill="1" applyBorder="1"/>
    <xf numFmtId="4" fontId="0" fillId="0" borderId="31" xfId="0" applyNumberFormat="1" applyFill="1" applyBorder="1"/>
    <xf numFmtId="0" fontId="0" fillId="0" borderId="48" xfId="0" applyBorder="1"/>
    <xf numFmtId="4" fontId="12" fillId="0" borderId="23" xfId="0" applyNumberFormat="1" applyFont="1" applyBorder="1"/>
    <xf numFmtId="0" fontId="6" fillId="0" borderId="28" xfId="0" applyFont="1" applyBorder="1"/>
    <xf numFmtId="0" fontId="5" fillId="0" borderId="21" xfId="0" applyFont="1" applyBorder="1"/>
    <xf numFmtId="0" fontId="6" fillId="0" borderId="21" xfId="0" applyFont="1" applyBorder="1"/>
    <xf numFmtId="0" fontId="6" fillId="3" borderId="21" xfId="0" applyFont="1" applyFill="1" applyBorder="1"/>
    <xf numFmtId="0" fontId="7" fillId="0" borderId="21" xfId="0" applyFont="1" applyFill="1" applyBorder="1"/>
    <xf numFmtId="0" fontId="6" fillId="0" borderId="52" xfId="0" applyFont="1" applyBorder="1"/>
    <xf numFmtId="0" fontId="6" fillId="2" borderId="7" xfId="0" applyFont="1" applyFill="1" applyBorder="1" applyAlignment="1">
      <alignment horizontal="center" vertical="center"/>
    </xf>
    <xf numFmtId="43" fontId="5" fillId="0" borderId="29" xfId="1" applyFont="1" applyBorder="1"/>
    <xf numFmtId="43" fontId="5" fillId="0" borderId="23" xfId="1" applyFont="1" applyBorder="1"/>
    <xf numFmtId="43" fontId="5" fillId="3" borderId="23" xfId="1" applyFont="1" applyFill="1" applyBorder="1"/>
    <xf numFmtId="43" fontId="5" fillId="0" borderId="35" xfId="1" applyFont="1" applyBorder="1"/>
    <xf numFmtId="43" fontId="16" fillId="3" borderId="23" xfId="1" applyFont="1" applyFill="1" applyBorder="1"/>
    <xf numFmtId="43" fontId="6" fillId="0" borderId="23" xfId="1" applyFont="1" applyBorder="1"/>
    <xf numFmtId="0" fontId="6" fillId="2" borderId="51" xfId="0" applyFont="1" applyFill="1" applyBorder="1" applyAlignment="1">
      <alignment horizontal="center" vertical="center"/>
    </xf>
    <xf numFmtId="43" fontId="16" fillId="0" borderId="56" xfId="1" applyFont="1" applyBorder="1"/>
    <xf numFmtId="43" fontId="5" fillId="0" borderId="2" xfId="1" applyFont="1" applyBorder="1"/>
    <xf numFmtId="43" fontId="6" fillId="3" borderId="2" xfId="1" applyFont="1" applyFill="1" applyBorder="1"/>
    <xf numFmtId="43" fontId="6" fillId="0" borderId="2" xfId="1" applyFont="1" applyBorder="1"/>
    <xf numFmtId="43" fontId="5" fillId="3" borderId="2" xfId="1" applyFont="1" applyFill="1" applyBorder="1"/>
    <xf numFmtId="43" fontId="5" fillId="0" borderId="3" xfId="1" applyFont="1" applyBorder="1"/>
    <xf numFmtId="43" fontId="6" fillId="3" borderId="23" xfId="1" applyFont="1" applyFill="1" applyBorder="1"/>
    <xf numFmtId="43" fontId="5" fillId="0" borderId="24" xfId="1" applyFont="1" applyBorder="1"/>
    <xf numFmtId="0" fontId="5" fillId="0" borderId="25" xfId="0" applyFont="1" applyBorder="1"/>
    <xf numFmtId="43" fontId="5" fillId="0" borderId="26" xfId="1" applyFont="1" applyBorder="1"/>
    <xf numFmtId="43" fontId="5" fillId="0" borderId="10" xfId="1" applyFont="1" applyBorder="1"/>
    <xf numFmtId="43" fontId="16" fillId="0" borderId="10" xfId="1" applyFont="1" applyBorder="1"/>
    <xf numFmtId="43" fontId="16" fillId="0" borderId="16" xfId="1" applyFont="1" applyBorder="1"/>
    <xf numFmtId="0" fontId="5" fillId="0" borderId="52" xfId="0" applyFont="1" applyBorder="1"/>
    <xf numFmtId="0" fontId="6" fillId="0" borderId="25" xfId="0" applyFont="1" applyBorder="1"/>
    <xf numFmtId="43" fontId="6" fillId="0" borderId="26" xfId="1" applyFont="1" applyBorder="1"/>
    <xf numFmtId="43" fontId="6" fillId="0" borderId="4" xfId="1" applyFont="1" applyBorder="1"/>
    <xf numFmtId="43" fontId="5" fillId="3" borderId="10" xfId="1" applyFont="1" applyFill="1" applyBorder="1"/>
    <xf numFmtId="43" fontId="5" fillId="3" borderId="16" xfId="1" applyFont="1" applyFill="1" applyBorder="1"/>
    <xf numFmtId="43" fontId="5" fillId="0" borderId="44" xfId="1" applyFont="1" applyBorder="1"/>
    <xf numFmtId="0" fontId="9" fillId="2" borderId="27" xfId="0" applyFont="1" applyFill="1" applyBorder="1" applyAlignment="1">
      <alignment horizontal="center"/>
    </xf>
    <xf numFmtId="43" fontId="9" fillId="2" borderId="10" xfId="1" applyFont="1" applyFill="1" applyBorder="1" applyAlignment="1">
      <alignment horizontal="center"/>
    </xf>
    <xf numFmtId="10" fontId="5" fillId="0" borderId="0" xfId="2" applyNumberFormat="1" applyFont="1" applyBorder="1"/>
    <xf numFmtId="0" fontId="5" fillId="0" borderId="0" xfId="0" applyFont="1" applyBorder="1"/>
    <xf numFmtId="10" fontId="6" fillId="0" borderId="0" xfId="0" applyNumberFormat="1" applyFont="1" applyBorder="1"/>
    <xf numFmtId="0" fontId="5" fillId="0" borderId="28" xfId="0" applyFont="1" applyBorder="1"/>
    <xf numFmtId="0" fontId="5" fillId="0" borderId="22" xfId="0" applyFont="1" applyBorder="1"/>
    <xf numFmtId="10" fontId="5" fillId="0" borderId="10" xfId="0" applyNumberFormat="1" applyFont="1" applyBorder="1"/>
    <xf numFmtId="10" fontId="5" fillId="0" borderId="29" xfId="0" applyNumberFormat="1" applyFont="1" applyBorder="1"/>
    <xf numFmtId="10" fontId="0" fillId="0" borderId="26" xfId="0" applyNumberFormat="1" applyBorder="1"/>
    <xf numFmtId="0" fontId="5" fillId="0" borderId="35" xfId="0" applyFont="1" applyBorder="1"/>
    <xf numFmtId="10" fontId="5" fillId="0" borderId="24" xfId="2" applyNumberFormat="1" applyFont="1" applyBorder="1"/>
    <xf numFmtId="10" fontId="6" fillId="0" borderId="17" xfId="0" applyNumberFormat="1" applyFont="1" applyBorder="1"/>
    <xf numFmtId="10" fontId="6" fillId="0" borderId="10" xfId="0" applyNumberFormat="1" applyFont="1" applyBorder="1"/>
    <xf numFmtId="0" fontId="13" fillId="2" borderId="20" xfId="0" applyFont="1" applyFill="1" applyBorder="1"/>
    <xf numFmtId="0" fontId="0" fillId="0" borderId="20" xfId="0" applyFont="1" applyBorder="1"/>
    <xf numFmtId="0" fontId="0" fillId="0" borderId="6" xfId="0" applyFont="1" applyBorder="1"/>
    <xf numFmtId="4" fontId="15" fillId="2" borderId="43" xfId="0" applyNumberFormat="1" applyFont="1" applyFill="1" applyBorder="1" applyAlignment="1">
      <alignment horizontal="center"/>
    </xf>
    <xf numFmtId="4" fontId="7" fillId="0" borderId="37" xfId="1" applyNumberFormat="1" applyFont="1" applyBorder="1"/>
    <xf numFmtId="4" fontId="14" fillId="0" borderId="37" xfId="0" applyNumberFormat="1" applyFont="1" applyBorder="1"/>
    <xf numFmtId="4" fontId="15" fillId="0" borderId="37" xfId="0" applyNumberFormat="1" applyFont="1" applyBorder="1"/>
    <xf numFmtId="4" fontId="14" fillId="2" borderId="37" xfId="0" applyNumberFormat="1" applyFont="1" applyFill="1" applyBorder="1"/>
    <xf numFmtId="4" fontId="14" fillId="0" borderId="61" xfId="0" applyNumberFormat="1" applyFont="1" applyBorder="1"/>
    <xf numFmtId="4" fontId="15" fillId="3" borderId="9" xfId="0" applyNumberFormat="1" applyFont="1" applyFill="1" applyBorder="1"/>
    <xf numFmtId="4" fontId="14" fillId="0" borderId="43" xfId="0" applyNumberFormat="1" applyFont="1" applyBorder="1"/>
    <xf numFmtId="4" fontId="13" fillId="3" borderId="18" xfId="0" applyNumberFormat="1" applyFont="1" applyFill="1" applyBorder="1"/>
    <xf numFmtId="4" fontId="13" fillId="2" borderId="29" xfId="0" applyNumberFormat="1" applyFont="1" applyFill="1" applyBorder="1" applyAlignment="1">
      <alignment horizontal="center"/>
    </xf>
    <xf numFmtId="4" fontId="6" fillId="0" borderId="23" xfId="1" applyNumberFormat="1" applyFont="1" applyBorder="1"/>
    <xf numFmtId="4" fontId="13" fillId="0" borderId="23" xfId="0" applyNumberFormat="1" applyFont="1" applyBorder="1"/>
    <xf numFmtId="4" fontId="0" fillId="2" borderId="23" xfId="0" applyNumberFormat="1" applyFill="1" applyBorder="1"/>
    <xf numFmtId="4" fontId="14" fillId="0" borderId="23" xfId="0" applyNumberFormat="1" applyFont="1" applyBorder="1"/>
    <xf numFmtId="4" fontId="14" fillId="2" borderId="23" xfId="0" applyNumberFormat="1" applyFont="1" applyFill="1" applyBorder="1"/>
    <xf numFmtId="4" fontId="13" fillId="2" borderId="56" xfId="0" applyNumberFormat="1" applyFont="1" applyFill="1" applyBorder="1" applyAlignment="1">
      <alignment horizontal="center"/>
    </xf>
    <xf numFmtId="4" fontId="6" fillId="0" borderId="2" xfId="1" applyNumberFormat="1" applyFont="1" applyBorder="1"/>
    <xf numFmtId="4" fontId="13" fillId="0" borderId="2" xfId="0" applyNumberFormat="1" applyFont="1" applyBorder="1"/>
    <xf numFmtId="4" fontId="0" fillId="2" borderId="2" xfId="0" applyNumberFormat="1" applyFill="1" applyBorder="1"/>
    <xf numFmtId="4" fontId="14" fillId="0" borderId="2" xfId="0" applyNumberFormat="1" applyFont="1" applyBorder="1"/>
    <xf numFmtId="4" fontId="14" fillId="2" borderId="2" xfId="0" applyNumberFormat="1" applyFont="1" applyFill="1" applyBorder="1"/>
    <xf numFmtId="4" fontId="13" fillId="2" borderId="44" xfId="0" applyNumberFormat="1" applyFont="1" applyFill="1" applyBorder="1" applyAlignment="1">
      <alignment horizontal="center"/>
    </xf>
    <xf numFmtId="4" fontId="6" fillId="0" borderId="39" xfId="1" applyNumberFormat="1" applyFont="1" applyBorder="1"/>
    <xf numFmtId="4" fontId="13" fillId="0" borderId="39" xfId="0" applyNumberFormat="1" applyFont="1" applyBorder="1"/>
    <xf numFmtId="4" fontId="0" fillId="2" borderId="39" xfId="0" applyNumberFormat="1" applyFill="1" applyBorder="1"/>
    <xf numFmtId="4" fontId="14" fillId="0" borderId="39" xfId="0" applyNumberFormat="1" applyFont="1" applyBorder="1"/>
    <xf numFmtId="4" fontId="14" fillId="2" borderId="39" xfId="0" applyNumberFormat="1" applyFont="1" applyFill="1" applyBorder="1"/>
    <xf numFmtId="4" fontId="0" fillId="0" borderId="50" xfId="0" applyNumberFormat="1" applyBorder="1"/>
    <xf numFmtId="0" fontId="2" fillId="2" borderId="9" xfId="0" applyFont="1" applyFill="1" applyBorder="1" applyAlignment="1">
      <alignment horizontal="center" vertical="center" wrapText="1"/>
    </xf>
    <xf numFmtId="43" fontId="11" fillId="0" borderId="25" xfId="1" applyFont="1" applyBorder="1"/>
    <xf numFmtId="43" fontId="2" fillId="0" borderId="21" xfId="1" applyFont="1" applyBorder="1"/>
    <xf numFmtId="43" fontId="11" fillId="0" borderId="22" xfId="1" applyFont="1" applyBorder="1"/>
    <xf numFmtId="0" fontId="2" fillId="2" borderId="10" xfId="0" applyFont="1" applyFill="1" applyBorder="1" applyAlignment="1">
      <alignment horizontal="center" vertical="center"/>
    </xf>
    <xf numFmtId="43" fontId="11" fillId="0" borderId="26" xfId="1" applyFont="1" applyBorder="1"/>
    <xf numFmtId="43" fontId="11" fillId="0" borderId="23" xfId="1" applyFont="1" applyBorder="1"/>
    <xf numFmtId="43" fontId="11" fillId="0" borderId="24" xfId="1" applyFont="1" applyBorder="1"/>
    <xf numFmtId="0" fontId="2" fillId="2" borderId="9" xfId="0" applyFont="1" applyFill="1" applyBorder="1" applyAlignment="1">
      <alignment horizontal="center" vertical="center"/>
    </xf>
    <xf numFmtId="43" fontId="11" fillId="0" borderId="28" xfId="1" applyFont="1" applyBorder="1" applyAlignment="1">
      <alignment horizontal="center" vertical="center"/>
    </xf>
    <xf numFmtId="43" fontId="2" fillId="0" borderId="21" xfId="0" applyNumberFormat="1" applyFont="1" applyBorder="1" applyAlignment="1">
      <alignment horizontal="center" vertical="center"/>
    </xf>
    <xf numFmtId="43" fontId="0" fillId="0" borderId="22" xfId="0" applyNumberFormat="1" applyBorder="1" applyAlignment="1">
      <alignment horizontal="center" vertical="center"/>
    </xf>
    <xf numFmtId="43" fontId="2" fillId="0" borderId="23" xfId="0" applyNumberFormat="1" applyFont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43" fontId="2" fillId="0" borderId="23" xfId="0" applyNumberFormat="1" applyFont="1" applyBorder="1"/>
    <xf numFmtId="9" fontId="2" fillId="0" borderId="21" xfId="0" applyNumberFormat="1" applyFont="1" applyBorder="1" applyAlignment="1">
      <alignment horizontal="center" vertical="center"/>
    </xf>
    <xf numFmtId="9" fontId="0" fillId="0" borderId="22" xfId="0" applyNumberFormat="1" applyBorder="1" applyAlignment="1">
      <alignment horizontal="center" vertical="center"/>
    </xf>
    <xf numFmtId="43" fontId="2" fillId="0" borderId="24" xfId="0" applyNumberFormat="1" applyFont="1" applyBorder="1"/>
    <xf numFmtId="9" fontId="0" fillId="0" borderId="25" xfId="0" applyNumberFormat="1" applyBorder="1" applyAlignment="1">
      <alignment horizontal="center" vertical="center"/>
    </xf>
    <xf numFmtId="43" fontId="2" fillId="0" borderId="26" xfId="0" applyNumberFormat="1" applyFont="1" applyBorder="1"/>
    <xf numFmtId="0" fontId="6" fillId="0" borderId="29" xfId="0" applyFont="1" applyBorder="1"/>
    <xf numFmtId="0" fontId="5" fillId="0" borderId="23" xfId="0" applyFont="1" applyBorder="1"/>
    <xf numFmtId="0" fontId="6" fillId="0" borderId="23" xfId="0" applyFont="1" applyBorder="1"/>
    <xf numFmtId="0" fontId="6" fillId="3" borderId="23" xfId="0" applyFont="1" applyFill="1" applyBorder="1"/>
    <xf numFmtId="0" fontId="7" fillId="0" borderId="23" xfId="0" applyFont="1" applyFill="1" applyBorder="1"/>
    <xf numFmtId="0" fontId="6" fillId="0" borderId="24" xfId="0" applyFont="1" applyBorder="1"/>
    <xf numFmtId="0" fontId="6" fillId="2" borderId="28" xfId="0" applyFont="1" applyFill="1" applyBorder="1" applyAlignment="1">
      <alignment horizontal="center" vertical="center"/>
    </xf>
    <xf numFmtId="43" fontId="5" fillId="0" borderId="21" xfId="1" applyFont="1" applyBorder="1"/>
    <xf numFmtId="43" fontId="5" fillId="3" borderId="21" xfId="1" applyFont="1" applyFill="1" applyBorder="1"/>
    <xf numFmtId="43" fontId="5" fillId="0" borderId="22" xfId="1" applyFont="1" applyBorder="1"/>
    <xf numFmtId="43" fontId="8" fillId="3" borderId="9" xfId="1" applyFont="1" applyFill="1" applyBorder="1"/>
    <xf numFmtId="0" fontId="6" fillId="2" borderId="29" xfId="0" applyFont="1" applyFill="1" applyBorder="1" applyAlignment="1">
      <alignment horizontal="center" vertical="center"/>
    </xf>
    <xf numFmtId="43" fontId="16" fillId="0" borderId="23" xfId="1" applyFont="1" applyBorder="1"/>
    <xf numFmtId="0" fontId="6" fillId="2" borderId="56" xfId="0" applyFont="1" applyFill="1" applyBorder="1" applyAlignment="1">
      <alignment horizontal="center" vertical="center"/>
    </xf>
    <xf numFmtId="43" fontId="16" fillId="0" borderId="2" xfId="1" applyFont="1" applyBorder="1"/>
    <xf numFmtId="43" fontId="5" fillId="0" borderId="31" xfId="1" applyFont="1" applyBorder="1"/>
    <xf numFmtId="0" fontId="6" fillId="0" borderId="22" xfId="0" applyFont="1" applyBorder="1"/>
    <xf numFmtId="0" fontId="6" fillId="2" borderId="3" xfId="0" applyFont="1" applyFill="1" applyBorder="1" applyAlignment="1">
      <alignment horizontal="center" vertical="center"/>
    </xf>
    <xf numFmtId="43" fontId="6" fillId="0" borderId="29" xfId="1" applyFont="1" applyBorder="1"/>
    <xf numFmtId="43" fontId="6" fillId="0" borderId="56" xfId="1" applyFont="1" applyBorder="1"/>
    <xf numFmtId="43" fontId="6" fillId="0" borderId="44" xfId="1" applyFont="1" applyBorder="1"/>
    <xf numFmtId="43" fontId="5" fillId="0" borderId="39" xfId="1" applyFont="1" applyBorder="1"/>
    <xf numFmtId="43" fontId="6" fillId="3" borderId="39" xfId="1" applyFont="1" applyFill="1" applyBorder="1"/>
    <xf numFmtId="43" fontId="6" fillId="0" borderId="39" xfId="1" applyFont="1" applyBorder="1"/>
    <xf numFmtId="43" fontId="5" fillId="3" borderId="39" xfId="1" applyFont="1" applyFill="1" applyBorder="1"/>
    <xf numFmtId="0" fontId="0" fillId="0" borderId="39" xfId="0" applyBorder="1"/>
    <xf numFmtId="43" fontId="5" fillId="0" borderId="50" xfId="1" applyFont="1" applyBorder="1"/>
    <xf numFmtId="10" fontId="5" fillId="0" borderId="21" xfId="2" applyNumberFormat="1" applyFont="1" applyBorder="1"/>
    <xf numFmtId="10" fontId="5" fillId="0" borderId="23" xfId="0" applyNumberFormat="1" applyFont="1" applyBorder="1"/>
    <xf numFmtId="10" fontId="5" fillId="0" borderId="25" xfId="2" applyNumberFormat="1" applyFont="1" applyBorder="1"/>
    <xf numFmtId="10" fontId="5" fillId="0" borderId="26" xfId="0" applyNumberFormat="1" applyFont="1" applyBorder="1"/>
    <xf numFmtId="10" fontId="5" fillId="0" borderId="10" xfId="2" applyNumberFormat="1" applyFont="1" applyBorder="1"/>
    <xf numFmtId="0" fontId="6" fillId="0" borderId="11" xfId="0" applyFont="1" applyBorder="1"/>
    <xf numFmtId="9" fontId="5" fillId="0" borderId="7" xfId="0" applyNumberFormat="1" applyFont="1" applyBorder="1"/>
    <xf numFmtId="9" fontId="5" fillId="0" borderId="10" xfId="0" applyNumberFormat="1" applyFont="1" applyBorder="1"/>
    <xf numFmtId="43" fontId="5" fillId="0" borderId="24" xfId="1" applyFont="1" applyFill="1" applyBorder="1"/>
    <xf numFmtId="43" fontId="5" fillId="0" borderId="56" xfId="1" applyFont="1" applyBorder="1"/>
    <xf numFmtId="43" fontId="5" fillId="0" borderId="31" xfId="1" applyFont="1" applyFill="1" applyBorder="1"/>
    <xf numFmtId="43" fontId="5" fillId="4" borderId="31" xfId="1" applyFont="1" applyFill="1" applyBorder="1"/>
    <xf numFmtId="43" fontId="5" fillId="0" borderId="50" xfId="1" applyFont="1" applyFill="1" applyBorder="1"/>
    <xf numFmtId="43" fontId="5" fillId="4" borderId="24" xfId="1" applyFont="1" applyFill="1" applyBorder="1"/>
    <xf numFmtId="10" fontId="6" fillId="0" borderId="62" xfId="0" applyNumberFormat="1" applyFont="1" applyBorder="1"/>
    <xf numFmtId="43" fontId="9" fillId="2" borderId="11" xfId="1" applyFont="1" applyFill="1" applyBorder="1" applyAlignment="1">
      <alignment horizontal="center"/>
    </xf>
    <xf numFmtId="43" fontId="5" fillId="0" borderId="7" xfId="1" applyFont="1" applyBorder="1"/>
    <xf numFmtId="0" fontId="9" fillId="2" borderId="9" xfId="0" applyFont="1" applyFill="1" applyBorder="1" applyAlignment="1">
      <alignment horizontal="center"/>
    </xf>
    <xf numFmtId="9" fontId="6" fillId="0" borderId="10" xfId="0" applyNumberFormat="1" applyFont="1" applyBorder="1"/>
    <xf numFmtId="10" fontId="6" fillId="0" borderId="18" xfId="0" applyNumberFormat="1" applyFont="1" applyBorder="1"/>
    <xf numFmtId="9" fontId="5" fillId="0" borderId="46" xfId="0" applyNumberFormat="1" applyFont="1" applyBorder="1"/>
    <xf numFmtId="9" fontId="5" fillId="0" borderId="18" xfId="0" applyNumberFormat="1" applyFont="1" applyBorder="1"/>
    <xf numFmtId="43" fontId="9" fillId="2" borderId="7" xfId="1" applyFont="1" applyFill="1" applyBorder="1" applyAlignment="1">
      <alignment horizontal="center"/>
    </xf>
    <xf numFmtId="0" fontId="9" fillId="2" borderId="10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7" fillId="0" borderId="26" xfId="0" applyFont="1" applyFill="1" applyBorder="1"/>
    <xf numFmtId="43" fontId="5" fillId="0" borderId="25" xfId="1" applyFont="1" applyBorder="1"/>
    <xf numFmtId="43" fontId="7" fillId="3" borderId="10" xfId="1" applyFont="1" applyFill="1" applyBorder="1"/>
    <xf numFmtId="43" fontId="7" fillId="3" borderId="16" xfId="1" applyFont="1" applyFill="1" applyBorder="1"/>
    <xf numFmtId="0" fontId="0" fillId="2" borderId="18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8" xfId="0" applyBorder="1" applyAlignment="1">
      <alignment horizontal="center"/>
    </xf>
    <xf numFmtId="43" fontId="5" fillId="5" borderId="1" xfId="1" applyFont="1" applyFill="1" applyBorder="1"/>
    <xf numFmtId="4" fontId="0" fillId="5" borderId="31" xfId="0" applyNumberFormat="1" applyFill="1" applyBorder="1"/>
    <xf numFmtId="0" fontId="0" fillId="0" borderId="29" xfId="0" applyBorder="1" applyAlignment="1">
      <alignment horizontal="center" vertical="center"/>
    </xf>
    <xf numFmtId="165" fontId="19" fillId="3" borderId="63" xfId="0" applyNumberFormat="1" applyFont="1" applyFill="1" applyBorder="1" applyAlignment="1">
      <alignment horizontal="right"/>
    </xf>
    <xf numFmtId="165" fontId="13" fillId="3" borderId="17" xfId="0" applyNumberFormat="1" applyFont="1" applyFill="1" applyBorder="1" applyAlignment="1">
      <alignment horizontal="right"/>
    </xf>
    <xf numFmtId="0" fontId="1" fillId="0" borderId="0" xfId="0" applyFont="1"/>
    <xf numFmtId="8" fontId="0" fillId="0" borderId="1" xfId="0" applyNumberFormat="1" applyBorder="1"/>
    <xf numFmtId="0" fontId="0" fillId="0" borderId="29" xfId="0" applyFont="1" applyBorder="1"/>
    <xf numFmtId="0" fontId="0" fillId="0" borderId="44" xfId="0" applyBorder="1" applyAlignment="1">
      <alignment horizontal="center"/>
    </xf>
    <xf numFmtId="4" fontId="0" fillId="0" borderId="29" xfId="0" applyNumberFormat="1" applyBorder="1" applyAlignment="1">
      <alignment horizontal="right"/>
    </xf>
    <xf numFmtId="4" fontId="0" fillId="0" borderId="44" xfId="0" applyNumberFormat="1" applyFont="1" applyBorder="1" applyAlignment="1">
      <alignment horizontal="right"/>
    </xf>
    <xf numFmtId="4" fontId="13" fillId="3" borderId="9" xfId="0" applyNumberFormat="1" applyFont="1" applyFill="1" applyBorder="1" applyAlignment="1">
      <alignment horizontal="right"/>
    </xf>
    <xf numFmtId="0" fontId="0" fillId="0" borderId="64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62" xfId="0" applyBorder="1" applyAlignment="1">
      <alignment horizontal="center" vertical="center"/>
    </xf>
    <xf numFmtId="165" fontId="0" fillId="0" borderId="36" xfId="0" applyNumberFormat="1" applyBorder="1"/>
    <xf numFmtId="165" fontId="0" fillId="0" borderId="23" xfId="0" applyNumberFormat="1" applyBorder="1"/>
    <xf numFmtId="165" fontId="0" fillId="0" borderId="64" xfId="0" applyNumberFormat="1" applyBorder="1"/>
    <xf numFmtId="4" fontId="0" fillId="0" borderId="62" xfId="0" applyNumberFormat="1" applyBorder="1"/>
    <xf numFmtId="4" fontId="0" fillId="0" borderId="23" xfId="0" applyNumberFormat="1" applyBorder="1" applyAlignment="1">
      <alignment vertical="center"/>
    </xf>
    <xf numFmtId="4" fontId="0" fillId="0" borderId="62" xfId="0" applyNumberFormat="1" applyBorder="1" applyAlignment="1">
      <alignment vertical="center"/>
    </xf>
    <xf numFmtId="4" fontId="0" fillId="0" borderId="49" xfId="0" applyNumberFormat="1" applyBorder="1"/>
    <xf numFmtId="43" fontId="0" fillId="0" borderId="37" xfId="0" applyNumberFormat="1" applyBorder="1" applyAlignment="1"/>
    <xf numFmtId="165" fontId="13" fillId="3" borderId="10" xfId="0" applyNumberFormat="1" applyFont="1" applyFill="1" applyBorder="1"/>
    <xf numFmtId="165" fontId="13" fillId="3" borderId="18" xfId="0" applyNumberFormat="1" applyFont="1" applyFill="1" applyBorder="1"/>
    <xf numFmtId="10" fontId="0" fillId="0" borderId="24" xfId="0" applyNumberFormat="1" applyBorder="1"/>
    <xf numFmtId="0" fontId="0" fillId="0" borderId="18" xfId="0" applyFill="1" applyBorder="1" applyAlignment="1"/>
    <xf numFmtId="0" fontId="9" fillId="2" borderId="10" xfId="0" applyFont="1" applyFill="1" applyBorder="1" applyAlignment="1">
      <alignment horizontal="left"/>
    </xf>
    <xf numFmtId="10" fontId="6" fillId="6" borderId="10" xfId="0" applyNumberFormat="1" applyFont="1" applyFill="1" applyBorder="1" applyAlignment="1">
      <alignment horizontal="right"/>
    </xf>
    <xf numFmtId="9" fontId="18" fillId="0" borderId="10" xfId="0" applyNumberFormat="1" applyFont="1" applyBorder="1"/>
    <xf numFmtId="0" fontId="0" fillId="2" borderId="9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0" borderId="30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5" xfId="0" applyBorder="1" applyAlignment="1">
      <alignment horizontal="left"/>
    </xf>
    <xf numFmtId="0" fontId="2" fillId="3" borderId="9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63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0" fillId="0" borderId="19" xfId="0" applyBorder="1" applyAlignment="1">
      <alignment horizontal="left"/>
    </xf>
    <xf numFmtId="0" fontId="0" fillId="0" borderId="66" xfId="0" applyBorder="1" applyAlignment="1">
      <alignment horizontal="left"/>
    </xf>
    <xf numFmtId="0" fontId="0" fillId="0" borderId="67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68" xfId="0" applyBorder="1" applyAlignment="1">
      <alignment horizontal="left"/>
    </xf>
    <xf numFmtId="0" fontId="0" fillId="0" borderId="9" xfId="0" applyBorder="1" applyAlignment="1">
      <alignment horizontal="center"/>
    </xf>
    <xf numFmtId="0" fontId="0" fillId="0" borderId="18" xfId="0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2" fillId="3" borderId="9" xfId="0" applyFont="1" applyFill="1" applyBorder="1" applyAlignment="1">
      <alignment horizontal="left"/>
    </xf>
    <xf numFmtId="0" fontId="2" fillId="3" borderId="69" xfId="0" applyFont="1" applyFill="1" applyBorder="1" applyAlignment="1">
      <alignment horizontal="left"/>
    </xf>
    <xf numFmtId="0" fontId="13" fillId="2" borderId="9" xfId="0" applyFont="1" applyFill="1" applyBorder="1" applyAlignment="1">
      <alignment horizontal="center"/>
    </xf>
    <xf numFmtId="0" fontId="13" fillId="2" borderId="16" xfId="0" applyFont="1" applyFill="1" applyBorder="1" applyAlignment="1">
      <alignment horizontal="center"/>
    </xf>
    <xf numFmtId="0" fontId="13" fillId="2" borderId="18" xfId="0" applyFont="1" applyFill="1" applyBorder="1" applyAlignment="1">
      <alignment horizontal="center"/>
    </xf>
    <xf numFmtId="0" fontId="13" fillId="2" borderId="7" xfId="0" applyFont="1" applyFill="1" applyBorder="1" applyAlignment="1">
      <alignment horizontal="center" vertical="center"/>
    </xf>
    <xf numFmtId="0" fontId="13" fillId="2" borderId="27" xfId="0" applyFont="1" applyFill="1" applyBorder="1" applyAlignment="1">
      <alignment horizontal="center" vertical="center"/>
    </xf>
    <xf numFmtId="0" fontId="13" fillId="3" borderId="9" xfId="0" applyFont="1" applyFill="1" applyBorder="1" applyAlignment="1">
      <alignment horizontal="center"/>
    </xf>
    <xf numFmtId="0" fontId="13" fillId="3" borderId="16" xfId="0" applyFont="1" applyFill="1" applyBorder="1" applyAlignment="1">
      <alignment horizontal="center"/>
    </xf>
    <xf numFmtId="0" fontId="13" fillId="3" borderId="18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/>
    </xf>
    <xf numFmtId="0" fontId="4" fillId="3" borderId="16" xfId="0" applyFont="1" applyFill="1" applyBorder="1" applyAlignment="1">
      <alignment horizontal="center"/>
    </xf>
    <xf numFmtId="0" fontId="4" fillId="3" borderId="69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0" fillId="2" borderId="1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46" xfId="0" applyFont="1" applyFill="1" applyBorder="1" applyAlignment="1">
      <alignment horizontal="center"/>
    </xf>
    <xf numFmtId="0" fontId="3" fillId="2" borderId="2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</cellXfs>
  <cellStyles count="3">
    <cellStyle name="Millares" xfId="1" builtinId="3"/>
    <cellStyle name="Normal" xfId="0" builtinId="0"/>
    <cellStyle name="Porcentual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C"/>
  <c:chart>
    <c:title>
      <c:tx>
        <c:rich>
          <a:bodyPr/>
          <a:lstStyle/>
          <a:p>
            <a:pPr>
              <a:defRPr/>
            </a:pPr>
            <a:r>
              <a:rPr lang="en-US"/>
              <a:t>PRECIO </a:t>
            </a:r>
            <a:r>
              <a:rPr lang="en-US" baseline="0"/>
              <a:t> VS </a:t>
            </a:r>
            <a:r>
              <a:rPr lang="en-US"/>
              <a:t>INGRESOS</a:t>
            </a:r>
          </a:p>
        </c:rich>
      </c:tx>
      <c:spPr>
        <a:noFill/>
        <a:ln w="25400">
          <a:noFill/>
        </a:ln>
      </c:spPr>
    </c:title>
    <c:plotArea>
      <c:layout/>
      <c:lineChart>
        <c:grouping val="stacked"/>
        <c:ser>
          <c:idx val="1"/>
          <c:order val="0"/>
          <c:tx>
            <c:strRef>
              <c:f>'Analisis de Sensibilidad'!$C$2</c:f>
              <c:strCache>
                <c:ptCount val="1"/>
                <c:pt idx="0">
                  <c:v>INGRESOS</c:v>
                </c:pt>
              </c:strCache>
            </c:strRef>
          </c:tx>
          <c:marker>
            <c:symbol val="none"/>
          </c:marker>
          <c:cat>
            <c:numRef>
              <c:f>'Analisis de Sensibilidad'!$B$3:$B$5</c:f>
              <c:numCache>
                <c:formatCode>_(* #,##0.00_);_(* \(#,##0.00\);_(* "-"??_);_(@_)</c:formatCode>
                <c:ptCount val="3"/>
                <c:pt idx="0">
                  <c:v>1</c:v>
                </c:pt>
                <c:pt idx="1">
                  <c:v>1.5</c:v>
                </c:pt>
                <c:pt idx="2">
                  <c:v>2</c:v>
                </c:pt>
              </c:numCache>
            </c:numRef>
          </c:cat>
          <c:val>
            <c:numRef>
              <c:f>'Analisis de Sensibilidad'!$C$3:$C$5</c:f>
              <c:numCache>
                <c:formatCode>_(* #,##0.00_);_(* \(#,##0.00\);_(* "-"??_);_(@_)</c:formatCode>
                <c:ptCount val="3"/>
                <c:pt idx="0">
                  <c:v>35359</c:v>
                </c:pt>
                <c:pt idx="1">
                  <c:v>53038.5</c:v>
                </c:pt>
                <c:pt idx="2">
                  <c:v>70718</c:v>
                </c:pt>
              </c:numCache>
            </c:numRef>
          </c:val>
        </c:ser>
        <c:marker val="1"/>
        <c:axId val="113165440"/>
        <c:axId val="113166976"/>
      </c:lineChart>
      <c:catAx>
        <c:axId val="113165440"/>
        <c:scaling>
          <c:orientation val="minMax"/>
        </c:scaling>
        <c:axPos val="b"/>
        <c:numFmt formatCode="_(* #,##0.00_);_(* \(#,##0.00\);_(* &quot;-&quot;??_);_(@_)" sourceLinked="1"/>
        <c:tickLblPos val="nextTo"/>
        <c:crossAx val="113166976"/>
        <c:crosses val="autoZero"/>
        <c:auto val="1"/>
        <c:lblAlgn val="ctr"/>
        <c:lblOffset val="100"/>
      </c:catAx>
      <c:valAx>
        <c:axId val="113166976"/>
        <c:scaling>
          <c:orientation val="minMax"/>
        </c:scaling>
        <c:axPos val="l"/>
        <c:majorGridlines/>
        <c:numFmt formatCode="_(* #,##0.00_);_(* \(#,##0.00\);_(* &quot;-&quot;??_);_(@_)" sourceLinked="1"/>
        <c:tickLblPos val="nextTo"/>
        <c:crossAx val="1131654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wMode val="edge"/>
          <c:hMode val="edge"/>
          <c:x val="0.78333333333333333"/>
          <c:y val="0.52920962199312716"/>
          <c:w val="0.98124999999999996"/>
          <c:h val="0.61168384879725091"/>
        </c:manualLayout>
      </c:layout>
    </c:legend>
    <c:plotVisOnly val="1"/>
    <c:dispBlanksAs val="zero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C"/>
  <c:chart>
    <c:title>
      <c:tx>
        <c:rich>
          <a:bodyPr/>
          <a:lstStyle/>
          <a:p>
            <a:pPr>
              <a:defRPr/>
            </a:pPr>
            <a:r>
              <a:rPr lang="en-US"/>
              <a:t>TASA DE DSCTO</a:t>
            </a:r>
            <a:r>
              <a:rPr lang="en-US" baseline="0"/>
              <a:t> VS. </a:t>
            </a:r>
            <a:r>
              <a:rPr lang="en-US"/>
              <a:t>VAN</a:t>
            </a:r>
          </a:p>
        </c:rich>
      </c:tx>
      <c:spPr>
        <a:noFill/>
        <a:ln w="25400">
          <a:noFill/>
        </a:ln>
      </c:spPr>
    </c:title>
    <c:plotArea>
      <c:layout/>
      <c:lineChart>
        <c:grouping val="stacked"/>
        <c:ser>
          <c:idx val="1"/>
          <c:order val="0"/>
          <c:tx>
            <c:strRef>
              <c:f>'Analisis de Sensibilidad'!$C$51</c:f>
              <c:strCache>
                <c:ptCount val="1"/>
                <c:pt idx="0">
                  <c:v>VAN</c:v>
                </c:pt>
              </c:strCache>
            </c:strRef>
          </c:tx>
          <c:marker>
            <c:symbol val="none"/>
          </c:marker>
          <c:cat>
            <c:numRef>
              <c:f>'Analisis de Sensibilidad'!$B$52:$B$54</c:f>
              <c:numCache>
                <c:formatCode>0%</c:formatCode>
                <c:ptCount val="3"/>
                <c:pt idx="0">
                  <c:v>0.2</c:v>
                </c:pt>
                <c:pt idx="1">
                  <c:v>0.23</c:v>
                </c:pt>
                <c:pt idx="2">
                  <c:v>0.26</c:v>
                </c:pt>
              </c:numCache>
            </c:numRef>
          </c:cat>
          <c:val>
            <c:numRef>
              <c:f>'Analisis de Sensibilidad'!$C$52:$C$54</c:f>
              <c:numCache>
                <c:formatCode>_(* #,##0.00_);_(* \(#,##0.00\);_(* "-"??_);_(@_)</c:formatCode>
                <c:ptCount val="3"/>
                <c:pt idx="0">
                  <c:v>10154.961366882482</c:v>
                </c:pt>
                <c:pt idx="1">
                  <c:v>5709.3320741875723</c:v>
                </c:pt>
                <c:pt idx="2">
                  <c:v>1762.1223166050622</c:v>
                </c:pt>
              </c:numCache>
            </c:numRef>
          </c:val>
        </c:ser>
        <c:marker val="1"/>
        <c:axId val="113195648"/>
        <c:axId val="113213824"/>
      </c:lineChart>
      <c:catAx>
        <c:axId val="113195648"/>
        <c:scaling>
          <c:orientation val="minMax"/>
        </c:scaling>
        <c:axPos val="b"/>
        <c:numFmt formatCode="0%" sourceLinked="1"/>
        <c:tickLblPos val="nextTo"/>
        <c:crossAx val="113213824"/>
        <c:crosses val="autoZero"/>
        <c:auto val="1"/>
        <c:lblAlgn val="ctr"/>
        <c:lblOffset val="100"/>
      </c:catAx>
      <c:valAx>
        <c:axId val="113213824"/>
        <c:scaling>
          <c:orientation val="minMax"/>
        </c:scaling>
        <c:axPos val="l"/>
        <c:majorGridlines/>
        <c:numFmt formatCode="_(* #,##0.00_);_(* \(#,##0.00\);_(* &quot;-&quot;??_);_(@_)" sourceLinked="1"/>
        <c:tickLblPos val="nextTo"/>
        <c:crossAx val="113195648"/>
        <c:crosses val="autoZero"/>
        <c:crossBetween val="between"/>
      </c:valAx>
    </c:plotArea>
    <c:legend>
      <c:legendPos val="r"/>
    </c:legend>
    <c:plotVisOnly val="1"/>
    <c:dispBlanksAs val="zero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C"/>
  <c:chart>
    <c:title>
      <c:tx>
        <c:rich>
          <a:bodyPr/>
          <a:lstStyle/>
          <a:p>
            <a:pPr>
              <a:defRPr/>
            </a:pPr>
            <a:r>
              <a:rPr lang="es-EC"/>
              <a:t>Costos Vs Van</a:t>
            </a:r>
          </a:p>
        </c:rich>
      </c:tx>
      <c:spPr>
        <a:noFill/>
        <a:ln w="25400">
          <a:noFill/>
        </a:ln>
      </c:spPr>
    </c:title>
    <c:plotArea>
      <c:layout/>
      <c:lineChart>
        <c:grouping val="standard"/>
        <c:ser>
          <c:idx val="1"/>
          <c:order val="0"/>
          <c:tx>
            <c:v>Van</c:v>
          </c:tx>
          <c:marker>
            <c:symbol val="none"/>
          </c:marker>
          <c:cat>
            <c:numRef>
              <c:f>'Analisis de Sensibilidad'!$D$36:$D$37</c:f>
              <c:numCache>
                <c:formatCode>_(* #,##0.00_);_(* \(#,##0.00\);_(* "-"??_);_(@_)</c:formatCode>
                <c:ptCount val="2"/>
                <c:pt idx="0">
                  <c:v>8773.404346133284</c:v>
                </c:pt>
                <c:pt idx="1">
                  <c:v>510.66868379547668</c:v>
                </c:pt>
              </c:numCache>
            </c:numRef>
          </c:cat>
          <c:val>
            <c:numRef>
              <c:f>'Analisis de Sensibilidad'!$C$37:$D$37</c:f>
              <c:numCache>
                <c:formatCode>_(* #,##0.00_);_(* \(#,##0.00\);_(* "-"??_);_(@_)</c:formatCode>
                <c:ptCount val="2"/>
                <c:pt idx="0">
                  <c:v>101479.53899999999</c:v>
                </c:pt>
                <c:pt idx="1">
                  <c:v>510.66868379547668</c:v>
                </c:pt>
              </c:numCache>
            </c:numRef>
          </c:val>
        </c:ser>
        <c:marker val="1"/>
        <c:axId val="113225728"/>
        <c:axId val="113227264"/>
      </c:lineChart>
      <c:catAx>
        <c:axId val="113225728"/>
        <c:scaling>
          <c:orientation val="minMax"/>
        </c:scaling>
        <c:axPos val="b"/>
        <c:numFmt formatCode="_(* #,##0.00_);_(* \(#,##0.00\);_(* &quot;-&quot;??_);_(@_)" sourceLinked="1"/>
        <c:tickLblPos val="nextTo"/>
        <c:crossAx val="113227264"/>
        <c:crosses val="autoZero"/>
        <c:auto val="1"/>
        <c:lblAlgn val="ctr"/>
        <c:lblOffset val="100"/>
      </c:catAx>
      <c:valAx>
        <c:axId val="113227264"/>
        <c:scaling>
          <c:orientation val="minMax"/>
        </c:scaling>
        <c:axPos val="l"/>
        <c:majorGridlines/>
        <c:numFmt formatCode="_(* #,##0.00_);_(* \(#,##0.00\);_(* &quot;-&quot;??_);_(@_)" sourceLinked="1"/>
        <c:tickLblPos val="nextTo"/>
        <c:crossAx val="113225728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C"/>
  <c:chart>
    <c:title>
      <c:tx>
        <c:rich>
          <a:bodyPr/>
          <a:lstStyle/>
          <a:p>
            <a:pPr>
              <a:defRPr/>
            </a:pPr>
            <a:r>
              <a:rPr lang="en-US"/>
              <a:t>INGRESOS VS VAN</a:t>
            </a:r>
          </a:p>
        </c:rich>
      </c:tx>
      <c:spPr>
        <a:noFill/>
        <a:ln w="25400">
          <a:noFill/>
        </a:ln>
      </c:spPr>
    </c:title>
    <c:plotArea>
      <c:layout/>
      <c:lineChart>
        <c:grouping val="standard"/>
        <c:ser>
          <c:idx val="1"/>
          <c:order val="0"/>
          <c:tx>
            <c:v>Van</c:v>
          </c:tx>
          <c:marker>
            <c:symbol val="none"/>
          </c:marker>
          <c:cat>
            <c:numRef>
              <c:f>'Analisis de Sensibilidad'!$C$19:$C$21</c:f>
              <c:numCache>
                <c:formatCode>_(* #,##0.00_);_(* \(#,##0.00\);_(* "-"??_);_(@_)</c:formatCode>
                <c:ptCount val="3"/>
                <c:pt idx="0">
                  <c:v>-30318.824826180266</c:v>
                </c:pt>
                <c:pt idx="1">
                  <c:v>8773.404346133284</c:v>
                </c:pt>
                <c:pt idx="2">
                  <c:v>35030.383795745358</c:v>
                </c:pt>
              </c:numCache>
            </c:numRef>
          </c:cat>
          <c:val>
            <c:numRef>
              <c:f>'Analisis de Sensibilidad'!$C$19:$C$21</c:f>
              <c:numCache>
                <c:formatCode>_(* #,##0.00_);_(* \(#,##0.00\);_(* "-"??_);_(@_)</c:formatCode>
                <c:ptCount val="3"/>
                <c:pt idx="0">
                  <c:v>-30318.824826180266</c:v>
                </c:pt>
                <c:pt idx="1">
                  <c:v>8773.404346133284</c:v>
                </c:pt>
                <c:pt idx="2">
                  <c:v>35030.383795745358</c:v>
                </c:pt>
              </c:numCache>
            </c:numRef>
          </c:val>
        </c:ser>
        <c:marker val="1"/>
        <c:axId val="119350400"/>
        <c:axId val="119351936"/>
      </c:lineChart>
      <c:catAx>
        <c:axId val="119350400"/>
        <c:scaling>
          <c:orientation val="minMax"/>
        </c:scaling>
        <c:axPos val="b"/>
        <c:numFmt formatCode="_(* #,##0.00_);_(* \(#,##0.00\);_(* &quot;-&quot;??_);_(@_)" sourceLinked="1"/>
        <c:tickLblPos val="nextTo"/>
        <c:crossAx val="119351936"/>
        <c:crosses val="autoZero"/>
        <c:auto val="1"/>
        <c:lblAlgn val="ctr"/>
        <c:lblOffset val="100"/>
      </c:catAx>
      <c:valAx>
        <c:axId val="119351936"/>
        <c:scaling>
          <c:orientation val="minMax"/>
        </c:scaling>
        <c:axPos val="l"/>
        <c:majorGridlines/>
        <c:numFmt formatCode="_(* #,##0.00_);_(* \(#,##0.00\);_(* &quot;-&quot;??_);_(@_)" sourceLinked="1"/>
        <c:tickLblPos val="nextTo"/>
        <c:crossAx val="119350400"/>
        <c:crosses val="autoZero"/>
        <c:crossBetween val="between"/>
      </c:valAx>
    </c:plotArea>
    <c:legend>
      <c:legendPos val="r"/>
      <c:layout>
        <c:manualLayout>
          <c:xMode val="edge"/>
          <c:yMode val="edge"/>
          <c:wMode val="edge"/>
          <c:hMode val="edge"/>
          <c:x val="0.85624999999999996"/>
          <c:y val="0.52768729641693812"/>
          <c:w val="0.98124999999999996"/>
          <c:h val="0.60586319218241047"/>
        </c:manualLayout>
      </c:layout>
    </c:legend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</xdr:colOff>
      <xdr:row>0</xdr:row>
      <xdr:rowOff>171450</xdr:rowOff>
    </xdr:from>
    <xdr:to>
      <xdr:col>11</xdr:col>
      <xdr:colOff>19050</xdr:colOff>
      <xdr:row>14</xdr:row>
      <xdr:rowOff>57150</xdr:rowOff>
    </xdr:to>
    <xdr:graphicFrame macro="">
      <xdr:nvGraphicFramePr>
        <xdr:cNvPr id="205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752475</xdr:colOff>
      <xdr:row>48</xdr:row>
      <xdr:rowOff>9525</xdr:rowOff>
    </xdr:from>
    <xdr:to>
      <xdr:col>10</xdr:col>
      <xdr:colOff>752475</xdr:colOff>
      <xdr:row>62</xdr:row>
      <xdr:rowOff>85725</xdr:rowOff>
    </xdr:to>
    <xdr:graphicFrame macro="">
      <xdr:nvGraphicFramePr>
        <xdr:cNvPr id="2054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742950</xdr:colOff>
      <xdr:row>32</xdr:row>
      <xdr:rowOff>9525</xdr:rowOff>
    </xdr:from>
    <xdr:to>
      <xdr:col>10</xdr:col>
      <xdr:colOff>742950</xdr:colOff>
      <xdr:row>46</xdr:row>
      <xdr:rowOff>85725</xdr:rowOff>
    </xdr:to>
    <xdr:graphicFrame macro="">
      <xdr:nvGraphicFramePr>
        <xdr:cNvPr id="2055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28575</xdr:colOff>
      <xdr:row>15</xdr:row>
      <xdr:rowOff>142875</xdr:rowOff>
    </xdr:from>
    <xdr:to>
      <xdr:col>11</xdr:col>
      <xdr:colOff>28575</xdr:colOff>
      <xdr:row>30</xdr:row>
      <xdr:rowOff>180975</xdr:rowOff>
    </xdr:to>
    <xdr:graphicFrame macro="">
      <xdr:nvGraphicFramePr>
        <xdr:cNvPr id="2056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E12"/>
  <sheetViews>
    <sheetView workbookViewId="0">
      <selection activeCell="E6" sqref="E6"/>
    </sheetView>
  </sheetViews>
  <sheetFormatPr baseColWidth="10" defaultRowHeight="15"/>
  <sheetData>
    <row r="3" spans="3:5">
      <c r="C3" t="s">
        <v>181</v>
      </c>
    </row>
    <row r="4" spans="3:5" ht="15.75" thickBot="1">
      <c r="E4" s="4"/>
    </row>
    <row r="5" spans="3:5" ht="15.75" thickBot="1">
      <c r="C5" s="90" t="s">
        <v>26</v>
      </c>
      <c r="D5" s="103" t="s">
        <v>13</v>
      </c>
      <c r="E5" s="104" t="s">
        <v>47</v>
      </c>
    </row>
    <row r="6" spans="3:5" ht="15.75" thickBot="1">
      <c r="C6" s="98">
        <v>35359</v>
      </c>
      <c r="D6" s="99">
        <v>0.8</v>
      </c>
      <c r="E6" s="100">
        <f>C6*D6*12*0.35</f>
        <v>118806.24</v>
      </c>
    </row>
    <row r="10" spans="3:5">
      <c r="D10">
        <f>C6*0.35</f>
        <v>12375.65</v>
      </c>
    </row>
    <row r="12" spans="3:5">
      <c r="E12">
        <f>0.45/0.8</f>
        <v>0.5625</v>
      </c>
    </row>
  </sheetData>
  <phoneticPr fontId="0" type="noConversion"/>
  <pageMargins left="0.7" right="0.7" top="0.75" bottom="0.75" header="0.3" footer="0.3"/>
  <pageSetup paperSize="0" orientation="portrait" horizontalDpi="403" verticalDpi="40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3:D11"/>
  <sheetViews>
    <sheetView workbookViewId="0">
      <selection activeCell="C10" sqref="C10"/>
    </sheetView>
  </sheetViews>
  <sheetFormatPr baseColWidth="10" defaultRowHeight="15"/>
  <sheetData>
    <row r="3" spans="2:4">
      <c r="B3" s="485" t="s">
        <v>62</v>
      </c>
      <c r="C3" s="485"/>
    </row>
    <row r="4" spans="2:4" ht="15.75" thickBot="1"/>
    <row r="5" spans="2:4" ht="15.75" thickBot="1">
      <c r="B5" s="448" t="s">
        <v>49</v>
      </c>
      <c r="C5" s="486"/>
    </row>
    <row r="6" spans="2:4">
      <c r="B6" s="94" t="s">
        <v>50</v>
      </c>
      <c r="C6" s="222">
        <v>8.5800000000000001E-2</v>
      </c>
    </row>
    <row r="7" spans="2:4">
      <c r="B7" s="76" t="s">
        <v>51</v>
      </c>
      <c r="C7" s="223">
        <v>3.8600000000000002E-2</v>
      </c>
    </row>
    <row r="8" spans="2:4">
      <c r="B8" s="76" t="s">
        <v>52</v>
      </c>
      <c r="C8" s="224">
        <v>0.60419999999999996</v>
      </c>
    </row>
    <row r="9" spans="2:4">
      <c r="B9" s="76" t="s">
        <v>53</v>
      </c>
      <c r="C9" s="223">
        <v>0.17949999999999999</v>
      </c>
    </row>
    <row r="10" spans="2:4" ht="15.75" thickBot="1">
      <c r="B10" s="77" t="s">
        <v>54</v>
      </c>
      <c r="C10" s="443">
        <f>C7+C8*(C9-C7)+C6</f>
        <v>0.20953178</v>
      </c>
    </row>
    <row r="11" spans="2:4" ht="15.75" thickBot="1">
      <c r="B11" s="487" t="s">
        <v>55</v>
      </c>
      <c r="C11" s="488"/>
      <c r="D11" s="489"/>
    </row>
  </sheetData>
  <mergeCells count="3">
    <mergeCell ref="B3:C3"/>
    <mergeCell ref="B5:C5"/>
    <mergeCell ref="B11:D11"/>
  </mergeCells>
  <phoneticPr fontId="0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12"/>
  <sheetViews>
    <sheetView workbookViewId="0">
      <selection activeCell="I23" sqref="I23"/>
    </sheetView>
  </sheetViews>
  <sheetFormatPr baseColWidth="10" defaultRowHeight="15"/>
  <cols>
    <col min="1" max="1" width="21.42578125" customWidth="1"/>
    <col min="2" max="10" width="11.42578125" style="5"/>
    <col min="11" max="11" width="11.7109375" style="5" bestFit="1" customWidth="1"/>
    <col min="12" max="13" width="11.42578125" style="5"/>
  </cols>
  <sheetData>
    <row r="1" spans="1:15" ht="15.75" thickBot="1"/>
    <row r="2" spans="1:15" ht="15.75" thickBot="1">
      <c r="B2" s="241" t="s">
        <v>87</v>
      </c>
      <c r="C2" s="251" t="s">
        <v>88</v>
      </c>
      <c r="D2" s="246" t="s">
        <v>89</v>
      </c>
      <c r="E2" s="237" t="s">
        <v>90</v>
      </c>
      <c r="F2" s="235" t="s">
        <v>91</v>
      </c>
      <c r="G2" s="237" t="s">
        <v>92</v>
      </c>
      <c r="H2" s="235" t="s">
        <v>93</v>
      </c>
      <c r="I2" s="237" t="s">
        <v>94</v>
      </c>
      <c r="J2" s="235" t="s">
        <v>95</v>
      </c>
      <c r="K2" s="234" t="s">
        <v>96</v>
      </c>
      <c r="L2" s="225" t="s">
        <v>97</v>
      </c>
      <c r="M2" s="226" t="s">
        <v>98</v>
      </c>
    </row>
    <row r="3" spans="1:15">
      <c r="A3" s="230" t="s">
        <v>99</v>
      </c>
      <c r="B3" s="242">
        <f>+'INGRESO POR VENTAS '!E6*0.5%</f>
        <v>594.03120000000001</v>
      </c>
      <c r="C3" s="252">
        <f>+'INGRESO POR VENTAS '!E6*1%</f>
        <v>1188.0624</v>
      </c>
      <c r="D3" s="247">
        <f>+'INGRESO POR VENTAS '!E6*2%</f>
        <v>2376.1248000000001</v>
      </c>
      <c r="E3" s="238">
        <f>+'INGRESO POR VENTAS '!E6*6.5%</f>
        <v>7722.405600000001</v>
      </c>
      <c r="F3" s="95">
        <f>+'INGRESO POR VENTAS '!E6*8%</f>
        <v>9504.4992000000002</v>
      </c>
      <c r="G3" s="238">
        <f>+'INGRESO POR VENTAS '!E6*9%</f>
        <v>10692.561600000001</v>
      </c>
      <c r="H3" s="95">
        <f>+'INGRESO POR VENTAS '!E6*9.5%</f>
        <v>11286.5928</v>
      </c>
      <c r="I3" s="238">
        <f>+'INGRESO POR VENTAS '!E6*12%</f>
        <v>14256.748799999999</v>
      </c>
      <c r="J3" s="95">
        <f>+'INGRESO POR VENTAS '!E6*11%</f>
        <v>13068.686400000001</v>
      </c>
      <c r="K3" s="238">
        <f>+'INGRESO POR VENTAS '!E6*13.5%</f>
        <v>16038.842400000001</v>
      </c>
      <c r="L3" s="95">
        <f>+'INGRESO POR VENTAS '!E6*13.5%</f>
        <v>16038.842400000001</v>
      </c>
      <c r="M3" s="238">
        <f>+'INGRESO POR VENTAS '!E6*13.5%</f>
        <v>16038.842400000001</v>
      </c>
      <c r="N3" s="95">
        <f>+SUM(B3:M3)</f>
        <v>118806.23999999999</v>
      </c>
      <c r="O3" s="2"/>
    </row>
    <row r="4" spans="1:15">
      <c r="A4" s="76"/>
      <c r="B4" s="243"/>
      <c r="C4" s="224"/>
      <c r="D4" s="248"/>
      <c r="E4" s="227"/>
      <c r="F4" s="236"/>
      <c r="G4" s="227"/>
      <c r="H4" s="236"/>
      <c r="I4" s="227"/>
      <c r="J4" s="236"/>
      <c r="K4" s="227"/>
      <c r="L4" s="236"/>
      <c r="M4" s="227"/>
      <c r="N4" s="255"/>
    </row>
    <row r="5" spans="1:15">
      <c r="A5" s="76" t="s">
        <v>73</v>
      </c>
      <c r="B5" s="244">
        <f>'GASTOS ADMINISTRATIVOS'!C53</f>
        <v>5133.9316666666673</v>
      </c>
      <c r="C5" s="224">
        <f>B5</f>
        <v>5133.9316666666673</v>
      </c>
      <c r="D5" s="249">
        <f t="shared" ref="D5:M5" si="0">C5</f>
        <v>5133.9316666666673</v>
      </c>
      <c r="E5" s="239">
        <f t="shared" si="0"/>
        <v>5133.9316666666673</v>
      </c>
      <c r="F5" s="224">
        <f t="shared" si="0"/>
        <v>5133.9316666666673</v>
      </c>
      <c r="G5" s="239">
        <f t="shared" si="0"/>
        <v>5133.9316666666673</v>
      </c>
      <c r="H5" s="224">
        <f t="shared" si="0"/>
        <v>5133.9316666666673</v>
      </c>
      <c r="I5" s="239">
        <f t="shared" si="0"/>
        <v>5133.9316666666673</v>
      </c>
      <c r="J5" s="224">
        <f t="shared" si="0"/>
        <v>5133.9316666666673</v>
      </c>
      <c r="K5" s="239">
        <f t="shared" si="0"/>
        <v>5133.9316666666673</v>
      </c>
      <c r="L5" s="224">
        <f t="shared" si="0"/>
        <v>5133.9316666666673</v>
      </c>
      <c r="M5" s="239">
        <f t="shared" si="0"/>
        <v>5133.9316666666673</v>
      </c>
      <c r="N5" s="224">
        <f>+SUM(B5:M5)</f>
        <v>61607.180000000022</v>
      </c>
    </row>
    <row r="6" spans="1:15">
      <c r="A6" s="76" t="s">
        <v>178</v>
      </c>
      <c r="B6" s="244">
        <f>'GASTOS DE PUBLCIIDAD'!E9</f>
        <v>2920</v>
      </c>
      <c r="C6" s="224">
        <f>B6</f>
        <v>2920</v>
      </c>
      <c r="D6" s="249">
        <f t="shared" ref="D6:M6" si="1">C6</f>
        <v>2920</v>
      </c>
      <c r="E6" s="239">
        <f t="shared" si="1"/>
        <v>2920</v>
      </c>
      <c r="F6" s="224">
        <f t="shared" si="1"/>
        <v>2920</v>
      </c>
      <c r="G6" s="239">
        <f t="shared" si="1"/>
        <v>2920</v>
      </c>
      <c r="H6" s="224">
        <f t="shared" si="1"/>
        <v>2920</v>
      </c>
      <c r="I6" s="239">
        <f t="shared" si="1"/>
        <v>2920</v>
      </c>
      <c r="J6" s="224">
        <f t="shared" si="1"/>
        <v>2920</v>
      </c>
      <c r="K6" s="239">
        <f t="shared" si="1"/>
        <v>2920</v>
      </c>
      <c r="L6" s="224">
        <f t="shared" si="1"/>
        <v>2920</v>
      </c>
      <c r="M6" s="239">
        <f t="shared" si="1"/>
        <v>2920</v>
      </c>
      <c r="N6" s="224">
        <f>+SUM(B6:M6)</f>
        <v>35040</v>
      </c>
    </row>
    <row r="7" spans="1:15">
      <c r="A7" s="231" t="s">
        <v>102</v>
      </c>
      <c r="B7" s="244">
        <f>B5+B6</f>
        <v>8053.9316666666673</v>
      </c>
      <c r="C7" s="224">
        <f>C5+C6</f>
        <v>8053.9316666666673</v>
      </c>
      <c r="D7" s="249">
        <f t="shared" ref="D7:M7" si="2">D5+D6</f>
        <v>8053.9316666666673</v>
      </c>
      <c r="E7" s="239">
        <f t="shared" si="2"/>
        <v>8053.9316666666673</v>
      </c>
      <c r="F7" s="224">
        <f t="shared" si="2"/>
        <v>8053.9316666666673</v>
      </c>
      <c r="G7" s="239">
        <f t="shared" si="2"/>
        <v>8053.9316666666673</v>
      </c>
      <c r="H7" s="224">
        <f t="shared" si="2"/>
        <v>8053.9316666666673</v>
      </c>
      <c r="I7" s="239">
        <f t="shared" si="2"/>
        <v>8053.9316666666673</v>
      </c>
      <c r="J7" s="224">
        <f t="shared" si="2"/>
        <v>8053.9316666666673</v>
      </c>
      <c r="K7" s="239">
        <f t="shared" si="2"/>
        <v>8053.9316666666673</v>
      </c>
      <c r="L7" s="224">
        <f t="shared" si="2"/>
        <v>8053.9316666666673</v>
      </c>
      <c r="M7" s="239">
        <f t="shared" si="2"/>
        <v>8053.9316666666673</v>
      </c>
      <c r="N7" s="224">
        <f>+SUM(B7:M7)</f>
        <v>96647.180000000037</v>
      </c>
    </row>
    <row r="8" spans="1:15">
      <c r="A8" s="229"/>
      <c r="B8" s="243"/>
      <c r="C8" s="224"/>
      <c r="D8" s="248"/>
      <c r="E8" s="227"/>
      <c r="F8" s="236"/>
      <c r="G8" s="227"/>
      <c r="H8" s="236"/>
      <c r="I8" s="227"/>
      <c r="J8" s="236"/>
      <c r="K8" s="227"/>
      <c r="L8" s="236"/>
      <c r="M8" s="227"/>
      <c r="N8" s="255"/>
    </row>
    <row r="9" spans="1:15">
      <c r="A9" s="232" t="s">
        <v>99</v>
      </c>
      <c r="B9" s="244">
        <f>+B3</f>
        <v>594.03120000000001</v>
      </c>
      <c r="C9" s="224">
        <f>C3</f>
        <v>1188.0624</v>
      </c>
      <c r="D9" s="249">
        <f t="shared" ref="D9:M9" si="3">D3</f>
        <v>2376.1248000000001</v>
      </c>
      <c r="E9" s="239">
        <f t="shared" si="3"/>
        <v>7722.405600000001</v>
      </c>
      <c r="F9" s="224">
        <f t="shared" si="3"/>
        <v>9504.4992000000002</v>
      </c>
      <c r="G9" s="239">
        <f t="shared" si="3"/>
        <v>10692.561600000001</v>
      </c>
      <c r="H9" s="224">
        <f t="shared" si="3"/>
        <v>11286.5928</v>
      </c>
      <c r="I9" s="239">
        <f t="shared" si="3"/>
        <v>14256.748799999999</v>
      </c>
      <c r="J9" s="224">
        <f t="shared" si="3"/>
        <v>13068.686400000001</v>
      </c>
      <c r="K9" s="239">
        <f t="shared" si="3"/>
        <v>16038.842400000001</v>
      </c>
      <c r="L9" s="224">
        <f t="shared" si="3"/>
        <v>16038.842400000001</v>
      </c>
      <c r="M9" s="239">
        <f t="shared" si="3"/>
        <v>16038.842400000001</v>
      </c>
      <c r="N9" s="224">
        <f>+SUM(B9:M9)</f>
        <v>118806.23999999999</v>
      </c>
    </row>
    <row r="10" spans="1:15">
      <c r="A10" s="232" t="s">
        <v>102</v>
      </c>
      <c r="B10" s="244">
        <f>+B7</f>
        <v>8053.9316666666673</v>
      </c>
      <c r="C10" s="224">
        <f>C7</f>
        <v>8053.9316666666673</v>
      </c>
      <c r="D10" s="249">
        <f t="shared" ref="D10:M10" si="4">D7</f>
        <v>8053.9316666666673</v>
      </c>
      <c r="E10" s="239">
        <f t="shared" si="4"/>
        <v>8053.9316666666673</v>
      </c>
      <c r="F10" s="224">
        <f t="shared" si="4"/>
        <v>8053.9316666666673</v>
      </c>
      <c r="G10" s="239">
        <f t="shared" si="4"/>
        <v>8053.9316666666673</v>
      </c>
      <c r="H10" s="224">
        <f t="shared" si="4"/>
        <v>8053.9316666666673</v>
      </c>
      <c r="I10" s="239">
        <f t="shared" si="4"/>
        <v>8053.9316666666673</v>
      </c>
      <c r="J10" s="224">
        <f t="shared" si="4"/>
        <v>8053.9316666666673</v>
      </c>
      <c r="K10" s="239">
        <f t="shared" si="4"/>
        <v>8053.9316666666673</v>
      </c>
      <c r="L10" s="224">
        <f t="shared" si="4"/>
        <v>8053.9316666666673</v>
      </c>
      <c r="M10" s="239">
        <f t="shared" si="4"/>
        <v>8053.9316666666673</v>
      </c>
      <c r="N10" s="256">
        <f>+SUM(B10:M10)</f>
        <v>96647.180000000037</v>
      </c>
    </row>
    <row r="11" spans="1:15">
      <c r="A11" s="232" t="s">
        <v>103</v>
      </c>
      <c r="B11" s="244">
        <f t="shared" ref="B11:M11" si="5">B9-B10</f>
        <v>-7459.9004666666669</v>
      </c>
      <c r="C11" s="224">
        <f t="shared" si="5"/>
        <v>-6865.8692666666675</v>
      </c>
      <c r="D11" s="249">
        <f t="shared" si="5"/>
        <v>-5677.8068666666677</v>
      </c>
      <c r="E11" s="239">
        <f t="shared" si="5"/>
        <v>-331.52606666666634</v>
      </c>
      <c r="F11" s="224">
        <f t="shared" si="5"/>
        <v>1450.5675333333329</v>
      </c>
      <c r="G11" s="253">
        <f t="shared" si="5"/>
        <v>2638.6299333333336</v>
      </c>
      <c r="H11" s="224">
        <f t="shared" si="5"/>
        <v>3232.6611333333331</v>
      </c>
      <c r="I11" s="239">
        <f t="shared" si="5"/>
        <v>6202.8171333333321</v>
      </c>
      <c r="J11" s="224">
        <f t="shared" si="5"/>
        <v>5014.7547333333332</v>
      </c>
      <c r="K11" s="239">
        <f t="shared" si="5"/>
        <v>7984.9107333333341</v>
      </c>
      <c r="L11" s="224">
        <f t="shared" si="5"/>
        <v>7984.9107333333341</v>
      </c>
      <c r="M11" s="239">
        <f t="shared" si="5"/>
        <v>7984.9107333333341</v>
      </c>
      <c r="N11" s="224">
        <f>+SUM(B11:M11)</f>
        <v>22159.060000000005</v>
      </c>
    </row>
    <row r="12" spans="1:15" ht="15.75" thickBot="1">
      <c r="A12" s="233" t="s">
        <v>104</v>
      </c>
      <c r="B12" s="245">
        <f>B11</f>
        <v>-7459.9004666666669</v>
      </c>
      <c r="C12" s="96">
        <f>B12+C11</f>
        <v>-14325.769733333334</v>
      </c>
      <c r="D12" s="250">
        <f>C12+D11</f>
        <v>-20003.5766</v>
      </c>
      <c r="E12" s="419">
        <f>D12+E11</f>
        <v>-20335.102666666666</v>
      </c>
      <c r="F12" s="96">
        <f t="shared" ref="F12:M12" si="6">+E12+F11</f>
        <v>-18884.535133333331</v>
      </c>
      <c r="G12" s="254">
        <f t="shared" si="6"/>
        <v>-16245.905199999997</v>
      </c>
      <c r="H12" s="96">
        <f t="shared" si="6"/>
        <v>-13013.244066666664</v>
      </c>
      <c r="I12" s="240">
        <f t="shared" si="6"/>
        <v>-6810.4269333333323</v>
      </c>
      <c r="J12" s="96">
        <f t="shared" si="6"/>
        <v>-1795.6721999999991</v>
      </c>
      <c r="K12" s="240">
        <f t="shared" si="6"/>
        <v>6189.238533333335</v>
      </c>
      <c r="L12" s="96">
        <f t="shared" si="6"/>
        <v>14174.149266666669</v>
      </c>
      <c r="M12" s="240">
        <f t="shared" si="6"/>
        <v>22159.060000000005</v>
      </c>
      <c r="N12" s="96">
        <f>+SUM(B12:M12)</f>
        <v>-76351.685199999978</v>
      </c>
    </row>
  </sheetData>
  <phoneticPr fontId="0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2:I57"/>
  <sheetViews>
    <sheetView tabSelected="1" workbookViewId="0">
      <selection activeCell="H10" sqref="H10"/>
    </sheetView>
  </sheetViews>
  <sheetFormatPr baseColWidth="10" defaultRowHeight="15"/>
  <cols>
    <col min="2" max="2" width="31.7109375" bestFit="1" customWidth="1"/>
    <col min="3" max="3" width="15" customWidth="1"/>
    <col min="4" max="4" width="17.7109375" style="5" customWidth="1"/>
    <col min="5" max="5" width="13.7109375" style="5" customWidth="1"/>
    <col min="6" max="6" width="12" style="5" bestFit="1" customWidth="1"/>
    <col min="7" max="8" width="12.42578125" style="5" bestFit="1" customWidth="1"/>
  </cols>
  <sheetData>
    <row r="2" spans="2:8" ht="15.75" thickBot="1"/>
    <row r="3" spans="2:8" ht="15.75" thickBot="1">
      <c r="B3" s="20"/>
      <c r="C3" s="263">
        <v>0</v>
      </c>
      <c r="D3" s="263">
        <v>1</v>
      </c>
      <c r="E3" s="270">
        <v>2</v>
      </c>
      <c r="F3" s="263">
        <v>3</v>
      </c>
      <c r="G3" s="270">
        <v>4</v>
      </c>
      <c r="H3" s="263">
        <v>5</v>
      </c>
    </row>
    <row r="4" spans="2:8" ht="15.75" thickBot="1">
      <c r="B4" s="40" t="s">
        <v>99</v>
      </c>
      <c r="C4" s="281"/>
      <c r="D4" s="282">
        <f>'INGRESO POR VENTAS '!E6</f>
        <v>118806.24</v>
      </c>
      <c r="E4" s="283">
        <f>D4*1.02</f>
        <v>121182.36480000001</v>
      </c>
      <c r="F4" s="282">
        <f>E4*1.02</f>
        <v>123606.01209600001</v>
      </c>
      <c r="G4" s="283">
        <f>F4*1.02</f>
        <v>126078.13233792</v>
      </c>
      <c r="H4" s="282">
        <f>G4*1.02</f>
        <v>128599.69498467841</v>
      </c>
    </row>
    <row r="5" spans="2:8">
      <c r="B5" s="279"/>
      <c r="C5" s="280"/>
      <c r="D5" s="280"/>
      <c r="E5" s="22"/>
      <c r="F5" s="280"/>
      <c r="G5" s="22"/>
      <c r="H5" s="280"/>
    </row>
    <row r="6" spans="2:8">
      <c r="B6" s="259" t="s">
        <v>102</v>
      </c>
      <c r="C6" s="265"/>
      <c r="D6" s="265"/>
      <c r="E6" s="272"/>
      <c r="F6" s="265"/>
      <c r="G6" s="272"/>
      <c r="H6" s="265"/>
    </row>
    <row r="7" spans="2:8">
      <c r="B7" s="258" t="s">
        <v>100</v>
      </c>
      <c r="C7" s="265"/>
      <c r="D7" s="265">
        <f>'GASTOS ADMINISTRATIVOS'!D53</f>
        <v>61607.18</v>
      </c>
      <c r="E7" s="272">
        <f t="shared" ref="E7:H8" si="0">D7</f>
        <v>61607.18</v>
      </c>
      <c r="F7" s="265">
        <f t="shared" si="0"/>
        <v>61607.18</v>
      </c>
      <c r="G7" s="272">
        <f t="shared" si="0"/>
        <v>61607.18</v>
      </c>
      <c r="H7" s="265">
        <f t="shared" si="0"/>
        <v>61607.18</v>
      </c>
    </row>
    <row r="8" spans="2:8" ht="15.75" thickBot="1">
      <c r="B8" s="284" t="s">
        <v>101</v>
      </c>
      <c r="C8" s="267"/>
      <c r="D8" s="267">
        <f>'GASTOS DE PUBLCIIDAD'!F9</f>
        <v>35040</v>
      </c>
      <c r="E8" s="276">
        <f t="shared" si="0"/>
        <v>35040</v>
      </c>
      <c r="F8" s="267">
        <f t="shared" si="0"/>
        <v>35040</v>
      </c>
      <c r="G8" s="276">
        <f t="shared" si="0"/>
        <v>35040</v>
      </c>
      <c r="H8" s="267">
        <f t="shared" si="0"/>
        <v>35040</v>
      </c>
    </row>
    <row r="9" spans="2:8" ht="15.75" thickBot="1">
      <c r="B9" s="58" t="s">
        <v>129</v>
      </c>
      <c r="C9" s="288"/>
      <c r="D9" s="413">
        <f>SUM(D7:D8)</f>
        <v>96647.18</v>
      </c>
      <c r="E9" s="414">
        <f>SUM(E7:E8)</f>
        <v>96647.18</v>
      </c>
      <c r="F9" s="413">
        <f>SUM(F7:F8)</f>
        <v>96647.18</v>
      </c>
      <c r="G9" s="414">
        <f>SUM(G7:G8)</f>
        <v>96647.18</v>
      </c>
      <c r="H9" s="413">
        <f>SUM(H7:H8)</f>
        <v>96647.18</v>
      </c>
    </row>
    <row r="10" spans="2:8">
      <c r="B10" s="285"/>
      <c r="C10" s="280"/>
      <c r="D10" s="286"/>
      <c r="E10" s="287"/>
      <c r="F10" s="286"/>
      <c r="G10" s="287"/>
      <c r="H10" s="286"/>
    </row>
    <row r="11" spans="2:8">
      <c r="B11" s="261" t="s">
        <v>131</v>
      </c>
      <c r="C11" s="265"/>
      <c r="D11" s="269">
        <f>DEPRECIACION!F15</f>
        <v>3177.18</v>
      </c>
      <c r="E11" s="269">
        <f>D11</f>
        <v>3177.18</v>
      </c>
      <c r="F11" s="269">
        <f>E11</f>
        <v>3177.18</v>
      </c>
      <c r="G11" s="269">
        <f>F11</f>
        <v>3177.18</v>
      </c>
      <c r="H11" s="269">
        <f>G11</f>
        <v>3177.18</v>
      </c>
    </row>
    <row r="12" spans="2:8">
      <c r="B12" s="261" t="s">
        <v>158</v>
      </c>
      <c r="C12" s="265"/>
      <c r="D12" s="269">
        <f>AMORTIZACION!E12</f>
        <v>1226.8620533333335</v>
      </c>
      <c r="E12" s="274">
        <f>AMORTIZACION!E13</f>
        <v>981.4896426666669</v>
      </c>
      <c r="F12" s="269">
        <f>AMORTIZACION!E14</f>
        <v>736.11723200000017</v>
      </c>
      <c r="G12" s="274">
        <f>AMORTIZACION!E15</f>
        <v>490.7448213333335</v>
      </c>
      <c r="H12" s="269">
        <f>AMORTIZACION!E16</f>
        <v>245.37241066666681</v>
      </c>
    </row>
    <row r="13" spans="2:8">
      <c r="B13" s="259" t="s">
        <v>133</v>
      </c>
      <c r="C13" s="265"/>
      <c r="D13" s="265">
        <f>D4-D9-D11-D12</f>
        <v>17755.017946666678</v>
      </c>
      <c r="E13" s="272">
        <f>E4-E9-E11-E12</f>
        <v>20376.51515733335</v>
      </c>
      <c r="F13" s="265">
        <f>F4-F9-F11-F12</f>
        <v>23045.534864000012</v>
      </c>
      <c r="G13" s="272">
        <f>G4-G9-G11-G12</f>
        <v>25763.027516586677</v>
      </c>
      <c r="H13" s="265">
        <f>H4-H9-H11-H12</f>
        <v>28529.962574011752</v>
      </c>
    </row>
    <row r="14" spans="2:8">
      <c r="B14" s="258" t="s">
        <v>134</v>
      </c>
      <c r="C14" s="265"/>
      <c r="D14" s="265">
        <f>D13*25%</f>
        <v>4438.7544866666694</v>
      </c>
      <c r="E14" s="272">
        <f>E13*25%</f>
        <v>5094.1287893333374</v>
      </c>
      <c r="F14" s="265">
        <f>F13*25%</f>
        <v>5761.383716000003</v>
      </c>
      <c r="G14" s="272">
        <f>G13*25%</f>
        <v>6440.7568791466692</v>
      </c>
      <c r="H14" s="265">
        <f>H13*25%</f>
        <v>7132.4906435029379</v>
      </c>
    </row>
    <row r="15" spans="2:8" ht="15.75" thickBot="1">
      <c r="B15" s="284" t="s">
        <v>135</v>
      </c>
      <c r="C15" s="267"/>
      <c r="D15" s="267">
        <f>D14*15%</f>
        <v>665.81317300000035</v>
      </c>
      <c r="E15" s="276">
        <f>E14*15%</f>
        <v>764.11931840000057</v>
      </c>
      <c r="F15" s="267">
        <f>F14*15%</f>
        <v>864.20755740000038</v>
      </c>
      <c r="G15" s="276">
        <f>G14*15%</f>
        <v>966.11353187200029</v>
      </c>
      <c r="H15" s="267">
        <f>H14*15%</f>
        <v>1069.8735965254407</v>
      </c>
    </row>
    <row r="16" spans="2:8" ht="15.75" thickBot="1">
      <c r="B16" s="58" t="s">
        <v>136</v>
      </c>
      <c r="C16" s="288"/>
      <c r="D16" s="288">
        <f>D13-D14-D15</f>
        <v>12650.450287000009</v>
      </c>
      <c r="E16" s="289">
        <f>E13-E14-E15</f>
        <v>14518.267049600012</v>
      </c>
      <c r="F16" s="288">
        <f>F13-F14-F15</f>
        <v>16419.943590600007</v>
      </c>
      <c r="G16" s="289">
        <f>G13-G14-G15</f>
        <v>18356.157105568007</v>
      </c>
      <c r="H16" s="288">
        <f>H13-H14-H15</f>
        <v>20327.598333983373</v>
      </c>
    </row>
    <row r="17" spans="2:8">
      <c r="B17" s="285"/>
      <c r="C17" s="280"/>
      <c r="D17" s="280"/>
      <c r="E17" s="22"/>
      <c r="F17" s="280"/>
      <c r="G17" s="22"/>
      <c r="H17" s="280"/>
    </row>
    <row r="18" spans="2:8">
      <c r="B18" s="259" t="s">
        <v>137</v>
      </c>
      <c r="C18" s="265"/>
      <c r="D18" s="265">
        <f>D16+D11</f>
        <v>15827.630287000009</v>
      </c>
      <c r="E18" s="272">
        <f>E16+E11</f>
        <v>17695.44704960001</v>
      </c>
      <c r="F18" s="265">
        <f>F16+F11</f>
        <v>19597.123590600007</v>
      </c>
      <c r="G18" s="272">
        <f>G16+G11</f>
        <v>21533.337105568007</v>
      </c>
      <c r="H18" s="265">
        <f>H16+H11</f>
        <v>23504.778333983373</v>
      </c>
    </row>
    <row r="19" spans="2:8">
      <c r="B19" s="259" t="s">
        <v>138</v>
      </c>
      <c r="C19" s="265"/>
      <c r="D19" s="265">
        <v>60</v>
      </c>
      <c r="E19" s="272">
        <v>60</v>
      </c>
      <c r="F19" s="265">
        <v>60</v>
      </c>
      <c r="G19" s="272">
        <v>60</v>
      </c>
      <c r="H19" s="265">
        <v>60</v>
      </c>
    </row>
    <row r="20" spans="2:8">
      <c r="B20" s="258" t="s">
        <v>139</v>
      </c>
      <c r="C20" s="265">
        <f>-('INVERSION INICIAL'!E17+'INVERSION INICIAL'!E18)</f>
        <v>-40708</v>
      </c>
      <c r="D20" s="265"/>
      <c r="E20" s="272"/>
      <c r="F20" s="265"/>
      <c r="G20" s="272"/>
      <c r="H20" s="265"/>
    </row>
    <row r="21" spans="2:8">
      <c r="B21" s="259" t="s">
        <v>140</v>
      </c>
      <c r="C21" s="265">
        <f>AMORTIZACION!E6</f>
        <v>12268.620533333335</v>
      </c>
      <c r="D21" s="265"/>
      <c r="E21" s="272"/>
      <c r="F21" s="265"/>
      <c r="G21" s="272"/>
      <c r="H21" s="265"/>
    </row>
    <row r="22" spans="2:8">
      <c r="B22" s="259" t="s">
        <v>141</v>
      </c>
      <c r="C22" s="265"/>
      <c r="D22" s="265">
        <f>-(AMORTIZACION!D12)</f>
        <v>-2453.724106666667</v>
      </c>
      <c r="E22" s="272">
        <f>D22</f>
        <v>-2453.724106666667</v>
      </c>
      <c r="F22" s="265">
        <f>E22</f>
        <v>-2453.724106666667</v>
      </c>
      <c r="G22" s="272">
        <f>F22</f>
        <v>-2453.724106666667</v>
      </c>
      <c r="H22" s="265">
        <f>G22</f>
        <v>-2453.724106666667</v>
      </c>
    </row>
    <row r="23" spans="2:8">
      <c r="B23" s="259" t="s">
        <v>142</v>
      </c>
      <c r="C23" s="265">
        <f>'Capital de Trabajo'!E12</f>
        <v>-20335.102666666666</v>
      </c>
      <c r="D23" s="265"/>
      <c r="E23" s="272"/>
      <c r="F23" s="265"/>
      <c r="G23" s="272"/>
      <c r="H23" s="265"/>
    </row>
    <row r="24" spans="2:8">
      <c r="B24" s="258" t="s">
        <v>143</v>
      </c>
      <c r="C24" s="265"/>
      <c r="D24" s="265"/>
      <c r="E24" s="272"/>
      <c r="F24" s="265"/>
      <c r="G24" s="272"/>
      <c r="H24" s="265">
        <f>-(C23)</f>
        <v>20335.102666666666</v>
      </c>
    </row>
    <row r="25" spans="2:8">
      <c r="B25" s="259" t="s">
        <v>56</v>
      </c>
      <c r="C25" s="265"/>
      <c r="D25" s="265"/>
      <c r="E25" s="272"/>
      <c r="F25" s="265"/>
      <c r="G25" s="272"/>
      <c r="H25" s="265">
        <f>DEPRECIACION!G15</f>
        <v>3150.8</v>
      </c>
    </row>
    <row r="26" spans="2:8" ht="15.75" thickBot="1">
      <c r="B26" s="262"/>
      <c r="C26" s="267"/>
      <c r="D26" s="267"/>
      <c r="E26" s="276"/>
      <c r="F26" s="267"/>
      <c r="G26" s="276"/>
      <c r="H26" s="278"/>
    </row>
    <row r="27" spans="2:8" ht="17.25" thickBot="1">
      <c r="B27" s="58" t="s">
        <v>144</v>
      </c>
      <c r="C27" s="63">
        <f>SUM(C20:C25)</f>
        <v>-48774.482133333331</v>
      </c>
      <c r="D27" s="63">
        <f>SUM(D18:D25)</f>
        <v>13433.906180333342</v>
      </c>
      <c r="E27" s="64">
        <f>SUM(E18:E25)</f>
        <v>15301.722942933344</v>
      </c>
      <c r="F27" s="63">
        <f>SUM(F18:F25)</f>
        <v>17203.399483933339</v>
      </c>
      <c r="G27" s="65">
        <f>SUM(G18:G25)</f>
        <v>19139.612998901339</v>
      </c>
      <c r="H27" s="65">
        <f>SUM(H18:H25)</f>
        <v>44596.95689398337</v>
      </c>
    </row>
    <row r="28" spans="2:8" ht="16.5">
      <c r="B28" s="20"/>
      <c r="C28" s="21"/>
      <c r="D28" s="23"/>
      <c r="E28" s="23"/>
      <c r="F28" s="23"/>
      <c r="G28" s="23"/>
      <c r="H28" s="23"/>
    </row>
    <row r="29" spans="2:8" ht="15.75" thickBot="1">
      <c r="B29" s="20"/>
      <c r="C29" s="21"/>
      <c r="D29" s="21"/>
      <c r="E29" s="21"/>
      <c r="F29" s="21"/>
      <c r="G29" s="21"/>
      <c r="H29" s="21"/>
    </row>
    <row r="30" spans="2:8" ht="15.75" thickBot="1">
      <c r="B30" s="20"/>
      <c r="C30" s="292" t="s">
        <v>57</v>
      </c>
      <c r="D30" s="400">
        <f>NPV(C55,D27:H27)+C27</f>
        <v>8773.404346133284</v>
      </c>
      <c r="E30" s="21"/>
      <c r="F30" s="21"/>
      <c r="G30" s="21"/>
      <c r="H30" s="21"/>
    </row>
    <row r="31" spans="2:8" ht="15.75" thickBot="1">
      <c r="B31" s="20"/>
      <c r="C31" s="291" t="s">
        <v>58</v>
      </c>
      <c r="D31" s="447">
        <f>IRR(C27:H27)</f>
        <v>0.27460210583713074</v>
      </c>
      <c r="E31" s="28"/>
      <c r="F31" s="28"/>
      <c r="G31" s="20"/>
      <c r="H31" s="20"/>
    </row>
    <row r="32" spans="2:8" ht="15.75" thickBot="1">
      <c r="B32" s="20"/>
      <c r="C32" s="291" t="s">
        <v>49</v>
      </c>
      <c r="D32" s="298">
        <f>C55</f>
        <v>0.20893999999999999</v>
      </c>
      <c r="E32" s="20"/>
      <c r="F32" s="20"/>
      <c r="G32" s="20"/>
      <c r="H32" s="20"/>
    </row>
    <row r="33" spans="2:9">
      <c r="B33" s="20"/>
      <c r="C33" s="20"/>
      <c r="D33" s="20"/>
      <c r="E33" s="20"/>
      <c r="F33" s="20"/>
      <c r="G33" s="20"/>
      <c r="H33" s="20"/>
    </row>
    <row r="34" spans="2:9">
      <c r="B34" s="24" t="s">
        <v>145</v>
      </c>
      <c r="C34" s="25">
        <f t="shared" ref="C34:H34" si="1">C27</f>
        <v>-48774.482133333331</v>
      </c>
      <c r="D34" s="25">
        <f t="shared" si="1"/>
        <v>13433.906180333342</v>
      </c>
      <c r="E34" s="25">
        <f t="shared" si="1"/>
        <v>15301.722942933344</v>
      </c>
      <c r="F34" s="25">
        <f t="shared" si="1"/>
        <v>17203.399483933339</v>
      </c>
      <c r="G34" s="25">
        <f t="shared" si="1"/>
        <v>19139.612998901339</v>
      </c>
      <c r="H34" s="25">
        <f t="shared" si="1"/>
        <v>44596.95689398337</v>
      </c>
    </row>
    <row r="35" spans="2:9">
      <c r="B35" s="24" t="s">
        <v>146</v>
      </c>
      <c r="C35" s="25">
        <f>C34</f>
        <v>-48774.482133333331</v>
      </c>
      <c r="D35" s="25">
        <f>D34/(1+$D$55)^1</f>
        <v>13433.906180333342</v>
      </c>
      <c r="E35" s="25">
        <f>E34/(1+$D$55)^1</f>
        <v>15301.722942933344</v>
      </c>
      <c r="F35" s="25">
        <f>F34/(1+$D$55)^1</f>
        <v>17203.399483933339</v>
      </c>
      <c r="G35" s="25">
        <f>G34/(1+$D$55)^1</f>
        <v>19139.612998901339</v>
      </c>
      <c r="H35" s="25">
        <f>H34/(1+$D$55)^1</f>
        <v>44596.95689398337</v>
      </c>
    </row>
    <row r="36" spans="2:9">
      <c r="B36" s="24" t="s">
        <v>147</v>
      </c>
      <c r="C36" s="26">
        <f>C35</f>
        <v>-48774.482133333331</v>
      </c>
      <c r="D36" s="26">
        <f>C36+D35</f>
        <v>-35340.575952999992</v>
      </c>
      <c r="E36" s="26">
        <f>D36+E35</f>
        <v>-20038.853010066647</v>
      </c>
      <c r="F36" s="418">
        <f>E36+F35</f>
        <v>-2835.4535261333076</v>
      </c>
      <c r="G36" s="418">
        <f>F36+G35</f>
        <v>16304.159472768031</v>
      </c>
      <c r="H36" s="26">
        <f>G36+H35</f>
        <v>60901.116366751405</v>
      </c>
    </row>
    <row r="37" spans="2:9" ht="15.75" thickBot="1">
      <c r="B37" s="20"/>
      <c r="C37" s="20"/>
      <c r="D37" s="20"/>
      <c r="E37" s="20"/>
      <c r="F37" s="20"/>
      <c r="G37" s="20"/>
      <c r="H37" s="20"/>
    </row>
    <row r="38" spans="2:9" ht="15.75" thickBot="1">
      <c r="B38" s="20"/>
      <c r="C38" s="20"/>
      <c r="D38" s="20"/>
      <c r="E38" s="20"/>
      <c r="F38" s="20"/>
      <c r="G38" s="58" t="s">
        <v>148</v>
      </c>
      <c r="H38" s="59">
        <f>6+(-F36/G36)</f>
        <v>6.1739098253344009</v>
      </c>
      <c r="I38" t="s">
        <v>149</v>
      </c>
    </row>
    <row r="48" spans="2:9" ht="15.75" thickBot="1"/>
    <row r="49" spans="1:7" ht="15.75" thickBot="1">
      <c r="A49" s="20"/>
      <c r="B49" s="487" t="s">
        <v>55</v>
      </c>
      <c r="C49" s="489"/>
      <c r="D49" s="444"/>
      <c r="E49" s="20"/>
      <c r="F49" s="20"/>
      <c r="G49" s="20"/>
    </row>
    <row r="50" spans="1:7">
      <c r="A50" s="20"/>
      <c r="B50" s="258" t="s">
        <v>51</v>
      </c>
      <c r="C50" s="223">
        <v>3.8600000000000002E-2</v>
      </c>
      <c r="D50" s="20"/>
      <c r="E50" s="20"/>
      <c r="F50" s="20"/>
      <c r="G50" s="20"/>
    </row>
    <row r="51" spans="1:7">
      <c r="A51" s="20"/>
      <c r="B51" s="258" t="s">
        <v>53</v>
      </c>
      <c r="C51" s="300">
        <v>0.17949999999999999</v>
      </c>
      <c r="D51" s="20"/>
      <c r="E51" s="20"/>
      <c r="F51" s="20"/>
      <c r="G51" s="20"/>
    </row>
    <row r="52" spans="1:7">
      <c r="A52" s="20"/>
      <c r="B52" s="258" t="s">
        <v>155</v>
      </c>
      <c r="C52" s="301">
        <v>0.6</v>
      </c>
      <c r="D52" s="20"/>
      <c r="E52" s="20"/>
      <c r="F52" s="20"/>
      <c r="G52" s="20"/>
    </row>
    <row r="53" spans="1:7" ht="15.75" thickBot="1">
      <c r="A53" s="20"/>
      <c r="B53" s="297" t="s">
        <v>156</v>
      </c>
      <c r="C53" s="302">
        <v>8.5800000000000001E-2</v>
      </c>
      <c r="D53" s="293"/>
      <c r="E53" s="20"/>
      <c r="F53" s="20"/>
      <c r="G53" s="20"/>
    </row>
    <row r="54" spans="1:7" ht="15.75" thickBot="1">
      <c r="A54" s="20"/>
      <c r="B54" s="20"/>
      <c r="C54" s="20"/>
      <c r="D54" s="294"/>
      <c r="E54" s="20"/>
      <c r="F54" s="20"/>
      <c r="G54" s="20"/>
    </row>
    <row r="55" spans="1:7" ht="15.75" thickBot="1">
      <c r="A55" s="20"/>
      <c r="B55" s="445" t="s">
        <v>49</v>
      </c>
      <c r="C55" s="446">
        <f>C50+(C52*(C51-C50)+C53)</f>
        <v>0.20893999999999999</v>
      </c>
      <c r="D55" s="295"/>
      <c r="E55" s="20"/>
      <c r="F55" s="20"/>
      <c r="G55" s="20"/>
    </row>
    <row r="56" spans="1:7" ht="15.75" thickBot="1">
      <c r="A56" s="20"/>
      <c r="B56" s="20"/>
      <c r="C56" s="304"/>
      <c r="D56" s="20"/>
      <c r="E56" s="20"/>
      <c r="F56" s="20"/>
      <c r="G56" s="20"/>
    </row>
    <row r="57" spans="1:7">
      <c r="A57" s="20"/>
      <c r="B57" s="20"/>
      <c r="C57" s="20"/>
      <c r="D57" s="20"/>
      <c r="E57" s="20"/>
      <c r="F57" s="20"/>
      <c r="G57" s="20"/>
    </row>
  </sheetData>
  <mergeCells count="1">
    <mergeCell ref="B49:C49"/>
  </mergeCells>
  <phoneticPr fontId="0" type="noConversion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C4:H34"/>
  <sheetViews>
    <sheetView topLeftCell="A21" workbookViewId="0">
      <selection activeCell="H46" sqref="H46"/>
    </sheetView>
  </sheetViews>
  <sheetFormatPr baseColWidth="10" defaultRowHeight="15"/>
  <cols>
    <col min="3" max="3" width="32.5703125" customWidth="1"/>
    <col min="4" max="4" width="11.42578125" style="29"/>
    <col min="5" max="6" width="11.42578125" style="5"/>
    <col min="7" max="7" width="12.5703125" style="5" bestFit="1" customWidth="1"/>
    <col min="8" max="8" width="11.42578125" style="5"/>
  </cols>
  <sheetData>
    <row r="4" spans="3:8">
      <c r="C4" s="485" t="s">
        <v>63</v>
      </c>
      <c r="D4" s="485"/>
      <c r="E4" s="485"/>
      <c r="F4" s="485"/>
      <c r="G4" s="485"/>
      <c r="H4" s="485"/>
    </row>
    <row r="5" spans="3:8" ht="15.75" thickBot="1"/>
    <row r="6" spans="3:8">
      <c r="C6" s="74" t="s">
        <v>64</v>
      </c>
      <c r="D6" s="308" t="s">
        <v>65</v>
      </c>
      <c r="E6" s="317" t="s">
        <v>66</v>
      </c>
      <c r="F6" s="323" t="s">
        <v>67</v>
      </c>
      <c r="G6" s="317" t="s">
        <v>68</v>
      </c>
      <c r="H6" s="329" t="s">
        <v>69</v>
      </c>
    </row>
    <row r="7" spans="3:8">
      <c r="C7" s="75" t="s">
        <v>70</v>
      </c>
      <c r="D7" s="309">
        <f>'FLJO DE CJA'!D4</f>
        <v>118806.24</v>
      </c>
      <c r="E7" s="318">
        <f>D7*1.02</f>
        <v>121182.36480000001</v>
      </c>
      <c r="F7" s="324">
        <f>E7*1.02</f>
        <v>123606.01209600001</v>
      </c>
      <c r="G7" s="318">
        <f>F7*1.02</f>
        <v>126078.13233792</v>
      </c>
      <c r="H7" s="330">
        <f>G7*1.02</f>
        <v>128599.69498467841</v>
      </c>
    </row>
    <row r="8" spans="3:8">
      <c r="C8" s="75" t="s">
        <v>71</v>
      </c>
      <c r="D8" s="310">
        <f>'MATERIA RPIMA'!E15</f>
        <v>53462.807999999997</v>
      </c>
      <c r="E8" s="224">
        <f>+D8*1.03</f>
        <v>55066.692239999997</v>
      </c>
      <c r="F8" s="239">
        <f>+E8*1.03</f>
        <v>56718.693007199996</v>
      </c>
      <c r="G8" s="224">
        <f>+F8*1.03</f>
        <v>58420.253797416</v>
      </c>
      <c r="H8" s="249">
        <f>+G8*1.03</f>
        <v>60172.861411338483</v>
      </c>
    </row>
    <row r="9" spans="3:8">
      <c r="C9" s="228" t="s">
        <v>72</v>
      </c>
      <c r="D9" s="311">
        <f>+D7-D8</f>
        <v>65343.432000000008</v>
      </c>
      <c r="E9" s="319">
        <f>+E7-E8</f>
        <v>66115.672560000006</v>
      </c>
      <c r="F9" s="325">
        <f>+F7-F8</f>
        <v>66887.31908880001</v>
      </c>
      <c r="G9" s="319">
        <f>+G7-G8</f>
        <v>67657.878540503996</v>
      </c>
      <c r="H9" s="331">
        <f>+H7-H8</f>
        <v>68426.833573339929</v>
      </c>
    </row>
    <row r="10" spans="3:8">
      <c r="C10" s="228"/>
      <c r="D10" s="311"/>
      <c r="E10" s="319"/>
      <c r="F10" s="325"/>
      <c r="G10" s="319"/>
      <c r="H10" s="331"/>
    </row>
    <row r="11" spans="3:8">
      <c r="C11" s="305" t="s">
        <v>73</v>
      </c>
      <c r="D11" s="312">
        <f>SUM(D12:D18)</f>
        <v>61607.18</v>
      </c>
      <c r="E11" s="320">
        <f>D11</f>
        <v>61607.18</v>
      </c>
      <c r="F11" s="326">
        <f>E11</f>
        <v>61607.18</v>
      </c>
      <c r="G11" s="320">
        <f>F11</f>
        <v>61607.18</v>
      </c>
      <c r="H11" s="332">
        <f>G11</f>
        <v>61607.18</v>
      </c>
    </row>
    <row r="12" spans="3:8">
      <c r="C12" s="75" t="s">
        <v>163</v>
      </c>
      <c r="D12" s="310">
        <f>'GASTOS ADMINISTRATIVOS'!D11</f>
        <v>35400</v>
      </c>
      <c r="E12" s="224">
        <f>D12</f>
        <v>35400</v>
      </c>
      <c r="F12" s="239">
        <f t="shared" ref="E12:H13" si="0">+E12</f>
        <v>35400</v>
      </c>
      <c r="G12" s="224">
        <f t="shared" si="0"/>
        <v>35400</v>
      </c>
      <c r="H12" s="249">
        <f t="shared" si="0"/>
        <v>35400</v>
      </c>
    </row>
    <row r="13" spans="3:8">
      <c r="C13" s="75" t="s">
        <v>164</v>
      </c>
      <c r="D13" s="310">
        <f>'GASTOS ADMINISTRATIVOS'!D29</f>
        <v>14400</v>
      </c>
      <c r="E13" s="224">
        <f t="shared" si="0"/>
        <v>14400</v>
      </c>
      <c r="F13" s="239">
        <f t="shared" si="0"/>
        <v>14400</v>
      </c>
      <c r="G13" s="224">
        <f t="shared" si="0"/>
        <v>14400</v>
      </c>
      <c r="H13" s="249">
        <f t="shared" si="0"/>
        <v>14400</v>
      </c>
    </row>
    <row r="14" spans="3:8">
      <c r="C14" s="75" t="s">
        <v>166</v>
      </c>
      <c r="D14" s="310">
        <f>+'GASTOS ADMINISTRATIVOS'!D27</f>
        <v>4500</v>
      </c>
      <c r="E14" s="224">
        <f>D14</f>
        <v>4500</v>
      </c>
      <c r="F14" s="239">
        <f>E14</f>
        <v>4500</v>
      </c>
      <c r="G14" s="224">
        <f>F14</f>
        <v>4500</v>
      </c>
      <c r="H14" s="249">
        <f>G14</f>
        <v>4500</v>
      </c>
    </row>
    <row r="15" spans="3:8">
      <c r="C15" s="75" t="s">
        <v>172</v>
      </c>
      <c r="D15" s="310">
        <f>'GASTOS ADMINISTRATIVOS'!D19</f>
        <v>3600</v>
      </c>
      <c r="E15" s="321">
        <v>7200</v>
      </c>
      <c r="F15" s="327">
        <v>7200</v>
      </c>
      <c r="G15" s="321">
        <v>7200</v>
      </c>
      <c r="H15" s="333">
        <v>7200</v>
      </c>
    </row>
    <row r="16" spans="3:8">
      <c r="C16" s="75" t="s">
        <v>111</v>
      </c>
      <c r="D16" s="310">
        <f>'GASTOS ADMINISTRATIVOS'!D34</f>
        <v>230</v>
      </c>
      <c r="E16" s="321">
        <v>230</v>
      </c>
      <c r="F16" s="327">
        <v>230</v>
      </c>
      <c r="G16" s="321">
        <v>230</v>
      </c>
      <c r="H16" s="333">
        <v>230</v>
      </c>
    </row>
    <row r="17" spans="3:8">
      <c r="C17" s="75" t="s">
        <v>173</v>
      </c>
      <c r="D17" s="310">
        <f>'GASTOS ADMINISTRATIVOS'!D37</f>
        <v>300</v>
      </c>
      <c r="E17" s="321">
        <v>500</v>
      </c>
      <c r="F17" s="327">
        <v>500</v>
      </c>
      <c r="G17" s="321">
        <v>500</v>
      </c>
      <c r="H17" s="333">
        <v>500</v>
      </c>
    </row>
    <row r="18" spans="3:8">
      <c r="C18" s="75" t="s">
        <v>165</v>
      </c>
      <c r="D18" s="310">
        <f>'FLJO DE CJA'!D11</f>
        <v>3177.18</v>
      </c>
      <c r="E18" s="224">
        <f t="shared" ref="E18:H20" si="1">+D18</f>
        <v>3177.18</v>
      </c>
      <c r="F18" s="239">
        <f t="shared" si="1"/>
        <v>3177.18</v>
      </c>
      <c r="G18" s="224">
        <f t="shared" si="1"/>
        <v>3177.18</v>
      </c>
      <c r="H18" s="249">
        <f t="shared" si="1"/>
        <v>3177.18</v>
      </c>
    </row>
    <row r="19" spans="3:8">
      <c r="C19" s="75"/>
      <c r="D19" s="310"/>
      <c r="E19" s="224"/>
      <c r="F19" s="239"/>
      <c r="G19" s="224"/>
      <c r="H19" s="249"/>
    </row>
    <row r="20" spans="3:8">
      <c r="C20" s="305" t="s">
        <v>74</v>
      </c>
      <c r="D20" s="312">
        <f>D21</f>
        <v>35040</v>
      </c>
      <c r="E20" s="320">
        <f t="shared" si="1"/>
        <v>35040</v>
      </c>
      <c r="F20" s="326">
        <f t="shared" si="1"/>
        <v>35040</v>
      </c>
      <c r="G20" s="320">
        <f t="shared" si="1"/>
        <v>35040</v>
      </c>
      <c r="H20" s="332">
        <f t="shared" si="1"/>
        <v>35040</v>
      </c>
    </row>
    <row r="21" spans="3:8">
      <c r="C21" s="75" t="s">
        <v>167</v>
      </c>
      <c r="D21" s="310">
        <f>'GASTOS DE PUBLCIIDAD'!F9</f>
        <v>35040</v>
      </c>
      <c r="E21" s="224">
        <v>35184</v>
      </c>
      <c r="F21" s="239">
        <v>35184</v>
      </c>
      <c r="G21" s="224">
        <v>35184</v>
      </c>
      <c r="H21" s="249">
        <v>35184</v>
      </c>
    </row>
    <row r="22" spans="3:8">
      <c r="C22" s="75"/>
      <c r="D22" s="310"/>
      <c r="E22" s="224"/>
      <c r="F22" s="239"/>
      <c r="G22" s="224"/>
      <c r="H22" s="249"/>
    </row>
    <row r="23" spans="3:8">
      <c r="C23" s="305" t="s">
        <v>170</v>
      </c>
      <c r="D23" s="312">
        <f>D24</f>
        <v>60</v>
      </c>
      <c r="E23" s="322">
        <f>E24</f>
        <v>60</v>
      </c>
      <c r="F23" s="328">
        <f>F24</f>
        <v>60</v>
      </c>
      <c r="G23" s="322">
        <f>G24</f>
        <v>60</v>
      </c>
      <c r="H23" s="334">
        <f>H24</f>
        <v>60</v>
      </c>
    </row>
    <row r="24" spans="3:8">
      <c r="C24" s="306" t="s">
        <v>171</v>
      </c>
      <c r="D24" s="310">
        <v>60</v>
      </c>
      <c r="E24" s="224">
        <v>60</v>
      </c>
      <c r="F24" s="239">
        <v>60</v>
      </c>
      <c r="G24" s="224">
        <v>60</v>
      </c>
      <c r="H24" s="249">
        <v>60</v>
      </c>
    </row>
    <row r="25" spans="3:8">
      <c r="C25" s="306"/>
      <c r="D25" s="310"/>
      <c r="E25" s="224"/>
      <c r="F25" s="239"/>
      <c r="G25" s="224"/>
      <c r="H25" s="249"/>
    </row>
    <row r="26" spans="3:8">
      <c r="C26" s="305" t="s">
        <v>168</v>
      </c>
      <c r="D26" s="312">
        <f>D27</f>
        <v>1226.8620533333335</v>
      </c>
      <c r="E26" s="322">
        <f>E27</f>
        <v>981.4896426666669</v>
      </c>
      <c r="F26" s="328">
        <f>F27</f>
        <v>736.11723200000017</v>
      </c>
      <c r="G26" s="322">
        <f>G27</f>
        <v>490.7448213333335</v>
      </c>
      <c r="H26" s="334">
        <f>H27</f>
        <v>245.37241066666681</v>
      </c>
    </row>
    <row r="27" spans="3:8" ht="15.75" thickBot="1">
      <c r="C27" s="307" t="s">
        <v>169</v>
      </c>
      <c r="D27" s="313">
        <f>AMORTIZACION!E12</f>
        <v>1226.8620533333335</v>
      </c>
      <c r="E27" s="96">
        <f>AMORTIZACION!E13</f>
        <v>981.4896426666669</v>
      </c>
      <c r="F27" s="240">
        <f>AMORTIZACION!E14</f>
        <v>736.11723200000017</v>
      </c>
      <c r="G27" s="96">
        <f>AMORTIZACION!E15</f>
        <v>490.7448213333335</v>
      </c>
      <c r="H27" s="335">
        <f>AMORTIZACION!E16</f>
        <v>245.37241066666681</v>
      </c>
    </row>
    <row r="28" spans="3:8" ht="15.75" thickBot="1">
      <c r="C28" s="60" t="s">
        <v>75</v>
      </c>
      <c r="D28" s="314">
        <f>+D9-D11-D20-D23-D26</f>
        <v>-32590.610053333327</v>
      </c>
      <c r="E28" s="62">
        <f>+E9-E11</f>
        <v>4508.4925600000061</v>
      </c>
      <c r="F28" s="61">
        <f>+F9-F11</f>
        <v>5280.1390888000096</v>
      </c>
      <c r="G28" s="62">
        <f>+G9-G11</f>
        <v>6050.6985405039959</v>
      </c>
      <c r="H28" s="316">
        <f>+H9-H11</f>
        <v>6819.6535733399287</v>
      </c>
    </row>
    <row r="29" spans="3:8">
      <c r="E29" s="236"/>
      <c r="G29" s="236"/>
    </row>
    <row r="30" spans="3:8" ht="15.75" thickBot="1">
      <c r="E30" s="236"/>
      <c r="G30" s="236"/>
    </row>
    <row r="31" spans="3:8">
      <c r="C31" s="93" t="s">
        <v>76</v>
      </c>
      <c r="D31" s="315">
        <f>+D28-D29</f>
        <v>-32590.610053333327</v>
      </c>
      <c r="E31" s="95">
        <f>+E28-E29</f>
        <v>4508.4925600000061</v>
      </c>
      <c r="F31" s="238">
        <f>+F28-F29</f>
        <v>5280.1390888000096</v>
      </c>
      <c r="G31" s="95">
        <f>+G28-G29</f>
        <v>6050.6985405039959</v>
      </c>
      <c r="H31" s="247">
        <f>+H28-H29</f>
        <v>6819.6535733399287</v>
      </c>
    </row>
    <row r="32" spans="3:8">
      <c r="C32" s="75" t="s">
        <v>77</v>
      </c>
      <c r="D32" s="310">
        <v>0</v>
      </c>
      <c r="E32" s="224">
        <f>+E31*25%</f>
        <v>1127.1231400000015</v>
      </c>
      <c r="F32" s="239">
        <f>+F31*25%</f>
        <v>1320.0347722000024</v>
      </c>
      <c r="G32" s="224">
        <f>+G31*25%</f>
        <v>1512.674635125999</v>
      </c>
      <c r="H32" s="249">
        <f>+H31*25%</f>
        <v>1704.9133933349822</v>
      </c>
    </row>
    <row r="33" spans="3:8" ht="15.75" thickBot="1">
      <c r="C33" s="37" t="s">
        <v>78</v>
      </c>
      <c r="D33" s="313">
        <v>0</v>
      </c>
      <c r="E33" s="96">
        <f>+E31*15%</f>
        <v>676.27388400000086</v>
      </c>
      <c r="F33" s="240">
        <f>+F31*15%</f>
        <v>792.02086332000147</v>
      </c>
      <c r="G33" s="96">
        <f>+G31*15%</f>
        <v>907.60478107559936</v>
      </c>
      <c r="H33" s="335">
        <f>+H31*15%</f>
        <v>1022.9480360009893</v>
      </c>
    </row>
    <row r="34" spans="3:8" ht="15.75" thickBot="1">
      <c r="C34" s="60" t="s">
        <v>79</v>
      </c>
      <c r="D34" s="314">
        <f>+D31-D32-D33</f>
        <v>-32590.610053333327</v>
      </c>
      <c r="E34" s="62">
        <f>+E31-E32-E33</f>
        <v>2705.0955360000034</v>
      </c>
      <c r="F34" s="61">
        <f>+F31-F32-F33</f>
        <v>3168.0834532800059</v>
      </c>
      <c r="G34" s="62">
        <f>+G31-G32-G33</f>
        <v>3630.4191243023974</v>
      </c>
      <c r="H34" s="316">
        <f>+H31-H32-H33</f>
        <v>4091.7921440039572</v>
      </c>
    </row>
  </sheetData>
  <mergeCells count="1">
    <mergeCell ref="C4:H4"/>
  </mergeCells>
  <phoneticPr fontId="0" type="noConversion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54"/>
  <sheetViews>
    <sheetView topLeftCell="A43" workbookViewId="0">
      <selection activeCell="M52" sqref="M52"/>
    </sheetView>
  </sheetViews>
  <sheetFormatPr baseColWidth="10" defaultRowHeight="15"/>
  <cols>
    <col min="2" max="2" width="12.42578125" bestFit="1" customWidth="1"/>
    <col min="3" max="3" width="12.28515625" bestFit="1" customWidth="1"/>
  </cols>
  <sheetData>
    <row r="1" spans="2:3" ht="15.75" thickBot="1"/>
    <row r="2" spans="2:3" ht="30.75" thickBot="1">
      <c r="B2" s="336" t="s">
        <v>174</v>
      </c>
      <c r="C2" s="340" t="s">
        <v>99</v>
      </c>
    </row>
    <row r="3" spans="2:3">
      <c r="B3" s="337">
        <v>1</v>
      </c>
      <c r="C3" s="341">
        <f>'INGRESO POR VENTAS '!C6*'Analisis de Sensibilidad'!B3</f>
        <v>35359</v>
      </c>
    </row>
    <row r="4" spans="2:3">
      <c r="B4" s="338">
        <v>1.5</v>
      </c>
      <c r="C4" s="342">
        <f>'INGRESO POR VENTAS '!C6*'Analisis de Sensibilidad'!B4</f>
        <v>53038.5</v>
      </c>
    </row>
    <row r="5" spans="2:3" ht="15.75" thickBot="1">
      <c r="B5" s="339">
        <v>2</v>
      </c>
      <c r="C5" s="343">
        <f>'INGRESO POR VENTAS '!C6*'Analisis de Sensibilidad'!B5</f>
        <v>70718</v>
      </c>
    </row>
    <row r="17" spans="1:3" ht="15.75" thickBot="1"/>
    <row r="18" spans="1:3" ht="15.75" thickBot="1">
      <c r="B18" s="344" t="s">
        <v>99</v>
      </c>
      <c r="C18" s="340" t="s">
        <v>57</v>
      </c>
    </row>
    <row r="19" spans="1:3">
      <c r="A19" s="15" t="s">
        <v>175</v>
      </c>
      <c r="B19" s="345">
        <f>B20*(1-0.05)</f>
        <v>117471.76440153371</v>
      </c>
      <c r="C19" s="264">
        <f>SENSIBILIZADO!D35</f>
        <v>-30318.824826180266</v>
      </c>
    </row>
    <row r="20" spans="1:3">
      <c r="A20" s="15"/>
      <c r="B20" s="346">
        <f>AVERAGE('FLJO DE CJA'!D4:H4)</f>
        <v>123654.48884371971</v>
      </c>
      <c r="C20" s="348">
        <f>'FLJO DE CJA'!D30</f>
        <v>8773.404346133284</v>
      </c>
    </row>
    <row r="21" spans="1:3" ht="15.75" thickBot="1">
      <c r="A21" s="15" t="s">
        <v>176</v>
      </c>
      <c r="B21" s="347">
        <f>B20*1.05</f>
        <v>129837.2132859057</v>
      </c>
      <c r="C21" s="278">
        <f>SENSIBILIZADO!L34</f>
        <v>35030.383795745358</v>
      </c>
    </row>
    <row r="34" spans="1:4" ht="15.75" thickBot="1"/>
    <row r="35" spans="1:4">
      <c r="C35" s="349" t="s">
        <v>32</v>
      </c>
      <c r="D35" s="350" t="s">
        <v>57</v>
      </c>
    </row>
    <row r="36" spans="1:4">
      <c r="C36" s="338">
        <f>'FLJO DE CJA'!D9</f>
        <v>96647.18</v>
      </c>
      <c r="D36" s="351">
        <f>'FLJO DE CJA'!D30</f>
        <v>8773.404346133284</v>
      </c>
    </row>
    <row r="37" spans="1:4" ht="15.75" thickBot="1">
      <c r="B37" s="15" t="s">
        <v>176</v>
      </c>
      <c r="C37" s="339">
        <f>C36*1.05</f>
        <v>101479.53899999999</v>
      </c>
      <c r="D37" s="343">
        <f>SENSIBILIZADO!C96</f>
        <v>510.66868379547668</v>
      </c>
    </row>
    <row r="39" spans="1:4">
      <c r="A39" s="30"/>
      <c r="B39" s="31"/>
      <c r="C39" s="31"/>
      <c r="D39" s="30"/>
    </row>
    <row r="50" spans="2:3" ht="15.75" thickBot="1"/>
    <row r="51" spans="2:3" ht="15.75" thickBot="1">
      <c r="B51" s="344" t="s">
        <v>177</v>
      </c>
      <c r="C51" s="340" t="s">
        <v>57</v>
      </c>
    </row>
    <row r="52" spans="2:3">
      <c r="B52" s="355">
        <v>0.2</v>
      </c>
      <c r="C52" s="356">
        <f>NPV(B52,'FLJO DE CJA'!D27:H27)+'FLJO DE CJA'!C27</f>
        <v>10154.961366882482</v>
      </c>
    </row>
    <row r="53" spans="2:3">
      <c r="B53" s="352">
        <v>0.23</v>
      </c>
      <c r="C53" s="351">
        <f>NPV(B53,'FLJO DE CJA'!D27:H27)+'FLJO DE CJA'!C27</f>
        <v>5709.3320741875723</v>
      </c>
    </row>
    <row r="54" spans="2:3" ht="15.75" thickBot="1">
      <c r="B54" s="353">
        <v>0.26</v>
      </c>
      <c r="C54" s="354">
        <f>NPV(B54,'FLJO DE CJA'!D27:H27)+'FLJO DE CJA'!C27</f>
        <v>1762.1223166050622</v>
      </c>
    </row>
  </sheetData>
  <phoneticPr fontId="0" type="noConversion"/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124"/>
  <sheetViews>
    <sheetView topLeftCell="A75" zoomScale="90" zoomScaleNormal="90" workbookViewId="0">
      <selection activeCell="C96" sqref="C96"/>
    </sheetView>
  </sheetViews>
  <sheetFormatPr baseColWidth="10" defaultRowHeight="15"/>
  <cols>
    <col min="1" max="1" width="26" customWidth="1"/>
    <col min="2" max="2" width="24.7109375" customWidth="1"/>
    <col min="3" max="3" width="13.42578125" bestFit="1" customWidth="1"/>
    <col min="7" max="7" width="12.42578125" bestFit="1" customWidth="1"/>
    <col min="9" max="9" width="3.42578125" customWidth="1"/>
    <col min="10" max="10" width="24.140625" customWidth="1"/>
  </cols>
  <sheetData>
    <row r="1" spans="2:16" ht="15.75" thickBot="1">
      <c r="D1" s="5"/>
      <c r="E1" s="5"/>
      <c r="F1" s="5"/>
      <c r="G1" s="5"/>
      <c r="H1" s="5"/>
      <c r="J1" s="20"/>
      <c r="K1" s="408">
        <v>0</v>
      </c>
      <c r="L1" s="409">
        <v>1</v>
      </c>
      <c r="M1" s="408">
        <v>2</v>
      </c>
      <c r="N1" s="409">
        <v>3</v>
      </c>
      <c r="O1" s="408">
        <v>4</v>
      </c>
      <c r="P1" s="410">
        <v>5</v>
      </c>
    </row>
    <row r="2" spans="2:16" ht="15.75" thickBot="1">
      <c r="B2" s="20"/>
      <c r="C2" s="363">
        <v>0</v>
      </c>
      <c r="D2" s="368">
        <v>1</v>
      </c>
      <c r="E2" s="370">
        <v>2</v>
      </c>
      <c r="F2" s="368">
        <v>3</v>
      </c>
      <c r="G2" s="370">
        <v>4</v>
      </c>
      <c r="H2" s="368">
        <v>5</v>
      </c>
      <c r="J2" s="257" t="s">
        <v>99</v>
      </c>
      <c r="K2" s="264"/>
      <c r="L2" s="271">
        <f>'INGRESO POR VENTAS '!E6*1.05</f>
        <v>124746.55200000001</v>
      </c>
      <c r="M2" s="375">
        <f>L2*1.05</f>
        <v>130983.87960000001</v>
      </c>
      <c r="N2" s="376">
        <f>M2*1.05</f>
        <v>137533.07358000003</v>
      </c>
      <c r="O2" s="375">
        <f>N2*1.05</f>
        <v>144409.72725900004</v>
      </c>
      <c r="P2" s="377">
        <f>O2*1.05</f>
        <v>151630.21362195004</v>
      </c>
    </row>
    <row r="3" spans="2:16">
      <c r="B3" s="357" t="s">
        <v>99</v>
      </c>
      <c r="C3" s="364"/>
      <c r="D3" s="369">
        <f>'INGRESO POR VENTAS '!E6*0.95</f>
        <v>112865.928</v>
      </c>
      <c r="E3" s="371">
        <f>D3*0.95</f>
        <v>107222.63159999999</v>
      </c>
      <c r="F3" s="369">
        <f>E3*0.95</f>
        <v>101861.50001999999</v>
      </c>
      <c r="G3" s="371">
        <f>F3*0.95</f>
        <v>96768.425018999988</v>
      </c>
      <c r="H3" s="369">
        <f>G3*0.95</f>
        <v>91930.003768049981</v>
      </c>
      <c r="J3" s="258"/>
      <c r="K3" s="265"/>
      <c r="L3" s="272"/>
      <c r="M3" s="265"/>
      <c r="N3" s="272"/>
      <c r="O3" s="265"/>
      <c r="P3" s="378"/>
    </row>
    <row r="4" spans="2:16">
      <c r="B4" s="358"/>
      <c r="C4" s="364"/>
      <c r="D4" s="265"/>
      <c r="E4" s="272"/>
      <c r="F4" s="265"/>
      <c r="G4" s="272"/>
      <c r="H4" s="265"/>
      <c r="J4" s="259" t="s">
        <v>102</v>
      </c>
      <c r="K4" s="265"/>
      <c r="L4" s="272"/>
      <c r="M4" s="265"/>
      <c r="N4" s="272"/>
      <c r="O4" s="265"/>
      <c r="P4" s="378"/>
    </row>
    <row r="5" spans="2:16">
      <c r="B5" s="359" t="s">
        <v>102</v>
      </c>
      <c r="C5" s="364"/>
      <c r="D5" s="265"/>
      <c r="E5" s="272"/>
      <c r="F5" s="265"/>
      <c r="G5" s="272"/>
      <c r="H5" s="265"/>
      <c r="J5" s="258" t="s">
        <v>100</v>
      </c>
      <c r="K5" s="265"/>
      <c r="L5" s="272">
        <f>D6</f>
        <v>61607.18</v>
      </c>
      <c r="M5" s="265">
        <f t="shared" ref="M5:P6" si="0">L5</f>
        <v>61607.18</v>
      </c>
      <c r="N5" s="272">
        <f t="shared" si="0"/>
        <v>61607.18</v>
      </c>
      <c r="O5" s="265">
        <f t="shared" si="0"/>
        <v>61607.18</v>
      </c>
      <c r="P5" s="378">
        <f t="shared" si="0"/>
        <v>61607.18</v>
      </c>
    </row>
    <row r="6" spans="2:16">
      <c r="B6" s="358" t="s">
        <v>100</v>
      </c>
      <c r="C6" s="364"/>
      <c r="D6" s="265">
        <f>'GASTOS ADMINISTRATIVOS'!D53</f>
        <v>61607.18</v>
      </c>
      <c r="E6" s="272">
        <f t="shared" ref="E6:H7" si="1">D6</f>
        <v>61607.18</v>
      </c>
      <c r="F6" s="265">
        <f t="shared" si="1"/>
        <v>61607.18</v>
      </c>
      <c r="G6" s="272">
        <f t="shared" si="1"/>
        <v>61607.18</v>
      </c>
      <c r="H6" s="265">
        <f t="shared" si="1"/>
        <v>61607.18</v>
      </c>
      <c r="J6" s="258" t="s">
        <v>101</v>
      </c>
      <c r="K6" s="265"/>
      <c r="L6" s="272">
        <f>D7</f>
        <v>35040</v>
      </c>
      <c r="M6" s="265">
        <f t="shared" si="0"/>
        <v>35040</v>
      </c>
      <c r="N6" s="272">
        <f t="shared" si="0"/>
        <v>35040</v>
      </c>
      <c r="O6" s="265">
        <f t="shared" si="0"/>
        <v>35040</v>
      </c>
      <c r="P6" s="378">
        <f t="shared" si="0"/>
        <v>35040</v>
      </c>
    </row>
    <row r="7" spans="2:16">
      <c r="B7" s="358" t="s">
        <v>101</v>
      </c>
      <c r="C7" s="364"/>
      <c r="D7" s="265">
        <f>'GASTOS DE PUBLCIIDAD'!F9</f>
        <v>35040</v>
      </c>
      <c r="E7" s="272">
        <f t="shared" si="1"/>
        <v>35040</v>
      </c>
      <c r="F7" s="265">
        <f t="shared" si="1"/>
        <v>35040</v>
      </c>
      <c r="G7" s="272">
        <f t="shared" si="1"/>
        <v>35040</v>
      </c>
      <c r="H7" s="265">
        <f t="shared" si="1"/>
        <v>35040</v>
      </c>
      <c r="J7" s="260" t="s">
        <v>129</v>
      </c>
      <c r="K7" s="266"/>
      <c r="L7" s="273">
        <f>SUM(L5:L6)</f>
        <v>96647.18</v>
      </c>
      <c r="M7" s="277">
        <f>SUM(M5:M6)</f>
        <v>96647.18</v>
      </c>
      <c r="N7" s="273">
        <f>SUM(N5:N6)</f>
        <v>96647.18</v>
      </c>
      <c r="O7" s="277">
        <f>SUM(O5:O6)</f>
        <v>96647.18</v>
      </c>
      <c r="P7" s="379">
        <f>SUM(P5:P6)</f>
        <v>96647.18</v>
      </c>
    </row>
    <row r="8" spans="2:16">
      <c r="B8" s="360" t="s">
        <v>129</v>
      </c>
      <c r="C8" s="365"/>
      <c r="D8" s="268">
        <f>SUM(D6:D7)</f>
        <v>96647.18</v>
      </c>
      <c r="E8" s="273">
        <f>SUM(E6:E7)</f>
        <v>96647.18</v>
      </c>
      <c r="F8" s="277">
        <f>SUM(F6:F7)</f>
        <v>96647.18</v>
      </c>
      <c r="G8" s="273">
        <f>SUM(G6:G7)</f>
        <v>96647.18</v>
      </c>
      <c r="H8" s="277">
        <f>SUM(H6:H7)</f>
        <v>96647.18</v>
      </c>
      <c r="J8" s="259"/>
      <c r="K8" s="265"/>
      <c r="L8" s="274"/>
      <c r="M8" s="269"/>
      <c r="N8" s="274"/>
      <c r="O8" s="269"/>
      <c r="P8" s="380"/>
    </row>
    <row r="9" spans="2:16">
      <c r="B9" s="359"/>
      <c r="C9" s="364"/>
      <c r="D9" s="269"/>
      <c r="E9" s="274"/>
      <c r="F9" s="269"/>
      <c r="G9" s="274"/>
      <c r="H9" s="269"/>
      <c r="J9" s="259" t="s">
        <v>130</v>
      </c>
      <c r="K9" s="265"/>
      <c r="L9" s="274">
        <v>60</v>
      </c>
      <c r="M9" s="269">
        <v>60</v>
      </c>
      <c r="N9" s="274">
        <v>60</v>
      </c>
      <c r="O9" s="269">
        <v>60</v>
      </c>
      <c r="P9" s="380">
        <v>60</v>
      </c>
    </row>
    <row r="10" spans="2:16">
      <c r="B10" s="359" t="s">
        <v>130</v>
      </c>
      <c r="C10" s="364"/>
      <c r="D10" s="269">
        <v>60</v>
      </c>
      <c r="E10" s="274">
        <v>60</v>
      </c>
      <c r="F10" s="269">
        <v>60</v>
      </c>
      <c r="G10" s="274">
        <v>60</v>
      </c>
      <c r="H10" s="269">
        <v>60</v>
      </c>
      <c r="J10" s="261" t="s">
        <v>132</v>
      </c>
      <c r="K10" s="265"/>
      <c r="L10" s="274">
        <f>DEPRECIACION!F15</f>
        <v>3177.18</v>
      </c>
      <c r="M10" s="269">
        <f>L10</f>
        <v>3177.18</v>
      </c>
      <c r="N10" s="274">
        <f>M10</f>
        <v>3177.18</v>
      </c>
      <c r="O10" s="269">
        <f>N10</f>
        <v>3177.18</v>
      </c>
      <c r="P10" s="380">
        <f>O10</f>
        <v>3177.18</v>
      </c>
    </row>
    <row r="11" spans="2:16">
      <c r="B11" s="411" t="s">
        <v>132</v>
      </c>
      <c r="C11" s="412"/>
      <c r="D11" s="286">
        <f>DEPRECIACION!F15</f>
        <v>3177.18</v>
      </c>
      <c r="E11" s="287">
        <f>D11</f>
        <v>3177.18</v>
      </c>
      <c r="F11" s="286">
        <f>E11</f>
        <v>3177.18</v>
      </c>
      <c r="G11" s="287">
        <f>F11</f>
        <v>3177.18</v>
      </c>
      <c r="H11" s="286">
        <f>G11</f>
        <v>3177.18</v>
      </c>
      <c r="J11" s="261" t="s">
        <v>158</v>
      </c>
      <c r="K11" s="265"/>
      <c r="L11" s="274">
        <v>1220.2315320000002</v>
      </c>
      <c r="M11" s="269">
        <v>976.18522560000019</v>
      </c>
      <c r="N11" s="274">
        <v>732.13891920000015</v>
      </c>
      <c r="O11" s="269">
        <v>488.0926128000001</v>
      </c>
      <c r="P11" s="380">
        <v>244.04630640000005</v>
      </c>
    </row>
    <row r="12" spans="2:16">
      <c r="B12" s="361" t="s">
        <v>158</v>
      </c>
      <c r="C12" s="364"/>
      <c r="D12" s="269">
        <f>AMORTIZACION!E12</f>
        <v>1226.8620533333335</v>
      </c>
      <c r="E12" s="274">
        <f>AMORTIZACION!E13</f>
        <v>981.4896426666669</v>
      </c>
      <c r="F12" s="269">
        <f>AMORTIZACION!E14</f>
        <v>736.11723200000017</v>
      </c>
      <c r="G12" s="274">
        <f>AMORTIZACION!E15</f>
        <v>490.7448213333335</v>
      </c>
      <c r="H12" s="269">
        <f>AMORTIZACION!E16</f>
        <v>245.37241066666681</v>
      </c>
      <c r="J12" s="259" t="s">
        <v>133</v>
      </c>
      <c r="K12" s="265"/>
      <c r="L12" s="272">
        <f>L2-L7-L9-L10-L11</f>
        <v>23641.960468000016</v>
      </c>
      <c r="M12" s="265">
        <f>M2-M7-M9-M10-M11</f>
        <v>30123.334374400023</v>
      </c>
      <c r="N12" s="272">
        <f>N2-N7-N9-N10-N11</f>
        <v>36916.574660800034</v>
      </c>
      <c r="O12" s="265">
        <f>O2-O7-O9-O10-O11</f>
        <v>44037.274646200043</v>
      </c>
      <c r="P12" s="378">
        <f>P2-P7-P9-P10-P11</f>
        <v>51501.807315550046</v>
      </c>
    </row>
    <row r="13" spans="2:16">
      <c r="B13" s="359" t="s">
        <v>133</v>
      </c>
      <c r="C13" s="364"/>
      <c r="D13" s="265">
        <f>D3-D8-D10-D11-D12</f>
        <v>11754.705946666672</v>
      </c>
      <c r="E13" s="272">
        <f>E3-E8-E10-E11-E12</f>
        <v>6356.7819573333327</v>
      </c>
      <c r="F13" s="265">
        <f>F3-F8-F10-F11-F12</f>
        <v>1241.0227879999993</v>
      </c>
      <c r="G13" s="272">
        <f>G3-G8-G10-G11-G12</f>
        <v>-3606.679802333339</v>
      </c>
      <c r="H13" s="265">
        <f>H3-H8-H10-H11-H12</f>
        <v>-8199.7286426166793</v>
      </c>
      <c r="J13" s="258" t="s">
        <v>134</v>
      </c>
      <c r="K13" s="265"/>
      <c r="L13" s="272">
        <f>L12*25%</f>
        <v>5910.4901170000039</v>
      </c>
      <c r="M13" s="265">
        <f>M12*25%</f>
        <v>7530.8335936000058</v>
      </c>
      <c r="N13" s="272">
        <f>N12*25%</f>
        <v>9229.1436652000084</v>
      </c>
      <c r="O13" s="265">
        <f>O12*25%</f>
        <v>11009.318661550011</v>
      </c>
      <c r="P13" s="378">
        <f>P12*25%</f>
        <v>12875.451828887512</v>
      </c>
    </row>
    <row r="14" spans="2:16">
      <c r="B14" s="358" t="s">
        <v>134</v>
      </c>
      <c r="C14" s="364"/>
      <c r="D14" s="265">
        <f>D13*25%</f>
        <v>2938.6764866666681</v>
      </c>
      <c r="E14" s="272">
        <f>E13*25%</f>
        <v>1589.1954893333332</v>
      </c>
      <c r="F14" s="265">
        <f>F13*25%</f>
        <v>310.25569699999983</v>
      </c>
      <c r="G14" s="272">
        <f>G13*25%</f>
        <v>-901.66995058333475</v>
      </c>
      <c r="H14" s="265">
        <f>H13*25%</f>
        <v>-2049.9321606541698</v>
      </c>
      <c r="J14" s="258" t="s">
        <v>135</v>
      </c>
      <c r="K14" s="265"/>
      <c r="L14" s="272">
        <f>L13*15%</f>
        <v>886.57351755000059</v>
      </c>
      <c r="M14" s="265">
        <f>M13*15%</f>
        <v>1129.6250390400007</v>
      </c>
      <c r="N14" s="272">
        <f>N13*15%</f>
        <v>1384.3715497800013</v>
      </c>
      <c r="O14" s="265">
        <f>O13*15%</f>
        <v>1651.3977992325015</v>
      </c>
      <c r="P14" s="378">
        <f>P13*15%</f>
        <v>1931.3177743331266</v>
      </c>
    </row>
    <row r="15" spans="2:16">
      <c r="B15" s="358" t="s">
        <v>135</v>
      </c>
      <c r="C15" s="364"/>
      <c r="D15" s="265">
        <f>D14*15%</f>
        <v>440.80147300000021</v>
      </c>
      <c r="E15" s="272">
        <f>E14*15%</f>
        <v>238.37932339999998</v>
      </c>
      <c r="F15" s="265">
        <f>F14*15%</f>
        <v>46.538354549999973</v>
      </c>
      <c r="G15" s="272">
        <f>G14*15%</f>
        <v>-135.25049258750022</v>
      </c>
      <c r="H15" s="265">
        <f>H14*15%</f>
        <v>-307.48982409812544</v>
      </c>
      <c r="J15" s="260" t="s">
        <v>136</v>
      </c>
      <c r="K15" s="266"/>
      <c r="L15" s="275">
        <f>L12-L13-L14</f>
        <v>16844.89683345001</v>
      </c>
      <c r="M15" s="266">
        <f>M12-M13-M14</f>
        <v>21462.875741760014</v>
      </c>
      <c r="N15" s="275">
        <f>N12-N13-N14</f>
        <v>26303.059445820025</v>
      </c>
      <c r="O15" s="266">
        <f>O12-O13-O14</f>
        <v>31376.558185417533</v>
      </c>
      <c r="P15" s="381">
        <f>P12-P13-P14</f>
        <v>36695.037712329409</v>
      </c>
    </row>
    <row r="16" spans="2:16">
      <c r="B16" s="360" t="s">
        <v>136</v>
      </c>
      <c r="C16" s="365"/>
      <c r="D16" s="266">
        <f>D13-D14-D15</f>
        <v>8375.2279870000057</v>
      </c>
      <c r="E16" s="275">
        <f>E13-E14-E15</f>
        <v>4529.2071445999991</v>
      </c>
      <c r="F16" s="266">
        <f>F13-F14-F15</f>
        <v>884.22873644999947</v>
      </c>
      <c r="G16" s="275">
        <f>G13-G14-G15</f>
        <v>-2569.7593591625041</v>
      </c>
      <c r="H16" s="266">
        <f>H13-H14-H15</f>
        <v>-5842.3066578643839</v>
      </c>
      <c r="J16" s="259"/>
      <c r="K16" s="265"/>
      <c r="L16" s="272"/>
      <c r="M16" s="265"/>
      <c r="N16" s="272"/>
      <c r="O16" s="265"/>
      <c r="P16" s="378"/>
    </row>
    <row r="17" spans="2:16">
      <c r="B17" s="359"/>
      <c r="C17" s="364"/>
      <c r="D17" s="265"/>
      <c r="E17" s="272"/>
      <c r="F17" s="265"/>
      <c r="G17" s="272"/>
      <c r="H17" s="265"/>
      <c r="J17" s="259" t="s">
        <v>137</v>
      </c>
      <c r="K17" s="265"/>
      <c r="L17" s="272">
        <f>L15+L10</f>
        <v>20022.07683345001</v>
      </c>
      <c r="M17" s="265">
        <f>M15+M10</f>
        <v>24640.055741760014</v>
      </c>
      <c r="N17" s="272">
        <f>N15+N10</f>
        <v>29480.239445820025</v>
      </c>
      <c r="O17" s="265">
        <f>O15+O10</f>
        <v>34553.738185417533</v>
      </c>
      <c r="P17" s="378">
        <f>P15+P10</f>
        <v>39872.21771232941</v>
      </c>
    </row>
    <row r="18" spans="2:16">
      <c r="B18" s="359" t="s">
        <v>137</v>
      </c>
      <c r="C18" s="364"/>
      <c r="D18" s="265">
        <f>D16+D11</f>
        <v>11552.407987000006</v>
      </c>
      <c r="E18" s="272">
        <f>E16+E11</f>
        <v>7706.3871445999994</v>
      </c>
      <c r="F18" s="265">
        <f>F16+F11</f>
        <v>4061.4087364499992</v>
      </c>
      <c r="G18" s="272">
        <f>G16+G11</f>
        <v>607.42064083749574</v>
      </c>
      <c r="H18" s="265">
        <f>H16+H11</f>
        <v>-2665.126657864384</v>
      </c>
      <c r="J18" s="259" t="s">
        <v>138</v>
      </c>
      <c r="K18" s="265"/>
      <c r="L18" s="272">
        <v>60</v>
      </c>
      <c r="M18" s="265">
        <v>60</v>
      </c>
      <c r="N18" s="272">
        <v>60</v>
      </c>
      <c r="O18" s="265">
        <v>60</v>
      </c>
      <c r="P18" s="378">
        <v>60</v>
      </c>
    </row>
    <row r="19" spans="2:16">
      <c r="B19" s="359" t="s">
        <v>138</v>
      </c>
      <c r="C19" s="364"/>
      <c r="D19" s="265">
        <v>60</v>
      </c>
      <c r="E19" s="272">
        <v>60</v>
      </c>
      <c r="F19" s="265">
        <v>60</v>
      </c>
      <c r="G19" s="272">
        <v>60</v>
      </c>
      <c r="H19" s="265">
        <v>60</v>
      </c>
      <c r="J19" s="258" t="s">
        <v>139</v>
      </c>
      <c r="K19" s="265">
        <v>-40708</v>
      </c>
      <c r="L19" s="272"/>
      <c r="M19" s="265"/>
      <c r="N19" s="272"/>
      <c r="O19" s="265"/>
      <c r="P19" s="378"/>
    </row>
    <row r="20" spans="2:16">
      <c r="B20" s="358" t="s">
        <v>139</v>
      </c>
      <c r="C20" s="364">
        <f>-('INVERSION INICIAL'!E17+'INVERSION INICIAL'!E18)</f>
        <v>-40708</v>
      </c>
      <c r="D20" s="265"/>
      <c r="E20" s="272"/>
      <c r="F20" s="265"/>
      <c r="G20" s="272"/>
      <c r="H20" s="265"/>
      <c r="J20" s="259" t="s">
        <v>140</v>
      </c>
      <c r="K20" s="265">
        <f>C21</f>
        <v>12268.620533333335</v>
      </c>
      <c r="L20" s="12"/>
      <c r="M20" s="116"/>
      <c r="N20" s="12"/>
      <c r="O20" s="116"/>
      <c r="P20" s="382"/>
    </row>
    <row r="21" spans="2:16">
      <c r="B21" s="359" t="s">
        <v>140</v>
      </c>
      <c r="C21" s="364">
        <f>AMORTIZACION!E6</f>
        <v>12268.620533333335</v>
      </c>
      <c r="D21" s="265"/>
      <c r="E21" s="272"/>
      <c r="F21" s="265"/>
      <c r="G21" s="272"/>
      <c r="H21" s="265"/>
      <c r="J21" s="259" t="s">
        <v>141</v>
      </c>
      <c r="K21" s="265"/>
      <c r="L21" s="272">
        <f>D22</f>
        <v>-2453.724106666667</v>
      </c>
      <c r="M21" s="265">
        <f>E22</f>
        <v>-2453.724106666667</v>
      </c>
      <c r="N21" s="272">
        <f>F22</f>
        <v>-2453.724106666667</v>
      </c>
      <c r="O21" s="265">
        <f>G22</f>
        <v>-2453.724106666667</v>
      </c>
      <c r="P21" s="378">
        <f>H22</f>
        <v>-2453.724106666667</v>
      </c>
    </row>
    <row r="22" spans="2:16">
      <c r="B22" s="359" t="s">
        <v>141</v>
      </c>
      <c r="C22" s="364"/>
      <c r="D22" s="265">
        <f>'FLJO DE CJA'!D22</f>
        <v>-2453.724106666667</v>
      </c>
      <c r="E22" s="272">
        <f>'FLJO DE CJA'!E22</f>
        <v>-2453.724106666667</v>
      </c>
      <c r="F22" s="265">
        <f>'FLJO DE CJA'!F22</f>
        <v>-2453.724106666667</v>
      </c>
      <c r="G22" s="272">
        <f>'FLJO DE CJA'!G22</f>
        <v>-2453.724106666667</v>
      </c>
      <c r="H22" s="265">
        <f>'FLJO DE CJA'!H22</f>
        <v>-2453.724106666667</v>
      </c>
      <c r="J22" s="259" t="s">
        <v>142</v>
      </c>
      <c r="K22" s="265">
        <f>C23</f>
        <v>-20335.102666666666</v>
      </c>
      <c r="L22" s="272"/>
      <c r="M22" s="265"/>
      <c r="N22" s="272"/>
      <c r="O22" s="265"/>
      <c r="P22" s="378"/>
    </row>
    <row r="23" spans="2:16">
      <c r="B23" s="359" t="s">
        <v>142</v>
      </c>
      <c r="C23" s="364">
        <f>'Capital de Trabajo'!E12</f>
        <v>-20335.102666666666</v>
      </c>
      <c r="D23" s="265"/>
      <c r="E23" s="272"/>
      <c r="F23" s="265"/>
      <c r="G23" s="272"/>
      <c r="H23" s="265"/>
      <c r="J23" s="258" t="s">
        <v>143</v>
      </c>
      <c r="K23" s="265"/>
      <c r="L23" s="272"/>
      <c r="M23" s="265"/>
      <c r="N23" s="272"/>
      <c r="O23" s="265"/>
      <c r="P23" s="378">
        <f>-(K22)</f>
        <v>20335.102666666666</v>
      </c>
    </row>
    <row r="24" spans="2:16">
      <c r="B24" s="358" t="s">
        <v>143</v>
      </c>
      <c r="C24" s="364"/>
      <c r="D24" s="265"/>
      <c r="E24" s="272"/>
      <c r="F24" s="265"/>
      <c r="G24" s="272"/>
      <c r="H24" s="265">
        <f>-(C23)</f>
        <v>20335.102666666666</v>
      </c>
      <c r="J24" s="259" t="s">
        <v>56</v>
      </c>
      <c r="K24" s="265"/>
      <c r="L24" s="272"/>
      <c r="M24" s="265"/>
      <c r="N24" s="272"/>
      <c r="O24" s="265"/>
      <c r="P24" s="378">
        <v>3150.8</v>
      </c>
    </row>
    <row r="25" spans="2:16" ht="15.75" thickBot="1">
      <c r="B25" s="359" t="s">
        <v>56</v>
      </c>
      <c r="C25" s="364"/>
      <c r="D25" s="265"/>
      <c r="E25" s="272"/>
      <c r="F25" s="265"/>
      <c r="G25" s="272"/>
      <c r="H25" s="265">
        <f>DEPRECIACION!G15</f>
        <v>3150.8</v>
      </c>
      <c r="J25" s="373"/>
      <c r="K25" s="278"/>
      <c r="L25" s="372"/>
      <c r="M25" s="278"/>
      <c r="N25" s="372"/>
      <c r="O25" s="278"/>
      <c r="P25" s="383"/>
    </row>
    <row r="26" spans="2:16" ht="17.25" thickBot="1">
      <c r="B26" s="362"/>
      <c r="C26" s="366"/>
      <c r="D26" s="278"/>
      <c r="E26" s="372"/>
      <c r="F26" s="278"/>
      <c r="G26" s="372"/>
      <c r="H26" s="278"/>
      <c r="J26" s="58" t="s">
        <v>144</v>
      </c>
      <c r="K26" s="63">
        <f>SUM(K19:K24)</f>
        <v>-48774.482133333331</v>
      </c>
      <c r="L26" s="64">
        <f>SUM(L17:L24)</f>
        <v>17628.352726783341</v>
      </c>
      <c r="M26" s="63">
        <f>SUM(M17:M24)</f>
        <v>22246.331635093346</v>
      </c>
      <c r="N26" s="64">
        <f>SUM(N17:N24)</f>
        <v>27086.515339153357</v>
      </c>
      <c r="O26" s="63">
        <f>SUM(O17:O24)</f>
        <v>32160.014078750864</v>
      </c>
      <c r="P26" s="65">
        <f>SUM(P17:P24)</f>
        <v>60964.39627232941</v>
      </c>
    </row>
    <row r="27" spans="2:16" ht="17.25" thickBot="1">
      <c r="B27" s="58" t="s">
        <v>144</v>
      </c>
      <c r="C27" s="367">
        <f>SUM(C20:C25)</f>
        <v>-48774.482133333331</v>
      </c>
      <c r="D27" s="63">
        <f>SUM(D18:D25)</f>
        <v>9158.6838803333394</v>
      </c>
      <c r="E27" s="64">
        <f>SUM(E18:E25)</f>
        <v>5312.6630379333328</v>
      </c>
      <c r="F27" s="63">
        <f>SUM(F18:F25)</f>
        <v>1667.6846297833322</v>
      </c>
      <c r="G27" s="64">
        <f>SUM(G18:G25)</f>
        <v>-1786.3034658291713</v>
      </c>
      <c r="H27" s="63">
        <f>SUM(H18:H25)</f>
        <v>18427.051902135616</v>
      </c>
    </row>
    <row r="32" spans="2:16" ht="16.5">
      <c r="J32" s="20"/>
      <c r="K32" s="21"/>
      <c r="L32" s="23"/>
      <c r="M32" s="23"/>
      <c r="N32" s="23"/>
      <c r="O32" s="23"/>
      <c r="P32" s="23"/>
    </row>
    <row r="33" spans="2:17" ht="17.25" thickBot="1">
      <c r="B33" s="20"/>
      <c r="C33" s="21"/>
      <c r="D33" s="23"/>
      <c r="E33" s="23"/>
      <c r="F33" s="23"/>
      <c r="G33" s="23"/>
      <c r="H33" s="23"/>
      <c r="J33" s="20"/>
      <c r="K33" s="21"/>
      <c r="L33" s="21"/>
      <c r="M33" s="21"/>
      <c r="N33" s="21"/>
      <c r="O33" s="21"/>
      <c r="P33" s="21"/>
    </row>
    <row r="34" spans="2:17" ht="15.75" thickBot="1">
      <c r="B34" s="20"/>
      <c r="C34" s="21"/>
      <c r="D34" s="21"/>
      <c r="E34" s="21"/>
      <c r="F34" s="21"/>
      <c r="G34" s="21"/>
      <c r="H34" s="21"/>
      <c r="J34" s="20"/>
      <c r="K34" s="406" t="s">
        <v>57</v>
      </c>
      <c r="L34" s="400">
        <f>NPV(20.89%,L26:P26)+K26</f>
        <v>35030.383795745358</v>
      </c>
      <c r="M34" s="43"/>
      <c r="N34" s="21"/>
      <c r="O34" s="21"/>
      <c r="P34" s="21"/>
    </row>
    <row r="35" spans="2:17" ht="15.75" thickBot="1">
      <c r="B35" s="20"/>
      <c r="C35" s="66" t="s">
        <v>57</v>
      </c>
      <c r="D35" s="25">
        <f>NPV(20.89%,D27:H27)+C27</f>
        <v>-30318.824826180266</v>
      </c>
      <c r="E35" s="21"/>
      <c r="F35" s="21"/>
      <c r="G35" s="21"/>
      <c r="H35" s="21"/>
      <c r="J35" s="20"/>
      <c r="K35" s="407" t="s">
        <v>58</v>
      </c>
      <c r="L35" s="402">
        <f>IRR(K26:P26)</f>
        <v>0.44615136344587547</v>
      </c>
      <c r="M35" s="28"/>
      <c r="N35" s="28"/>
      <c r="O35" s="20"/>
      <c r="P35" s="20"/>
    </row>
    <row r="36" spans="2:17">
      <c r="B36" s="20"/>
      <c r="C36" s="67" t="s">
        <v>58</v>
      </c>
      <c r="D36" s="41">
        <f>IRR(C27:H27)</f>
        <v>-0.10638253266647596</v>
      </c>
      <c r="E36" s="28"/>
      <c r="F36" s="28"/>
      <c r="G36" s="20"/>
      <c r="H36" s="20"/>
      <c r="J36" s="20"/>
      <c r="K36" s="20"/>
      <c r="L36" s="20"/>
      <c r="M36" s="20"/>
      <c r="N36" s="20"/>
      <c r="O36" s="20"/>
      <c r="P36" s="20"/>
    </row>
    <row r="37" spans="2:17" ht="15.75" thickBot="1">
      <c r="B37" s="20"/>
      <c r="C37" s="20"/>
      <c r="D37" s="20"/>
      <c r="E37" s="20"/>
      <c r="F37" s="20"/>
      <c r="G37" s="20"/>
      <c r="H37" s="20"/>
      <c r="J37" s="20"/>
      <c r="K37" s="20"/>
      <c r="L37" s="20"/>
      <c r="M37" s="20"/>
      <c r="N37" s="20"/>
      <c r="O37" s="20"/>
      <c r="P37" s="20"/>
    </row>
    <row r="38" spans="2:17" ht="15.75" thickBot="1">
      <c r="B38" s="20"/>
      <c r="C38" s="20"/>
      <c r="D38" s="20"/>
      <c r="E38" s="20"/>
      <c r="F38" s="20"/>
      <c r="G38" s="20"/>
      <c r="H38" s="20"/>
      <c r="J38" s="257" t="s">
        <v>145</v>
      </c>
      <c r="K38" s="264">
        <f t="shared" ref="K38:P38" si="2">K26</f>
        <v>-48774.482133333331</v>
      </c>
      <c r="L38" s="393">
        <f t="shared" si="2"/>
        <v>17628.352726783341</v>
      </c>
      <c r="M38" s="264">
        <f t="shared" si="2"/>
        <v>22246.331635093346</v>
      </c>
      <c r="N38" s="393">
        <f t="shared" si="2"/>
        <v>27086.515339153357</v>
      </c>
      <c r="O38" s="264">
        <f t="shared" si="2"/>
        <v>32160.014078750864</v>
      </c>
      <c r="P38" s="290">
        <f t="shared" si="2"/>
        <v>60964.39627232941</v>
      </c>
    </row>
    <row r="39" spans="2:17">
      <c r="B39" s="257" t="s">
        <v>145</v>
      </c>
      <c r="C39" s="264">
        <f t="shared" ref="C39:H39" si="3">C27</f>
        <v>-48774.482133333331</v>
      </c>
      <c r="D39" s="393">
        <f t="shared" si="3"/>
        <v>9158.6838803333394</v>
      </c>
      <c r="E39" s="264">
        <f t="shared" si="3"/>
        <v>5312.6630379333328</v>
      </c>
      <c r="F39" s="393">
        <f t="shared" si="3"/>
        <v>1667.6846297833322</v>
      </c>
      <c r="G39" s="264">
        <f t="shared" si="3"/>
        <v>-1786.3034658291713</v>
      </c>
      <c r="H39" s="290">
        <f t="shared" si="3"/>
        <v>18427.051902135616</v>
      </c>
      <c r="J39" s="259" t="s">
        <v>146</v>
      </c>
      <c r="K39" s="265">
        <f>K38</f>
        <v>-48774.482133333331</v>
      </c>
      <c r="L39" s="272">
        <f>L38/(1+$D$63)^1</f>
        <v>17628.352726783341</v>
      </c>
      <c r="M39" s="265">
        <f>M38/(1+$D$63)^1</f>
        <v>22246.331635093346</v>
      </c>
      <c r="N39" s="272">
        <f>N38/(1+$D$63)^1</f>
        <v>27086.515339153357</v>
      </c>
      <c r="O39" s="265">
        <f>O38/(1+$D$63)^1</f>
        <v>32160.014078750864</v>
      </c>
      <c r="P39" s="378">
        <f>P38/(1+$D$63)^1</f>
        <v>60964.39627232941</v>
      </c>
    </row>
    <row r="40" spans="2:17" ht="15.75" thickBot="1">
      <c r="B40" s="259" t="s">
        <v>146</v>
      </c>
      <c r="C40" s="265">
        <f>C39</f>
        <v>-48774.482133333331</v>
      </c>
      <c r="D40" s="272">
        <f>D39/(1+$D$63)^1</f>
        <v>9158.6838803333394</v>
      </c>
      <c r="E40" s="265">
        <f>E39/(1+$D$63)^1</f>
        <v>5312.6630379333328</v>
      </c>
      <c r="F40" s="272">
        <f>F39/(1+$D$63)^1</f>
        <v>1667.6846297833322</v>
      </c>
      <c r="G40" s="265">
        <f>G39/(1+$D$63)^1</f>
        <v>-1786.3034658291713</v>
      </c>
      <c r="H40" s="378">
        <f>H39/(1+$D$63)^1</f>
        <v>18427.051902135616</v>
      </c>
      <c r="J40" s="373" t="s">
        <v>147</v>
      </c>
      <c r="K40" s="397">
        <f>K39</f>
        <v>-48774.482133333331</v>
      </c>
      <c r="L40" s="395">
        <f>K40+L39</f>
        <v>-31146.12940654999</v>
      </c>
      <c r="M40" s="278">
        <f>L40+M39</f>
        <v>-8899.7977714566441</v>
      </c>
      <c r="N40" s="372">
        <f>M40+N39</f>
        <v>18186.717567696713</v>
      </c>
      <c r="O40" s="278">
        <f>N40+O39</f>
        <v>50346.731646447573</v>
      </c>
      <c r="P40" s="396">
        <f>O40+P39</f>
        <v>111311.12791877698</v>
      </c>
    </row>
    <row r="41" spans="2:17" ht="15.75" thickBot="1">
      <c r="B41" s="373" t="s">
        <v>147</v>
      </c>
      <c r="C41" s="392">
        <f>C40</f>
        <v>-48774.482133333331</v>
      </c>
      <c r="D41" s="394">
        <f>C41+D40</f>
        <v>-39615.798252999994</v>
      </c>
      <c r="E41" s="392">
        <f>D41+E40</f>
        <v>-34303.135215066664</v>
      </c>
      <c r="F41" s="395">
        <f>E41+F40</f>
        <v>-32635.450585283332</v>
      </c>
      <c r="G41" s="397">
        <f>F41+G40</f>
        <v>-34421.754051112504</v>
      </c>
      <c r="H41" s="396">
        <f>G41+H40</f>
        <v>-15994.702148976889</v>
      </c>
      <c r="J41" s="20"/>
      <c r="K41" s="20"/>
      <c r="L41" s="20"/>
      <c r="M41" s="20"/>
      <c r="N41" s="20"/>
      <c r="O41" s="20"/>
      <c r="P41" s="20"/>
    </row>
    <row r="42" spans="2:17" ht="15.75" thickBot="1">
      <c r="B42" s="20"/>
      <c r="C42" s="20"/>
      <c r="D42" s="20"/>
      <c r="E42" s="20"/>
      <c r="F42" s="20"/>
      <c r="G42" s="20"/>
      <c r="H42" s="20"/>
      <c r="J42" s="20"/>
      <c r="K42" s="20"/>
      <c r="L42" s="20"/>
      <c r="M42" s="20"/>
      <c r="N42" s="20"/>
      <c r="O42" s="68" t="s">
        <v>148</v>
      </c>
      <c r="P42" s="69">
        <f>6+(-K40/L40)</f>
        <v>4.4340114466012555</v>
      </c>
      <c r="Q42" t="s">
        <v>149</v>
      </c>
    </row>
    <row r="43" spans="2:17" ht="15.75" thickBot="1">
      <c r="B43" s="20"/>
      <c r="C43" s="20"/>
      <c r="D43" s="20"/>
      <c r="E43" s="20"/>
      <c r="F43" s="20"/>
      <c r="G43" s="58" t="s">
        <v>148</v>
      </c>
      <c r="H43" s="59">
        <f>6+(-F41/G41)</f>
        <v>5.0518946089492331</v>
      </c>
      <c r="L43" s="5"/>
      <c r="M43" s="5"/>
      <c r="N43" s="5"/>
      <c r="O43" s="5"/>
      <c r="P43" s="5"/>
    </row>
    <row r="44" spans="2:17">
      <c r="D44" s="5"/>
      <c r="E44" s="5"/>
      <c r="F44" s="5"/>
      <c r="G44" s="5"/>
      <c r="H44" s="5"/>
      <c r="L44" s="5"/>
      <c r="M44" s="5"/>
      <c r="N44" s="5"/>
      <c r="O44" s="5"/>
      <c r="P44" s="5"/>
    </row>
    <row r="45" spans="2:17">
      <c r="D45" s="5"/>
      <c r="E45" s="5"/>
      <c r="F45" s="5"/>
      <c r="G45" s="5"/>
      <c r="H45" s="5"/>
      <c r="L45" s="5"/>
      <c r="M45" s="5"/>
      <c r="N45" s="5"/>
      <c r="O45" s="5"/>
      <c r="P45" s="5"/>
    </row>
    <row r="46" spans="2:17">
      <c r="D46" s="5"/>
      <c r="E46" s="5"/>
      <c r="F46" s="5"/>
      <c r="G46" s="5"/>
      <c r="H46" s="5"/>
      <c r="L46" s="5"/>
      <c r="M46" s="5"/>
      <c r="N46" s="5"/>
      <c r="O46" s="5"/>
      <c r="P46" s="5"/>
    </row>
    <row r="47" spans="2:17">
      <c r="D47" s="5"/>
      <c r="E47" s="5"/>
      <c r="F47" s="5"/>
      <c r="G47" s="5"/>
      <c r="H47" s="5"/>
      <c r="L47" s="5"/>
      <c r="M47" s="5"/>
      <c r="N47" s="5"/>
      <c r="O47" s="5"/>
      <c r="P47" s="5"/>
    </row>
    <row r="48" spans="2:17">
      <c r="D48" s="5"/>
      <c r="E48" s="5"/>
      <c r="F48" s="5"/>
      <c r="G48" s="5"/>
      <c r="H48" s="5"/>
      <c r="L48" s="5"/>
      <c r="M48" s="5"/>
      <c r="N48" s="5"/>
      <c r="O48" s="5"/>
      <c r="P48" s="5"/>
    </row>
    <row r="49" spans="1:16">
      <c r="D49" s="5"/>
      <c r="E49" s="5"/>
      <c r="F49" s="5"/>
      <c r="G49" s="5"/>
      <c r="H49" s="5"/>
      <c r="L49" s="5"/>
      <c r="M49" s="5"/>
      <c r="N49" s="5"/>
      <c r="O49" s="5"/>
      <c r="P49" s="5"/>
    </row>
    <row r="50" spans="1:16">
      <c r="D50" s="5"/>
      <c r="E50" s="5"/>
      <c r="F50" s="5"/>
      <c r="G50" s="5"/>
      <c r="H50" s="5"/>
      <c r="L50" s="5"/>
      <c r="M50" s="5"/>
      <c r="N50" s="5"/>
      <c r="O50" s="5"/>
      <c r="P50" s="5"/>
    </row>
    <row r="51" spans="1:16">
      <c r="D51" s="5"/>
      <c r="E51" s="5"/>
      <c r="F51" s="5"/>
      <c r="G51" s="5"/>
      <c r="H51" s="5"/>
      <c r="L51" s="5"/>
      <c r="M51" s="5"/>
      <c r="N51" s="5"/>
      <c r="O51" s="5"/>
      <c r="P51" s="5"/>
    </row>
    <row r="52" spans="1:16" ht="15.75" thickBot="1">
      <c r="D52" s="5"/>
      <c r="E52" s="5"/>
      <c r="F52" s="5"/>
      <c r="G52" s="5"/>
      <c r="H52" s="5"/>
      <c r="L52" s="5"/>
      <c r="M52" s="5"/>
      <c r="N52" s="5"/>
      <c r="O52" s="5"/>
      <c r="P52" s="5"/>
    </row>
    <row r="53" spans="1:16" ht="16.5" thickBot="1">
      <c r="D53" s="5"/>
      <c r="E53" s="5"/>
      <c r="F53" s="5"/>
      <c r="G53" s="5"/>
      <c r="H53" s="5"/>
      <c r="J53" s="492" t="s">
        <v>150</v>
      </c>
      <c r="K53" s="491"/>
      <c r="L53" s="20"/>
      <c r="M53" s="20"/>
      <c r="N53" s="20"/>
      <c r="O53" s="20"/>
      <c r="P53" s="5"/>
    </row>
    <row r="54" spans="1:16" ht="16.5" thickBot="1">
      <c r="A54" s="20"/>
      <c r="B54" s="493" t="s">
        <v>150</v>
      </c>
      <c r="C54" s="494"/>
      <c r="D54" s="20"/>
      <c r="E54" s="20"/>
      <c r="F54" s="20"/>
      <c r="G54" s="20"/>
      <c r="H54" s="5"/>
      <c r="J54" s="384">
        <f>(K56+(K58*(K57-K56)))+K59</f>
        <v>0.20894000000000001</v>
      </c>
      <c r="K54" s="299">
        <f>(K56+(K58*(K57-K56)))+L59</f>
        <v>0.14888000000000001</v>
      </c>
      <c r="L54" s="20"/>
      <c r="M54" s="20"/>
      <c r="N54" s="38" t="s">
        <v>152</v>
      </c>
      <c r="O54" s="404">
        <v>0.8</v>
      </c>
      <c r="P54" s="5"/>
    </row>
    <row r="55" spans="1:16" ht="15.75" thickBot="1">
      <c r="A55" s="27" t="s">
        <v>151</v>
      </c>
      <c r="B55" s="386">
        <f>(C57+(C59*(C58-C57)))+C60</f>
        <v>0.20474000000000001</v>
      </c>
      <c r="C55" s="387">
        <f>(C57+(C59*(C58-C57)))+D60</f>
        <v>0.12314</v>
      </c>
      <c r="D55" s="20"/>
      <c r="E55" s="20"/>
      <c r="F55" s="389" t="s">
        <v>152</v>
      </c>
      <c r="G55" s="390">
        <v>0.8</v>
      </c>
      <c r="H55" s="5"/>
      <c r="J55" s="258" t="s">
        <v>153</v>
      </c>
      <c r="K55" s="385">
        <v>0.1</v>
      </c>
      <c r="L55" s="20"/>
      <c r="M55" s="20"/>
      <c r="N55" s="42" t="s">
        <v>154</v>
      </c>
      <c r="O55" s="405">
        <v>0.2</v>
      </c>
      <c r="P55" s="5"/>
    </row>
    <row r="56" spans="1:16" ht="15.75" thickBot="1">
      <c r="A56" s="20"/>
      <c r="B56" s="258" t="s">
        <v>153</v>
      </c>
      <c r="C56" s="385">
        <v>0.1</v>
      </c>
      <c r="D56" s="20"/>
      <c r="E56" s="20"/>
      <c r="F56" s="40" t="s">
        <v>154</v>
      </c>
      <c r="G56" s="391">
        <v>0.2</v>
      </c>
      <c r="H56" s="5"/>
      <c r="J56" s="258" t="s">
        <v>51</v>
      </c>
      <c r="K56" s="223">
        <v>3.8600000000000002E-2</v>
      </c>
      <c r="L56" s="20"/>
      <c r="M56" s="20"/>
      <c r="N56" s="20"/>
      <c r="O56" s="20"/>
      <c r="P56" s="5"/>
    </row>
    <row r="57" spans="1:16">
      <c r="A57" s="20"/>
      <c r="B57" s="258" t="s">
        <v>51</v>
      </c>
      <c r="C57" s="223">
        <v>3.8600000000000002E-2</v>
      </c>
      <c r="D57" s="20"/>
      <c r="E57" s="20"/>
      <c r="F57" s="20"/>
      <c r="G57" s="20"/>
      <c r="H57" s="5"/>
      <c r="J57" s="258" t="s">
        <v>53</v>
      </c>
      <c r="K57" s="300">
        <v>0.17949999999999999</v>
      </c>
      <c r="L57" s="20"/>
      <c r="M57" s="20"/>
      <c r="N57" s="20"/>
      <c r="O57" s="20"/>
      <c r="P57" s="5"/>
    </row>
    <row r="58" spans="1:16" ht="15.75" thickBot="1">
      <c r="A58" s="20"/>
      <c r="B58" s="258" t="s">
        <v>53</v>
      </c>
      <c r="C58" s="300">
        <v>0.17949999999999999</v>
      </c>
      <c r="D58" s="20"/>
      <c r="E58" s="20"/>
      <c r="F58" s="20"/>
      <c r="G58" s="20"/>
      <c r="H58" s="5"/>
      <c r="J58" s="258" t="s">
        <v>155</v>
      </c>
      <c r="K58" s="301">
        <v>0.6</v>
      </c>
      <c r="L58" s="20"/>
      <c r="M58" s="20"/>
      <c r="N58" s="20"/>
      <c r="O58" s="20"/>
      <c r="P58" s="5"/>
    </row>
    <row r="59" spans="1:16" ht="15.75" thickBot="1">
      <c r="A59" s="20"/>
      <c r="B59" s="258" t="s">
        <v>155</v>
      </c>
      <c r="C59" s="301">
        <v>0.6</v>
      </c>
      <c r="D59" s="20"/>
      <c r="E59" s="20"/>
      <c r="F59" s="20"/>
      <c r="G59" s="20"/>
      <c r="H59" s="5"/>
      <c r="J59" s="297" t="s">
        <v>156</v>
      </c>
      <c r="K59" s="302">
        <v>8.5800000000000001E-2</v>
      </c>
      <c r="L59" s="388">
        <f>K59*30%</f>
        <v>2.5739999999999999E-2</v>
      </c>
      <c r="M59" s="20"/>
      <c r="N59" s="20"/>
      <c r="O59" s="20"/>
      <c r="P59" s="5"/>
    </row>
    <row r="60" spans="1:16" ht="15.75" thickBot="1">
      <c r="A60" s="20"/>
      <c r="B60" s="297" t="s">
        <v>156</v>
      </c>
      <c r="C60" s="388">
        <v>8.1600000000000006E-2</v>
      </c>
      <c r="D60" s="293"/>
      <c r="E60" s="20"/>
      <c r="F60" s="20"/>
      <c r="G60" s="20"/>
      <c r="H60" s="5"/>
      <c r="J60" s="20"/>
      <c r="K60" s="20"/>
      <c r="L60" s="20"/>
      <c r="M60" s="20"/>
      <c r="N60" s="20"/>
      <c r="O60" s="20"/>
      <c r="P60" s="5"/>
    </row>
    <row r="61" spans="1:16" ht="15.75" thickBot="1">
      <c r="A61" s="20"/>
      <c r="B61" s="20"/>
      <c r="C61" s="20"/>
      <c r="D61" s="20"/>
      <c r="E61" s="20"/>
      <c r="F61" s="20"/>
      <c r="G61" s="20"/>
      <c r="H61" s="5"/>
      <c r="J61" s="40" t="s">
        <v>157</v>
      </c>
      <c r="K61" s="304">
        <f>(O54*J54)+(O55*K55)</f>
        <v>0.18715200000000004</v>
      </c>
      <c r="L61" s="403">
        <f>K61*30%</f>
        <v>5.6145600000000011E-2</v>
      </c>
      <c r="M61" s="20"/>
      <c r="N61" s="20"/>
      <c r="O61" s="20"/>
      <c r="P61" s="5"/>
    </row>
    <row r="62" spans="1:16" ht="15.75" thickBot="1">
      <c r="A62" s="20"/>
      <c r="B62" s="39" t="s">
        <v>157</v>
      </c>
      <c r="C62" s="303">
        <f>(G55*B55)+(G56*C56)</f>
        <v>0.18379200000000001</v>
      </c>
      <c r="D62" s="398"/>
      <c r="E62" s="20"/>
      <c r="F62" s="20"/>
      <c r="G62" s="20"/>
      <c r="H62" s="5"/>
    </row>
    <row r="67" spans="1:7" ht="15.75" thickBot="1"/>
    <row r="68" spans="1:7" ht="15.75" thickBot="1">
      <c r="A68" s="20"/>
      <c r="B68" s="263">
        <v>0</v>
      </c>
      <c r="C68" s="374">
        <v>1</v>
      </c>
      <c r="D68" s="263">
        <v>2</v>
      </c>
      <c r="E68" s="374">
        <v>3</v>
      </c>
      <c r="F68" s="263">
        <v>4</v>
      </c>
      <c r="G68" s="263">
        <v>5</v>
      </c>
    </row>
    <row r="69" spans="1:7">
      <c r="A69" s="257" t="s">
        <v>99</v>
      </c>
      <c r="B69" s="264"/>
      <c r="C69" s="376">
        <v>118806.24</v>
      </c>
      <c r="D69" s="375">
        <v>121182.36480000001</v>
      </c>
      <c r="E69" s="376">
        <v>123606.01209600001</v>
      </c>
      <c r="F69" s="375">
        <v>126078.13233792</v>
      </c>
      <c r="G69" s="375">
        <v>128599.69498467841</v>
      </c>
    </row>
    <row r="70" spans="1:7">
      <c r="A70" s="258"/>
      <c r="B70" s="265"/>
      <c r="C70" s="272"/>
      <c r="D70" s="265"/>
      <c r="E70" s="272"/>
      <c r="F70" s="265"/>
      <c r="G70" s="265"/>
    </row>
    <row r="71" spans="1:7">
      <c r="A71" s="259" t="s">
        <v>102</v>
      </c>
      <c r="B71" s="265"/>
      <c r="C71" s="272">
        <f>96647.18*1.05</f>
        <v>101479.53899999999</v>
      </c>
      <c r="D71" s="265">
        <f>C71</f>
        <v>101479.53899999999</v>
      </c>
      <c r="E71" s="272">
        <f>D71</f>
        <v>101479.53899999999</v>
      </c>
      <c r="F71" s="265">
        <f>E71</f>
        <v>101479.53899999999</v>
      </c>
      <c r="G71" s="265">
        <f>F71</f>
        <v>101479.53899999999</v>
      </c>
    </row>
    <row r="72" spans="1:7">
      <c r="A72" s="258"/>
      <c r="B72" s="265"/>
      <c r="C72" s="272"/>
      <c r="D72" s="265"/>
      <c r="E72" s="272"/>
      <c r="F72" s="265"/>
      <c r="G72" s="265"/>
    </row>
    <row r="73" spans="1:7">
      <c r="A73" s="258"/>
      <c r="B73" s="265"/>
      <c r="C73" s="272"/>
      <c r="D73" s="265"/>
      <c r="E73" s="272"/>
      <c r="F73" s="265"/>
      <c r="G73" s="265"/>
    </row>
    <row r="74" spans="1:7">
      <c r="A74" s="260" t="s">
        <v>129</v>
      </c>
      <c r="B74" s="266"/>
      <c r="C74" s="273">
        <f>C71</f>
        <v>101479.53899999999</v>
      </c>
      <c r="D74" s="277">
        <f>D71</f>
        <v>101479.53899999999</v>
      </c>
      <c r="E74" s="273">
        <f>E71</f>
        <v>101479.53899999999</v>
      </c>
      <c r="F74" s="277">
        <f>F71</f>
        <v>101479.53899999999</v>
      </c>
      <c r="G74" s="277">
        <f>G71</f>
        <v>101479.53899999999</v>
      </c>
    </row>
    <row r="75" spans="1:7">
      <c r="A75" s="259"/>
      <c r="B75" s="265"/>
      <c r="C75" s="274"/>
      <c r="D75" s="269"/>
      <c r="E75" s="274"/>
      <c r="F75" s="269"/>
      <c r="G75" s="269"/>
    </row>
    <row r="76" spans="1:7">
      <c r="A76" s="259" t="s">
        <v>130</v>
      </c>
      <c r="B76" s="265"/>
      <c r="C76" s="274">
        <v>60</v>
      </c>
      <c r="D76" s="269">
        <v>60</v>
      </c>
      <c r="E76" s="274">
        <v>60</v>
      </c>
      <c r="F76" s="269">
        <v>60</v>
      </c>
      <c r="G76" s="269">
        <v>60</v>
      </c>
    </row>
    <row r="77" spans="1:7">
      <c r="A77" s="261" t="s">
        <v>132</v>
      </c>
      <c r="B77" s="265"/>
      <c r="C77" s="274">
        <f>DEPRECIACION!F15</f>
        <v>3177.18</v>
      </c>
      <c r="D77" s="269">
        <f>C77</f>
        <v>3177.18</v>
      </c>
      <c r="E77" s="274">
        <f>D77</f>
        <v>3177.18</v>
      </c>
      <c r="F77" s="269">
        <f>E77</f>
        <v>3177.18</v>
      </c>
      <c r="G77" s="269">
        <f>F77</f>
        <v>3177.18</v>
      </c>
    </row>
    <row r="78" spans="1:7">
      <c r="A78" s="261" t="s">
        <v>158</v>
      </c>
      <c r="B78" s="265"/>
      <c r="C78" s="274">
        <v>1220.2315320000002</v>
      </c>
      <c r="D78" s="269">
        <v>976.18522560000019</v>
      </c>
      <c r="E78" s="274">
        <v>732.13891920000015</v>
      </c>
      <c r="F78" s="269">
        <v>488.0926128000001</v>
      </c>
      <c r="G78" s="269">
        <v>244.04630640000005</v>
      </c>
    </row>
    <row r="79" spans="1:7">
      <c r="A79" s="259" t="s">
        <v>133</v>
      </c>
      <c r="B79" s="265"/>
      <c r="C79" s="272">
        <f>C69-C74-C76-C77-C78</f>
        <v>12869.289468000015</v>
      </c>
      <c r="D79" s="265">
        <f>D69-D74-D76-D77-D78</f>
        <v>15489.46057440002</v>
      </c>
      <c r="E79" s="272">
        <f>E69-E74-E76-E77-E78</f>
        <v>18157.154176800017</v>
      </c>
      <c r="F79" s="265">
        <f>F69-F74-F76-F77-F78</f>
        <v>20873.320725120015</v>
      </c>
      <c r="G79" s="265">
        <f>G69-G74-G76-G77-G78</f>
        <v>23638.929678278422</v>
      </c>
    </row>
    <row r="80" spans="1:7">
      <c r="A80" s="258" t="s">
        <v>134</v>
      </c>
      <c r="B80" s="265"/>
      <c r="C80" s="272">
        <f>C79*25%</f>
        <v>3217.3223670000039</v>
      </c>
      <c r="D80" s="265">
        <f>D79*25%</f>
        <v>3872.365143600005</v>
      </c>
      <c r="E80" s="272">
        <f>E79*25%</f>
        <v>4539.2885442000043</v>
      </c>
      <c r="F80" s="265">
        <f>F79*25%</f>
        <v>5218.3301812800037</v>
      </c>
      <c r="G80" s="265">
        <f>G79*25%</f>
        <v>5909.7324195696056</v>
      </c>
    </row>
    <row r="81" spans="1:7">
      <c r="A81" s="258" t="s">
        <v>135</v>
      </c>
      <c r="B81" s="265"/>
      <c r="C81" s="272">
        <f>C80*15%</f>
        <v>482.59835505000058</v>
      </c>
      <c r="D81" s="265">
        <f>D80*15%</f>
        <v>580.85477154000068</v>
      </c>
      <c r="E81" s="272">
        <f>E80*15%</f>
        <v>680.89328163000062</v>
      </c>
      <c r="F81" s="265">
        <f>F80*15%</f>
        <v>782.74952719200053</v>
      </c>
      <c r="G81" s="265">
        <f>G80*15%</f>
        <v>886.45986293544081</v>
      </c>
    </row>
    <row r="82" spans="1:7">
      <c r="A82" s="260" t="s">
        <v>136</v>
      </c>
      <c r="B82" s="266"/>
      <c r="C82" s="275">
        <f>C79-C80-C81</f>
        <v>9169.3687459500106</v>
      </c>
      <c r="D82" s="266">
        <f>D79-D80-D81</f>
        <v>11036.240659260015</v>
      </c>
      <c r="E82" s="275">
        <f>E79-E80-E81</f>
        <v>12936.972350970012</v>
      </c>
      <c r="F82" s="266">
        <f>F79-F80-F81</f>
        <v>14872.241016648011</v>
      </c>
      <c r="G82" s="266">
        <f>G79-G80-G81</f>
        <v>16842.737395773376</v>
      </c>
    </row>
    <row r="83" spans="1:7">
      <c r="A83" s="259"/>
      <c r="B83" s="265"/>
      <c r="C83" s="272"/>
      <c r="D83" s="265"/>
      <c r="E83" s="272"/>
      <c r="F83" s="265"/>
      <c r="G83" s="265"/>
    </row>
    <row r="84" spans="1:7">
      <c r="A84" s="259" t="s">
        <v>137</v>
      </c>
      <c r="B84" s="265"/>
      <c r="C84" s="272">
        <f>C82+C77</f>
        <v>12346.548745950011</v>
      </c>
      <c r="D84" s="265">
        <f>D82+D77</f>
        <v>14213.420659260015</v>
      </c>
      <c r="E84" s="272">
        <f>E82+E77</f>
        <v>16114.152350970013</v>
      </c>
      <c r="F84" s="265">
        <f>F82+F77</f>
        <v>18049.421016648012</v>
      </c>
      <c r="G84" s="265">
        <f>G82+G77</f>
        <v>20019.917395773376</v>
      </c>
    </row>
    <row r="85" spans="1:7">
      <c r="A85" s="259" t="s">
        <v>138</v>
      </c>
      <c r="B85" s="265"/>
      <c r="C85" s="272">
        <v>60</v>
      </c>
      <c r="D85" s="265">
        <v>60</v>
      </c>
      <c r="E85" s="272">
        <v>60</v>
      </c>
      <c r="F85" s="265">
        <v>60</v>
      </c>
      <c r="G85" s="265">
        <v>60</v>
      </c>
    </row>
    <row r="86" spans="1:7">
      <c r="A86" s="258" t="s">
        <v>139</v>
      </c>
      <c r="B86" s="265">
        <v>-40708</v>
      </c>
      <c r="C86" s="272"/>
      <c r="D86" s="265"/>
      <c r="E86" s="272"/>
      <c r="F86" s="265"/>
      <c r="G86" s="265"/>
    </row>
    <row r="87" spans="1:7">
      <c r="A87" s="259" t="s">
        <v>140</v>
      </c>
      <c r="B87" s="265">
        <v>12202.315320000002</v>
      </c>
      <c r="C87" s="12"/>
      <c r="D87" s="116"/>
      <c r="E87" s="12"/>
      <c r="F87" s="116"/>
      <c r="G87" s="116"/>
    </row>
    <row r="88" spans="1:7">
      <c r="A88" s="259" t="s">
        <v>141</v>
      </c>
      <c r="B88" s="265"/>
      <c r="C88" s="272">
        <v>-1767.7501333333337</v>
      </c>
      <c r="D88" s="265">
        <v>-1767.7501333333337</v>
      </c>
      <c r="E88" s="272">
        <v>-1767.7501333333337</v>
      </c>
      <c r="F88" s="265">
        <v>-1767.7501333333337</v>
      </c>
      <c r="G88" s="265">
        <v>-1767.7501333333337</v>
      </c>
    </row>
    <row r="89" spans="1:7">
      <c r="A89" s="259" t="s">
        <v>142</v>
      </c>
      <c r="B89" s="265">
        <v>-20335.102666666666</v>
      </c>
      <c r="C89" s="272"/>
      <c r="D89" s="265"/>
      <c r="E89" s="272"/>
      <c r="F89" s="265"/>
      <c r="G89" s="265"/>
    </row>
    <row r="90" spans="1:7">
      <c r="A90" s="258" t="s">
        <v>143</v>
      </c>
      <c r="B90" s="265"/>
      <c r="C90" s="272"/>
      <c r="D90" s="265"/>
      <c r="E90" s="272"/>
      <c r="F90" s="265"/>
      <c r="G90" s="265">
        <f>-(B89)</f>
        <v>20335.102666666666</v>
      </c>
    </row>
    <row r="91" spans="1:7">
      <c r="A91" s="259" t="s">
        <v>56</v>
      </c>
      <c r="B91" s="265"/>
      <c r="C91" s="272"/>
      <c r="D91" s="265"/>
      <c r="E91" s="272"/>
      <c r="F91" s="265"/>
      <c r="G91" s="265">
        <v>3150.8</v>
      </c>
    </row>
    <row r="92" spans="1:7" ht="15.75" thickBot="1">
      <c r="A92" s="262"/>
      <c r="B92" s="267"/>
      <c r="C92" s="276"/>
      <c r="D92" s="267"/>
      <c r="E92" s="276"/>
      <c r="F92" s="267"/>
      <c r="G92" s="267"/>
    </row>
    <row r="93" spans="1:7" ht="17.25" thickBot="1">
      <c r="A93" s="58" t="s">
        <v>144</v>
      </c>
      <c r="B93" s="63">
        <f>SUM(B86:B91)</f>
        <v>-48840.787346666664</v>
      </c>
      <c r="C93" s="64">
        <f>SUM(C84:C91)</f>
        <v>10638.798612616678</v>
      </c>
      <c r="D93" s="63">
        <f>SUM(D84:D91)</f>
        <v>12505.670525926682</v>
      </c>
      <c r="E93" s="64">
        <f>SUM(E84:E91)</f>
        <v>14406.40221763668</v>
      </c>
      <c r="F93" s="63">
        <f>SUM(F84:F91)</f>
        <v>16341.670883314679</v>
      </c>
      <c r="G93" s="63">
        <f>SUM(G84:G91)</f>
        <v>41798.069929106714</v>
      </c>
    </row>
    <row r="94" spans="1:7" ht="16.5">
      <c r="A94" s="20"/>
      <c r="B94" s="21"/>
      <c r="C94" s="23"/>
      <c r="D94" s="23"/>
      <c r="E94" s="23"/>
      <c r="F94" s="23"/>
      <c r="G94" s="23"/>
    </row>
    <row r="95" spans="1:7" ht="15.75" thickBot="1">
      <c r="A95" s="20"/>
      <c r="B95" s="21"/>
      <c r="C95" s="21"/>
      <c r="D95" s="21"/>
      <c r="E95" s="21"/>
      <c r="F95" s="21"/>
      <c r="G95" s="21"/>
    </row>
    <row r="96" spans="1:7" ht="15.75" thickBot="1">
      <c r="A96" s="20"/>
      <c r="B96" s="399" t="s">
        <v>57</v>
      </c>
      <c r="C96" s="400">
        <f>NPV(20.89%,C93:G93)+B93</f>
        <v>510.66868379547668</v>
      </c>
      <c r="D96" s="43"/>
      <c r="E96" s="21"/>
      <c r="F96" s="21"/>
      <c r="G96" s="21"/>
    </row>
    <row r="97" spans="1:8" ht="15.75" thickBot="1">
      <c r="A97" s="20"/>
      <c r="B97" s="401" t="s">
        <v>58</v>
      </c>
      <c r="C97" s="402">
        <f>IRR(B93:G93)</f>
        <v>0.21274274010581118</v>
      </c>
      <c r="D97" s="28"/>
      <c r="E97" s="28"/>
      <c r="F97" s="20"/>
      <c r="G97" s="20"/>
    </row>
    <row r="98" spans="1:8">
      <c r="A98" s="20"/>
      <c r="B98" s="20"/>
      <c r="C98" s="20"/>
      <c r="D98" s="20"/>
      <c r="E98" s="20"/>
      <c r="F98" s="20"/>
      <c r="G98" s="20"/>
    </row>
    <row r="99" spans="1:8" ht="15.75" thickBot="1">
      <c r="A99" s="20"/>
      <c r="B99" s="20"/>
      <c r="C99" s="20"/>
      <c r="D99" s="20"/>
      <c r="E99" s="20"/>
      <c r="F99" s="20"/>
      <c r="G99" s="20"/>
    </row>
    <row r="100" spans="1:8">
      <c r="A100" s="257" t="s">
        <v>145</v>
      </c>
      <c r="B100" s="264">
        <f t="shared" ref="B100:G100" si="4">B93</f>
        <v>-48840.787346666664</v>
      </c>
      <c r="C100" s="393">
        <f t="shared" si="4"/>
        <v>10638.798612616678</v>
      </c>
      <c r="D100" s="264">
        <f t="shared" si="4"/>
        <v>12505.670525926682</v>
      </c>
      <c r="E100" s="393">
        <f t="shared" si="4"/>
        <v>14406.40221763668</v>
      </c>
      <c r="F100" s="264">
        <f t="shared" si="4"/>
        <v>16341.670883314679</v>
      </c>
      <c r="G100" s="290">
        <f t="shared" si="4"/>
        <v>41798.069929106714</v>
      </c>
    </row>
    <row r="101" spans="1:8">
      <c r="A101" s="259" t="s">
        <v>146</v>
      </c>
      <c r="B101" s="265">
        <f>B100</f>
        <v>-48840.787346666664</v>
      </c>
      <c r="C101" s="272">
        <f>C100/(1+$D$63)^1</f>
        <v>10638.798612616678</v>
      </c>
      <c r="D101" s="265">
        <f>D100/(1+$D$63)^1</f>
        <v>12505.670525926682</v>
      </c>
      <c r="E101" s="272">
        <f>E100/(1+$D$63)^1</f>
        <v>14406.40221763668</v>
      </c>
      <c r="F101" s="265">
        <f>F100/(1+$D$63)^1</f>
        <v>16341.670883314679</v>
      </c>
      <c r="G101" s="378">
        <f>G100/(1+$D$63)^1</f>
        <v>41798.069929106714</v>
      </c>
    </row>
    <row r="102" spans="1:8" ht="15.75" thickBot="1">
      <c r="A102" s="373" t="s">
        <v>147</v>
      </c>
      <c r="B102" s="397">
        <f>B101</f>
        <v>-48840.787346666664</v>
      </c>
      <c r="C102" s="395">
        <f>B102+C101</f>
        <v>-38201.988734049984</v>
      </c>
      <c r="D102" s="278">
        <f>C102+D101</f>
        <v>-25696.318208123303</v>
      </c>
      <c r="E102" s="372">
        <f>D102+E101</f>
        <v>-11289.915990486623</v>
      </c>
      <c r="F102" s="278">
        <f>E102+F101</f>
        <v>5051.7548928280557</v>
      </c>
      <c r="G102" s="396">
        <f>F102+G101</f>
        <v>46849.824821934773</v>
      </c>
    </row>
    <row r="103" spans="1:8" ht="15.75" thickBot="1">
      <c r="A103" s="20"/>
      <c r="B103" s="20"/>
      <c r="C103" s="20"/>
      <c r="D103" s="20"/>
      <c r="E103" s="20"/>
      <c r="F103" s="20"/>
      <c r="G103" s="20"/>
    </row>
    <row r="104" spans="1:8" ht="15.75" thickBot="1">
      <c r="A104" s="20"/>
      <c r="B104" s="20"/>
      <c r="C104" s="20"/>
      <c r="D104" s="20"/>
      <c r="E104" s="20"/>
      <c r="F104" s="68" t="s">
        <v>148</v>
      </c>
      <c r="G104" s="69">
        <f>6+(-B102/C102)</f>
        <v>4.7215119169140491</v>
      </c>
      <c r="H104" t="s">
        <v>149</v>
      </c>
    </row>
    <row r="105" spans="1:8">
      <c r="C105" s="5"/>
      <c r="D105" s="5"/>
      <c r="E105" s="5"/>
      <c r="F105" s="5"/>
      <c r="G105" s="5"/>
    </row>
    <row r="106" spans="1:8">
      <c r="C106" s="5"/>
      <c r="D106" s="5"/>
      <c r="E106" s="5"/>
      <c r="F106" s="5"/>
      <c r="G106" s="5"/>
    </row>
    <row r="107" spans="1:8">
      <c r="C107" s="5"/>
      <c r="D107" s="5"/>
      <c r="E107" s="5"/>
      <c r="F107" s="5"/>
      <c r="G107" s="5"/>
    </row>
    <row r="108" spans="1:8">
      <c r="C108" s="5"/>
      <c r="D108" s="5"/>
      <c r="E108" s="5"/>
      <c r="F108" s="5"/>
      <c r="G108" s="5"/>
    </row>
    <row r="109" spans="1:8">
      <c r="C109" s="5"/>
      <c r="D109" s="5"/>
      <c r="E109" s="5"/>
      <c r="F109" s="5"/>
      <c r="G109" s="5"/>
    </row>
    <row r="110" spans="1:8">
      <c r="C110" s="5"/>
      <c r="D110" s="5"/>
      <c r="E110" s="5"/>
      <c r="F110" s="5"/>
      <c r="G110" s="5"/>
    </row>
    <row r="111" spans="1:8">
      <c r="C111" s="5"/>
      <c r="D111" s="5"/>
      <c r="E111" s="5"/>
      <c r="F111" s="5"/>
      <c r="G111" s="5"/>
    </row>
    <row r="112" spans="1:8">
      <c r="C112" s="5"/>
      <c r="D112" s="5"/>
      <c r="E112" s="5"/>
      <c r="F112" s="5"/>
      <c r="G112" s="5"/>
    </row>
    <row r="113" spans="1:7">
      <c r="C113" s="5"/>
      <c r="D113" s="5"/>
      <c r="E113" s="5"/>
      <c r="F113" s="5"/>
      <c r="G113" s="5"/>
    </row>
    <row r="114" spans="1:7" ht="15.75" thickBot="1">
      <c r="C114" s="5"/>
      <c r="D114" s="5"/>
      <c r="E114" s="5"/>
      <c r="F114" s="5"/>
      <c r="G114" s="5"/>
    </row>
    <row r="115" spans="1:7" ht="16.5" thickBot="1">
      <c r="A115" s="490" t="s">
        <v>150</v>
      </c>
      <c r="B115" s="491"/>
      <c r="C115" s="20"/>
      <c r="D115" s="20"/>
      <c r="E115" s="20"/>
      <c r="F115" s="20"/>
      <c r="G115" s="5"/>
    </row>
    <row r="116" spans="1:7" ht="15.75" thickBot="1">
      <c r="A116" s="45">
        <f>(B118+(B120*(B119-B118)))+B121</f>
        <v>0.20894000000000001</v>
      </c>
      <c r="B116" s="46">
        <f>(B118+(B120*(B119-B118)))+C121</f>
        <v>0.14888000000000001</v>
      </c>
      <c r="C116" s="20"/>
      <c r="D116" s="20"/>
      <c r="E116" s="38" t="s">
        <v>152</v>
      </c>
      <c r="F116" s="404">
        <v>0.8</v>
      </c>
      <c r="G116" s="5"/>
    </row>
    <row r="117" spans="1:7" ht="15.75" thickBot="1">
      <c r="A117" s="296" t="s">
        <v>153</v>
      </c>
      <c r="B117" s="299">
        <v>0.1</v>
      </c>
      <c r="C117" s="20"/>
      <c r="D117" s="20"/>
      <c r="E117" s="42" t="s">
        <v>154</v>
      </c>
      <c r="F117" s="405">
        <v>0.2</v>
      </c>
      <c r="G117" s="5"/>
    </row>
    <row r="118" spans="1:7">
      <c r="A118" s="258" t="s">
        <v>51</v>
      </c>
      <c r="B118" s="223">
        <v>3.8600000000000002E-2</v>
      </c>
      <c r="C118" s="20"/>
      <c r="D118" s="20"/>
      <c r="E118" s="20"/>
      <c r="F118" s="20"/>
      <c r="G118" s="5"/>
    </row>
    <row r="119" spans="1:7">
      <c r="A119" s="258" t="s">
        <v>53</v>
      </c>
      <c r="B119" s="300">
        <v>0.17949999999999999</v>
      </c>
      <c r="C119" s="20"/>
      <c r="D119" s="20"/>
      <c r="E119" s="20"/>
      <c r="F119" s="20"/>
      <c r="G119" s="5"/>
    </row>
    <row r="120" spans="1:7" ht="15.75" thickBot="1">
      <c r="A120" s="258" t="s">
        <v>155</v>
      </c>
      <c r="B120" s="301">
        <v>0.6</v>
      </c>
      <c r="C120" s="20"/>
      <c r="D120" s="20"/>
      <c r="E120" s="20"/>
      <c r="F120" s="20"/>
      <c r="G120" s="5"/>
    </row>
    <row r="121" spans="1:7" ht="15.75" thickBot="1">
      <c r="A121" s="297" t="s">
        <v>156</v>
      </c>
      <c r="B121" s="302">
        <v>8.5800000000000001E-2</v>
      </c>
      <c r="C121" s="388">
        <f>B121*30%</f>
        <v>2.5739999999999999E-2</v>
      </c>
      <c r="D121" s="20"/>
      <c r="E121" s="20"/>
      <c r="F121" s="20"/>
      <c r="G121" s="5"/>
    </row>
    <row r="122" spans="1:7" ht="15.75" thickBot="1">
      <c r="A122" s="20"/>
      <c r="B122" s="20"/>
      <c r="C122" s="20"/>
      <c r="D122" s="20"/>
      <c r="E122" s="20"/>
      <c r="F122" s="20"/>
      <c r="G122" s="5"/>
    </row>
    <row r="123" spans="1:7" ht="15.75" thickBot="1">
      <c r="A123" s="40" t="s">
        <v>157</v>
      </c>
      <c r="B123" s="304">
        <f>(F116*A116)+(F117*B117)</f>
        <v>0.18715200000000004</v>
      </c>
      <c r="C123" s="403">
        <f>B123*30%</f>
        <v>5.6145600000000011E-2</v>
      </c>
      <c r="D123" s="20"/>
      <c r="E123" s="20"/>
      <c r="F123" s="20"/>
      <c r="G123" s="5"/>
    </row>
    <row r="124" spans="1:7">
      <c r="A124" s="20"/>
      <c r="B124" s="20"/>
      <c r="C124" s="20"/>
      <c r="D124" s="20"/>
      <c r="E124" s="20"/>
      <c r="F124" s="20"/>
      <c r="G124" s="5"/>
    </row>
  </sheetData>
  <mergeCells count="3">
    <mergeCell ref="A115:B115"/>
    <mergeCell ref="J53:K53"/>
    <mergeCell ref="B54:C54"/>
  </mergeCells>
  <phoneticPr fontId="0" type="noConversion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honeticPr fontId="0" type="noConversion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B3:E15"/>
  <sheetViews>
    <sheetView workbookViewId="0">
      <selection activeCell="B13" sqref="B13:E15"/>
    </sheetView>
  </sheetViews>
  <sheetFormatPr baseColWidth="10" defaultRowHeight="15"/>
  <cols>
    <col min="5" max="5" width="11.42578125" style="5"/>
  </cols>
  <sheetData>
    <row r="3" spans="2:5">
      <c r="B3" t="s">
        <v>9</v>
      </c>
    </row>
    <row r="4" spans="2:5">
      <c r="B4" t="s">
        <v>81</v>
      </c>
    </row>
    <row r="5" spans="2:5">
      <c r="B5" t="s">
        <v>10</v>
      </c>
    </row>
    <row r="6" spans="2:5">
      <c r="B6" t="s">
        <v>14</v>
      </c>
    </row>
    <row r="7" spans="2:5" ht="15.75" thickBot="1"/>
    <row r="8" spans="2:5" ht="15.75" thickBot="1">
      <c r="B8" s="448" t="s">
        <v>12</v>
      </c>
      <c r="C8" s="449"/>
      <c r="D8" s="449"/>
      <c r="E8" s="83" t="s">
        <v>13</v>
      </c>
    </row>
    <row r="9" spans="2:5">
      <c r="B9" s="107" t="s">
        <v>11</v>
      </c>
      <c r="C9" s="108"/>
      <c r="D9" s="109"/>
      <c r="E9" s="110">
        <f>E14</f>
        <v>4455.2339999999995</v>
      </c>
    </row>
    <row r="10" spans="2:5" ht="15.75" thickBot="1">
      <c r="B10" s="77" t="s">
        <v>48</v>
      </c>
      <c r="C10" s="106"/>
      <c r="D10" s="106"/>
      <c r="E10" s="79">
        <f>E15</f>
        <v>53462.807999999997</v>
      </c>
    </row>
    <row r="12" spans="2:5" ht="15.75" thickBot="1"/>
    <row r="13" spans="2:5" ht="15.75" thickBot="1">
      <c r="B13" s="82" t="s">
        <v>80</v>
      </c>
      <c r="C13" s="91" t="s">
        <v>26</v>
      </c>
      <c r="D13" s="113" t="s">
        <v>30</v>
      </c>
      <c r="E13" s="114" t="s">
        <v>13</v>
      </c>
    </row>
    <row r="14" spans="2:5">
      <c r="B14" s="80" t="s">
        <v>46</v>
      </c>
      <c r="C14" s="112">
        <f>'INGRESO POR VENTAS '!C6*0.35</f>
        <v>12375.65</v>
      </c>
      <c r="D14" s="420">
        <v>0.36</v>
      </c>
      <c r="E14" s="81">
        <f>C14*D14</f>
        <v>4455.2339999999995</v>
      </c>
    </row>
    <row r="15" spans="2:5" ht="15.75" thickBot="1">
      <c r="B15" s="77" t="s">
        <v>47</v>
      </c>
      <c r="C15" s="79">
        <f>C14*12</f>
        <v>148507.79999999999</v>
      </c>
      <c r="D15" s="99">
        <v>0.36</v>
      </c>
      <c r="E15" s="79">
        <f>C15*D15</f>
        <v>53462.807999999997</v>
      </c>
    </row>
  </sheetData>
  <mergeCells count="1">
    <mergeCell ref="B8:D8"/>
  </mergeCells>
  <phoneticPr fontId="0" type="noConversion"/>
  <pageMargins left="0.7" right="0.7" top="0.75" bottom="0.75" header="0.3" footer="0.3"/>
  <pageSetup paperSize="0" orientation="portrait" horizontalDpi="403" verticalDpi="40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E21"/>
  <sheetViews>
    <sheetView workbookViewId="0">
      <selection activeCell="E20" sqref="E20"/>
    </sheetView>
  </sheetViews>
  <sheetFormatPr baseColWidth="10" defaultRowHeight="15"/>
  <cols>
    <col min="2" max="2" width="23.42578125" customWidth="1"/>
    <col min="3" max="3" width="0.5703125" customWidth="1"/>
    <col min="4" max="4" width="9.140625" style="5" bestFit="1" customWidth="1"/>
    <col min="5" max="5" width="12.7109375" bestFit="1" customWidth="1"/>
    <col min="9" max="9" width="12" bestFit="1" customWidth="1"/>
  </cols>
  <sheetData>
    <row r="2" spans="2:5" ht="15.75" thickBot="1"/>
    <row r="3" spans="2:5" ht="15.75" thickBot="1">
      <c r="B3" s="71" t="s">
        <v>0</v>
      </c>
      <c r="C3" s="30"/>
      <c r="D3" s="70">
        <v>9200</v>
      </c>
    </row>
    <row r="4" spans="2:5" ht="15.75" thickBot="1">
      <c r="D4" s="6"/>
    </row>
    <row r="5" spans="2:5" ht="15.75" thickBot="1">
      <c r="B5" s="101" t="s">
        <v>1</v>
      </c>
      <c r="D5" s="6"/>
    </row>
    <row r="6" spans="2:5">
      <c r="B6" s="115" t="s">
        <v>2</v>
      </c>
      <c r="C6" s="30"/>
      <c r="D6" s="118">
        <f>3250*5</f>
        <v>16250</v>
      </c>
    </row>
    <row r="7" spans="2:5">
      <c r="B7" s="116" t="s">
        <v>3</v>
      </c>
      <c r="C7" s="30"/>
      <c r="D7" s="78">
        <f>2728*3</f>
        <v>8184</v>
      </c>
    </row>
    <row r="8" spans="2:5">
      <c r="B8" s="116" t="s">
        <v>4</v>
      </c>
      <c r="C8" s="30"/>
      <c r="D8" s="78">
        <f>720*2</f>
        <v>1440</v>
      </c>
    </row>
    <row r="9" spans="2:5">
      <c r="B9" s="116" t="s">
        <v>180</v>
      </c>
      <c r="C9" s="30"/>
      <c r="D9" s="78">
        <v>350</v>
      </c>
    </row>
    <row r="10" spans="2:5">
      <c r="B10" s="116" t="s">
        <v>6</v>
      </c>
      <c r="C10" s="30"/>
      <c r="D10" s="78">
        <f>42*2</f>
        <v>84</v>
      </c>
    </row>
    <row r="11" spans="2:5">
      <c r="B11" s="116" t="s">
        <v>7</v>
      </c>
      <c r="C11" s="30"/>
      <c r="D11" s="78">
        <v>5200</v>
      </c>
    </row>
    <row r="12" spans="2:5" ht="15.75" thickBot="1">
      <c r="B12" s="117" t="s">
        <v>179</v>
      </c>
      <c r="C12" s="30"/>
      <c r="D12" s="119">
        <f>SUM(D6:D11)</f>
        <v>31508</v>
      </c>
    </row>
    <row r="13" spans="2:5">
      <c r="C13" s="30"/>
      <c r="D13" s="7"/>
    </row>
    <row r="15" spans="2:5" ht="15.75" thickBot="1">
      <c r="B15" s="3"/>
    </row>
    <row r="16" spans="2:5" ht="15.75" thickBot="1">
      <c r="B16" s="456" t="s">
        <v>123</v>
      </c>
      <c r="C16" s="457"/>
      <c r="D16" s="457"/>
      <c r="E16" s="458"/>
    </row>
    <row r="17" spans="2:5">
      <c r="B17" s="459" t="s">
        <v>127</v>
      </c>
      <c r="C17" s="460"/>
      <c r="D17" s="461"/>
      <c r="E17" s="120">
        <f>D3</f>
        <v>9200</v>
      </c>
    </row>
    <row r="18" spans="2:5">
      <c r="B18" s="462" t="s">
        <v>124</v>
      </c>
      <c r="C18" s="463"/>
      <c r="D18" s="464"/>
      <c r="E18" s="121">
        <f>DEPRECIACION!D15</f>
        <v>31508</v>
      </c>
    </row>
    <row r="19" spans="2:5">
      <c r="B19" s="462" t="s">
        <v>125</v>
      </c>
      <c r="C19" s="463"/>
      <c r="D19" s="464"/>
      <c r="E19" s="121">
        <f>'AMORTIZACION INTANGIBLE'!C12</f>
        <v>300</v>
      </c>
    </row>
    <row r="20" spans="2:5" ht="15.75" thickBot="1">
      <c r="B20" s="450" t="s">
        <v>117</v>
      </c>
      <c r="C20" s="451"/>
      <c r="D20" s="452"/>
      <c r="E20" s="122">
        <f>'Capital de Trabajo'!E12</f>
        <v>-20335.102666666666</v>
      </c>
    </row>
    <row r="21" spans="2:5" ht="15.75" thickBot="1">
      <c r="B21" s="453" t="s">
        <v>126</v>
      </c>
      <c r="C21" s="454"/>
      <c r="D21" s="455"/>
      <c r="E21" s="123">
        <f>SUM(E17:E20)</f>
        <v>20672.897333333334</v>
      </c>
    </row>
  </sheetData>
  <mergeCells count="6">
    <mergeCell ref="B20:D20"/>
    <mergeCell ref="B21:D21"/>
    <mergeCell ref="B16:E16"/>
    <mergeCell ref="B17:D17"/>
    <mergeCell ref="B18:D18"/>
    <mergeCell ref="B19:D19"/>
  </mergeCells>
  <phoneticPr fontId="0" type="noConversion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D12"/>
  <sheetViews>
    <sheetView workbookViewId="0">
      <selection activeCell="F19" sqref="F19"/>
    </sheetView>
  </sheetViews>
  <sheetFormatPr baseColWidth="10" defaultRowHeight="15"/>
  <cols>
    <col min="2" max="2" width="25.7109375" customWidth="1"/>
    <col min="3" max="3" width="15.85546875" style="5" customWidth="1"/>
  </cols>
  <sheetData>
    <row r="2" spans="2:4" ht="15.75" thickBot="1"/>
    <row r="3" spans="2:4" ht="15.75" thickBot="1">
      <c r="B3" s="82" t="s">
        <v>15</v>
      </c>
      <c r="C3" s="83" t="s">
        <v>13</v>
      </c>
    </row>
    <row r="4" spans="2:4">
      <c r="B4" s="84" t="s">
        <v>109</v>
      </c>
      <c r="C4" s="85">
        <v>200</v>
      </c>
    </row>
    <row r="5" spans="2:4">
      <c r="B5" s="86" t="s">
        <v>16</v>
      </c>
      <c r="C5" s="87">
        <v>10</v>
      </c>
    </row>
    <row r="6" spans="2:4">
      <c r="B6" s="86" t="s">
        <v>17</v>
      </c>
      <c r="C6" s="87">
        <v>15</v>
      </c>
    </row>
    <row r="7" spans="2:4">
      <c r="B7" s="86" t="s">
        <v>18</v>
      </c>
      <c r="C7" s="87">
        <v>25</v>
      </c>
    </row>
    <row r="8" spans="2:4">
      <c r="B8" s="86" t="s">
        <v>19</v>
      </c>
      <c r="C8" s="87">
        <v>15</v>
      </c>
    </row>
    <row r="9" spans="2:4">
      <c r="B9" s="86" t="s">
        <v>20</v>
      </c>
      <c r="C9" s="87">
        <v>10</v>
      </c>
    </row>
    <row r="10" spans="2:4">
      <c r="B10" s="86" t="s">
        <v>21</v>
      </c>
      <c r="C10" s="87">
        <v>10</v>
      </c>
    </row>
    <row r="11" spans="2:4" ht="15.75" thickBot="1">
      <c r="B11" s="88" t="s">
        <v>22</v>
      </c>
      <c r="C11" s="89">
        <v>15</v>
      </c>
    </row>
    <row r="12" spans="2:4" ht="15.75" thickBot="1">
      <c r="B12" s="73" t="s">
        <v>8</v>
      </c>
      <c r="C12" s="72">
        <f>SUM(C4:C11)</f>
        <v>300</v>
      </c>
      <c r="D12" t="s">
        <v>82</v>
      </c>
    </row>
  </sheetData>
  <phoneticPr fontId="0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B1:D7"/>
  <sheetViews>
    <sheetView workbookViewId="0">
      <selection activeCell="C6" sqref="C6"/>
    </sheetView>
  </sheetViews>
  <sheetFormatPr baseColWidth="10" defaultRowHeight="15"/>
  <cols>
    <col min="2" max="2" width="15.7109375" bestFit="1" customWidth="1"/>
  </cols>
  <sheetData>
    <row r="1" spans="2:4" ht="15.75" thickBot="1"/>
    <row r="2" spans="2:4" ht="15.75" thickBot="1">
      <c r="B2" s="465" t="s">
        <v>184</v>
      </c>
      <c r="C2" s="466"/>
    </row>
    <row r="3" spans="2:4" ht="15.75" thickBot="1">
      <c r="B3" s="416"/>
      <c r="C3" s="417"/>
    </row>
    <row r="4" spans="2:4" ht="15.75" thickBot="1">
      <c r="B4" s="90" t="s">
        <v>12</v>
      </c>
      <c r="C4" s="91" t="s">
        <v>13</v>
      </c>
    </row>
    <row r="5" spans="2:4">
      <c r="B5" s="94" t="s">
        <v>23</v>
      </c>
      <c r="C5" s="95">
        <v>2400</v>
      </c>
      <c r="D5" t="s">
        <v>185</v>
      </c>
    </row>
    <row r="6" spans="2:4" ht="15.75" thickBot="1">
      <c r="B6" s="97" t="s">
        <v>24</v>
      </c>
      <c r="C6" s="96">
        <v>300</v>
      </c>
    </row>
    <row r="7" spans="2:4" ht="15.75" thickBot="1">
      <c r="B7" s="73" t="s">
        <v>183</v>
      </c>
      <c r="C7" s="92">
        <f>C5+C6</f>
        <v>2700</v>
      </c>
    </row>
  </sheetData>
  <mergeCells count="1">
    <mergeCell ref="B2:C2"/>
  </mergeCells>
  <phoneticPr fontId="0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K53"/>
  <sheetViews>
    <sheetView topLeftCell="A33" zoomScaleNormal="100" workbookViewId="0">
      <selection activeCell="D53" sqref="D53"/>
    </sheetView>
  </sheetViews>
  <sheetFormatPr baseColWidth="10" defaultRowHeight="15"/>
  <cols>
    <col min="1" max="1" width="36.5703125" customWidth="1"/>
    <col min="2" max="2" width="8.7109375" style="1" customWidth="1"/>
    <col min="3" max="3" width="12" style="8" bestFit="1" customWidth="1"/>
    <col min="4" max="4" width="13.42578125" style="8" bestFit="1" customWidth="1"/>
    <col min="8" max="8" width="13.85546875" bestFit="1" customWidth="1"/>
  </cols>
  <sheetData>
    <row r="1" spans="1:4">
      <c r="A1" s="469" t="s">
        <v>186</v>
      </c>
      <c r="B1" s="469"/>
      <c r="C1" s="469"/>
      <c r="D1" s="469"/>
    </row>
    <row r="2" spans="1:4">
      <c r="A2" s="467" t="s">
        <v>105</v>
      </c>
      <c r="B2" s="467"/>
      <c r="C2" s="467"/>
      <c r="D2" s="467"/>
    </row>
    <row r="3" spans="1:4" ht="15.75" thickBot="1"/>
    <row r="4" spans="1:4" ht="15.75" thickBot="1">
      <c r="A4" s="111" t="s">
        <v>25</v>
      </c>
      <c r="B4" s="134" t="s">
        <v>83</v>
      </c>
      <c r="C4" s="83" t="s">
        <v>33</v>
      </c>
      <c r="D4" s="83" t="s">
        <v>31</v>
      </c>
    </row>
    <row r="5" spans="1:4">
      <c r="A5" s="115" t="s">
        <v>27</v>
      </c>
      <c r="B5" s="130">
        <v>1</v>
      </c>
      <c r="C5" s="124">
        <v>1000</v>
      </c>
      <c r="D5" s="124">
        <f t="shared" ref="D5:D10" si="0">C5*12</f>
        <v>12000</v>
      </c>
    </row>
    <row r="6" spans="1:4">
      <c r="A6" s="116" t="s">
        <v>160</v>
      </c>
      <c r="B6" s="131">
        <v>1</v>
      </c>
      <c r="C6" s="125">
        <v>800</v>
      </c>
      <c r="D6" s="125">
        <f t="shared" si="0"/>
        <v>9600</v>
      </c>
    </row>
    <row r="7" spans="1:4">
      <c r="A7" s="116" t="s">
        <v>28</v>
      </c>
      <c r="B7" s="131">
        <v>1</v>
      </c>
      <c r="C7" s="125">
        <v>300</v>
      </c>
      <c r="D7" s="125">
        <f t="shared" si="0"/>
        <v>3600</v>
      </c>
    </row>
    <row r="8" spans="1:4">
      <c r="A8" s="116" t="s">
        <v>29</v>
      </c>
      <c r="B8" s="131">
        <v>1</v>
      </c>
      <c r="C8" s="125">
        <v>300</v>
      </c>
      <c r="D8" s="125">
        <f t="shared" si="0"/>
        <v>3600</v>
      </c>
    </row>
    <row r="9" spans="1:4">
      <c r="A9" s="116" t="s">
        <v>161</v>
      </c>
      <c r="B9" s="131">
        <v>1</v>
      </c>
      <c r="C9" s="125">
        <v>300</v>
      </c>
      <c r="D9" s="125">
        <f t="shared" si="0"/>
        <v>3600</v>
      </c>
    </row>
    <row r="10" spans="1:4" ht="15.75" thickBot="1">
      <c r="A10" s="133" t="s">
        <v>159</v>
      </c>
      <c r="B10" s="132">
        <v>1</v>
      </c>
      <c r="C10" s="126">
        <v>250</v>
      </c>
      <c r="D10" s="126">
        <f t="shared" si="0"/>
        <v>3000</v>
      </c>
    </row>
    <row r="11" spans="1:4" ht="15.75" thickBot="1">
      <c r="A11" s="54" t="s">
        <v>8</v>
      </c>
      <c r="B11" s="55"/>
      <c r="C11" s="135">
        <f>+SUM(C5:C10)</f>
        <v>2950</v>
      </c>
      <c r="D11" s="135">
        <f>+SUM(D5:D10)</f>
        <v>35400</v>
      </c>
    </row>
    <row r="14" spans="1:4">
      <c r="A14" s="468" t="s">
        <v>106</v>
      </c>
      <c r="B14" s="468"/>
      <c r="C14" s="468"/>
      <c r="D14" s="468"/>
    </row>
    <row r="15" spans="1:4" ht="15.75" thickBot="1"/>
    <row r="16" spans="1:4" ht="15.75" thickBot="1">
      <c r="A16" s="111" t="s">
        <v>12</v>
      </c>
      <c r="B16" s="134"/>
      <c r="C16" s="139" t="s">
        <v>33</v>
      </c>
      <c r="D16" s="140" t="s">
        <v>31</v>
      </c>
    </row>
    <row r="17" spans="1:11" ht="15" customHeight="1">
      <c r="A17" s="137" t="s">
        <v>85</v>
      </c>
      <c r="B17" s="127"/>
      <c r="C17" s="124">
        <v>200</v>
      </c>
      <c r="D17" s="138">
        <f>C17*12</f>
        <v>2400</v>
      </c>
    </row>
    <row r="18" spans="1:11">
      <c r="A18" s="75" t="s">
        <v>84</v>
      </c>
      <c r="B18" s="128"/>
      <c r="C18" s="125">
        <v>100</v>
      </c>
      <c r="D18" s="136">
        <f>C18*12</f>
        <v>1200</v>
      </c>
    </row>
    <row r="19" spans="1:11" ht="15.75" thickBot="1">
      <c r="A19" s="141" t="s">
        <v>8</v>
      </c>
      <c r="B19" s="142"/>
      <c r="C19" s="92">
        <f>+SUM(C17:C18)</f>
        <v>300</v>
      </c>
      <c r="D19" s="143">
        <f>D17+D18</f>
        <v>3600</v>
      </c>
    </row>
    <row r="21" spans="1:11">
      <c r="A21" s="468" t="s">
        <v>107</v>
      </c>
      <c r="B21" s="468"/>
      <c r="C21" s="468"/>
      <c r="D21" s="468"/>
    </row>
    <row r="22" spans="1:11" ht="15.75" thickBot="1"/>
    <row r="23" spans="1:11">
      <c r="A23" s="74" t="s">
        <v>12</v>
      </c>
      <c r="B23" s="144"/>
      <c r="C23" s="147" t="s">
        <v>33</v>
      </c>
      <c r="D23" s="145" t="s">
        <v>31</v>
      </c>
      <c r="H23" s="74" t="s">
        <v>12</v>
      </c>
      <c r="I23" s="147" t="s">
        <v>33</v>
      </c>
      <c r="J23" s="145" t="s">
        <v>31</v>
      </c>
    </row>
    <row r="24" spans="1:11">
      <c r="A24" s="75" t="s">
        <v>59</v>
      </c>
      <c r="B24" s="128"/>
      <c r="C24" s="148">
        <v>75</v>
      </c>
      <c r="D24" s="146">
        <f>C24*12</f>
        <v>900</v>
      </c>
      <c r="H24" s="423" t="s">
        <v>23</v>
      </c>
      <c r="I24" s="8">
        <v>1200</v>
      </c>
      <c r="J24" s="11">
        <f>I24*12</f>
        <v>14400</v>
      </c>
    </row>
    <row r="25" spans="1:11">
      <c r="A25" s="75" t="s">
        <v>60</v>
      </c>
      <c r="B25" s="128"/>
      <c r="C25" s="148">
        <v>250</v>
      </c>
      <c r="D25" s="146">
        <f>C25*12</f>
        <v>3000</v>
      </c>
    </row>
    <row r="26" spans="1:11" ht="15.75" thickBot="1">
      <c r="A26" s="105" t="s">
        <v>61</v>
      </c>
      <c r="B26" s="129"/>
      <c r="C26" s="149">
        <v>50</v>
      </c>
      <c r="D26" s="150">
        <f>C26*12</f>
        <v>600</v>
      </c>
    </row>
    <row r="27" spans="1:11" ht="15.75" thickBot="1">
      <c r="A27" s="56" t="s">
        <v>8</v>
      </c>
      <c r="B27" s="55"/>
      <c r="C27" s="151">
        <f>+SUM(C24:C26)</f>
        <v>375</v>
      </c>
      <c r="D27" s="152">
        <f>D24+D25+D26</f>
        <v>4500</v>
      </c>
      <c r="H27" s="74" t="s">
        <v>12</v>
      </c>
      <c r="I27" s="147" t="s">
        <v>33</v>
      </c>
      <c r="J27" s="145" t="s">
        <v>31</v>
      </c>
    </row>
    <row r="28" spans="1:11">
      <c r="H28" s="32" t="s">
        <v>187</v>
      </c>
      <c r="I28" s="32">
        <v>25</v>
      </c>
      <c r="J28" s="424">
        <v>300</v>
      </c>
    </row>
    <row r="29" spans="1:11">
      <c r="A29" s="3" t="s">
        <v>23</v>
      </c>
      <c r="C29" s="8">
        <v>1200</v>
      </c>
      <c r="D29" s="11">
        <f>C29*12</f>
        <v>14400</v>
      </c>
    </row>
    <row r="30" spans="1:11" ht="15.75" thickBot="1">
      <c r="A30" s="3"/>
      <c r="D30" s="11"/>
    </row>
    <row r="31" spans="1:11" ht="15.75" thickBot="1">
      <c r="A31" s="3" t="s">
        <v>110</v>
      </c>
      <c r="D31" s="11"/>
      <c r="H31" s="91" t="s">
        <v>12</v>
      </c>
      <c r="I31" s="415"/>
      <c r="J31" s="91" t="s">
        <v>33</v>
      </c>
      <c r="K31" s="102" t="s">
        <v>31</v>
      </c>
    </row>
    <row r="32" spans="1:11" ht="15.75" thickBot="1">
      <c r="A32" s="3"/>
      <c r="D32" s="11"/>
      <c r="H32" s="425" t="s">
        <v>111</v>
      </c>
      <c r="I32" s="426"/>
      <c r="J32" s="427">
        <f>+K32/12</f>
        <v>19.166666666666668</v>
      </c>
      <c r="K32" s="428">
        <v>230</v>
      </c>
    </row>
    <row r="33" spans="1:4" ht="15.75" thickBot="1">
      <c r="A33" s="91" t="s">
        <v>12</v>
      </c>
      <c r="B33" s="161"/>
      <c r="C33" s="91" t="s">
        <v>33</v>
      </c>
      <c r="D33" s="102" t="s">
        <v>31</v>
      </c>
    </row>
    <row r="34" spans="1:4">
      <c r="A34" s="162" t="s">
        <v>111</v>
      </c>
      <c r="B34" s="158"/>
      <c r="C34" s="156">
        <f>+D34/12</f>
        <v>19.166666666666668</v>
      </c>
      <c r="D34" s="153">
        <v>230</v>
      </c>
    </row>
    <row r="35" spans="1:4">
      <c r="A35" s="163"/>
      <c r="B35" s="159"/>
      <c r="C35" s="157"/>
      <c r="D35" s="154"/>
    </row>
    <row r="36" spans="1:4" ht="15.75" thickBot="1">
      <c r="A36" s="163"/>
      <c r="B36" s="159"/>
      <c r="C36" s="157"/>
      <c r="D36" s="154"/>
    </row>
    <row r="37" spans="1:4" ht="15.75" thickBot="1">
      <c r="A37" s="53" t="s">
        <v>112</v>
      </c>
      <c r="B37" s="160"/>
      <c r="C37" s="51">
        <f>D37/12</f>
        <v>25</v>
      </c>
      <c r="D37" s="155">
        <v>300</v>
      </c>
    </row>
    <row r="38" spans="1:4">
      <c r="A38" s="3"/>
      <c r="D38" s="11"/>
    </row>
    <row r="39" spans="1:4" ht="15.75" thickBot="1">
      <c r="A39" s="49" t="s">
        <v>113</v>
      </c>
      <c r="D39" s="11"/>
    </row>
    <row r="40" spans="1:4" ht="15.75" thickTop="1">
      <c r="A40" s="3"/>
      <c r="D40" s="11"/>
    </row>
    <row r="41" spans="1:4">
      <c r="A41" s="47" t="s">
        <v>114</v>
      </c>
      <c r="B41" s="48"/>
      <c r="C41" s="47" t="s">
        <v>33</v>
      </c>
      <c r="D41" s="47" t="s">
        <v>31</v>
      </c>
    </row>
    <row r="42" spans="1:4">
      <c r="A42" s="9"/>
      <c r="B42" s="14"/>
      <c r="C42" s="9"/>
      <c r="D42" s="9"/>
    </row>
    <row r="43" spans="1:4">
      <c r="A43" s="32" t="s">
        <v>2</v>
      </c>
      <c r="B43" s="14"/>
      <c r="C43" s="33">
        <f t="shared" ref="C43:C48" si="1">D43/12</f>
        <v>121.875</v>
      </c>
      <c r="D43" s="10">
        <f>DEPRECIACION!F9</f>
        <v>1462.5</v>
      </c>
    </row>
    <row r="44" spans="1:4">
      <c r="A44" s="32" t="s">
        <v>3</v>
      </c>
      <c r="B44" s="14"/>
      <c r="C44" s="33">
        <f t="shared" si="1"/>
        <v>61.38</v>
      </c>
      <c r="D44" s="10">
        <f>DEPRECIACION!F10</f>
        <v>736.56000000000006</v>
      </c>
    </row>
    <row r="45" spans="1:4">
      <c r="A45" s="32" t="s">
        <v>4</v>
      </c>
      <c r="B45" s="14"/>
      <c r="C45" s="33">
        <f t="shared" si="1"/>
        <v>36</v>
      </c>
      <c r="D45" s="10">
        <f>DEPRECIACION!F11</f>
        <v>432</v>
      </c>
    </row>
    <row r="46" spans="1:4">
      <c r="A46" s="32" t="s">
        <v>5</v>
      </c>
      <c r="B46" s="14"/>
      <c r="C46" s="33">
        <f t="shared" si="1"/>
        <v>5.25</v>
      </c>
      <c r="D46" s="10">
        <f>DEPRECIACION!F12</f>
        <v>63</v>
      </c>
    </row>
    <row r="47" spans="1:4">
      <c r="A47" s="32" t="s">
        <v>6</v>
      </c>
      <c r="B47" s="14"/>
      <c r="C47" s="33">
        <f t="shared" si="1"/>
        <v>1.26</v>
      </c>
      <c r="D47" s="10">
        <f>DEPRECIACION!F13</f>
        <v>15.12</v>
      </c>
    </row>
    <row r="48" spans="1:4" ht="15.75" thickBot="1">
      <c r="A48" s="36" t="s">
        <v>7</v>
      </c>
      <c r="B48" s="14"/>
      <c r="C48" s="34">
        <f t="shared" si="1"/>
        <v>39</v>
      </c>
      <c r="D48" s="35">
        <f>DEPRECIACION!F14</f>
        <v>468</v>
      </c>
    </row>
    <row r="49" spans="1:4" ht="15.75" thickBot="1">
      <c r="A49" s="164" t="s">
        <v>8</v>
      </c>
      <c r="B49" s="55"/>
      <c r="C49" s="429">
        <f>+SUM(C43:C48)</f>
        <v>264.76499999999999</v>
      </c>
      <c r="D49" s="135">
        <f>+SUM(D43:D48)</f>
        <v>3177.18</v>
      </c>
    </row>
    <row r="50" spans="1:4">
      <c r="A50" s="3"/>
      <c r="D50" s="11"/>
    </row>
    <row r="52" spans="1:4" ht="15.75" thickBot="1">
      <c r="A52" s="3"/>
      <c r="C52" s="13"/>
      <c r="D52" s="13"/>
    </row>
    <row r="53" spans="1:4" ht="15.75" thickBot="1">
      <c r="A53" s="470" t="s">
        <v>108</v>
      </c>
      <c r="B53" s="471"/>
      <c r="C53" s="421">
        <f>+SUM(C11+C19+C27+C29+C34+C37+C49)</f>
        <v>5133.9316666666673</v>
      </c>
      <c r="D53" s="422">
        <f>D29+D27+D19+D11+D34+D37+D49</f>
        <v>61607.18</v>
      </c>
    </row>
  </sheetData>
  <mergeCells count="5">
    <mergeCell ref="A2:D2"/>
    <mergeCell ref="A14:D14"/>
    <mergeCell ref="A21:D21"/>
    <mergeCell ref="A1:D1"/>
    <mergeCell ref="A53:B53"/>
  </mergeCells>
  <phoneticPr fontId="0" type="noConversion"/>
  <pageMargins left="0.7" right="0.7" top="0.75" bottom="0.75" header="0.3" footer="0.3"/>
  <pageSetup paperSize="0" orientation="portrait" horizontalDpi="403" verticalDpi="40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F10"/>
  <sheetViews>
    <sheetView zoomScaleNormal="100" workbookViewId="0">
      <selection activeCell="B3" sqref="B3:F9"/>
    </sheetView>
  </sheetViews>
  <sheetFormatPr baseColWidth="10" defaultRowHeight="15"/>
  <cols>
    <col min="1" max="1" width="2.5703125" customWidth="1"/>
    <col min="2" max="2" width="40.7109375" customWidth="1"/>
    <col min="4" max="4" width="16.42578125" bestFit="1" customWidth="1"/>
  </cols>
  <sheetData>
    <row r="2" spans="2:6" ht="15.75" thickBot="1"/>
    <row r="3" spans="2:6" ht="15.75" thickBot="1">
      <c r="B3" s="475" t="s">
        <v>15</v>
      </c>
      <c r="C3" s="480" t="s">
        <v>83</v>
      </c>
      <c r="D3" s="472" t="s">
        <v>32</v>
      </c>
      <c r="E3" s="473"/>
      <c r="F3" s="474"/>
    </row>
    <row r="4" spans="2:6" ht="15.75" thickBot="1">
      <c r="B4" s="476"/>
      <c r="C4" s="481"/>
      <c r="D4" s="171" t="s">
        <v>188</v>
      </c>
      <c r="E4" s="147" t="s">
        <v>33</v>
      </c>
      <c r="F4" s="91" t="s">
        <v>31</v>
      </c>
    </row>
    <row r="5" spans="2:6">
      <c r="B5" s="166" t="s">
        <v>34</v>
      </c>
      <c r="C5" s="430">
        <v>1000</v>
      </c>
      <c r="D5" s="433">
        <v>2.5000000000000001E-2</v>
      </c>
      <c r="E5" s="434">
        <v>25</v>
      </c>
      <c r="F5" s="435">
        <f>E5*12</f>
        <v>300</v>
      </c>
    </row>
    <row r="6" spans="2:6">
      <c r="B6" s="167" t="s">
        <v>35</v>
      </c>
      <c r="C6" s="431">
        <v>1000</v>
      </c>
      <c r="D6" s="440">
        <v>3.5000000000000003E-2</v>
      </c>
      <c r="E6" s="224">
        <v>35</v>
      </c>
      <c r="F6" s="436">
        <f>E6*12</f>
        <v>420</v>
      </c>
    </row>
    <row r="7" spans="2:6" ht="15" customHeight="1">
      <c r="B7" s="167" t="s">
        <v>182</v>
      </c>
      <c r="C7" s="432">
        <v>1</v>
      </c>
      <c r="D7" s="170"/>
      <c r="E7" s="437">
        <v>360</v>
      </c>
      <c r="F7" s="438">
        <f>E7*12</f>
        <v>4320</v>
      </c>
    </row>
    <row r="8" spans="2:6" ht="15.75" thickBot="1">
      <c r="B8" s="168" t="s">
        <v>36</v>
      </c>
      <c r="C8" s="165"/>
      <c r="D8" s="52"/>
      <c r="E8" s="96">
        <v>2500</v>
      </c>
      <c r="F8" s="439">
        <f>E8*12</f>
        <v>30000</v>
      </c>
    </row>
    <row r="9" spans="2:6" ht="15.75" thickBot="1">
      <c r="B9" s="477" t="s">
        <v>37</v>
      </c>
      <c r="C9" s="478"/>
      <c r="D9" s="479"/>
      <c r="E9" s="441">
        <f>+SUM(E5:E8)</f>
        <v>2920</v>
      </c>
      <c r="F9" s="442">
        <f>SUM(F5:F8)</f>
        <v>35040</v>
      </c>
    </row>
    <row r="10" spans="2:6">
      <c r="C10" s="30"/>
      <c r="D10" s="30"/>
    </row>
  </sheetData>
  <mergeCells count="4">
    <mergeCell ref="D3:F3"/>
    <mergeCell ref="B3:B4"/>
    <mergeCell ref="B9:D9"/>
    <mergeCell ref="C3:C4"/>
  </mergeCells>
  <phoneticPr fontId="0" type="noConversion"/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C3:J19"/>
  <sheetViews>
    <sheetView workbookViewId="0">
      <selection activeCell="G9" sqref="G9"/>
    </sheetView>
  </sheetViews>
  <sheetFormatPr baseColWidth="10" defaultRowHeight="15"/>
  <cols>
    <col min="3" max="3" width="19.5703125" bestFit="1" customWidth="1"/>
    <col min="6" max="6" width="14.7109375" customWidth="1"/>
    <col min="7" max="7" width="14.140625" bestFit="1" customWidth="1"/>
    <col min="8" max="8" width="14.5703125" customWidth="1"/>
    <col min="9" max="9" width="12.5703125" bestFit="1" customWidth="1"/>
    <col min="10" max="10" width="13.85546875" bestFit="1" customWidth="1"/>
  </cols>
  <sheetData>
    <row r="3" spans="3:10" ht="15.75" thickBot="1">
      <c r="C3" s="50" t="s">
        <v>38</v>
      </c>
    </row>
    <row r="4" spans="3:10" ht="15.75" thickTop="1"/>
    <row r="7" spans="3:10" ht="15.75" thickBot="1"/>
    <row r="8" spans="3:10" ht="30.75" thickBot="1">
      <c r="C8" s="103" t="s">
        <v>39</v>
      </c>
      <c r="D8" s="174" t="s">
        <v>40</v>
      </c>
      <c r="E8" s="103" t="s">
        <v>41</v>
      </c>
      <c r="F8" s="175" t="s">
        <v>42</v>
      </c>
      <c r="G8" s="176" t="s">
        <v>43</v>
      </c>
      <c r="H8" s="174" t="s">
        <v>44</v>
      </c>
      <c r="I8" s="176" t="s">
        <v>86</v>
      </c>
      <c r="J8" s="104" t="s">
        <v>45</v>
      </c>
    </row>
    <row r="9" spans="3:10">
      <c r="C9" s="178" t="s">
        <v>2</v>
      </c>
      <c r="D9" s="179">
        <f>+'INVERSION INICIAL'!D6</f>
        <v>16250</v>
      </c>
      <c r="E9" s="182">
        <v>10</v>
      </c>
      <c r="F9" s="130">
        <f t="shared" ref="F9:F14" si="0">SLN(D9,G9,E9)</f>
        <v>1462.5</v>
      </c>
      <c r="G9" s="182">
        <f t="shared" ref="G9:G14" si="1">0.1*D9</f>
        <v>1625</v>
      </c>
      <c r="H9" s="130">
        <v>10</v>
      </c>
      <c r="I9" s="182">
        <f t="shared" ref="I9:I14" si="2">F9*H9</f>
        <v>14625</v>
      </c>
      <c r="J9" s="186">
        <f t="shared" ref="J9:J14" si="3">D9-I9</f>
        <v>1625</v>
      </c>
    </row>
    <row r="10" spans="3:10">
      <c r="C10" s="116" t="s">
        <v>3</v>
      </c>
      <c r="D10" s="180">
        <f>+'INVERSION INICIAL'!D7</f>
        <v>8184</v>
      </c>
      <c r="E10" s="183">
        <v>10</v>
      </c>
      <c r="F10" s="131">
        <f t="shared" si="0"/>
        <v>736.56000000000006</v>
      </c>
      <c r="G10" s="183">
        <f t="shared" si="1"/>
        <v>818.40000000000009</v>
      </c>
      <c r="H10" s="131">
        <v>10</v>
      </c>
      <c r="I10" s="183">
        <f t="shared" si="2"/>
        <v>7365.6</v>
      </c>
      <c r="J10" s="187">
        <f t="shared" si="3"/>
        <v>818.39999999999964</v>
      </c>
    </row>
    <row r="11" spans="3:10">
      <c r="C11" s="116" t="s">
        <v>4</v>
      </c>
      <c r="D11" s="180">
        <f>'INVERSION INICIAL'!D8</f>
        <v>1440</v>
      </c>
      <c r="E11" s="183">
        <v>3</v>
      </c>
      <c r="F11" s="131">
        <f t="shared" si="0"/>
        <v>432</v>
      </c>
      <c r="G11" s="183">
        <f t="shared" si="1"/>
        <v>144</v>
      </c>
      <c r="H11" s="131">
        <v>3</v>
      </c>
      <c r="I11" s="183">
        <f t="shared" si="2"/>
        <v>1296</v>
      </c>
      <c r="J11" s="187">
        <f t="shared" si="3"/>
        <v>144</v>
      </c>
    </row>
    <row r="12" spans="3:10">
      <c r="C12" s="116" t="s">
        <v>5</v>
      </c>
      <c r="D12" s="180">
        <f>+'INVERSION INICIAL'!D9</f>
        <v>350</v>
      </c>
      <c r="E12" s="183">
        <v>5</v>
      </c>
      <c r="F12" s="131">
        <f t="shared" si="0"/>
        <v>63</v>
      </c>
      <c r="G12" s="183">
        <f t="shared" si="1"/>
        <v>35</v>
      </c>
      <c r="H12" s="131">
        <v>5</v>
      </c>
      <c r="I12" s="183">
        <f t="shared" si="2"/>
        <v>315</v>
      </c>
      <c r="J12" s="187">
        <f t="shared" si="3"/>
        <v>35</v>
      </c>
    </row>
    <row r="13" spans="3:10">
      <c r="C13" s="116" t="s">
        <v>6</v>
      </c>
      <c r="D13" s="180">
        <f>+'INVERSION INICIAL'!D10</f>
        <v>84</v>
      </c>
      <c r="E13" s="183">
        <v>5</v>
      </c>
      <c r="F13" s="131">
        <f t="shared" si="0"/>
        <v>15.12</v>
      </c>
      <c r="G13" s="183">
        <f t="shared" si="1"/>
        <v>8.4</v>
      </c>
      <c r="H13" s="131">
        <v>5</v>
      </c>
      <c r="I13" s="183">
        <f t="shared" si="2"/>
        <v>75.599999999999994</v>
      </c>
      <c r="J13" s="187">
        <f t="shared" si="3"/>
        <v>8.4000000000000057</v>
      </c>
    </row>
    <row r="14" spans="3:10" ht="15.75" thickBot="1">
      <c r="C14" s="168" t="s">
        <v>7</v>
      </c>
      <c r="D14" s="181">
        <f>+'INVERSION INICIAL'!D11</f>
        <v>5200</v>
      </c>
      <c r="E14" s="184">
        <v>10</v>
      </c>
      <c r="F14" s="185">
        <f t="shared" si="0"/>
        <v>468</v>
      </c>
      <c r="G14" s="184">
        <f t="shared" si="1"/>
        <v>520</v>
      </c>
      <c r="H14" s="185">
        <v>10</v>
      </c>
      <c r="I14" s="184">
        <f t="shared" si="2"/>
        <v>4680</v>
      </c>
      <c r="J14" s="188">
        <f t="shared" si="3"/>
        <v>520</v>
      </c>
    </row>
    <row r="15" spans="3:10" ht="15.75" thickBot="1">
      <c r="C15" s="177"/>
      <c r="D15" s="141">
        <f>SUM(D9:D14)</f>
        <v>31508</v>
      </c>
      <c r="E15" s="164" t="s">
        <v>8</v>
      </c>
      <c r="F15" s="172">
        <f>SUM(F9:F14)</f>
        <v>3177.18</v>
      </c>
      <c r="G15" s="173">
        <f>SUM(G9:G14)</f>
        <v>3150.8</v>
      </c>
      <c r="H15" s="1"/>
      <c r="I15" s="1"/>
      <c r="J15" s="1"/>
    </row>
    <row r="16" spans="3:10">
      <c r="D16" s="1"/>
      <c r="E16" s="1"/>
      <c r="F16" s="1"/>
      <c r="G16" s="1"/>
      <c r="H16" s="1"/>
      <c r="I16" s="1"/>
      <c r="J16" s="1"/>
    </row>
    <row r="19" spans="8:10">
      <c r="H19">
        <v>16250</v>
      </c>
      <c r="I19">
        <v>1625</v>
      </c>
      <c r="J19">
        <v>1462.5</v>
      </c>
    </row>
  </sheetData>
  <phoneticPr fontId="0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6"/>
  <sheetViews>
    <sheetView workbookViewId="0">
      <selection sqref="A1:E6"/>
    </sheetView>
  </sheetViews>
  <sheetFormatPr baseColWidth="10" defaultRowHeight="15"/>
  <cols>
    <col min="4" max="4" width="12" bestFit="1" customWidth="1"/>
    <col min="5" max="5" width="12.42578125" bestFit="1" customWidth="1"/>
  </cols>
  <sheetData>
    <row r="1" spans="1:6" ht="15.75" thickBot="1">
      <c r="A1" s="169" t="s">
        <v>128</v>
      </c>
      <c r="B1" s="189"/>
      <c r="C1" s="190"/>
      <c r="D1" s="191">
        <f>+SUM(D2:D5)</f>
        <v>61343.102666666666</v>
      </c>
    </row>
    <row r="2" spans="1:6">
      <c r="A2" s="44" t="s">
        <v>127</v>
      </c>
      <c r="B2" s="192"/>
      <c r="C2" s="193"/>
      <c r="D2" s="201">
        <f>'INVERSION INICIAL'!D3</f>
        <v>9200</v>
      </c>
      <c r="E2" s="17"/>
      <c r="F2" s="17"/>
    </row>
    <row r="3" spans="1:6" ht="15.75" thickBot="1">
      <c r="A3" s="194" t="s">
        <v>115</v>
      </c>
      <c r="B3" s="16"/>
      <c r="C3" s="195"/>
      <c r="D3" s="202">
        <v>31508</v>
      </c>
      <c r="E3" s="17"/>
      <c r="F3" s="17"/>
    </row>
    <row r="4" spans="1:6" ht="15.75" thickBot="1">
      <c r="A4" s="196" t="s">
        <v>116</v>
      </c>
      <c r="B4" s="18"/>
      <c r="C4" s="197"/>
      <c r="D4" s="202">
        <v>300</v>
      </c>
      <c r="E4" s="205">
        <f>E6-E5</f>
        <v>-8066.4821333333311</v>
      </c>
      <c r="F4" s="17"/>
    </row>
    <row r="5" spans="1:6" ht="15.75" thickBot="1">
      <c r="A5" s="198" t="s">
        <v>117</v>
      </c>
      <c r="B5" s="199"/>
      <c r="C5" s="200"/>
      <c r="D5" s="203">
        <f>-('Capital de Trabajo'!E12)</f>
        <v>20335.102666666666</v>
      </c>
      <c r="E5" s="204">
        <f>D5</f>
        <v>20335.102666666666</v>
      </c>
      <c r="F5" s="17"/>
    </row>
    <row r="6" spans="1:6" ht="15.75" thickBot="1">
      <c r="A6" s="482" t="s">
        <v>162</v>
      </c>
      <c r="B6" s="483"/>
      <c r="C6" s="483"/>
      <c r="D6" s="484"/>
      <c r="E6" s="57">
        <f>D1*20%</f>
        <v>12268.620533333335</v>
      </c>
      <c r="F6" s="17"/>
    </row>
    <row r="7" spans="1:6">
      <c r="A7" s="17"/>
      <c r="B7" s="17"/>
      <c r="C7" s="17"/>
      <c r="D7" s="17"/>
      <c r="E7" s="17"/>
      <c r="F7" s="17"/>
    </row>
    <row r="8" spans="1:6">
      <c r="A8" s="17" t="s">
        <v>118</v>
      </c>
      <c r="B8" s="19">
        <v>0.1</v>
      </c>
      <c r="C8" s="17"/>
      <c r="D8" s="17"/>
      <c r="E8" s="17"/>
      <c r="F8" s="17"/>
    </row>
    <row r="9" spans="1:6" ht="15.75" thickBot="1">
      <c r="A9" s="17"/>
      <c r="B9" s="17"/>
      <c r="C9" s="17"/>
      <c r="D9" s="17"/>
      <c r="E9" s="17"/>
      <c r="F9" s="17"/>
    </row>
    <row r="10" spans="1:6" ht="15.75" thickBot="1">
      <c r="A10" s="17"/>
      <c r="B10" s="206" t="s">
        <v>119</v>
      </c>
      <c r="C10" s="207" t="s">
        <v>120</v>
      </c>
      <c r="D10" s="210" t="s">
        <v>121</v>
      </c>
      <c r="E10" s="207" t="s">
        <v>122</v>
      </c>
      <c r="F10" s="212" t="s">
        <v>119</v>
      </c>
    </row>
    <row r="11" spans="1:6">
      <c r="A11" s="17"/>
      <c r="B11" s="213">
        <v>0</v>
      </c>
      <c r="C11" s="214">
        <f>E6</f>
        <v>12268.620533333335</v>
      </c>
      <c r="D11" s="215"/>
      <c r="E11" s="216"/>
      <c r="F11" s="217"/>
    </row>
    <row r="12" spans="1:6">
      <c r="A12" s="17"/>
      <c r="B12" s="196">
        <v>1</v>
      </c>
      <c r="C12" s="208">
        <f>C11-D12</f>
        <v>9814.896426666668</v>
      </c>
      <c r="D12" s="211">
        <f>$E$6/5</f>
        <v>2453.724106666667</v>
      </c>
      <c r="E12" s="208">
        <f>C11*$B$8</f>
        <v>1226.8620533333335</v>
      </c>
      <c r="F12" s="218">
        <f>E12+D12</f>
        <v>3680.5861600000007</v>
      </c>
    </row>
    <row r="13" spans="1:6">
      <c r="A13" s="17"/>
      <c r="B13" s="196">
        <v>2</v>
      </c>
      <c r="C13" s="208">
        <f>C12-D13</f>
        <v>7361.1723200000015</v>
      </c>
      <c r="D13" s="211">
        <f>$E$6/5</f>
        <v>2453.724106666667</v>
      </c>
      <c r="E13" s="208">
        <f>C12*$B$8</f>
        <v>981.4896426666669</v>
      </c>
      <c r="F13" s="218">
        <f>E13+D13</f>
        <v>3435.2137493333339</v>
      </c>
    </row>
    <row r="14" spans="1:6">
      <c r="A14" s="17"/>
      <c r="B14" s="196">
        <v>3</v>
      </c>
      <c r="C14" s="208">
        <f>C13-D14</f>
        <v>4907.4482133333349</v>
      </c>
      <c r="D14" s="211">
        <f>$E$6/5</f>
        <v>2453.724106666667</v>
      </c>
      <c r="E14" s="208">
        <f>C13*$B$8</f>
        <v>736.11723200000017</v>
      </c>
      <c r="F14" s="218">
        <f>E14+D14</f>
        <v>3189.8413386666671</v>
      </c>
    </row>
    <row r="15" spans="1:6">
      <c r="A15" s="17"/>
      <c r="B15" s="196">
        <v>4</v>
      </c>
      <c r="C15" s="208">
        <f>C14-D15</f>
        <v>2453.7241066666679</v>
      </c>
      <c r="D15" s="211">
        <f>$E$6/5</f>
        <v>2453.724106666667</v>
      </c>
      <c r="E15" s="208">
        <f>C14*$B$8</f>
        <v>490.7448213333335</v>
      </c>
      <c r="F15" s="218">
        <f>E15+D15</f>
        <v>2944.4689280000007</v>
      </c>
    </row>
    <row r="16" spans="1:6" ht="15.75" thickBot="1">
      <c r="A16" s="17"/>
      <c r="B16" s="219">
        <v>5</v>
      </c>
      <c r="C16" s="209">
        <f>C15-D16</f>
        <v>0</v>
      </c>
      <c r="D16" s="220">
        <f>$E$6/5</f>
        <v>2453.724106666667</v>
      </c>
      <c r="E16" s="209">
        <f>C15*$B$8</f>
        <v>245.37241066666681</v>
      </c>
      <c r="F16" s="221">
        <f>E16+D16</f>
        <v>2699.0965173333338</v>
      </c>
    </row>
  </sheetData>
  <mergeCells count="1">
    <mergeCell ref="A6:D6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17</vt:i4>
      </vt:variant>
    </vt:vector>
  </HeadingPairs>
  <TitlesOfParts>
    <vt:vector size="17" baseType="lpstr">
      <vt:lpstr>INGRESO POR VENTAS </vt:lpstr>
      <vt:lpstr>MATERIA RPIMA</vt:lpstr>
      <vt:lpstr>INVERSION INICIAL</vt:lpstr>
      <vt:lpstr>AMORTIZACION INTANGIBLE</vt:lpstr>
      <vt:lpstr>GASTOS PRE- OPERATIVOS</vt:lpstr>
      <vt:lpstr>GASTOS ADMINISTRATIVOS</vt:lpstr>
      <vt:lpstr>GASTOS DE PUBLCIIDAD</vt:lpstr>
      <vt:lpstr>DEPRECIACION</vt:lpstr>
      <vt:lpstr>AMORTIZACION</vt:lpstr>
      <vt:lpstr>TMAR</vt:lpstr>
      <vt:lpstr>Capital de Trabajo</vt:lpstr>
      <vt:lpstr>FLJO DE CJA</vt:lpstr>
      <vt:lpstr>PERDIDA Y GANANCIAS </vt:lpstr>
      <vt:lpstr>Analisis de Sensibilidad</vt:lpstr>
      <vt:lpstr>SENSIBILIZADO</vt:lpstr>
      <vt:lpstr>Hoja1</vt:lpstr>
      <vt:lpstr>Hoja2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Mishell</dc:creator>
  <cp:lastModifiedBy>USER</cp:lastModifiedBy>
  <dcterms:created xsi:type="dcterms:W3CDTF">2010-04-21T21:33:23Z</dcterms:created>
  <dcterms:modified xsi:type="dcterms:W3CDTF">2010-04-25T00:20:58Z</dcterms:modified>
</cp:coreProperties>
</file>