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firstSheet="4" activeTab="7"/>
  </bookViews>
  <sheets>
    <sheet name="Inversion de maquinas" sheetId="1" r:id="rId1"/>
    <sheet name="Consumo de energia" sheetId="2" r:id="rId2"/>
    <sheet name="Balance maquinarias" sheetId="3" r:id="rId3"/>
    <sheet name="Balance de Personal" sheetId="4" r:id="rId4"/>
    <sheet name="Balance de Materiales" sheetId="5" r:id="rId5"/>
    <sheet name="Balance de MP" sheetId="6" r:id="rId6"/>
    <sheet name="Balance de insumos generales" sheetId="7" r:id="rId7"/>
    <sheet name="FlujoFondos" sheetId="8" r:id="rId8"/>
  </sheets>
  <definedNames>
    <definedName name="_xlnm.Print_Area" localSheetId="6">'Balance de insumos generales'!$A$1:$E$8</definedName>
    <definedName name="_xlnm.Print_Area" localSheetId="4">'Balance de Materiales'!$A$1:$E$25</definedName>
    <definedName name="_xlnm.Print_Area" localSheetId="5">'Balance de MP'!$A$2:$E$19</definedName>
    <definedName name="_xlnm.Print_Area" localSheetId="3">'Balance de Personal'!$A$1:$E$11</definedName>
    <definedName name="_xlnm.Print_Area" localSheetId="7">'FlujoFondos'!$A$1:$G$39</definedName>
  </definedNames>
  <calcPr fullCalcOnLoad="1"/>
</workbook>
</file>

<file path=xl/sharedStrings.xml><?xml version="1.0" encoding="utf-8"?>
<sst xmlns="http://schemas.openxmlformats.org/spreadsheetml/2006/main" count="274" uniqueCount="175">
  <si>
    <t>Item</t>
  </si>
  <si>
    <t>Equipo</t>
  </si>
  <si>
    <t>Molino Mezclador (Tipo chileno)</t>
  </si>
  <si>
    <t>NOTA: Los equipos fueron cotizados en empresas nacionales e incluyen IVA</t>
  </si>
  <si>
    <t>Maquina Vibradora para desmoldeo</t>
  </si>
  <si>
    <t>Tambor Separador magnetico de metales</t>
  </si>
  <si>
    <t>Skip de carga con sist. Volteo</t>
  </si>
  <si>
    <t>Elevador de cangilones</t>
  </si>
  <si>
    <t>Maquina moldeadora por golpe y apriete</t>
  </si>
  <si>
    <t>Maquina granalladora</t>
  </si>
  <si>
    <t>Amoladora manual</t>
  </si>
  <si>
    <t>Cantidad requerida</t>
  </si>
  <si>
    <t>LISTA DE EQUIPOS</t>
  </si>
  <si>
    <t>COSTO TOTAL DE INVERSION DE EQUIPOS</t>
  </si>
  <si>
    <t>Cantidad</t>
  </si>
  <si>
    <t>BALANCE DE MAQUINARIAS</t>
  </si>
  <si>
    <t>INVERSION INICIAL EN MAQUINARIAS</t>
  </si>
  <si>
    <t>Vida Util</t>
  </si>
  <si>
    <t xml:space="preserve">Costo </t>
  </si>
  <si>
    <t>Unitario( USD)</t>
  </si>
  <si>
    <t>Total(USD)</t>
  </si>
  <si>
    <t>Valor de</t>
  </si>
  <si>
    <t>desecho</t>
  </si>
  <si>
    <t>Cargo</t>
  </si>
  <si>
    <t>Numero de</t>
  </si>
  <si>
    <t>Puestos</t>
  </si>
  <si>
    <t>Unitario(USD)</t>
  </si>
  <si>
    <t>Remuneracion anual</t>
  </si>
  <si>
    <t>Material</t>
  </si>
  <si>
    <t>Unidad de</t>
  </si>
  <si>
    <t>Medida</t>
  </si>
  <si>
    <t>Costo anual</t>
  </si>
  <si>
    <t>Coke</t>
  </si>
  <si>
    <t>Grafito</t>
  </si>
  <si>
    <t>Carbon de madera</t>
  </si>
  <si>
    <t>Arena Sintetica</t>
  </si>
  <si>
    <t>Arcilla fina tipo Bentonita calcica</t>
  </si>
  <si>
    <t>Harina de trigo</t>
  </si>
  <si>
    <t>Azucar</t>
  </si>
  <si>
    <t>Liga de magnesio-hierro-silicio</t>
  </si>
  <si>
    <t>Inoculante IM43</t>
  </si>
  <si>
    <t>Ton.</t>
  </si>
  <si>
    <t>Kg.</t>
  </si>
  <si>
    <t>Esmeriladora de pedestal</t>
  </si>
  <si>
    <t>Maquina</t>
  </si>
  <si>
    <t>BALANCE DE INSUMOS GENERALES</t>
  </si>
  <si>
    <t>Kw.</t>
  </si>
  <si>
    <t>Esmeril</t>
  </si>
  <si>
    <t>Piedra para esmeril 16" diametro</t>
  </si>
  <si>
    <t>Unid.</t>
  </si>
  <si>
    <t>chatarra de acero</t>
  </si>
  <si>
    <t>Pintura epoxica</t>
  </si>
  <si>
    <t>Skip de carga con sist. Volteo(Incluy. Tolvas)</t>
  </si>
  <si>
    <t>Electrodos de grafito</t>
  </si>
  <si>
    <t>(año)</t>
  </si>
  <si>
    <t>Manganeso en forma de Ferromanganeso</t>
  </si>
  <si>
    <t>Silicio en forma de Ferrosilicio</t>
  </si>
  <si>
    <t>Potencia</t>
  </si>
  <si>
    <t>del motor( HP)</t>
  </si>
  <si>
    <t>del Equipo(HP)</t>
  </si>
  <si>
    <t>Bandas Transportadoras</t>
  </si>
  <si>
    <t>Maquina granalladora (Incluy. Aspirador de polvos)</t>
  </si>
  <si>
    <t xml:space="preserve">                mencionados</t>
  </si>
  <si>
    <t xml:space="preserve">BALANCE DE MATERIA PRIMA </t>
  </si>
  <si>
    <t>Materia Prima</t>
  </si>
  <si>
    <t>BALANCE DE MATERIALES</t>
  </si>
  <si>
    <t>Materiales</t>
  </si>
  <si>
    <t>Uni.</t>
  </si>
  <si>
    <t>Anillo roscado de retencion</t>
  </si>
  <si>
    <t>retenedor vastago</t>
  </si>
  <si>
    <t>Sello trasero</t>
  </si>
  <si>
    <t>Hidrosello union JH-PVC</t>
  </si>
  <si>
    <t>Plato de Sujecion</t>
  </si>
  <si>
    <t>Sello elastico</t>
  </si>
  <si>
    <t>Obturador</t>
  </si>
  <si>
    <t>Tuerca Vastago</t>
  </si>
  <si>
    <t>Empaque entre cuerpos</t>
  </si>
  <si>
    <t>Tapa cuerpo superior</t>
  </si>
  <si>
    <t>Portasellos o'ring</t>
  </si>
  <si>
    <t>Vastago</t>
  </si>
  <si>
    <t>Dado de operacion triangular</t>
  </si>
  <si>
    <t>Arandela</t>
  </si>
  <si>
    <t>Costo total del Personal</t>
  </si>
  <si>
    <t xml:space="preserve">              2-  Se asumio que el consumo es el 80% de la potencia de cada equipo</t>
  </si>
  <si>
    <t xml:space="preserve">Energia electrica consumida por resto de equipos de produccion </t>
  </si>
  <si>
    <t>Energia electrica consumida por horno de induccion</t>
  </si>
  <si>
    <t>Supervisor de Planta/Control de Calidad</t>
  </si>
  <si>
    <t>Operaciones a Cargo</t>
  </si>
  <si>
    <t>Moldeador/Esmerilador</t>
  </si>
  <si>
    <t>Ayudante de Moldeador/Esmerilador</t>
  </si>
  <si>
    <t>3-4-5-8-9-10-13-14-20-21-22-23-24</t>
  </si>
  <si>
    <t>Operario del Granallado</t>
  </si>
  <si>
    <t>Ayudante de Granallado</t>
  </si>
  <si>
    <t>Desmoldeador/Ensamblador</t>
  </si>
  <si>
    <t>1-6-12-15-19-27</t>
  </si>
  <si>
    <t>2-7-15-17-18-19-27</t>
  </si>
  <si>
    <t>27-28-32</t>
  </si>
  <si>
    <t>26-31-29</t>
  </si>
  <si>
    <t>BALANCE DE PERSONAL OPERATIVO</t>
  </si>
  <si>
    <t>Total de Empleados Operativos</t>
  </si>
  <si>
    <t>Costo de Inversion Total(USD)</t>
  </si>
  <si>
    <t>Horno de Induccion (Reconstruido)</t>
  </si>
  <si>
    <t>Elevador de cangilones a 4 m.(Incluy. Tolvas)</t>
  </si>
  <si>
    <t>Molino Mezclador 200 Kg. (Tipo chileno)</t>
  </si>
  <si>
    <t>Maquina Vibradora excentrica para desmoldeo</t>
  </si>
  <si>
    <t>Tipo Gugman por lanzamiento con impulsor</t>
  </si>
  <si>
    <t>Maquina granalladora Tipo Gugman por lanzamiento con imp.</t>
  </si>
  <si>
    <t xml:space="preserve">Notas:    Las respectivas potencias son referidas a los motores electricos de cada uno de los equipos </t>
  </si>
  <si>
    <t xml:space="preserve">LISTA DE EQUIPOS </t>
  </si>
  <si>
    <t>Volumen de produccion: 4124 valvulas/año</t>
  </si>
  <si>
    <t>Volumen de Produccion: 4124 valvulas/año</t>
  </si>
  <si>
    <t>Tornillo obturador</t>
  </si>
  <si>
    <t>Cuerpo</t>
  </si>
  <si>
    <t>Tornillo Brida cuerpos</t>
  </si>
  <si>
    <t>Sello o' ring</t>
  </si>
  <si>
    <t>Sellos o' ring</t>
  </si>
  <si>
    <t>Tornillo dado operación</t>
  </si>
  <si>
    <t>Tiempo de Trabajo</t>
  </si>
  <si>
    <t>Consumo equipos de la Planta</t>
  </si>
  <si>
    <t>HP</t>
  </si>
  <si>
    <t>Energia consumida</t>
  </si>
  <si>
    <t>(Kw./Hr.)</t>
  </si>
  <si>
    <t>Costo total de Materia Prima en el 2006</t>
  </si>
  <si>
    <t>Costo total de Materiales en el 2006</t>
  </si>
  <si>
    <t>BALANCE DE PERSONAL ADIMINSTRATIVO</t>
  </si>
  <si>
    <t>Gerente General</t>
  </si>
  <si>
    <t>Vendedor</t>
  </si>
  <si>
    <t>Secretaria</t>
  </si>
  <si>
    <t>gl.</t>
  </si>
  <si>
    <t>Kw/Hr</t>
  </si>
  <si>
    <t>Ingresos</t>
  </si>
  <si>
    <t>Venta de Valvulas</t>
  </si>
  <si>
    <t>Precio de Venta</t>
  </si>
  <si>
    <t>Unidades</t>
  </si>
  <si>
    <t>TOTAL INGRESOS</t>
  </si>
  <si>
    <t>Costos Variables</t>
  </si>
  <si>
    <t xml:space="preserve">Materiales/Accesorios </t>
  </si>
  <si>
    <t>Costo Unitario Materia Prima</t>
  </si>
  <si>
    <t>Consumo Energia Electrica Horno Induccion</t>
  </si>
  <si>
    <t xml:space="preserve">Consumo Energia Electrica Otras Maquinas </t>
  </si>
  <si>
    <t>Costo Unitario Energia Electrica Otras Maquinas</t>
  </si>
  <si>
    <t>Pintura Epoxica</t>
  </si>
  <si>
    <t>Costo Unitario Pintura Epoxica</t>
  </si>
  <si>
    <t>Gastos de Mantenimiento</t>
  </si>
  <si>
    <t>TOTAL COSTOS VARIABLES</t>
  </si>
  <si>
    <t>Costos Fijos</t>
  </si>
  <si>
    <t>Gastos de Personal</t>
  </si>
  <si>
    <t>Beneficios Sociales</t>
  </si>
  <si>
    <t>Arriendo de Oficinas</t>
  </si>
  <si>
    <t>Insumos de Oficina</t>
  </si>
  <si>
    <t>Otros</t>
  </si>
  <si>
    <t>Depreciacion/Amortizacion</t>
  </si>
  <si>
    <t>TOTAL COSTOS FIJOS</t>
  </si>
  <si>
    <t>MARGEN BRUTO</t>
  </si>
  <si>
    <t>IMPUESTO A LA RENTA (25%)</t>
  </si>
  <si>
    <t>PARTICIP TRABAJADORES (15%)</t>
  </si>
  <si>
    <t>MARGEN NETO</t>
  </si>
  <si>
    <t>CAPEX (INVERSIONES DE CAPITAL)</t>
  </si>
  <si>
    <t>FLUJO DE FONDOS</t>
  </si>
  <si>
    <t>TIR</t>
  </si>
  <si>
    <t>VAN (AL 15%)</t>
  </si>
  <si>
    <t>AÑOS</t>
  </si>
  <si>
    <t>TOTAL IMPUESTOS</t>
  </si>
  <si>
    <t>Cantidad Consumida</t>
  </si>
  <si>
    <t>por Año</t>
  </si>
  <si>
    <t>Costo Unitario de Energia Electrica Horno Induccion</t>
  </si>
  <si>
    <t>Costo Unitario por Materiales</t>
  </si>
  <si>
    <t>TOTAL CONSUMO DE ENERGIA DE LAS MAQUINARIAS POR DIA</t>
  </si>
  <si>
    <t>CONSUMO DE ENERGIA  DE LAS MAQUINARIAS</t>
  </si>
  <si>
    <t xml:space="preserve"> por dia(Hr.)</t>
  </si>
  <si>
    <t>Precio(USD/Unidad de Medida)</t>
  </si>
  <si>
    <t>Unitario</t>
  </si>
  <si>
    <t>Total</t>
  </si>
  <si>
    <t>Costo total de Insumos generales en el 2006</t>
  </si>
  <si>
    <t>FLUJO DE FONDOS ACUMULADO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</si>
</sst>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$&quot;\ #,##0.00_);[Red]\(&quot;$&quot;#,##0.00\)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"/>
    <numFmt numFmtId="196" formatCode="#,##0.000000"/>
    <numFmt numFmtId="197" formatCode="#,##0.00000"/>
    <numFmt numFmtId="198" formatCode="#,##0.0000"/>
    <numFmt numFmtId="199" formatCode="#,##0.000"/>
    <numFmt numFmtId="200" formatCode="0.0%"/>
    <numFmt numFmtId="201" formatCode="0.000%"/>
    <numFmt numFmtId="202" formatCode="0.0"/>
    <numFmt numFmtId="203" formatCode="0.000"/>
    <numFmt numFmtId="204" formatCode="&quot;$&quot;\ #,##0.000_);[Red]\(&quot;$&quot;#,##0.000\)"/>
    <numFmt numFmtId="205" formatCode="&quot;$&quot;#,##0.000_);[Red]\(&quot;$&quot;#,##0.000\)"/>
    <numFmt numFmtId="206" formatCode="&quot;$&quot;#,##0.0000_);[Red]\(&quot;$&quot;#,##0.0000\)"/>
    <numFmt numFmtId="207" formatCode="&quot;$&quot;#,##0.00000_);[Red]\(&quot;$&quot;#,##0.000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7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29" xfId="0" applyFill="1" applyBorder="1" applyAlignment="1">
      <alignment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6" fontId="0" fillId="0" borderId="5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6" borderId="30" xfId="0" applyFill="1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" borderId="30" xfId="0" applyFill="1" applyBorder="1" applyAlignment="1">
      <alignment/>
    </xf>
    <xf numFmtId="0" fontId="2" fillId="3" borderId="5" xfId="0" applyFont="1" applyFill="1" applyBorder="1" applyAlignment="1">
      <alignment horizontal="center"/>
    </xf>
    <xf numFmtId="190" fontId="2" fillId="0" borderId="0" xfId="0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7" fillId="7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9" fillId="9" borderId="46" xfId="0" applyFont="1" applyFill="1" applyBorder="1" applyAlignment="1">
      <alignment/>
    </xf>
    <xf numFmtId="0" fontId="10" fillId="9" borderId="47" xfId="0" applyFont="1" applyFill="1" applyBorder="1" applyAlignment="1">
      <alignment horizontal="center"/>
    </xf>
    <xf numFmtId="0" fontId="10" fillId="9" borderId="48" xfId="0" applyFont="1" applyFill="1" applyBorder="1" applyAlignment="1">
      <alignment horizontal="center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7" xfId="0" applyFont="1" applyBorder="1" applyAlignment="1">
      <alignment/>
    </xf>
    <xf numFmtId="190" fontId="11" fillId="0" borderId="17" xfId="0" applyNumberFormat="1" applyFont="1" applyBorder="1" applyAlignment="1">
      <alignment horizontal="center"/>
    </xf>
    <xf numFmtId="190" fontId="11" fillId="0" borderId="22" xfId="0" applyNumberFormat="1" applyFont="1" applyBorder="1" applyAlignment="1">
      <alignment horizontal="center"/>
    </xf>
    <xf numFmtId="0" fontId="12" fillId="0" borderId="21" xfId="0" applyFont="1" applyBorder="1" applyAlignment="1">
      <alignment horizontal="left" indent="4"/>
    </xf>
    <xf numFmtId="190" fontId="12" fillId="0" borderId="17" xfId="0" applyNumberFormat="1" applyFont="1" applyBorder="1" applyAlignment="1">
      <alignment horizontal="center"/>
    </xf>
    <xf numFmtId="190" fontId="12" fillId="0" borderId="22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11" fillId="2" borderId="21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190" fontId="11" fillId="2" borderId="17" xfId="0" applyNumberFormat="1" applyFont="1" applyFill="1" applyBorder="1" applyAlignment="1">
      <alignment horizontal="center"/>
    </xf>
    <xf numFmtId="190" fontId="11" fillId="2" borderId="22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22" xfId="0" applyFont="1" applyBorder="1" applyAlignment="1">
      <alignment/>
    </xf>
    <xf numFmtId="204" fontId="12" fillId="0" borderId="17" xfId="0" applyNumberFormat="1" applyFont="1" applyBorder="1" applyAlignment="1">
      <alignment horizontal="center"/>
    </xf>
    <xf numFmtId="204" fontId="12" fillId="0" borderId="22" xfId="0" applyNumberFormat="1" applyFont="1" applyBorder="1" applyAlignment="1">
      <alignment horizontal="center"/>
    </xf>
    <xf numFmtId="0" fontId="11" fillId="6" borderId="21" xfId="0" applyFont="1" applyFill="1" applyBorder="1" applyAlignment="1">
      <alignment/>
    </xf>
    <xf numFmtId="0" fontId="11" fillId="6" borderId="17" xfId="0" applyFont="1" applyFill="1" applyBorder="1" applyAlignment="1">
      <alignment/>
    </xf>
    <xf numFmtId="190" fontId="11" fillId="6" borderId="17" xfId="0" applyNumberFormat="1" applyFont="1" applyFill="1" applyBorder="1" applyAlignment="1">
      <alignment horizontal="center"/>
    </xf>
    <xf numFmtId="190" fontId="11" fillId="6" borderId="22" xfId="0" applyNumberFormat="1" applyFont="1" applyFill="1" applyBorder="1" applyAlignment="1">
      <alignment horizontal="center"/>
    </xf>
    <xf numFmtId="0" fontId="11" fillId="10" borderId="21" xfId="0" applyFont="1" applyFill="1" applyBorder="1" applyAlignment="1">
      <alignment/>
    </xf>
    <xf numFmtId="0" fontId="11" fillId="10" borderId="17" xfId="0" applyFont="1" applyFill="1" applyBorder="1" applyAlignment="1">
      <alignment/>
    </xf>
    <xf numFmtId="190" fontId="11" fillId="10" borderId="17" xfId="0" applyNumberFormat="1" applyFont="1" applyFill="1" applyBorder="1" applyAlignment="1">
      <alignment horizontal="center"/>
    </xf>
    <xf numFmtId="190" fontId="11" fillId="10" borderId="22" xfId="0" applyNumberFormat="1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17" xfId="0" applyFont="1" applyFill="1" applyBorder="1" applyAlignment="1">
      <alignment/>
    </xf>
    <xf numFmtId="190" fontId="13" fillId="11" borderId="17" xfId="0" applyNumberFormat="1" applyFont="1" applyFill="1" applyBorder="1" applyAlignment="1">
      <alignment horizontal="center"/>
    </xf>
    <xf numFmtId="190" fontId="13" fillId="11" borderId="22" xfId="0" applyNumberFormat="1" applyFont="1" applyFill="1" applyBorder="1" applyAlignment="1">
      <alignment horizontal="center"/>
    </xf>
    <xf numFmtId="0" fontId="13" fillId="9" borderId="21" xfId="0" applyFont="1" applyFill="1" applyBorder="1" applyAlignment="1">
      <alignment/>
    </xf>
    <xf numFmtId="0" fontId="13" fillId="9" borderId="17" xfId="0" applyFont="1" applyFill="1" applyBorder="1" applyAlignment="1">
      <alignment/>
    </xf>
    <xf numFmtId="190" fontId="13" fillId="9" borderId="17" xfId="0" applyNumberFormat="1" applyFont="1" applyFill="1" applyBorder="1" applyAlignment="1">
      <alignment horizontal="center"/>
    </xf>
    <xf numFmtId="190" fontId="13" fillId="9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190" fontId="11" fillId="0" borderId="24" xfId="0" applyNumberFormat="1" applyFont="1" applyBorder="1" applyAlignment="1">
      <alignment horizontal="center"/>
    </xf>
    <xf numFmtId="190" fontId="11" fillId="0" borderId="3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center"/>
    </xf>
    <xf numFmtId="190" fontId="11" fillId="9" borderId="24" xfId="0" applyNumberFormat="1" applyFont="1" applyFill="1" applyBorder="1" applyAlignment="1">
      <alignment horizontal="center"/>
    </xf>
    <xf numFmtId="0" fontId="13" fillId="9" borderId="46" xfId="0" applyFont="1" applyFill="1" applyBorder="1" applyAlignment="1">
      <alignment horizontal="center"/>
    </xf>
    <xf numFmtId="10" fontId="13" fillId="9" borderId="48" xfId="0" applyNumberFormat="1" applyFont="1" applyFill="1" applyBorder="1" applyAlignment="1">
      <alignment horizontal="center"/>
    </xf>
    <xf numFmtId="0" fontId="13" fillId="9" borderId="52" xfId="0" applyFont="1" applyFill="1" applyBorder="1" applyAlignment="1">
      <alignment horizontal="center"/>
    </xf>
    <xf numFmtId="185" fontId="13" fillId="9" borderId="53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8" fillId="6" borderId="15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0" fillId="12" borderId="16" xfId="0" applyFill="1" applyBorder="1" applyAlignment="1">
      <alignment/>
    </xf>
    <xf numFmtId="0" fontId="0" fillId="0" borderId="16" xfId="0" applyBorder="1" applyAlignment="1">
      <alignment/>
    </xf>
    <xf numFmtId="0" fontId="2" fillId="10" borderId="15" xfId="0" applyFont="1" applyFill="1" applyBorder="1" applyAlignment="1">
      <alignment horizontal="center"/>
    </xf>
    <xf numFmtId="0" fontId="0" fillId="10" borderId="16" xfId="0" applyFill="1" applyBorder="1" applyAlignment="1">
      <alignment/>
    </xf>
    <xf numFmtId="0" fontId="0" fillId="10" borderId="29" xfId="0" applyFill="1" applyBorder="1" applyAlignment="1">
      <alignment/>
    </xf>
    <xf numFmtId="0" fontId="2" fillId="10" borderId="34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90" fontId="13" fillId="9" borderId="0" xfId="0" applyNumberFormat="1" applyFont="1" applyFill="1" applyAlignment="1">
      <alignment/>
    </xf>
    <xf numFmtId="190" fontId="11" fillId="9" borderId="0" xfId="0" applyNumberFormat="1" applyFont="1" applyFill="1" applyAlignment="1">
      <alignment/>
    </xf>
    <xf numFmtId="0" fontId="13" fillId="9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13" sqref="E13"/>
    </sheetView>
  </sheetViews>
  <sheetFormatPr defaultColWidth="11.421875" defaultRowHeight="12.75"/>
  <cols>
    <col min="1" max="1" width="5.28125" style="0" customWidth="1"/>
    <col min="2" max="2" width="52.7109375" style="0" bestFit="1" customWidth="1"/>
    <col min="3" max="3" width="18.7109375" style="0" customWidth="1"/>
    <col min="4" max="4" width="27.57421875" style="0" customWidth="1"/>
    <col min="5" max="5" width="24.7109375" style="0" bestFit="1" customWidth="1"/>
  </cols>
  <sheetData>
    <row r="1" spans="1:4" ht="15.75" thickBot="1">
      <c r="A1" s="48"/>
      <c r="B1" s="207" t="s">
        <v>12</v>
      </c>
      <c r="C1" s="208"/>
      <c r="D1" s="49"/>
    </row>
    <row r="2" spans="1:6" ht="13.5" thickBot="1">
      <c r="A2" s="87" t="s">
        <v>0</v>
      </c>
      <c r="B2" s="88" t="s">
        <v>1</v>
      </c>
      <c r="C2" s="87" t="s">
        <v>11</v>
      </c>
      <c r="D2" s="89" t="s">
        <v>100</v>
      </c>
      <c r="E2" s="54"/>
      <c r="F2" s="79"/>
    </row>
    <row r="3" spans="1:5" ht="12.75">
      <c r="A3" s="33">
        <v>1</v>
      </c>
      <c r="B3" s="90" t="s">
        <v>103</v>
      </c>
      <c r="C3" s="90">
        <v>1</v>
      </c>
      <c r="D3" s="91">
        <v>5244.69</v>
      </c>
      <c r="E3" s="86"/>
    </row>
    <row r="4" spans="1:5" ht="12.75">
      <c r="A4" s="37">
        <f>A3+1</f>
        <v>2</v>
      </c>
      <c r="B4" s="30" t="s">
        <v>104</v>
      </c>
      <c r="C4" s="30">
        <v>1</v>
      </c>
      <c r="D4" s="92">
        <v>1134.14</v>
      </c>
      <c r="E4" s="86"/>
    </row>
    <row r="5" spans="1:5" ht="12.75">
      <c r="A5" s="37">
        <f aca="true" t="shared" si="0" ref="A5:A11">A4+1</f>
        <v>3</v>
      </c>
      <c r="B5" s="30" t="s">
        <v>5</v>
      </c>
      <c r="C5" s="30">
        <v>1</v>
      </c>
      <c r="D5" s="92">
        <v>1548.65</v>
      </c>
      <c r="E5" s="86"/>
    </row>
    <row r="6" spans="1:5" ht="12.75">
      <c r="A6" s="37">
        <f t="shared" si="0"/>
        <v>4</v>
      </c>
      <c r="B6" s="30" t="s">
        <v>52</v>
      </c>
      <c r="C6" s="30">
        <v>1</v>
      </c>
      <c r="D6" s="92">
        <v>1457.51</v>
      </c>
      <c r="E6" s="86"/>
    </row>
    <row r="7" spans="1:5" ht="12.75">
      <c r="A7" s="37">
        <f t="shared" si="0"/>
        <v>5</v>
      </c>
      <c r="B7" s="30" t="s">
        <v>102</v>
      </c>
      <c r="C7" s="30">
        <v>1</v>
      </c>
      <c r="D7" s="92">
        <v>2287.61</v>
      </c>
      <c r="E7" s="86"/>
    </row>
    <row r="8" spans="1:5" ht="12.75">
      <c r="A8" s="37">
        <f t="shared" si="0"/>
        <v>6</v>
      </c>
      <c r="B8" s="30" t="s">
        <v>8</v>
      </c>
      <c r="C8" s="30">
        <v>1</v>
      </c>
      <c r="D8" s="92">
        <v>4491.75</v>
      </c>
      <c r="E8" s="86"/>
    </row>
    <row r="9" spans="1:5" ht="12.75">
      <c r="A9" s="37">
        <f t="shared" si="0"/>
        <v>7</v>
      </c>
      <c r="B9" s="30" t="s">
        <v>106</v>
      </c>
      <c r="C9" s="30">
        <v>1</v>
      </c>
      <c r="D9" s="92">
        <v>24837.9</v>
      </c>
      <c r="E9" s="86"/>
    </row>
    <row r="10" spans="1:5" ht="12.75">
      <c r="A10" s="37">
        <f t="shared" si="0"/>
        <v>8</v>
      </c>
      <c r="B10" s="30" t="s">
        <v>47</v>
      </c>
      <c r="C10" s="30">
        <v>1</v>
      </c>
      <c r="D10" s="92">
        <v>600</v>
      </c>
      <c r="E10" s="86"/>
    </row>
    <row r="11" spans="1:5" ht="12.75">
      <c r="A11" s="37">
        <f t="shared" si="0"/>
        <v>9</v>
      </c>
      <c r="B11" s="30" t="s">
        <v>10</v>
      </c>
      <c r="C11" s="30">
        <v>4</v>
      </c>
      <c r="D11" s="92">
        <v>720</v>
      </c>
      <c r="E11" s="86"/>
    </row>
    <row r="12" spans="1:4" ht="13.5" thickBot="1">
      <c r="A12" s="39">
        <v>10</v>
      </c>
      <c r="B12" s="93" t="s">
        <v>101</v>
      </c>
      <c r="C12" s="93">
        <v>1</v>
      </c>
      <c r="D12" s="94">
        <v>40000</v>
      </c>
    </row>
    <row r="13" spans="2:4" ht="15">
      <c r="B13" s="5" t="s">
        <v>13</v>
      </c>
      <c r="D13" s="5">
        <f>SUM(D3:D12)</f>
        <v>82322.25</v>
      </c>
    </row>
    <row r="15" ht="12.75">
      <c r="A15" s="1" t="s">
        <v>3</v>
      </c>
    </row>
    <row r="17" ht="13.5" thickBot="1"/>
    <row r="18" spans="1:4" ht="15.75" thickBot="1">
      <c r="A18" s="48"/>
      <c r="B18" s="207" t="s">
        <v>108</v>
      </c>
      <c r="C18" s="208"/>
      <c r="D18" s="49"/>
    </row>
    <row r="19" spans="1:6" ht="13.5" thickBot="1">
      <c r="A19" s="87" t="s">
        <v>0</v>
      </c>
      <c r="B19" s="88" t="s">
        <v>1</v>
      </c>
      <c r="C19" s="87" t="s">
        <v>11</v>
      </c>
      <c r="D19" s="89" t="s">
        <v>100</v>
      </c>
      <c r="E19" s="54"/>
      <c r="F19" s="79"/>
    </row>
    <row r="20" spans="1:5" ht="12.75">
      <c r="A20" s="33">
        <v>1</v>
      </c>
      <c r="B20" s="90" t="s">
        <v>103</v>
      </c>
      <c r="C20" s="90">
        <v>1</v>
      </c>
      <c r="D20" s="91">
        <v>5244.69</v>
      </c>
      <c r="E20" s="86"/>
    </row>
    <row r="21" spans="1:5" ht="12.75">
      <c r="A21" s="37">
        <f aca="true" t="shared" si="1" ref="A21:A26">A20+1</f>
        <v>2</v>
      </c>
      <c r="B21" s="30" t="s">
        <v>104</v>
      </c>
      <c r="C21" s="30">
        <v>1</v>
      </c>
      <c r="D21" s="92">
        <v>1134.14</v>
      </c>
      <c r="E21" s="86"/>
    </row>
    <row r="22" spans="1:5" ht="12.75">
      <c r="A22" s="37">
        <f t="shared" si="1"/>
        <v>3</v>
      </c>
      <c r="B22" s="30" t="s">
        <v>5</v>
      </c>
      <c r="C22" s="30">
        <v>1</v>
      </c>
      <c r="D22" s="92">
        <v>1548.65</v>
      </c>
      <c r="E22" s="86"/>
    </row>
    <row r="23" spans="1:5" ht="12.75">
      <c r="A23" s="37">
        <f t="shared" si="1"/>
        <v>4</v>
      </c>
      <c r="B23" s="30" t="s">
        <v>52</v>
      </c>
      <c r="C23" s="30">
        <v>1</v>
      </c>
      <c r="D23" s="92">
        <v>1457.51</v>
      </c>
      <c r="E23" s="86"/>
    </row>
    <row r="24" spans="1:5" ht="12.75">
      <c r="A24" s="37">
        <f t="shared" si="1"/>
        <v>5</v>
      </c>
      <c r="B24" s="30" t="s">
        <v>102</v>
      </c>
      <c r="C24" s="30">
        <v>1</v>
      </c>
      <c r="D24" s="92">
        <v>2287.61</v>
      </c>
      <c r="E24" s="86"/>
    </row>
    <row r="25" spans="1:5" ht="12.75">
      <c r="A25" s="37">
        <f t="shared" si="1"/>
        <v>6</v>
      </c>
      <c r="B25" s="30" t="s">
        <v>8</v>
      </c>
      <c r="C25" s="30">
        <v>1</v>
      </c>
      <c r="D25" s="92">
        <v>4491.75</v>
      </c>
      <c r="E25" s="86"/>
    </row>
    <row r="26" spans="1:5" ht="12.75">
      <c r="A26" s="37">
        <f t="shared" si="1"/>
        <v>7</v>
      </c>
      <c r="B26" s="30" t="s">
        <v>106</v>
      </c>
      <c r="C26" s="30">
        <v>1</v>
      </c>
      <c r="D26" s="92">
        <v>24837.9</v>
      </c>
      <c r="E26" s="86"/>
    </row>
    <row r="27" spans="1:5" ht="12.75">
      <c r="A27" s="37">
        <v>8</v>
      </c>
      <c r="B27" s="30" t="s">
        <v>10</v>
      </c>
      <c r="C27" s="30">
        <v>4</v>
      </c>
      <c r="D27" s="92">
        <v>720</v>
      </c>
      <c r="E27" s="86"/>
    </row>
    <row r="28" spans="2:4" ht="15">
      <c r="B28" s="5" t="s">
        <v>13</v>
      </c>
      <c r="D28" s="5">
        <f>SUM(D20:D27)</f>
        <v>41722.25</v>
      </c>
    </row>
    <row r="30" ht="12.75">
      <c r="A30" s="1" t="s">
        <v>3</v>
      </c>
    </row>
  </sheetData>
  <mergeCells count="2">
    <mergeCell ref="B1:C1"/>
    <mergeCell ref="B18:C18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7" sqref="A27"/>
    </sheetView>
  </sheetViews>
  <sheetFormatPr defaultColWidth="11.421875" defaultRowHeight="12.75"/>
  <cols>
    <col min="1" max="1" width="38.8515625" style="0" customWidth="1"/>
    <col min="2" max="2" width="7.57421875" style="0" customWidth="1"/>
    <col min="3" max="3" width="11.8515625" style="0" customWidth="1"/>
    <col min="4" max="4" width="12.7109375" style="0" customWidth="1"/>
    <col min="5" max="5" width="13.00390625" style="0" customWidth="1"/>
    <col min="6" max="6" width="12.57421875" style="0" customWidth="1"/>
    <col min="7" max="7" width="16.00390625" style="0" customWidth="1"/>
    <col min="8" max="8" width="16.7109375" style="0" customWidth="1"/>
  </cols>
  <sheetData>
    <row r="1" spans="1:9" ht="13.5" thickBot="1">
      <c r="A1" s="211" t="s">
        <v>168</v>
      </c>
      <c r="B1" s="212"/>
      <c r="C1" s="212"/>
      <c r="D1" s="212"/>
      <c r="E1" s="212"/>
      <c r="F1" s="213"/>
      <c r="G1" s="213"/>
      <c r="H1" s="213"/>
      <c r="I1" s="79"/>
    </row>
    <row r="2" spans="1:8" ht="13.5" thickBot="1">
      <c r="A2" s="121" t="s">
        <v>44</v>
      </c>
      <c r="B2" s="121" t="s">
        <v>14</v>
      </c>
      <c r="C2" s="122" t="s">
        <v>57</v>
      </c>
      <c r="D2" s="121" t="s">
        <v>57</v>
      </c>
      <c r="E2" s="209" t="s">
        <v>118</v>
      </c>
      <c r="F2" s="210"/>
      <c r="G2" s="121" t="s">
        <v>117</v>
      </c>
      <c r="H2" s="121" t="s">
        <v>120</v>
      </c>
    </row>
    <row r="3" spans="1:8" ht="13.5" thickBot="1">
      <c r="A3" s="123"/>
      <c r="B3" s="123"/>
      <c r="C3" s="124" t="s">
        <v>58</v>
      </c>
      <c r="D3" s="123" t="s">
        <v>59</v>
      </c>
      <c r="E3" s="123" t="s">
        <v>119</v>
      </c>
      <c r="F3" s="123" t="s">
        <v>46</v>
      </c>
      <c r="G3" s="123" t="s">
        <v>169</v>
      </c>
      <c r="H3" s="123" t="s">
        <v>121</v>
      </c>
    </row>
    <row r="4" spans="1:9" ht="12.75">
      <c r="A4" s="125" t="s">
        <v>2</v>
      </c>
      <c r="B4" s="126">
        <v>1</v>
      </c>
      <c r="C4" s="127">
        <v>15</v>
      </c>
      <c r="D4" s="126">
        <f>B4*C4</f>
        <v>15</v>
      </c>
      <c r="E4" s="125">
        <f>D4</f>
        <v>15</v>
      </c>
      <c r="F4" s="128">
        <f>D4*0.747</f>
        <v>11.205</v>
      </c>
      <c r="G4" s="127">
        <v>1</v>
      </c>
      <c r="H4" s="129">
        <f>G4*F4</f>
        <v>11.205</v>
      </c>
      <c r="I4" s="97"/>
    </row>
    <row r="5" spans="1:9" ht="12.75">
      <c r="A5" s="130" t="s">
        <v>4</v>
      </c>
      <c r="B5" s="131">
        <v>1</v>
      </c>
      <c r="C5" s="132">
        <v>5</v>
      </c>
      <c r="D5" s="133">
        <f aca="true" t="shared" si="0" ref="D5:D14">B5*C5</f>
        <v>5</v>
      </c>
      <c r="E5" s="134">
        <f aca="true" t="shared" si="1" ref="E5:E14">D5</f>
        <v>5</v>
      </c>
      <c r="F5" s="135">
        <f aca="true" t="shared" si="2" ref="F5:F14">D5*0.747</f>
        <v>3.735</v>
      </c>
      <c r="G5" s="132">
        <v>0.8</v>
      </c>
      <c r="H5" s="136">
        <f aca="true" t="shared" si="3" ref="H5:H14">G5*F5</f>
        <v>2.988</v>
      </c>
      <c r="I5" s="97"/>
    </row>
    <row r="6" spans="1:9" ht="12.75">
      <c r="A6" s="134" t="s">
        <v>5</v>
      </c>
      <c r="B6" s="133">
        <v>1</v>
      </c>
      <c r="C6" s="137">
        <v>1</v>
      </c>
      <c r="D6" s="133">
        <f t="shared" si="0"/>
        <v>1</v>
      </c>
      <c r="E6" s="134">
        <f t="shared" si="1"/>
        <v>1</v>
      </c>
      <c r="F6" s="135">
        <f t="shared" si="2"/>
        <v>0.747</v>
      </c>
      <c r="G6" s="132">
        <v>0.5</v>
      </c>
      <c r="H6" s="136">
        <f t="shared" si="3"/>
        <v>0.3735</v>
      </c>
      <c r="I6" s="97"/>
    </row>
    <row r="7" spans="1:9" ht="12.75">
      <c r="A7" s="130" t="s">
        <v>6</v>
      </c>
      <c r="B7" s="131">
        <v>1</v>
      </c>
      <c r="C7" s="132">
        <v>2</v>
      </c>
      <c r="D7" s="133">
        <f t="shared" si="0"/>
        <v>2</v>
      </c>
      <c r="E7" s="134">
        <f t="shared" si="1"/>
        <v>2</v>
      </c>
      <c r="F7" s="135">
        <f t="shared" si="2"/>
        <v>1.494</v>
      </c>
      <c r="G7" s="132">
        <v>0.7</v>
      </c>
      <c r="H7" s="136">
        <f t="shared" si="3"/>
        <v>1.0457999999999998</v>
      </c>
      <c r="I7" s="97"/>
    </row>
    <row r="8" spans="1:9" ht="12.75">
      <c r="A8" s="130" t="s">
        <v>7</v>
      </c>
      <c r="B8" s="131">
        <v>1</v>
      </c>
      <c r="C8" s="132">
        <v>2</v>
      </c>
      <c r="D8" s="133">
        <f t="shared" si="0"/>
        <v>2</v>
      </c>
      <c r="E8" s="134">
        <f t="shared" si="1"/>
        <v>2</v>
      </c>
      <c r="F8" s="135">
        <f t="shared" si="2"/>
        <v>1.494</v>
      </c>
      <c r="G8" s="132">
        <v>0.7</v>
      </c>
      <c r="H8" s="136">
        <f t="shared" si="3"/>
        <v>1.0457999999999998</v>
      </c>
      <c r="I8" s="97"/>
    </row>
    <row r="9" spans="1:9" ht="12.75">
      <c r="A9" s="130" t="s">
        <v>8</v>
      </c>
      <c r="B9" s="131">
        <v>1</v>
      </c>
      <c r="C9" s="132">
        <v>2</v>
      </c>
      <c r="D9" s="133">
        <f t="shared" si="0"/>
        <v>2</v>
      </c>
      <c r="E9" s="134">
        <f t="shared" si="1"/>
        <v>2</v>
      </c>
      <c r="F9" s="135">
        <f t="shared" si="2"/>
        <v>1.494</v>
      </c>
      <c r="G9" s="132">
        <v>2</v>
      </c>
      <c r="H9" s="136">
        <f t="shared" si="3"/>
        <v>2.988</v>
      </c>
      <c r="I9" s="97"/>
    </row>
    <row r="10" spans="1:9" ht="12.75">
      <c r="A10" s="130" t="s">
        <v>61</v>
      </c>
      <c r="B10" s="131">
        <v>1</v>
      </c>
      <c r="C10" s="132">
        <v>3</v>
      </c>
      <c r="D10" s="133">
        <f t="shared" si="0"/>
        <v>3</v>
      </c>
      <c r="E10" s="134">
        <f t="shared" si="1"/>
        <v>3</v>
      </c>
      <c r="F10" s="135">
        <f t="shared" si="2"/>
        <v>2.241</v>
      </c>
      <c r="G10" s="132">
        <v>0.3</v>
      </c>
      <c r="H10" s="136">
        <f t="shared" si="3"/>
        <v>0.6723</v>
      </c>
      <c r="I10" s="97"/>
    </row>
    <row r="11" spans="1:9" ht="12.75">
      <c r="A11" s="130" t="s">
        <v>105</v>
      </c>
      <c r="B11" s="131"/>
      <c r="C11" s="132"/>
      <c r="D11" s="133"/>
      <c r="E11" s="134"/>
      <c r="F11" s="135"/>
      <c r="G11" s="132"/>
      <c r="H11" s="136"/>
      <c r="I11" s="97"/>
    </row>
    <row r="12" spans="1:9" ht="12.75">
      <c r="A12" s="130" t="s">
        <v>43</v>
      </c>
      <c r="B12" s="131">
        <v>2</v>
      </c>
      <c r="C12" s="132">
        <v>3</v>
      </c>
      <c r="D12" s="133">
        <f t="shared" si="0"/>
        <v>6</v>
      </c>
      <c r="E12" s="134">
        <f t="shared" si="1"/>
        <v>6</v>
      </c>
      <c r="F12" s="135">
        <f t="shared" si="2"/>
        <v>4.482</v>
      </c>
      <c r="G12" s="132">
        <v>0.4</v>
      </c>
      <c r="H12" s="136">
        <f t="shared" si="3"/>
        <v>1.7928000000000002</v>
      </c>
      <c r="I12" s="97"/>
    </row>
    <row r="13" spans="1:9" ht="12.75">
      <c r="A13" s="138" t="s">
        <v>10</v>
      </c>
      <c r="B13" s="139">
        <v>2</v>
      </c>
      <c r="C13" s="140">
        <v>1</v>
      </c>
      <c r="D13" s="141">
        <f t="shared" si="0"/>
        <v>2</v>
      </c>
      <c r="E13" s="134">
        <f t="shared" si="1"/>
        <v>2</v>
      </c>
      <c r="F13" s="135">
        <f t="shared" si="2"/>
        <v>1.494</v>
      </c>
      <c r="G13" s="132">
        <v>0.4</v>
      </c>
      <c r="H13" s="136">
        <f t="shared" si="3"/>
        <v>0.5976</v>
      </c>
      <c r="I13" s="97"/>
    </row>
    <row r="14" spans="1:9" ht="13.5" thickBot="1">
      <c r="A14" s="142" t="s">
        <v>60</v>
      </c>
      <c r="B14" s="143">
        <v>4</v>
      </c>
      <c r="C14" s="144">
        <v>3</v>
      </c>
      <c r="D14" s="143">
        <f t="shared" si="0"/>
        <v>12</v>
      </c>
      <c r="E14" s="142">
        <f t="shared" si="1"/>
        <v>12</v>
      </c>
      <c r="F14" s="145">
        <f t="shared" si="2"/>
        <v>8.964</v>
      </c>
      <c r="G14" s="146">
        <v>1.5</v>
      </c>
      <c r="H14" s="147">
        <f t="shared" si="3"/>
        <v>13.446000000000002</v>
      </c>
      <c r="I14" s="97"/>
    </row>
    <row r="15" spans="1:8" ht="13.5" thickBot="1">
      <c r="A15" s="148" t="s">
        <v>167</v>
      </c>
      <c r="B15" s="149"/>
      <c r="C15" s="149"/>
      <c r="D15" s="150"/>
      <c r="E15" s="150"/>
      <c r="F15" s="150"/>
      <c r="G15" s="144"/>
      <c r="H15" s="151">
        <f>SUM(H4:H14)</f>
        <v>36.154799999999994</v>
      </c>
    </row>
    <row r="16" ht="12.75">
      <c r="I16" s="97"/>
    </row>
    <row r="17" spans="1:9" ht="12.75">
      <c r="A17" s="32" t="s">
        <v>107</v>
      </c>
      <c r="I17" s="97"/>
    </row>
    <row r="18" spans="1:9" ht="12.75">
      <c r="A18" s="1" t="s">
        <v>62</v>
      </c>
      <c r="I18" s="97"/>
    </row>
    <row r="19" spans="1:9" ht="12.75">
      <c r="A19" s="1" t="s">
        <v>83</v>
      </c>
      <c r="I19" s="97"/>
    </row>
  </sheetData>
  <mergeCells count="2">
    <mergeCell ref="E2:F2"/>
    <mergeCell ref="A1:H1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6" sqref="C16"/>
    </sheetView>
  </sheetViews>
  <sheetFormatPr defaultColWidth="11.421875" defaultRowHeight="12.75"/>
  <cols>
    <col min="1" max="1" width="35.28125" style="0" customWidth="1"/>
    <col min="2" max="2" width="9.140625" style="0" bestFit="1" customWidth="1"/>
    <col min="3" max="3" width="13.7109375" style="0" bestFit="1" customWidth="1"/>
    <col min="4" max="4" width="10.57421875" style="0" bestFit="1" customWidth="1"/>
  </cols>
  <sheetData>
    <row r="1" spans="1:6" ht="13.5" thickBot="1">
      <c r="A1" s="214" t="s">
        <v>15</v>
      </c>
      <c r="B1" s="215"/>
      <c r="C1" s="215"/>
      <c r="D1" s="215"/>
      <c r="E1" s="215"/>
      <c r="F1" s="216"/>
    </row>
    <row r="2" spans="1:6" ht="12.75">
      <c r="A2" s="50" t="s">
        <v>44</v>
      </c>
      <c r="B2" s="50" t="s">
        <v>14</v>
      </c>
      <c r="C2" s="51" t="s">
        <v>18</v>
      </c>
      <c r="D2" s="50" t="s">
        <v>18</v>
      </c>
      <c r="E2" s="51" t="s">
        <v>17</v>
      </c>
      <c r="F2" s="50" t="s">
        <v>21</v>
      </c>
    </row>
    <row r="3" spans="1:6" ht="13.5" thickBot="1">
      <c r="A3" s="52"/>
      <c r="B3" s="52"/>
      <c r="C3" s="53" t="s">
        <v>19</v>
      </c>
      <c r="D3" s="52" t="s">
        <v>20</v>
      </c>
      <c r="E3" s="53" t="s">
        <v>54</v>
      </c>
      <c r="F3" s="52" t="s">
        <v>22</v>
      </c>
    </row>
    <row r="4" spans="1:6" ht="12.75">
      <c r="A4" s="6" t="s">
        <v>2</v>
      </c>
      <c r="B4" s="6">
        <v>1</v>
      </c>
      <c r="C4" s="4">
        <v>5244.69</v>
      </c>
      <c r="D4" s="6">
        <f>B4*C4</f>
        <v>5244.69</v>
      </c>
      <c r="E4" s="10">
        <v>3</v>
      </c>
      <c r="F4" s="6">
        <f>D4*0.2</f>
        <v>1048.9379999999999</v>
      </c>
    </row>
    <row r="5" spans="1:6" ht="12.75">
      <c r="A5" s="2" t="s">
        <v>4</v>
      </c>
      <c r="B5" s="2">
        <v>1</v>
      </c>
      <c r="C5" s="4">
        <v>1134.14</v>
      </c>
      <c r="D5" s="6">
        <f aca="true" t="shared" si="0" ref="D5:D12">B5*C5</f>
        <v>1134.14</v>
      </c>
      <c r="E5" s="3">
        <v>3</v>
      </c>
      <c r="F5" s="6">
        <f aca="true" t="shared" si="1" ref="F5:F12">D5*0.2</f>
        <v>226.82800000000003</v>
      </c>
    </row>
    <row r="6" spans="1:6" ht="12.75">
      <c r="A6" s="6" t="s">
        <v>5</v>
      </c>
      <c r="B6" s="6">
        <v>1</v>
      </c>
      <c r="C6" s="4">
        <v>1548.65</v>
      </c>
      <c r="D6" s="6">
        <f t="shared" si="0"/>
        <v>1548.65</v>
      </c>
      <c r="E6" s="10">
        <v>3</v>
      </c>
      <c r="F6" s="6">
        <f t="shared" si="1"/>
        <v>309.73</v>
      </c>
    </row>
    <row r="7" spans="1:6" ht="12.75">
      <c r="A7" s="2" t="s">
        <v>6</v>
      </c>
      <c r="B7" s="2">
        <v>1</v>
      </c>
      <c r="C7" s="4">
        <v>1457.51</v>
      </c>
      <c r="D7" s="6">
        <f t="shared" si="0"/>
        <v>1457.51</v>
      </c>
      <c r="E7" s="3">
        <v>3</v>
      </c>
      <c r="F7" s="6">
        <f t="shared" si="1"/>
        <v>291.502</v>
      </c>
    </row>
    <row r="8" spans="1:6" ht="12.75">
      <c r="A8" s="2" t="s">
        <v>7</v>
      </c>
      <c r="B8" s="2">
        <v>1</v>
      </c>
      <c r="C8" s="4">
        <v>2287.61</v>
      </c>
      <c r="D8" s="6">
        <f t="shared" si="0"/>
        <v>2287.61</v>
      </c>
      <c r="E8" s="3">
        <v>3</v>
      </c>
      <c r="F8" s="6">
        <f t="shared" si="1"/>
        <v>457.52200000000005</v>
      </c>
    </row>
    <row r="9" spans="1:6" ht="12.75">
      <c r="A9" s="2" t="s">
        <v>8</v>
      </c>
      <c r="B9" s="2">
        <v>1</v>
      </c>
      <c r="C9" s="4">
        <v>4491.75</v>
      </c>
      <c r="D9" s="6">
        <f t="shared" si="0"/>
        <v>4491.75</v>
      </c>
      <c r="E9" s="3">
        <v>5</v>
      </c>
      <c r="F9" s="6">
        <f t="shared" si="1"/>
        <v>898.35</v>
      </c>
    </row>
    <row r="10" spans="1:6" ht="12.75">
      <c r="A10" s="2" t="s">
        <v>9</v>
      </c>
      <c r="B10" s="2">
        <v>1</v>
      </c>
      <c r="C10" s="4">
        <v>24837.9</v>
      </c>
      <c r="D10" s="6">
        <f t="shared" si="0"/>
        <v>24837.9</v>
      </c>
      <c r="E10" s="3">
        <v>5</v>
      </c>
      <c r="F10" s="6">
        <f t="shared" si="1"/>
        <v>4967.580000000001</v>
      </c>
    </row>
    <row r="11" spans="1:6" ht="12.75">
      <c r="A11" s="2" t="s">
        <v>43</v>
      </c>
      <c r="B11" s="2">
        <v>2</v>
      </c>
      <c r="C11" s="4">
        <v>600</v>
      </c>
      <c r="D11" s="6">
        <f t="shared" si="0"/>
        <v>1200</v>
      </c>
      <c r="E11" s="3">
        <v>5</v>
      </c>
      <c r="F11" s="6">
        <f t="shared" si="1"/>
        <v>240</v>
      </c>
    </row>
    <row r="12" spans="1:6" ht="13.5" thickBot="1">
      <c r="A12" s="23" t="s">
        <v>10</v>
      </c>
      <c r="B12" s="23">
        <v>2</v>
      </c>
      <c r="C12" s="47">
        <v>180</v>
      </c>
      <c r="D12" s="21">
        <f t="shared" si="0"/>
        <v>360</v>
      </c>
      <c r="E12" s="24">
        <v>2</v>
      </c>
      <c r="F12" s="21">
        <f t="shared" si="1"/>
        <v>72</v>
      </c>
    </row>
    <row r="13" spans="1:6" ht="15.75" thickBot="1">
      <c r="A13" s="25" t="s">
        <v>16</v>
      </c>
      <c r="B13" s="26"/>
      <c r="C13" s="26"/>
      <c r="D13" s="22">
        <f>SUM(D4:D12)</f>
        <v>42562.25</v>
      </c>
      <c r="E13" s="26"/>
      <c r="F13" s="19">
        <f>SUM(F4:F12)</f>
        <v>8512.45</v>
      </c>
    </row>
    <row r="18" spans="1:2" ht="15">
      <c r="A18" s="12"/>
      <c r="B18" s="13"/>
    </row>
    <row r="19" ht="12.75">
      <c r="B19" s="31"/>
    </row>
    <row r="20" ht="12.75">
      <c r="B20" s="31"/>
    </row>
    <row r="21" ht="12.75">
      <c r="B21" s="31"/>
    </row>
    <row r="22" spans="2:3" ht="12.75">
      <c r="B22" s="31"/>
      <c r="C22" s="20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79"/>
    </row>
  </sheetData>
  <mergeCells count="1">
    <mergeCell ref="A1:F1"/>
  </mergeCell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C1">
      <selection activeCell="G27" sqref="G27"/>
    </sheetView>
  </sheetViews>
  <sheetFormatPr defaultColWidth="11.421875" defaultRowHeight="12.75"/>
  <cols>
    <col min="1" max="1" width="33.57421875" style="0" customWidth="1"/>
    <col min="2" max="2" width="33.421875" style="0" bestFit="1" customWidth="1"/>
    <col min="3" max="3" width="10.7109375" style="0" customWidth="1"/>
    <col min="4" max="4" width="26.00390625" style="0" customWidth="1"/>
    <col min="5" max="5" width="17.8515625" style="0" customWidth="1"/>
    <col min="7" max="7" width="34.28125" style="0" bestFit="1" customWidth="1"/>
    <col min="8" max="8" width="11.00390625" style="0" bestFit="1" customWidth="1"/>
    <col min="9" max="9" width="25.57421875" style="0" bestFit="1" customWidth="1"/>
    <col min="10" max="10" width="10.57421875" style="0" bestFit="1" customWidth="1"/>
  </cols>
  <sheetData>
    <row r="1" spans="1:10" ht="13.5" thickBot="1">
      <c r="A1" s="217" t="s">
        <v>98</v>
      </c>
      <c r="B1" s="218"/>
      <c r="C1" s="218"/>
      <c r="D1" s="218"/>
      <c r="E1" s="219"/>
      <c r="G1" s="217" t="s">
        <v>98</v>
      </c>
      <c r="H1" s="218"/>
      <c r="I1" s="218"/>
      <c r="J1" s="219"/>
    </row>
    <row r="2" spans="1:10" ht="13.5" thickBot="1">
      <c r="A2" s="73"/>
      <c r="B2" s="76"/>
      <c r="C2" s="220" t="s">
        <v>109</v>
      </c>
      <c r="D2" s="221"/>
      <c r="E2" s="222"/>
      <c r="G2" s="73"/>
      <c r="H2" s="220" t="s">
        <v>109</v>
      </c>
      <c r="I2" s="221"/>
      <c r="J2" s="222"/>
    </row>
    <row r="3" spans="1:10" ht="13.5" thickBot="1">
      <c r="A3" s="74" t="s">
        <v>23</v>
      </c>
      <c r="B3" s="77" t="s">
        <v>87</v>
      </c>
      <c r="C3" s="46" t="s">
        <v>24</v>
      </c>
      <c r="D3" s="223" t="s">
        <v>27</v>
      </c>
      <c r="E3" s="222"/>
      <c r="G3" s="74" t="s">
        <v>23</v>
      </c>
      <c r="H3" s="46" t="s">
        <v>24</v>
      </c>
      <c r="I3" s="223" t="s">
        <v>27</v>
      </c>
      <c r="J3" s="222"/>
    </row>
    <row r="4" spans="1:10" ht="13.5" thickBot="1">
      <c r="A4" s="75"/>
      <c r="B4" s="78"/>
      <c r="C4" s="72" t="s">
        <v>25</v>
      </c>
      <c r="D4" s="17" t="s">
        <v>26</v>
      </c>
      <c r="E4" s="19" t="s">
        <v>20</v>
      </c>
      <c r="G4" s="75"/>
      <c r="H4" s="72" t="s">
        <v>25</v>
      </c>
      <c r="I4" s="17" t="s">
        <v>26</v>
      </c>
      <c r="J4" s="19" t="s">
        <v>20</v>
      </c>
    </row>
    <row r="5" spans="1:10" ht="13.5" thickBot="1">
      <c r="A5" s="64" t="s">
        <v>86</v>
      </c>
      <c r="B5" s="60" t="s">
        <v>90</v>
      </c>
      <c r="C5" s="68">
        <v>1</v>
      </c>
      <c r="D5" s="65"/>
      <c r="E5" s="66"/>
      <c r="G5" s="64" t="s">
        <v>86</v>
      </c>
      <c r="H5" s="68">
        <v>1</v>
      </c>
      <c r="I5" s="65">
        <f>400*12</f>
        <v>4800</v>
      </c>
      <c r="J5" s="66">
        <f aca="true" t="shared" si="0" ref="J5:J10">H5*I5</f>
        <v>4800</v>
      </c>
    </row>
    <row r="6" spans="1:10" ht="13.5" thickBot="1">
      <c r="A6" s="58" t="s">
        <v>88</v>
      </c>
      <c r="B6" s="57" t="s">
        <v>94</v>
      </c>
      <c r="C6" s="69">
        <v>2</v>
      </c>
      <c r="D6" s="54"/>
      <c r="E6" s="55"/>
      <c r="G6" s="58" t="s">
        <v>88</v>
      </c>
      <c r="H6" s="69">
        <v>2</v>
      </c>
      <c r="I6" s="54">
        <f>150*12</f>
        <v>1800</v>
      </c>
      <c r="J6" s="66">
        <f t="shared" si="0"/>
        <v>3600</v>
      </c>
    </row>
    <row r="7" spans="1:10" ht="13.5" thickBot="1">
      <c r="A7" s="58" t="s">
        <v>89</v>
      </c>
      <c r="B7" s="56" t="s">
        <v>95</v>
      </c>
      <c r="C7" s="69">
        <v>2</v>
      </c>
      <c r="D7" s="54"/>
      <c r="E7" s="55"/>
      <c r="G7" s="58" t="s">
        <v>89</v>
      </c>
      <c r="H7" s="69">
        <v>2</v>
      </c>
      <c r="I7" s="54">
        <f>130*12</f>
        <v>1560</v>
      </c>
      <c r="J7" s="66">
        <f t="shared" si="0"/>
        <v>3120</v>
      </c>
    </row>
    <row r="8" spans="1:10" ht="13.5" thickBot="1">
      <c r="A8" s="58" t="s">
        <v>93</v>
      </c>
      <c r="B8" s="56" t="s">
        <v>97</v>
      </c>
      <c r="C8" s="69">
        <v>2</v>
      </c>
      <c r="D8" s="54"/>
      <c r="E8" s="55"/>
      <c r="G8" s="58" t="s">
        <v>93</v>
      </c>
      <c r="H8" s="69">
        <v>2</v>
      </c>
      <c r="I8" s="54">
        <f>150*12</f>
        <v>1800</v>
      </c>
      <c r="J8" s="66">
        <f t="shared" si="0"/>
        <v>3600</v>
      </c>
    </row>
    <row r="9" spans="1:10" ht="13.5" thickBot="1">
      <c r="A9" s="59" t="s">
        <v>91</v>
      </c>
      <c r="B9" s="6" t="s">
        <v>96</v>
      </c>
      <c r="C9" s="70">
        <v>1</v>
      </c>
      <c r="D9" s="15"/>
      <c r="E9" s="14"/>
      <c r="G9" s="59" t="s">
        <v>91</v>
      </c>
      <c r="H9" s="70">
        <v>1</v>
      </c>
      <c r="I9" s="54">
        <f>150*12</f>
        <v>1800</v>
      </c>
      <c r="J9" s="66">
        <f t="shared" si="0"/>
        <v>1800</v>
      </c>
    </row>
    <row r="10" spans="1:10" ht="13.5" thickBot="1">
      <c r="A10" s="67" t="s">
        <v>92</v>
      </c>
      <c r="B10" s="62" t="s">
        <v>96</v>
      </c>
      <c r="C10" s="71">
        <v>1</v>
      </c>
      <c r="D10" s="16"/>
      <c r="E10" s="11"/>
      <c r="G10" s="67" t="s">
        <v>92</v>
      </c>
      <c r="H10" s="71">
        <v>1</v>
      </c>
      <c r="I10" s="54">
        <f>130*12</f>
        <v>1560</v>
      </c>
      <c r="J10" s="66">
        <f t="shared" si="0"/>
        <v>1560</v>
      </c>
    </row>
    <row r="11" spans="2:10" ht="15.75" thickBot="1">
      <c r="B11" s="61" t="s">
        <v>99</v>
      </c>
      <c r="C11" s="63">
        <f>SUM(C5:C10)</f>
        <v>9</v>
      </c>
      <c r="D11" s="61" t="s">
        <v>82</v>
      </c>
      <c r="E11" s="18"/>
      <c r="H11" s="63">
        <f>SUM(H5:H10)</f>
        <v>9</v>
      </c>
      <c r="I11" s="61" t="s">
        <v>82</v>
      </c>
      <c r="J11" s="18">
        <f>SUM(J5:J10)</f>
        <v>18480</v>
      </c>
    </row>
    <row r="15" ht="13.5" thickBot="1"/>
    <row r="16" spans="7:10" ht="13.5" thickBot="1">
      <c r="G16" s="217" t="s">
        <v>124</v>
      </c>
      <c r="H16" s="218"/>
      <c r="I16" s="218"/>
      <c r="J16" s="219"/>
    </row>
    <row r="17" spans="7:10" ht="13.5" thickBot="1">
      <c r="G17" s="73"/>
      <c r="H17" s="220" t="s">
        <v>109</v>
      </c>
      <c r="I17" s="221"/>
      <c r="J17" s="222"/>
    </row>
    <row r="18" spans="7:10" ht="13.5" thickBot="1">
      <c r="G18" s="74" t="s">
        <v>23</v>
      </c>
      <c r="H18" s="46" t="s">
        <v>24</v>
      </c>
      <c r="I18" s="223" t="s">
        <v>27</v>
      </c>
      <c r="J18" s="222"/>
    </row>
    <row r="19" spans="7:10" ht="13.5" thickBot="1">
      <c r="G19" s="75"/>
      <c r="H19" s="72" t="s">
        <v>25</v>
      </c>
      <c r="I19" s="17" t="s">
        <v>26</v>
      </c>
      <c r="J19" s="19" t="s">
        <v>20</v>
      </c>
    </row>
    <row r="20" spans="7:10" ht="13.5" thickBot="1">
      <c r="G20" s="64" t="s">
        <v>125</v>
      </c>
      <c r="H20" s="60">
        <v>1</v>
      </c>
      <c r="I20" s="65">
        <f>700*12</f>
        <v>8400</v>
      </c>
      <c r="J20" s="66">
        <f>H20*I20</f>
        <v>8400</v>
      </c>
    </row>
    <row r="21" spans="7:10" ht="13.5" thickBot="1">
      <c r="G21" s="58" t="s">
        <v>126</v>
      </c>
      <c r="H21" s="56">
        <v>1</v>
      </c>
      <c r="I21" s="54">
        <f>450*12</f>
        <v>5400</v>
      </c>
      <c r="J21" s="66">
        <f>H21*I21</f>
        <v>5400</v>
      </c>
    </row>
    <row r="22" spans="7:10" ht="13.5" thickBot="1">
      <c r="G22" s="102" t="s">
        <v>127</v>
      </c>
      <c r="H22" s="103">
        <v>1</v>
      </c>
      <c r="I22" s="17">
        <f>145*12</f>
        <v>1740</v>
      </c>
      <c r="J22" s="19">
        <f>H22*I22</f>
        <v>1740</v>
      </c>
    </row>
    <row r="23" spans="8:10" ht="15.75" thickBot="1">
      <c r="H23" s="63">
        <f>SUM(H20:H22)</f>
        <v>3</v>
      </c>
      <c r="I23" s="61" t="s">
        <v>82</v>
      </c>
      <c r="J23" s="18">
        <f>SUM(J20:J22)</f>
        <v>15540</v>
      </c>
    </row>
  </sheetData>
  <mergeCells count="9">
    <mergeCell ref="G16:J16"/>
    <mergeCell ref="H17:J17"/>
    <mergeCell ref="I18:J18"/>
    <mergeCell ref="A1:E1"/>
    <mergeCell ref="D3:E3"/>
    <mergeCell ref="C2:E2"/>
    <mergeCell ref="G1:J1"/>
    <mergeCell ref="H2:J2"/>
    <mergeCell ref="I3:J3"/>
  </mergeCells>
  <printOptions/>
  <pageMargins left="0.75" right="0.75" top="1" bottom="1" header="0" footer="0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25" sqref="G25"/>
    </sheetView>
  </sheetViews>
  <sheetFormatPr defaultColWidth="11.421875" defaultRowHeight="12.75"/>
  <cols>
    <col min="1" max="1" width="25.140625" style="0" customWidth="1"/>
    <col min="2" max="2" width="10.28125" style="0" bestFit="1" customWidth="1"/>
    <col min="3" max="3" width="9.140625" style="0" bestFit="1" customWidth="1"/>
    <col min="4" max="4" width="13.140625" style="0" bestFit="1" customWidth="1"/>
    <col min="5" max="5" width="11.57421875" style="0" bestFit="1" customWidth="1"/>
  </cols>
  <sheetData>
    <row r="1" spans="1:5" ht="13.5" thickBot="1">
      <c r="A1" s="224" t="s">
        <v>65</v>
      </c>
      <c r="B1" s="225"/>
      <c r="C1" s="225"/>
      <c r="D1" s="225"/>
      <c r="E1" s="225"/>
    </row>
    <row r="2" spans="1:5" ht="13.5" thickBot="1">
      <c r="A2" s="80"/>
      <c r="B2" s="226" t="s">
        <v>110</v>
      </c>
      <c r="C2" s="227"/>
      <c r="D2" s="227"/>
      <c r="E2" s="228"/>
    </row>
    <row r="3" spans="1:5" ht="13.5" thickBot="1">
      <c r="A3" s="81" t="s">
        <v>66</v>
      </c>
      <c r="B3" s="82" t="s">
        <v>29</v>
      </c>
      <c r="C3" s="83" t="s">
        <v>14</v>
      </c>
      <c r="D3" s="229" t="s">
        <v>31</v>
      </c>
      <c r="E3" s="230"/>
    </row>
    <row r="4" spans="1:5" ht="13.5" thickBot="1">
      <c r="A4" s="81"/>
      <c r="B4" s="82" t="s">
        <v>30</v>
      </c>
      <c r="C4" s="83"/>
      <c r="D4" s="82" t="s">
        <v>26</v>
      </c>
      <c r="E4" s="84" t="s">
        <v>20</v>
      </c>
    </row>
    <row r="5" spans="1:5" ht="13.5" thickBot="1">
      <c r="A5" s="90" t="s">
        <v>68</v>
      </c>
      <c r="B5" s="34" t="s">
        <v>67</v>
      </c>
      <c r="C5" s="34">
        <v>4124</v>
      </c>
      <c r="D5" s="35">
        <v>0.4</v>
      </c>
      <c r="E5" s="36">
        <f>C5*D5</f>
        <v>1649.6000000000001</v>
      </c>
    </row>
    <row r="6" spans="1:5" ht="13.5" thickBot="1">
      <c r="A6" s="30" t="s">
        <v>69</v>
      </c>
      <c r="B6" s="28" t="s">
        <v>67</v>
      </c>
      <c r="C6" s="34">
        <v>4124</v>
      </c>
      <c r="D6" s="29">
        <v>0.25</v>
      </c>
      <c r="E6" s="38">
        <f aca="true" t="shared" si="0" ref="E6:E24">C6*D6</f>
        <v>1031</v>
      </c>
    </row>
    <row r="7" spans="1:5" ht="13.5" thickBot="1">
      <c r="A7" s="30" t="s">
        <v>70</v>
      </c>
      <c r="B7" s="28" t="s">
        <v>67</v>
      </c>
      <c r="C7" s="34">
        <v>4124</v>
      </c>
      <c r="D7" s="29">
        <v>1.5</v>
      </c>
      <c r="E7" s="38">
        <f t="shared" si="0"/>
        <v>6186</v>
      </c>
    </row>
    <row r="8" spans="1:5" ht="13.5" thickBot="1">
      <c r="A8" s="30" t="s">
        <v>71</v>
      </c>
      <c r="B8" s="28" t="s">
        <v>67</v>
      </c>
      <c r="C8" s="34">
        <v>4124</v>
      </c>
      <c r="D8" s="29">
        <v>8</v>
      </c>
      <c r="E8" s="38">
        <f t="shared" si="0"/>
        <v>32992</v>
      </c>
    </row>
    <row r="9" spans="1:5" ht="13.5" thickBot="1">
      <c r="A9" s="30" t="s">
        <v>72</v>
      </c>
      <c r="B9" s="28" t="s">
        <v>67</v>
      </c>
      <c r="C9" s="34">
        <v>4124</v>
      </c>
      <c r="D9" s="29">
        <v>12</v>
      </c>
      <c r="E9" s="38">
        <f t="shared" si="0"/>
        <v>49488</v>
      </c>
    </row>
    <row r="10" spans="1:5" ht="13.5" thickBot="1">
      <c r="A10" s="30" t="s">
        <v>73</v>
      </c>
      <c r="B10" s="28" t="s">
        <v>67</v>
      </c>
      <c r="C10" s="34">
        <v>4124</v>
      </c>
      <c r="D10" s="29">
        <v>4</v>
      </c>
      <c r="E10" s="38">
        <f t="shared" si="0"/>
        <v>16496</v>
      </c>
    </row>
    <row r="11" spans="1:5" ht="13.5" thickBot="1">
      <c r="A11" s="30" t="s">
        <v>111</v>
      </c>
      <c r="B11" s="28" t="s">
        <v>67</v>
      </c>
      <c r="C11" s="34">
        <v>4124</v>
      </c>
      <c r="D11" s="29">
        <v>2.5</v>
      </c>
      <c r="E11" s="38">
        <f t="shared" si="0"/>
        <v>10310</v>
      </c>
    </row>
    <row r="12" spans="1:5" ht="13.5" thickBot="1">
      <c r="A12" s="30" t="s">
        <v>74</v>
      </c>
      <c r="B12" s="28" t="s">
        <v>67</v>
      </c>
      <c r="C12" s="34">
        <v>4124</v>
      </c>
      <c r="D12" s="29">
        <v>0.6</v>
      </c>
      <c r="E12" s="38">
        <f t="shared" si="0"/>
        <v>2474.4</v>
      </c>
    </row>
    <row r="13" spans="1:5" ht="13.5" thickBot="1">
      <c r="A13" s="30" t="s">
        <v>75</v>
      </c>
      <c r="B13" s="28" t="s">
        <v>67</v>
      </c>
      <c r="C13" s="34">
        <v>4124</v>
      </c>
      <c r="D13" s="29">
        <v>3</v>
      </c>
      <c r="E13" s="38">
        <f t="shared" si="0"/>
        <v>12372</v>
      </c>
    </row>
    <row r="14" spans="1:5" ht="13.5" thickBot="1">
      <c r="A14" s="28" t="s">
        <v>112</v>
      </c>
      <c r="B14" s="28" t="s">
        <v>67</v>
      </c>
      <c r="C14" s="34">
        <v>4124</v>
      </c>
      <c r="D14" s="29">
        <v>1.2</v>
      </c>
      <c r="E14" s="38">
        <f t="shared" si="0"/>
        <v>4948.8</v>
      </c>
    </row>
    <row r="15" spans="1:5" ht="13.5" thickBot="1">
      <c r="A15" s="30" t="s">
        <v>113</v>
      </c>
      <c r="B15" s="28" t="s">
        <v>67</v>
      </c>
      <c r="C15" s="34">
        <v>4124</v>
      </c>
      <c r="D15" s="29">
        <v>0.8</v>
      </c>
      <c r="E15" s="38">
        <f t="shared" si="0"/>
        <v>3299.2000000000003</v>
      </c>
    </row>
    <row r="16" spans="1:5" ht="13.5" thickBot="1">
      <c r="A16" s="30" t="s">
        <v>76</v>
      </c>
      <c r="B16" s="28" t="s">
        <v>67</v>
      </c>
      <c r="C16" s="34">
        <v>4124</v>
      </c>
      <c r="D16" s="29">
        <v>0.6</v>
      </c>
      <c r="E16" s="38">
        <f t="shared" si="0"/>
        <v>2474.4</v>
      </c>
    </row>
    <row r="17" spans="1:5" ht="13.5" thickBot="1">
      <c r="A17" s="30" t="s">
        <v>77</v>
      </c>
      <c r="B17" s="28" t="s">
        <v>67</v>
      </c>
      <c r="C17" s="34">
        <v>4124</v>
      </c>
      <c r="D17" s="29">
        <v>4.25</v>
      </c>
      <c r="E17" s="38">
        <f t="shared" si="0"/>
        <v>17527</v>
      </c>
    </row>
    <row r="18" spans="1:5" ht="13.5" thickBot="1">
      <c r="A18" s="30" t="s">
        <v>114</v>
      </c>
      <c r="B18" s="28" t="s">
        <v>67</v>
      </c>
      <c r="C18" s="34">
        <v>4124</v>
      </c>
      <c r="D18" s="45">
        <v>1.2</v>
      </c>
      <c r="E18" s="38">
        <f t="shared" si="0"/>
        <v>4948.8</v>
      </c>
    </row>
    <row r="19" spans="1:5" ht="13.5" thickBot="1">
      <c r="A19" s="30" t="s">
        <v>78</v>
      </c>
      <c r="B19" s="28" t="s">
        <v>67</v>
      </c>
      <c r="C19" s="34">
        <v>4124</v>
      </c>
      <c r="D19" s="45">
        <v>2.5</v>
      </c>
      <c r="E19" s="38">
        <f t="shared" si="0"/>
        <v>10310</v>
      </c>
    </row>
    <row r="20" spans="1:5" ht="13.5" thickBot="1">
      <c r="A20" s="30" t="s">
        <v>115</v>
      </c>
      <c r="B20" s="28" t="s">
        <v>67</v>
      </c>
      <c r="C20" s="34">
        <v>4124</v>
      </c>
      <c r="D20" s="45">
        <v>1.2</v>
      </c>
      <c r="E20" s="38">
        <f t="shared" si="0"/>
        <v>4948.8</v>
      </c>
    </row>
    <row r="21" spans="1:5" ht="13.5" thickBot="1">
      <c r="A21" s="30" t="s">
        <v>79</v>
      </c>
      <c r="B21" s="28" t="s">
        <v>67</v>
      </c>
      <c r="C21" s="34">
        <v>4124</v>
      </c>
      <c r="D21" s="45">
        <v>25</v>
      </c>
      <c r="E21" s="38">
        <f t="shared" si="0"/>
        <v>103100</v>
      </c>
    </row>
    <row r="22" spans="1:5" ht="13.5" thickBot="1">
      <c r="A22" s="30" t="s">
        <v>80</v>
      </c>
      <c r="B22" s="28" t="s">
        <v>67</v>
      </c>
      <c r="C22" s="34">
        <v>4124</v>
      </c>
      <c r="D22" s="45">
        <v>2</v>
      </c>
      <c r="E22" s="38">
        <f t="shared" si="0"/>
        <v>8248</v>
      </c>
    </row>
    <row r="23" spans="1:5" ht="13.5" thickBot="1">
      <c r="A23" s="30" t="s">
        <v>81</v>
      </c>
      <c r="B23" s="28" t="s">
        <v>67</v>
      </c>
      <c r="C23" s="34">
        <v>4124</v>
      </c>
      <c r="D23" s="45">
        <v>0.4</v>
      </c>
      <c r="E23" s="38">
        <f t="shared" si="0"/>
        <v>1649.6000000000001</v>
      </c>
    </row>
    <row r="24" spans="1:5" ht="13.5" thickBot="1">
      <c r="A24" s="95" t="s">
        <v>116</v>
      </c>
      <c r="B24" s="40" t="s">
        <v>67</v>
      </c>
      <c r="C24" s="34">
        <v>4124</v>
      </c>
      <c r="D24" s="96">
        <v>3.2</v>
      </c>
      <c r="E24" s="38">
        <f t="shared" si="0"/>
        <v>13196.800000000001</v>
      </c>
    </row>
    <row r="25" spans="1:5" ht="12.75">
      <c r="A25" s="85" t="s">
        <v>123</v>
      </c>
      <c r="E25" s="44">
        <f>SUM(E5:E24)</f>
        <v>307650.39999999997</v>
      </c>
    </row>
  </sheetData>
  <mergeCells count="3">
    <mergeCell ref="A1:E1"/>
    <mergeCell ref="B2:E2"/>
    <mergeCell ref="D3:E3"/>
  </mergeCells>
  <printOptions/>
  <pageMargins left="0.7874015748031497" right="0.7874015748031497" top="0.984251968503937" bottom="0.984251968503937" header="0" footer="0"/>
  <pageSetup horizontalDpi="200" verticalDpi="2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8" sqref="C28"/>
    </sheetView>
  </sheetViews>
  <sheetFormatPr defaultColWidth="11.421875" defaultRowHeight="12.75"/>
  <cols>
    <col min="1" max="1" width="34.7109375" style="0" customWidth="1"/>
    <col min="2" max="2" width="9.140625" style="0" customWidth="1"/>
    <col min="3" max="3" width="10.421875" style="0" customWidth="1"/>
    <col min="4" max="4" width="11.57421875" style="0" customWidth="1"/>
    <col min="5" max="5" width="10.57421875" style="0" bestFit="1" customWidth="1"/>
  </cols>
  <sheetData>
    <row r="1" spans="1:5" ht="13.5" thickBot="1">
      <c r="A1" s="231" t="s">
        <v>63</v>
      </c>
      <c r="B1" s="232"/>
      <c r="C1" s="232"/>
      <c r="D1" s="232"/>
      <c r="E1" s="232"/>
    </row>
    <row r="2" spans="1:5" ht="13.5" thickBot="1">
      <c r="A2" s="104"/>
      <c r="B2" s="233" t="s">
        <v>110</v>
      </c>
      <c r="C2" s="234"/>
      <c r="D2" s="234"/>
      <c r="E2" s="235"/>
    </row>
    <row r="3" spans="1:5" ht="13.5" thickBot="1">
      <c r="A3" s="105" t="s">
        <v>64</v>
      </c>
      <c r="B3" s="106" t="s">
        <v>29</v>
      </c>
      <c r="C3" s="107" t="s">
        <v>14</v>
      </c>
      <c r="D3" s="236" t="s">
        <v>31</v>
      </c>
      <c r="E3" s="237"/>
    </row>
    <row r="4" spans="1:5" ht="13.5" thickBot="1">
      <c r="A4" s="105"/>
      <c r="B4" s="106" t="s">
        <v>30</v>
      </c>
      <c r="C4" s="107"/>
      <c r="D4" s="108" t="s">
        <v>26</v>
      </c>
      <c r="E4" s="106" t="s">
        <v>20</v>
      </c>
    </row>
    <row r="5" spans="1:5" ht="12.75">
      <c r="A5" s="109" t="s">
        <v>50</v>
      </c>
      <c r="B5" s="110" t="s">
        <v>41</v>
      </c>
      <c r="C5" s="111">
        <v>103.13</v>
      </c>
      <c r="D5" s="111">
        <v>40</v>
      </c>
      <c r="E5" s="112">
        <f>C5*D5</f>
        <v>4125.2</v>
      </c>
    </row>
    <row r="6" spans="1:5" ht="12.75">
      <c r="A6" s="113" t="s">
        <v>32</v>
      </c>
      <c r="B6" s="114" t="s">
        <v>42</v>
      </c>
      <c r="C6" s="115">
        <v>721.88</v>
      </c>
      <c r="D6" s="115">
        <v>0.3</v>
      </c>
      <c r="E6" s="116">
        <f aca="true" t="shared" si="0" ref="E6:E16">C6*D6</f>
        <v>216.564</v>
      </c>
    </row>
    <row r="7" spans="1:5" ht="12.75">
      <c r="A7" s="113" t="s">
        <v>33</v>
      </c>
      <c r="B7" s="114" t="s">
        <v>42</v>
      </c>
      <c r="C7" s="115">
        <v>546.56</v>
      </c>
      <c r="D7" s="115">
        <v>2.95</v>
      </c>
      <c r="E7" s="116">
        <f t="shared" si="0"/>
        <v>1612.3519999999999</v>
      </c>
    </row>
    <row r="8" spans="1:5" ht="12.75">
      <c r="A8" s="113" t="s">
        <v>34</v>
      </c>
      <c r="B8" s="114" t="s">
        <v>42</v>
      </c>
      <c r="C8" s="115">
        <v>1268.44</v>
      </c>
      <c r="D8" s="115">
        <v>0.11</v>
      </c>
      <c r="E8" s="116">
        <f t="shared" si="0"/>
        <v>139.5284</v>
      </c>
    </row>
    <row r="9" spans="1:5" ht="12.75">
      <c r="A9" s="113" t="s">
        <v>53</v>
      </c>
      <c r="B9" s="114" t="s">
        <v>42</v>
      </c>
      <c r="C9" s="115">
        <v>369</v>
      </c>
      <c r="D9" s="115">
        <v>0.11</v>
      </c>
      <c r="E9" s="116">
        <f t="shared" si="0"/>
        <v>40.59</v>
      </c>
    </row>
    <row r="10" spans="1:5" ht="12.75">
      <c r="A10" s="113" t="s">
        <v>35</v>
      </c>
      <c r="B10" s="114" t="s">
        <v>42</v>
      </c>
      <c r="C10" s="115">
        <v>82500</v>
      </c>
      <c r="D10" s="115">
        <v>0.07</v>
      </c>
      <c r="E10" s="116">
        <f t="shared" si="0"/>
        <v>5775.000000000001</v>
      </c>
    </row>
    <row r="11" spans="1:5" ht="12.75">
      <c r="A11" s="113" t="s">
        <v>36</v>
      </c>
      <c r="B11" s="114" t="s">
        <v>42</v>
      </c>
      <c r="C11" s="115">
        <v>8250</v>
      </c>
      <c r="D11" s="115">
        <v>0.07</v>
      </c>
      <c r="E11" s="116">
        <f t="shared" si="0"/>
        <v>577.5</v>
      </c>
    </row>
    <row r="12" spans="1:5" ht="12.75">
      <c r="A12" s="113" t="s">
        <v>37</v>
      </c>
      <c r="B12" s="114" t="s">
        <v>42</v>
      </c>
      <c r="C12" s="115">
        <v>825</v>
      </c>
      <c r="D12" s="115">
        <v>1.07</v>
      </c>
      <c r="E12" s="116">
        <f t="shared" si="0"/>
        <v>882.75</v>
      </c>
    </row>
    <row r="13" spans="1:5" ht="12.75">
      <c r="A13" s="113" t="s">
        <v>38</v>
      </c>
      <c r="B13" s="114" t="s">
        <v>42</v>
      </c>
      <c r="C13" s="115">
        <v>825</v>
      </c>
      <c r="D13" s="115">
        <v>1</v>
      </c>
      <c r="E13" s="116">
        <f t="shared" si="0"/>
        <v>825</v>
      </c>
    </row>
    <row r="14" spans="1:5" ht="12.75">
      <c r="A14" s="113" t="s">
        <v>39</v>
      </c>
      <c r="B14" s="114" t="s">
        <v>42</v>
      </c>
      <c r="C14" s="115">
        <v>247.5</v>
      </c>
      <c r="D14" s="115">
        <v>2.5</v>
      </c>
      <c r="E14" s="116">
        <f t="shared" si="0"/>
        <v>618.75</v>
      </c>
    </row>
    <row r="15" spans="1:5" ht="12.75">
      <c r="A15" s="113" t="s">
        <v>40</v>
      </c>
      <c r="B15" s="114" t="s">
        <v>42</v>
      </c>
      <c r="C15" s="115">
        <v>247.5</v>
      </c>
      <c r="D15" s="115">
        <v>1.5</v>
      </c>
      <c r="E15" s="116">
        <f t="shared" si="0"/>
        <v>371.25</v>
      </c>
    </row>
    <row r="16" spans="1:5" ht="12.75">
      <c r="A16" s="113" t="s">
        <v>56</v>
      </c>
      <c r="B16" s="114" t="s">
        <v>42</v>
      </c>
      <c r="C16" s="115">
        <v>2578.13</v>
      </c>
      <c r="D16" s="115">
        <v>2.5</v>
      </c>
      <c r="E16" s="116">
        <f t="shared" si="0"/>
        <v>6445.325000000001</v>
      </c>
    </row>
    <row r="17" spans="1:5" ht="12.75">
      <c r="A17" s="113" t="s">
        <v>55</v>
      </c>
      <c r="B17" s="114" t="s">
        <v>42</v>
      </c>
      <c r="C17" s="115">
        <v>825</v>
      </c>
      <c r="D17" s="115">
        <v>2.2</v>
      </c>
      <c r="E17" s="116">
        <f>C17*D17</f>
        <v>1815.0000000000002</v>
      </c>
    </row>
    <row r="18" spans="1:5" ht="12.75">
      <c r="A18" s="117" t="s">
        <v>48</v>
      </c>
      <c r="B18" s="114" t="s">
        <v>49</v>
      </c>
      <c r="C18" s="115">
        <v>2</v>
      </c>
      <c r="D18" s="114">
        <v>125</v>
      </c>
      <c r="E18" s="116">
        <f>C18*D18</f>
        <v>250</v>
      </c>
    </row>
    <row r="19" spans="1:5" ht="12.75">
      <c r="A19" s="118" t="s">
        <v>122</v>
      </c>
      <c r="B19" s="119"/>
      <c r="C19" s="119"/>
      <c r="D19" s="119"/>
      <c r="E19" s="120">
        <f>SUM(E5:E17)</f>
        <v>23444.809400000002</v>
      </c>
    </row>
    <row r="29" ht="12.75">
      <c r="D29">
        <f>4125*20*1.25</f>
        <v>103125</v>
      </c>
    </row>
  </sheetData>
  <mergeCells count="3">
    <mergeCell ref="A1:E1"/>
    <mergeCell ref="B2:E2"/>
    <mergeCell ref="D3:E3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8"/>
    </sheetView>
  </sheetViews>
  <sheetFormatPr defaultColWidth="11.421875" defaultRowHeight="12.75"/>
  <cols>
    <col min="1" max="1" width="30.8515625" style="0" customWidth="1"/>
    <col min="2" max="2" width="10.28125" style="0" bestFit="1" customWidth="1"/>
    <col min="3" max="3" width="20.00390625" style="0" bestFit="1" customWidth="1"/>
    <col min="4" max="4" width="19.8515625" style="0" customWidth="1"/>
    <col min="5" max="5" width="10.8515625" style="0" customWidth="1"/>
  </cols>
  <sheetData>
    <row r="1" spans="1:5" ht="13.5" thickBot="1">
      <c r="A1" s="224" t="s">
        <v>45</v>
      </c>
      <c r="B1" s="225"/>
      <c r="C1" s="225"/>
      <c r="D1" s="225"/>
      <c r="E1" s="225"/>
    </row>
    <row r="2" spans="1:5" ht="13.5" thickBot="1">
      <c r="A2" s="98"/>
      <c r="B2" s="229" t="s">
        <v>110</v>
      </c>
      <c r="C2" s="238"/>
      <c r="D2" s="238"/>
      <c r="E2" s="230"/>
    </row>
    <row r="3" spans="1:5" ht="13.5" thickBot="1">
      <c r="A3" s="99" t="s">
        <v>28</v>
      </c>
      <c r="B3" s="8" t="s">
        <v>29</v>
      </c>
      <c r="C3" s="9" t="s">
        <v>163</v>
      </c>
      <c r="D3" s="239" t="s">
        <v>170</v>
      </c>
      <c r="E3" s="222"/>
    </row>
    <row r="4" spans="1:5" ht="13.5" thickBot="1">
      <c r="A4" s="99"/>
      <c r="B4" s="8" t="s">
        <v>30</v>
      </c>
      <c r="C4" s="9" t="s">
        <v>164</v>
      </c>
      <c r="D4" s="7" t="s">
        <v>171</v>
      </c>
      <c r="E4" s="27" t="s">
        <v>172</v>
      </c>
    </row>
    <row r="5" spans="1:5" ht="26.25" thickBot="1">
      <c r="A5" s="152" t="s">
        <v>85</v>
      </c>
      <c r="B5" s="42" t="s">
        <v>129</v>
      </c>
      <c r="C5" s="34">
        <v>107224</v>
      </c>
      <c r="D5" s="35">
        <v>0.07</v>
      </c>
      <c r="E5" s="36">
        <f>C5*D5</f>
        <v>7505.68</v>
      </c>
    </row>
    <row r="6" spans="1:5" ht="26.25" thickBot="1">
      <c r="A6" s="153" t="s">
        <v>84</v>
      </c>
      <c r="B6" s="42" t="s">
        <v>129</v>
      </c>
      <c r="C6" s="28">
        <f>E6/D6</f>
        <v>8837.142857142857</v>
      </c>
      <c r="D6" s="35">
        <v>0.07</v>
      </c>
      <c r="E6" s="36">
        <v>618.6</v>
      </c>
    </row>
    <row r="7" spans="1:5" ht="13.5" thickBot="1">
      <c r="A7" s="154" t="s">
        <v>51</v>
      </c>
      <c r="B7" s="43" t="s">
        <v>128</v>
      </c>
      <c r="C7" s="40">
        <v>274.93</v>
      </c>
      <c r="D7" s="41">
        <v>10</v>
      </c>
      <c r="E7" s="36">
        <f>C7*D7</f>
        <v>2749.3</v>
      </c>
    </row>
    <row r="8" spans="1:5" ht="12.75">
      <c r="A8" s="9" t="s">
        <v>173</v>
      </c>
      <c r="E8" s="44">
        <f>SUM(E5:E7)</f>
        <v>10873.580000000002</v>
      </c>
    </row>
  </sheetData>
  <mergeCells count="3">
    <mergeCell ref="A1:E1"/>
    <mergeCell ref="B2:E2"/>
    <mergeCell ref="D3:E3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43.8515625" style="0" bestFit="1" customWidth="1"/>
    <col min="3" max="7" width="10.57421875" style="0" bestFit="1" customWidth="1"/>
  </cols>
  <sheetData>
    <row r="1" ht="13.5" thickBot="1"/>
    <row r="2" spans="1:7" ht="13.5" thickBot="1">
      <c r="A2" s="155" t="s">
        <v>161</v>
      </c>
      <c r="B2" s="156">
        <v>2005</v>
      </c>
      <c r="C2" s="156">
        <v>2006</v>
      </c>
      <c r="D2" s="156">
        <v>2007</v>
      </c>
      <c r="E2" s="156">
        <v>2008</v>
      </c>
      <c r="F2" s="156">
        <v>2009</v>
      </c>
      <c r="G2" s="157">
        <v>2010</v>
      </c>
    </row>
    <row r="3" spans="1:7" s="162" customFormat="1" ht="9.75" customHeight="1">
      <c r="A3" s="158" t="s">
        <v>130</v>
      </c>
      <c r="B3" s="159"/>
      <c r="C3" s="160"/>
      <c r="D3" s="160"/>
      <c r="E3" s="160"/>
      <c r="F3" s="160"/>
      <c r="G3" s="161"/>
    </row>
    <row r="4" spans="1:7" s="162" customFormat="1" ht="9.75" customHeight="1">
      <c r="A4" s="163" t="s">
        <v>131</v>
      </c>
      <c r="B4" s="164"/>
      <c r="C4" s="165">
        <f>C5*C6</f>
        <v>435494.39999999997</v>
      </c>
      <c r="D4" s="165">
        <f>D5*D6</f>
        <v>484452.672</v>
      </c>
      <c r="E4" s="165">
        <f>E5*E6</f>
        <v>538981.3334400001</v>
      </c>
      <c r="F4" s="165">
        <f>F5*F6</f>
        <v>599576.6823552</v>
      </c>
      <c r="G4" s="166">
        <f>G5*G6</f>
        <v>667007.134645632</v>
      </c>
    </row>
    <row r="5" spans="1:7" s="162" customFormat="1" ht="9.75" customHeight="1">
      <c r="A5" s="167" t="s">
        <v>132</v>
      </c>
      <c r="B5" s="164"/>
      <c r="C5" s="168">
        <f>120*0.88</f>
        <v>105.6</v>
      </c>
      <c r="D5" s="168">
        <f>C5*1.03</f>
        <v>108.768</v>
      </c>
      <c r="E5" s="168">
        <f>D5*1.03</f>
        <v>112.03104</v>
      </c>
      <c r="F5" s="168">
        <f>E5*1.03</f>
        <v>115.3919712</v>
      </c>
      <c r="G5" s="169">
        <f>F5*1.03</f>
        <v>118.853730336</v>
      </c>
    </row>
    <row r="6" spans="1:7" s="162" customFormat="1" ht="9.75" customHeight="1">
      <c r="A6" s="167" t="s">
        <v>133</v>
      </c>
      <c r="B6" s="164"/>
      <c r="C6" s="170">
        <v>4124</v>
      </c>
      <c r="D6" s="170">
        <f>ROUNDUP(C6*1.08,0)</f>
        <v>4454</v>
      </c>
      <c r="E6" s="170">
        <f>ROUNDUP(D6*1.08,0)</f>
        <v>4811</v>
      </c>
      <c r="F6" s="170">
        <f>ROUNDUP(E6*1.08,0)</f>
        <v>5196</v>
      </c>
      <c r="G6" s="171">
        <f>ROUNDUP(F6*1.08,0)</f>
        <v>5612</v>
      </c>
    </row>
    <row r="7" spans="1:7" s="162" customFormat="1" ht="9.75" customHeight="1">
      <c r="A7" s="172" t="s">
        <v>134</v>
      </c>
      <c r="B7" s="173"/>
      <c r="C7" s="174">
        <f>SUM(C4:C5)</f>
        <v>435599.99999999994</v>
      </c>
      <c r="D7" s="174">
        <f>SUM(D4:D5)</f>
        <v>484561.44</v>
      </c>
      <c r="E7" s="174">
        <f>SUM(E4:E5)</f>
        <v>539093.3644800001</v>
      </c>
      <c r="F7" s="174">
        <f>SUM(F4:F5)</f>
        <v>599692.0743264001</v>
      </c>
      <c r="G7" s="175">
        <f>SUM(G4:G5)</f>
        <v>667125.988375968</v>
      </c>
    </row>
    <row r="8" spans="1:7" s="162" customFormat="1" ht="9.75" customHeight="1">
      <c r="A8" s="176" t="s">
        <v>135</v>
      </c>
      <c r="B8" s="177"/>
      <c r="C8" s="164"/>
      <c r="D8" s="164"/>
      <c r="E8" s="164"/>
      <c r="F8" s="164"/>
      <c r="G8" s="178"/>
    </row>
    <row r="9" spans="1:7" s="162" customFormat="1" ht="9.75" customHeight="1">
      <c r="A9" s="163" t="s">
        <v>136</v>
      </c>
      <c r="B9" s="164"/>
      <c r="C9" s="165">
        <f>C6*C10</f>
        <v>307650.4</v>
      </c>
      <c r="D9" s="165">
        <f>D6*D10</f>
        <v>338913.76800000004</v>
      </c>
      <c r="E9" s="165">
        <f>E6*E10</f>
        <v>373400.18424000003</v>
      </c>
      <c r="F9" s="165">
        <f>F6*F10</f>
        <v>411347.14289280004</v>
      </c>
      <c r="G9" s="166">
        <f>G6*G10</f>
        <v>453165.85243123205</v>
      </c>
    </row>
    <row r="10" spans="1:7" s="162" customFormat="1" ht="9.75" customHeight="1">
      <c r="A10" s="167" t="s">
        <v>166</v>
      </c>
      <c r="B10" s="164"/>
      <c r="C10" s="168">
        <f>307650.4/C6</f>
        <v>74.60000000000001</v>
      </c>
      <c r="D10" s="168">
        <f>C10*1.02</f>
        <v>76.09200000000001</v>
      </c>
      <c r="E10" s="168">
        <f>D10*1.02</f>
        <v>77.61384000000001</v>
      </c>
      <c r="F10" s="168">
        <f>E10*1.02</f>
        <v>79.16611680000001</v>
      </c>
      <c r="G10" s="169">
        <f>F10*1.02</f>
        <v>80.749439136</v>
      </c>
    </row>
    <row r="11" spans="1:7" s="162" customFormat="1" ht="9.75" customHeight="1">
      <c r="A11" s="163" t="s">
        <v>64</v>
      </c>
      <c r="B11" s="164"/>
      <c r="C11" s="165">
        <f>C6*C12</f>
        <v>23444.81</v>
      </c>
      <c r="D11" s="165">
        <f>D6*D12</f>
        <v>25827.266589427738</v>
      </c>
      <c r="E11" s="165">
        <f>E6*E12</f>
        <v>28455.3388309321</v>
      </c>
      <c r="F11" s="165">
        <f>F6*F12</f>
        <v>31347.12520823814</v>
      </c>
      <c r="G11" s="166">
        <f>G6*G12</f>
        <v>34533.962279061794</v>
      </c>
    </row>
    <row r="12" spans="1:7" s="162" customFormat="1" ht="9.75" customHeight="1">
      <c r="A12" s="167" t="s">
        <v>137</v>
      </c>
      <c r="B12" s="164"/>
      <c r="C12" s="168">
        <f>23444.81/C6</f>
        <v>5.684968477206596</v>
      </c>
      <c r="D12" s="168">
        <f>C12*1.02</f>
        <v>5.798667846750727</v>
      </c>
      <c r="E12" s="168">
        <f>D12*1.02</f>
        <v>5.914641203685742</v>
      </c>
      <c r="F12" s="168">
        <f>E12*1.02</f>
        <v>6.032934027759457</v>
      </c>
      <c r="G12" s="169">
        <f>F12*1.02</f>
        <v>6.153592708314647</v>
      </c>
    </row>
    <row r="13" spans="1:7" s="162" customFormat="1" ht="9.75" customHeight="1">
      <c r="A13" s="163" t="s">
        <v>138</v>
      </c>
      <c r="B13" s="164"/>
      <c r="C13" s="165">
        <f>C6*C14</f>
        <v>7505.680000000001</v>
      </c>
      <c r="D13" s="165">
        <f>D6*D14</f>
        <v>8268.405600000002</v>
      </c>
      <c r="E13" s="165">
        <f>E6*E14</f>
        <v>9109.763208000002</v>
      </c>
      <c r="F13" s="165">
        <f>F6*F14</f>
        <v>10035.546917760003</v>
      </c>
      <c r="G13" s="166">
        <f>G6*G14</f>
        <v>11055.788893094401</v>
      </c>
    </row>
    <row r="14" spans="1:7" s="162" customFormat="1" ht="9.75" customHeight="1">
      <c r="A14" s="167" t="s">
        <v>165</v>
      </c>
      <c r="B14" s="164"/>
      <c r="C14" s="168">
        <f>20*1.3*0.07</f>
        <v>1.8200000000000003</v>
      </c>
      <c r="D14" s="168">
        <f>C14*1.02</f>
        <v>1.8564000000000003</v>
      </c>
      <c r="E14" s="168">
        <f>D14*1.02</f>
        <v>1.8935280000000003</v>
      </c>
      <c r="F14" s="168">
        <f>E14*1.02</f>
        <v>1.9313985600000003</v>
      </c>
      <c r="G14" s="169">
        <f>F14*1.02</f>
        <v>1.9700265312000003</v>
      </c>
    </row>
    <row r="15" spans="1:7" s="162" customFormat="1" ht="9.75" customHeight="1">
      <c r="A15" s="163" t="s">
        <v>139</v>
      </c>
      <c r="B15" s="164"/>
      <c r="C15" s="165">
        <f>C16*C6</f>
        <v>618.6</v>
      </c>
      <c r="D15" s="165">
        <f>D16*D6</f>
        <v>681.462</v>
      </c>
      <c r="E15" s="165">
        <f>E16*E6</f>
        <v>750.80466</v>
      </c>
      <c r="F15" s="165">
        <f>F16*F6</f>
        <v>827.1055152</v>
      </c>
      <c r="G15" s="166">
        <f>G16*G6</f>
        <v>911.191392288</v>
      </c>
    </row>
    <row r="16" spans="1:7" s="162" customFormat="1" ht="9.75" customHeight="1">
      <c r="A16" s="167" t="s">
        <v>140</v>
      </c>
      <c r="B16" s="164"/>
      <c r="C16" s="179">
        <v>0.15</v>
      </c>
      <c r="D16" s="179">
        <f>C16*1.02</f>
        <v>0.153</v>
      </c>
      <c r="E16" s="179">
        <f>D16*1.02</f>
        <v>0.15606</v>
      </c>
      <c r="F16" s="179">
        <f>E16*1.02</f>
        <v>0.1591812</v>
      </c>
      <c r="G16" s="180">
        <f>F16*1.02</f>
        <v>0.162364824</v>
      </c>
    </row>
    <row r="17" spans="1:7" s="162" customFormat="1" ht="9.75" customHeight="1">
      <c r="A17" s="163" t="s">
        <v>141</v>
      </c>
      <c r="B17" s="164"/>
      <c r="C17" s="165">
        <f>C6*C18</f>
        <v>2749.3</v>
      </c>
      <c r="D17" s="165">
        <f>D6*D18</f>
        <v>3028.6832793404465</v>
      </c>
      <c r="E17" s="165">
        <f>E6*E18</f>
        <v>3336.869142803104</v>
      </c>
      <c r="F17" s="165">
        <f>F6*F18</f>
        <v>3675.9799433226</v>
      </c>
      <c r="G17" s="166">
        <f>G6*G18</f>
        <v>4049.6904216252806</v>
      </c>
    </row>
    <row r="18" spans="1:7" s="162" customFormat="1" ht="9.75" customHeight="1">
      <c r="A18" s="167" t="s">
        <v>142</v>
      </c>
      <c r="B18" s="164"/>
      <c r="C18" s="168">
        <f>2749.3/C6</f>
        <v>0.6666585838991271</v>
      </c>
      <c r="D18" s="168">
        <f>C18*1.02</f>
        <v>0.6799917555771097</v>
      </c>
      <c r="E18" s="168">
        <f>D18*1.02</f>
        <v>0.6935915906886518</v>
      </c>
      <c r="F18" s="168">
        <f>E18*1.02</f>
        <v>0.7074634225024249</v>
      </c>
      <c r="G18" s="169">
        <f>F18*1.02</f>
        <v>0.7216126909524734</v>
      </c>
    </row>
    <row r="19" spans="1:7" s="162" customFormat="1" ht="9.75" customHeight="1">
      <c r="A19" s="163" t="s">
        <v>143</v>
      </c>
      <c r="B19" s="164"/>
      <c r="C19" s="165">
        <f>0-B34*0.04</f>
        <v>3296</v>
      </c>
      <c r="D19" s="165">
        <f>C19*1.03</f>
        <v>3394.88</v>
      </c>
      <c r="E19" s="165">
        <f>D19*1.03</f>
        <v>3496.7264</v>
      </c>
      <c r="F19" s="165">
        <f>E19*1.03</f>
        <v>3601.628192</v>
      </c>
      <c r="G19" s="166">
        <f>F19*1.03</f>
        <v>3709.67703776</v>
      </c>
    </row>
    <row r="20" spans="1:7" s="162" customFormat="1" ht="9.75" customHeight="1">
      <c r="A20" s="181" t="s">
        <v>144</v>
      </c>
      <c r="B20" s="182"/>
      <c r="C20" s="183">
        <f>C9+C11+C13+C15+C17+C19</f>
        <v>345264.79</v>
      </c>
      <c r="D20" s="183">
        <f>D9+D11+SUM(D13:D19)</f>
        <v>380117.15486052376</v>
      </c>
      <c r="E20" s="183">
        <f>E9+E11+SUM(E13:E19)</f>
        <v>418552.42966132594</v>
      </c>
      <c r="F20" s="183">
        <f>F9+F11+SUM(F13:F19)</f>
        <v>460837.3267125033</v>
      </c>
      <c r="G20" s="184">
        <f>G9+G11+SUM(G13:G19)</f>
        <v>507429.0164591077</v>
      </c>
    </row>
    <row r="21" spans="1:7" s="162" customFormat="1" ht="9.75" customHeight="1">
      <c r="A21" s="176" t="s">
        <v>145</v>
      </c>
      <c r="B21" s="177"/>
      <c r="C21" s="164"/>
      <c r="D21" s="164"/>
      <c r="E21" s="164"/>
      <c r="F21" s="164"/>
      <c r="G21" s="178"/>
    </row>
    <row r="22" spans="1:7" s="162" customFormat="1" ht="9.75" customHeight="1">
      <c r="A22" s="163" t="s">
        <v>146</v>
      </c>
      <c r="B22" s="164"/>
      <c r="C22" s="168">
        <f>18400+15440</f>
        <v>33840</v>
      </c>
      <c r="D22" s="168">
        <f>C22*1.05</f>
        <v>35532</v>
      </c>
      <c r="E22" s="168">
        <f>D22*1.05</f>
        <v>37308.6</v>
      </c>
      <c r="F22" s="168">
        <f>E22*1.05</f>
        <v>39174.03</v>
      </c>
      <c r="G22" s="169">
        <f>F22*1.05</f>
        <v>41132.7315</v>
      </c>
    </row>
    <row r="23" spans="1:7" s="162" customFormat="1" ht="9.75" customHeight="1">
      <c r="A23" s="163" t="s">
        <v>147</v>
      </c>
      <c r="B23" s="164"/>
      <c r="C23" s="168">
        <f>C22*0.35</f>
        <v>11844</v>
      </c>
      <c r="D23" s="168">
        <f>D22*0.35</f>
        <v>12436.199999999999</v>
      </c>
      <c r="E23" s="168">
        <f>E22*0.35</f>
        <v>13058.009999999998</v>
      </c>
      <c r="F23" s="168">
        <f>F22*0.35</f>
        <v>13710.910499999998</v>
      </c>
      <c r="G23" s="169">
        <f>G22*0.35</f>
        <v>14396.456025</v>
      </c>
    </row>
    <row r="24" spans="1:7" s="162" customFormat="1" ht="9.75" customHeight="1">
      <c r="A24" s="163" t="s">
        <v>148</v>
      </c>
      <c r="B24" s="164"/>
      <c r="C24" s="168">
        <f>300*12</f>
        <v>3600</v>
      </c>
      <c r="D24" s="168">
        <f>C24*1.1</f>
        <v>3960.0000000000005</v>
      </c>
      <c r="E24" s="168">
        <f>D24*1.1</f>
        <v>4356.000000000001</v>
      </c>
      <c r="F24" s="168">
        <f>E24*1.1</f>
        <v>4791.600000000001</v>
      </c>
      <c r="G24" s="169">
        <f>F24*1.1</f>
        <v>5270.760000000002</v>
      </c>
    </row>
    <row r="25" spans="1:7" s="162" customFormat="1" ht="9.75" customHeight="1">
      <c r="A25" s="163" t="s">
        <v>149</v>
      </c>
      <c r="B25" s="164"/>
      <c r="C25" s="168">
        <v>360</v>
      </c>
      <c r="D25" s="168">
        <v>360</v>
      </c>
      <c r="E25" s="168">
        <v>360</v>
      </c>
      <c r="F25" s="168">
        <v>360</v>
      </c>
      <c r="G25" s="169">
        <v>360</v>
      </c>
    </row>
    <row r="26" spans="1:7" s="162" customFormat="1" ht="9.75" customHeight="1">
      <c r="A26" s="163" t="s">
        <v>150</v>
      </c>
      <c r="B26" s="164"/>
      <c r="C26" s="168">
        <v>1000</v>
      </c>
      <c r="D26" s="168">
        <v>1000</v>
      </c>
      <c r="E26" s="168">
        <v>1000</v>
      </c>
      <c r="F26" s="168">
        <v>1000</v>
      </c>
      <c r="G26" s="169">
        <v>1000</v>
      </c>
    </row>
    <row r="27" spans="1:7" s="162" customFormat="1" ht="9.75" customHeight="1">
      <c r="A27" s="163" t="s">
        <v>151</v>
      </c>
      <c r="B27" s="164"/>
      <c r="C27" s="168">
        <f>0-$B$34/5</f>
        <v>16480</v>
      </c>
      <c r="D27" s="168">
        <f>0-$B$34/5</f>
        <v>16480</v>
      </c>
      <c r="E27" s="168">
        <f>0-$B$34/5</f>
        <v>16480</v>
      </c>
      <c r="F27" s="168">
        <f>0-$B$34/5</f>
        <v>16480</v>
      </c>
      <c r="G27" s="169">
        <f>0-$B$34/5</f>
        <v>16480</v>
      </c>
    </row>
    <row r="28" spans="1:7" s="162" customFormat="1" ht="9.75" customHeight="1">
      <c r="A28" s="185" t="s">
        <v>152</v>
      </c>
      <c r="B28" s="186"/>
      <c r="C28" s="187">
        <f>SUM(C22:C27)</f>
        <v>67124</v>
      </c>
      <c r="D28" s="187">
        <f>SUM(D22:D27)</f>
        <v>69768.2</v>
      </c>
      <c r="E28" s="187">
        <f>SUM(E22:E27)</f>
        <v>72562.61</v>
      </c>
      <c r="F28" s="187">
        <f>SUM(F22:F27)</f>
        <v>75516.5405</v>
      </c>
      <c r="G28" s="188">
        <f>SUM(G22:G27)</f>
        <v>78639.947525</v>
      </c>
    </row>
    <row r="29" spans="1:7" s="162" customFormat="1" ht="9.75" customHeight="1">
      <c r="A29" s="189" t="s">
        <v>153</v>
      </c>
      <c r="B29" s="190"/>
      <c r="C29" s="191">
        <f>C7-C20-C28</f>
        <v>23211.209999999963</v>
      </c>
      <c r="D29" s="191">
        <f>D7-D20-D28</f>
        <v>34676.08513947624</v>
      </c>
      <c r="E29" s="191">
        <f>E7-E20-E28</f>
        <v>47978.32481867417</v>
      </c>
      <c r="F29" s="191">
        <f>F7-F20-F28</f>
        <v>63338.20711389679</v>
      </c>
      <c r="G29" s="192">
        <f>G7-G20-G28</f>
        <v>81057.02439186026</v>
      </c>
    </row>
    <row r="30" spans="1:7" s="162" customFormat="1" ht="9.75" customHeight="1">
      <c r="A30" s="176" t="s">
        <v>154</v>
      </c>
      <c r="B30" s="177"/>
      <c r="C30" s="165">
        <f>IF(C29&gt;0,C29*0.25,0)</f>
        <v>5802.802499999991</v>
      </c>
      <c r="D30" s="165">
        <f>IF(D29&gt;0,D29*0.25,0)</f>
        <v>8669.02128486906</v>
      </c>
      <c r="E30" s="165">
        <f>IF(E29&gt;0,E29*0.25,0)</f>
        <v>11994.581204668542</v>
      </c>
      <c r="F30" s="165">
        <f>IF(F29&gt;0,F29*0.25,0)</f>
        <v>15834.551778474197</v>
      </c>
      <c r="G30" s="166">
        <f>IF(G29&gt;0,G29*0.25,0)</f>
        <v>20264.256097965066</v>
      </c>
    </row>
    <row r="31" spans="1:7" s="162" customFormat="1" ht="9.75" customHeight="1">
      <c r="A31" s="181" t="s">
        <v>155</v>
      </c>
      <c r="B31" s="182"/>
      <c r="C31" s="183">
        <f>IF((C29-C30)&gt;0,(C29-C30)*0.15,0)</f>
        <v>2611.261124999996</v>
      </c>
      <c r="D31" s="183">
        <f>IF((D29-D30)&gt;0,(D29-D30)*0.15,0)</f>
        <v>3901.059578191077</v>
      </c>
      <c r="E31" s="183">
        <f>IF((E29-E30)&gt;0,(E29-E30)*0.15,0)</f>
        <v>5397.561542100843</v>
      </c>
      <c r="F31" s="183">
        <f>IF((F29-F30)&gt;0,(F29-F30)*0.15,0)</f>
        <v>7125.548300313389</v>
      </c>
      <c r="G31" s="184">
        <f>IF((G29-G30)&gt;0,(G29-G30)*0.15,0)</f>
        <v>9118.915244084279</v>
      </c>
    </row>
    <row r="32" spans="1:7" s="162" customFormat="1" ht="9.75" customHeight="1">
      <c r="A32" s="176" t="s">
        <v>162</v>
      </c>
      <c r="B32" s="177"/>
      <c r="C32" s="165">
        <f>SUM(C30:C31)</f>
        <v>8414.063624999986</v>
      </c>
      <c r="D32" s="165">
        <f>SUM(D30:D31)</f>
        <v>12570.080863060139</v>
      </c>
      <c r="E32" s="165">
        <f>SUM(E30:E31)</f>
        <v>17392.142746769387</v>
      </c>
      <c r="F32" s="165">
        <f>SUM(F30:F31)</f>
        <v>22960.100078787586</v>
      </c>
      <c r="G32" s="166">
        <f>SUM(G30:G31)</f>
        <v>29383.171342049347</v>
      </c>
    </row>
    <row r="33" spans="1:7" s="162" customFormat="1" ht="9.75" customHeight="1">
      <c r="A33" s="193" t="s">
        <v>156</v>
      </c>
      <c r="B33" s="194"/>
      <c r="C33" s="195">
        <f>C29-C32</f>
        <v>14797.146374999977</v>
      </c>
      <c r="D33" s="195">
        <f>D29-D32</f>
        <v>22106.004276416104</v>
      </c>
      <c r="E33" s="195">
        <f>E29-E32</f>
        <v>30586.182071904783</v>
      </c>
      <c r="F33" s="195">
        <f>F29-F32</f>
        <v>40378.107035109206</v>
      </c>
      <c r="G33" s="196">
        <f>G29-G32</f>
        <v>51673.85304981092</v>
      </c>
    </row>
    <row r="34" spans="1:7" s="162" customFormat="1" ht="9.75" customHeight="1" thickBot="1">
      <c r="A34" s="197" t="s">
        <v>157</v>
      </c>
      <c r="B34" s="198">
        <f>0-82400</f>
        <v>-82400</v>
      </c>
      <c r="C34" s="198">
        <v>0</v>
      </c>
      <c r="D34" s="198">
        <v>0</v>
      </c>
      <c r="E34" s="198">
        <v>0</v>
      </c>
      <c r="F34" s="198">
        <v>0</v>
      </c>
      <c r="G34" s="199">
        <v>0</v>
      </c>
    </row>
    <row r="35" spans="1:7" s="162" customFormat="1" ht="9.75" customHeight="1">
      <c r="A35" s="200"/>
      <c r="B35" s="200"/>
      <c r="C35" s="201"/>
      <c r="D35" s="201"/>
      <c r="E35" s="201"/>
      <c r="F35" s="201"/>
      <c r="G35" s="201"/>
    </row>
    <row r="36" spans="1:7" s="162" customFormat="1" ht="9.75" customHeight="1" thickBot="1">
      <c r="A36" s="193" t="s">
        <v>158</v>
      </c>
      <c r="B36" s="202">
        <f aca="true" t="shared" si="0" ref="B36:G37">+B34+B33</f>
        <v>-82400</v>
      </c>
      <c r="C36" s="195">
        <f t="shared" si="0"/>
        <v>14797.146374999977</v>
      </c>
      <c r="D36" s="195">
        <f t="shared" si="0"/>
        <v>22106.004276416104</v>
      </c>
      <c r="E36" s="195">
        <f t="shared" si="0"/>
        <v>30586.182071904783</v>
      </c>
      <c r="F36" s="195">
        <f t="shared" si="0"/>
        <v>40378.107035109206</v>
      </c>
      <c r="G36" s="196">
        <f t="shared" si="0"/>
        <v>51673.85304981092</v>
      </c>
    </row>
    <row r="37" spans="1:7" s="162" customFormat="1" ht="9.75" customHeight="1" thickBot="1">
      <c r="A37" s="242" t="s">
        <v>174</v>
      </c>
      <c r="B37" s="202">
        <f t="shared" si="0"/>
        <v>-82400</v>
      </c>
      <c r="C37" s="241">
        <f>(B37+C36)</f>
        <v>-67602.85362500002</v>
      </c>
      <c r="D37" s="241">
        <f>(C37+D36)</f>
        <v>-45496.84934858391</v>
      </c>
      <c r="E37" s="241">
        <f>(D37+E36)</f>
        <v>-14910.66727667913</v>
      </c>
      <c r="F37" s="240">
        <f>(E37+F36)</f>
        <v>25467.439758430075</v>
      </c>
      <c r="G37" s="240">
        <f>(F37+G36)</f>
        <v>77141.29280824099</v>
      </c>
    </row>
    <row r="38" spans="2:3" s="162" customFormat="1" ht="9.75" customHeight="1" thickBot="1">
      <c r="B38" s="203" t="s">
        <v>159</v>
      </c>
      <c r="C38" s="204">
        <f>IRR(B36:G36)</f>
        <v>0.21431634552344825</v>
      </c>
    </row>
    <row r="39" spans="2:3" s="162" customFormat="1" ht="9.75" customHeight="1" thickBot="1">
      <c r="B39" s="205" t="s">
        <v>160</v>
      </c>
      <c r="C39" s="206">
        <f>NPV(0.15,C36:G36)</f>
        <v>98470.66145540834</v>
      </c>
    </row>
    <row r="41" spans="4:8" ht="12.75">
      <c r="D41" s="100">
        <f>D31*2/3</f>
        <v>2600.706385460718</v>
      </c>
      <c r="E41" s="100">
        <f>E31*2/3</f>
        <v>3598.374361400562</v>
      </c>
      <c r="F41" s="100">
        <f>F31*2/3</f>
        <v>4750.365533542259</v>
      </c>
      <c r="G41" s="100">
        <f>G31*2/3</f>
        <v>6079.27682938952</v>
      </c>
      <c r="H41" s="101"/>
    </row>
    <row r="42" spans="4:8" ht="12.75">
      <c r="D42" s="101">
        <f>D41/80</f>
        <v>32.508829818258974</v>
      </c>
      <c r="E42" s="101">
        <f>E41/80</f>
        <v>44.97967951750702</v>
      </c>
      <c r="F42" s="101">
        <f>F41/80</f>
        <v>59.37956916927824</v>
      </c>
      <c r="G42" s="101">
        <f>G41/80</f>
        <v>75.990960367369</v>
      </c>
      <c r="H42" s="101"/>
    </row>
    <row r="44" spans="4:7" ht="12.75">
      <c r="D44" s="100">
        <f>D31*1/3</f>
        <v>1300.353192730359</v>
      </c>
      <c r="E44" s="100">
        <f>E31*1/3</f>
        <v>1799.187180700281</v>
      </c>
      <c r="F44" s="100">
        <f>F31*1/3</f>
        <v>2375.1827667711295</v>
      </c>
      <c r="G44" s="100">
        <f>G31*1/3</f>
        <v>3039.63841469476</v>
      </c>
    </row>
    <row r="45" spans="4:7" ht="12.75">
      <c r="D45" s="101">
        <f>D44/120</f>
        <v>10.836276606086326</v>
      </c>
      <c r="E45" s="101">
        <f>E44/120</f>
        <v>14.993226505835676</v>
      </c>
      <c r="F45" s="101">
        <f>F44/120</f>
        <v>19.793189723092745</v>
      </c>
      <c r="G45" s="101">
        <f>G44/120</f>
        <v>25.33032012245633</v>
      </c>
    </row>
  </sheetData>
  <printOptions/>
  <pageMargins left="0.82" right="0.5" top="0.72" bottom="0.66" header="0" footer="0"/>
  <pageSetup fitToHeight="1" fitToWidth="1" orientation="landscape" paperSize="9" r:id="rId1"/>
  <ignoredErrors>
    <ignoredError sqref="D11: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jflor</dc:creator>
  <cp:keywords/>
  <dc:description/>
  <cp:lastModifiedBy>Johanna</cp:lastModifiedBy>
  <cp:lastPrinted>2005-11-01T01:55:56Z</cp:lastPrinted>
  <dcterms:created xsi:type="dcterms:W3CDTF">2004-09-14T02:50:25Z</dcterms:created>
  <dcterms:modified xsi:type="dcterms:W3CDTF">2005-11-01T01:56:05Z</dcterms:modified>
  <cp:category/>
  <cp:version/>
  <cp:contentType/>
  <cp:contentStatus/>
</cp:coreProperties>
</file>