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615" windowHeight="4875" activeTab="0"/>
  </bookViews>
  <sheets>
    <sheet name="VentasvsProducción" sheetId="1" r:id="rId1"/>
    <sheet name="EstdaProdExt" sheetId="2" r:id="rId2"/>
    <sheet name="Estandares(resumen)" sheetId="3" r:id="rId3"/>
    <sheet name="Proyecciones" sheetId="4" r:id="rId4"/>
    <sheet name="Detalle de la demanda" sheetId="5" r:id="rId5"/>
    <sheet name="REsumen de proyeccion" sheetId="6" r:id="rId6"/>
  </sheets>
  <definedNames/>
  <calcPr fullCalcOnLoad="1"/>
</workbook>
</file>

<file path=xl/sharedStrings.xml><?xml version="1.0" encoding="utf-8"?>
<sst xmlns="http://schemas.openxmlformats.org/spreadsheetml/2006/main" count="189" uniqueCount="122">
  <si>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</si>
  <si>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</si>
  <si>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</si>
  <si>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</si>
  <si>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</si>
  <si>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</si>
  <si>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</si>
  <si>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</si>
  <si>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</si>
  <si>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</si>
  <si>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</si>
  <si>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</si>
  <si>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Promedio</t>
  </si>
  <si>
    <t>Año</t>
  </si>
  <si>
    <t>Total</t>
  </si>
  <si>
    <t>Ventas mensuales de la Empresa</t>
  </si>
  <si>
    <t>Producciones mensuales de la Empresa</t>
  </si>
  <si>
    <t>Calculo</t>
  </si>
  <si>
    <t>Descripción</t>
  </si>
  <si>
    <t>Extrusoras</t>
  </si>
  <si>
    <t>Extrusora 1</t>
  </si>
  <si>
    <t>Ext. 1</t>
  </si>
  <si>
    <t>Ext. 2</t>
  </si>
  <si>
    <t>Ext. 3</t>
  </si>
  <si>
    <t>Ext. 4</t>
  </si>
  <si>
    <t>Ext. 5</t>
  </si>
  <si>
    <t>Ext. 9</t>
  </si>
  <si>
    <t>Ext. 10</t>
  </si>
  <si>
    <t>Ext. 11</t>
  </si>
  <si>
    <t>Ext. 12</t>
  </si>
  <si>
    <t>Ext. 13</t>
  </si>
  <si>
    <t>Velocidad de extrusoras (Kg/hora)</t>
  </si>
  <si>
    <t>ET</t>
  </si>
  <si>
    <t>Horas al mes</t>
  </si>
  <si>
    <t>Kg al mes</t>
  </si>
  <si>
    <t>Limpieza</t>
  </si>
  <si>
    <t>HPP</t>
  </si>
  <si>
    <t>Subtotal</t>
  </si>
  <si>
    <t>(%)</t>
  </si>
  <si>
    <t>(Horas)</t>
  </si>
  <si>
    <t>Mantenimiento correctivo</t>
  </si>
  <si>
    <t>(Kg por mes)</t>
  </si>
  <si>
    <t>%HPP</t>
  </si>
  <si>
    <t>HNP</t>
  </si>
  <si>
    <t>%HNP</t>
  </si>
  <si>
    <t>HPNP</t>
  </si>
  <si>
    <t>Rendimiento</t>
  </si>
  <si>
    <t>ER</t>
  </si>
  <si>
    <t>Maquina</t>
  </si>
  <si>
    <t>Estándar Teórico (Kg/mes)</t>
  </si>
  <si>
    <t>Rendimiento(%)</t>
  </si>
  <si>
    <t>HNP(Horas)</t>
  </si>
  <si>
    <t>Estandar Real (Kg/mes)</t>
  </si>
  <si>
    <t>Extrusora 2</t>
  </si>
  <si>
    <t>Extrusora 3</t>
  </si>
  <si>
    <t>Extrusora 4</t>
  </si>
  <si>
    <t>Extrusora 5</t>
  </si>
  <si>
    <t>Extrusora 9</t>
  </si>
  <si>
    <t>Extrusora 10</t>
  </si>
  <si>
    <t>Extrusora 11</t>
  </si>
  <si>
    <t>Extrusora 12</t>
  </si>
  <si>
    <t>Extrusora 13</t>
  </si>
  <si>
    <t>a</t>
  </si>
  <si>
    <t>b</t>
  </si>
  <si>
    <t>c</t>
  </si>
  <si>
    <t>d</t>
  </si>
  <si>
    <t>e</t>
  </si>
  <si>
    <t>f</t>
  </si>
  <si>
    <t>g</t>
  </si>
  <si>
    <t>x                                          (periodo de tiempo)</t>
  </si>
  <si>
    <t>Demanda Real</t>
  </si>
  <si>
    <t>Demanda de Kg. extruidos de acuerdo a D</t>
  </si>
  <si>
    <t>Coeficiente de demanda Real</t>
  </si>
  <si>
    <t>Factor Estacional (promedio)</t>
  </si>
  <si>
    <t>Demanda de Kg. extrudios de acuerdo a D</t>
  </si>
  <si>
    <t>Demanda proyectada</t>
  </si>
  <si>
    <t>Demanda proyectada (Kg. extruidos)</t>
  </si>
  <si>
    <t>2005 +(clientes nuevos)</t>
  </si>
  <si>
    <t>2006+(clientes nuevos)</t>
  </si>
  <si>
    <t>Mantenimiento programado (h/mes)</t>
  </si>
  <si>
    <t>Preparación de máquinas(h/mes)</t>
  </si>
  <si>
    <t>Calibración del globo(h)</t>
  </si>
  <si>
    <t>D (Demanda)</t>
  </si>
  <si>
    <t>xD</t>
  </si>
  <si>
    <r>
      <t>x</t>
    </r>
    <r>
      <rPr>
        <b/>
        <sz val="10"/>
        <rFont val="Arial"/>
        <family val="0"/>
      </rPr>
      <t>²</t>
    </r>
  </si>
  <si>
    <t>Datos reales</t>
  </si>
  <si>
    <t>Datos para la tesis ( ESPOL) multiplicado por 1,25</t>
  </si>
  <si>
    <t>Kg. Extras por nuevos clientes</t>
  </si>
  <si>
    <t>Prod.</t>
  </si>
  <si>
    <t>Ventas</t>
  </si>
  <si>
    <t>Diferen.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</si>
  <si>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</si>
  <si>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</si>
  <si>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</si>
  <si>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</si>
  <si>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</si>
  <si>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</si>
  <si>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</si>
  <si>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</si>
  <si>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</si>
  <si>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</si>
  <si>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</si>
  <si>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</si>
  <si>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</si>
  <si>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SALDO</t>
  </si>
  <si>
    <t>S(-)</t>
  </si>
  <si>
    <t>S(+)</t>
  </si>
  <si>
    <t>Mayo</t>
  </si>
  <si>
    <t>Stock Incial</t>
  </si>
  <si>
    <t>Stock final</t>
  </si>
  <si>
    <t>Stock prod.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</si>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</sst>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"/>
    <numFmt numFmtId="18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17" fontId="0" fillId="0" borderId="20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17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2" fillId="2" borderId="15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0" borderId="26" xfId="0" applyNumberFormat="1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4" fontId="0" fillId="0" borderId="19" xfId="0" applyNumberFormat="1" applyBorder="1" applyAlignment="1">
      <alignment/>
    </xf>
    <xf numFmtId="0" fontId="2" fillId="5" borderId="27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Comparación Demanda vs. Capacidad de Producción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7075"/>
          <c:w val="0.7412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tx>
            <c:v>Ventas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VentasvsProducción!$B$9:$M$9</c:f>
              <c:numCache/>
            </c:numRef>
          </c:val>
        </c:ser>
        <c:ser>
          <c:idx val="1"/>
          <c:order val="1"/>
          <c:tx>
            <c:v>Producción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VentasvsProducción!$B$18:$M$18</c:f>
              <c:numCache/>
            </c:numRef>
          </c:val>
        </c:ser>
        <c:axId val="62496856"/>
        <c:axId val="469497"/>
      </c:barChart>
      <c:catAx>
        <c:axId val="624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497"/>
        <c:crosses val="autoZero"/>
        <c:auto val="1"/>
        <c:lblOffset val="100"/>
        <c:noMultiLvlLbl val="0"/>
      </c:catAx>
      <c:valAx>
        <c:axId val="469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96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5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Comparación Producción vs. Ventas (2001-2004)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Ventas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VentasvsProducción!$B$49:$M$49</c:f>
              <c:numCache/>
            </c:numRef>
          </c:val>
        </c:ser>
        <c:ser>
          <c:idx val="1"/>
          <c:order val="1"/>
          <c:tx>
            <c:v>Produccion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VentasvsProducción!$B$58:$M$58</c:f>
              <c:numCache/>
            </c:numRef>
          </c:val>
        </c:ser>
        <c:axId val="13615414"/>
        <c:axId val="59302687"/>
      </c:barChart>
      <c:catAx>
        <c:axId val="13615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02687"/>
        <c:crosses val="autoZero"/>
        <c:auto val="1"/>
        <c:lblOffset val="100"/>
        <c:noMultiLvlLbl val="0"/>
      </c:catAx>
      <c:valAx>
        <c:axId val="5930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Kg. Polietileno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5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Saldo de inventarios promedio mensuales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VentasvsProducción!$B$87:$M$87</c:f>
              <c:numCache/>
            </c:numRef>
          </c:val>
        </c:ser>
        <c:axId val="42056324"/>
        <c:axId val="11673845"/>
      </c:barChart>
      <c:catAx>
        <c:axId val="4205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73845"/>
        <c:crosses val="autoZero"/>
        <c:auto val="1"/>
        <c:lblOffset val="100"/>
        <c:noMultiLvlLbl val="0"/>
      </c:catAx>
      <c:valAx>
        <c:axId val="1167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632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21</xdr:row>
      <xdr:rowOff>95250</xdr:rowOff>
    </xdr:from>
    <xdr:to>
      <xdr:col>8</xdr:col>
      <xdr:colOff>209550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257300" y="36290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59</xdr:row>
      <xdr:rowOff>85725</xdr:rowOff>
    </xdr:from>
    <xdr:to>
      <xdr:col>9</xdr:col>
      <xdr:colOff>104775</xdr:colOff>
      <xdr:row>76</xdr:row>
      <xdr:rowOff>85725</xdr:rowOff>
    </xdr:to>
    <xdr:graphicFrame>
      <xdr:nvGraphicFramePr>
        <xdr:cNvPr id="2" name="Chart 5"/>
        <xdr:cNvGraphicFramePr/>
      </xdr:nvGraphicFramePr>
      <xdr:xfrm>
        <a:off x="1933575" y="9906000"/>
        <a:ext cx="48101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88</xdr:row>
      <xdr:rowOff>142875</xdr:rowOff>
    </xdr:from>
    <xdr:to>
      <xdr:col>11</xdr:col>
      <xdr:colOff>142875</xdr:colOff>
      <xdr:row>105</xdr:row>
      <xdr:rowOff>123825</xdr:rowOff>
    </xdr:to>
    <xdr:graphicFrame>
      <xdr:nvGraphicFramePr>
        <xdr:cNvPr id="3" name="Chart 6"/>
        <xdr:cNvGraphicFramePr/>
      </xdr:nvGraphicFramePr>
      <xdr:xfrm>
        <a:off x="4124325" y="14678025"/>
        <a:ext cx="40862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workbookViewId="0" topLeftCell="A84">
      <selection activeCell="M113" sqref="M113"/>
    </sheetView>
  </sheetViews>
  <sheetFormatPr defaultColWidth="11.421875" defaultRowHeight="12.75"/>
  <cols>
    <col min="1" max="1" width="10.7109375" style="0" customWidth="1"/>
    <col min="2" max="3" width="12.28125" style="0" bestFit="1" customWidth="1"/>
    <col min="4" max="11" width="10.7109375" style="0" bestFit="1" customWidth="1"/>
    <col min="12" max="13" width="12.28125" style="0" bestFit="1" customWidth="1"/>
    <col min="14" max="14" width="13.28125" style="0" bestFit="1" customWidth="1"/>
  </cols>
  <sheetData>
    <row r="1" ht="20.25">
      <c r="A1" s="72" t="s">
        <v>85</v>
      </c>
    </row>
    <row r="2" ht="13.5" thickBot="1"/>
    <row r="3" spans="2:14" ht="13.5" thickBot="1">
      <c r="B3" s="75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12.75">
      <c r="A4" s="2" t="s">
        <v>13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14</v>
      </c>
    </row>
    <row r="5" spans="1:14" ht="12.75">
      <c r="A5" s="3">
        <v>2001</v>
      </c>
      <c r="B5" s="1">
        <v>456216</v>
      </c>
      <c r="C5" s="1">
        <v>323822</v>
      </c>
      <c r="D5" s="1">
        <v>387507</v>
      </c>
      <c r="E5" s="1">
        <v>377082</v>
      </c>
      <c r="F5" s="1">
        <v>349015</v>
      </c>
      <c r="G5" s="1">
        <v>273928</v>
      </c>
      <c r="H5" s="1">
        <v>318670</v>
      </c>
      <c r="I5" s="1">
        <v>333327</v>
      </c>
      <c r="J5" s="1">
        <v>295689</v>
      </c>
      <c r="K5" s="1">
        <v>376855</v>
      </c>
      <c r="L5" s="1">
        <v>360734</v>
      </c>
      <c r="M5" s="1">
        <v>379895</v>
      </c>
      <c r="N5" s="1">
        <f>SUM(B5:M5)</f>
        <v>4232740</v>
      </c>
    </row>
    <row r="6" spans="1:14" ht="12.75">
      <c r="A6" s="3">
        <v>2002</v>
      </c>
      <c r="B6" s="1">
        <v>458292</v>
      </c>
      <c r="C6" s="1">
        <v>437431</v>
      </c>
      <c r="D6" s="1">
        <v>356573</v>
      </c>
      <c r="E6" s="1">
        <v>466398</v>
      </c>
      <c r="F6" s="1">
        <v>353119</v>
      </c>
      <c r="G6" s="1">
        <v>271170</v>
      </c>
      <c r="H6" s="1">
        <v>405125</v>
      </c>
      <c r="I6" s="1">
        <v>358636</v>
      </c>
      <c r="J6" s="1">
        <v>362628</v>
      </c>
      <c r="K6" s="1">
        <v>416064</v>
      </c>
      <c r="L6" s="1">
        <v>424485</v>
      </c>
      <c r="M6" s="1">
        <v>529053</v>
      </c>
      <c r="N6" s="1">
        <f>SUM(B6:M6)</f>
        <v>4838974</v>
      </c>
    </row>
    <row r="7" spans="1:14" ht="12.75">
      <c r="A7" s="3">
        <v>2003</v>
      </c>
      <c r="B7" s="1">
        <v>607351</v>
      </c>
      <c r="C7" s="1">
        <v>559341</v>
      </c>
      <c r="D7" s="1">
        <v>532951</v>
      </c>
      <c r="E7" s="1">
        <v>508536</v>
      </c>
      <c r="F7" s="1">
        <v>381747</v>
      </c>
      <c r="G7" s="1">
        <v>362497</v>
      </c>
      <c r="H7" s="1">
        <v>458117</v>
      </c>
      <c r="I7" s="1">
        <v>425604</v>
      </c>
      <c r="J7" s="1">
        <v>390958</v>
      </c>
      <c r="K7" s="1">
        <v>406619</v>
      </c>
      <c r="L7" s="1">
        <v>471023</v>
      </c>
      <c r="M7" s="1">
        <v>454292</v>
      </c>
      <c r="N7" s="1">
        <f>SUM(B7:M7)</f>
        <v>5559036</v>
      </c>
    </row>
    <row r="8" spans="1:14" ht="12.75">
      <c r="A8" s="3">
        <v>2004</v>
      </c>
      <c r="B8" s="1">
        <v>817609</v>
      </c>
      <c r="C8" s="1">
        <v>667637</v>
      </c>
      <c r="D8" s="1">
        <v>716866</v>
      </c>
      <c r="E8" s="1">
        <v>707253</v>
      </c>
      <c r="F8" s="1">
        <v>630689</v>
      </c>
      <c r="G8" s="1">
        <v>645601</v>
      </c>
      <c r="H8" s="1">
        <v>591055</v>
      </c>
      <c r="I8" s="1">
        <v>644054</v>
      </c>
      <c r="J8" s="1">
        <v>550824</v>
      </c>
      <c r="K8" s="1">
        <v>529910</v>
      </c>
      <c r="L8" s="1">
        <v>515677</v>
      </c>
      <c r="M8" s="1">
        <v>533834</v>
      </c>
      <c r="N8" s="1">
        <f>SUM(B8:M8)</f>
        <v>7551009</v>
      </c>
    </row>
    <row r="9" spans="1:14" ht="12.75">
      <c r="A9" s="4" t="s">
        <v>12</v>
      </c>
      <c r="B9" s="39">
        <f>SUM(B5:B8)/4</f>
        <v>584867</v>
      </c>
      <c r="C9" s="39">
        <f aca="true" t="shared" si="0" ref="C9:N9">SUM(C5:C8)/4</f>
        <v>497057.75</v>
      </c>
      <c r="D9" s="39">
        <f t="shared" si="0"/>
        <v>498474.25</v>
      </c>
      <c r="E9" s="39">
        <f t="shared" si="0"/>
        <v>514817.25</v>
      </c>
      <c r="F9" s="39">
        <f t="shared" si="0"/>
        <v>428642.5</v>
      </c>
      <c r="G9" s="39">
        <f t="shared" si="0"/>
        <v>388299</v>
      </c>
      <c r="H9" s="39">
        <f t="shared" si="0"/>
        <v>443241.75</v>
      </c>
      <c r="I9" s="39">
        <f t="shared" si="0"/>
        <v>440405.25</v>
      </c>
      <c r="J9" s="39">
        <f t="shared" si="0"/>
        <v>400024.75</v>
      </c>
      <c r="K9" s="39">
        <f t="shared" si="0"/>
        <v>432362</v>
      </c>
      <c r="L9" s="39">
        <f t="shared" si="0"/>
        <v>442979.75</v>
      </c>
      <c r="M9" s="39">
        <f t="shared" si="0"/>
        <v>474268.5</v>
      </c>
      <c r="N9" s="39">
        <f t="shared" si="0"/>
        <v>5545439.75</v>
      </c>
    </row>
    <row r="11" ht="13.5" thickBot="1"/>
    <row r="12" spans="2:14" ht="13.5" thickBot="1">
      <c r="B12" s="75" t="s">
        <v>16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 ht="12.75">
      <c r="A13" s="2" t="s">
        <v>13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6" t="s">
        <v>14</v>
      </c>
    </row>
    <row r="14" spans="1:14" ht="12.75">
      <c r="A14" s="3">
        <v>2001</v>
      </c>
      <c r="B14" s="1">
        <v>452536</v>
      </c>
      <c r="C14" s="1">
        <v>357000</v>
      </c>
      <c r="D14" s="1">
        <v>409863</v>
      </c>
      <c r="E14" s="1">
        <v>284148</v>
      </c>
      <c r="F14" s="1">
        <v>400112</v>
      </c>
      <c r="G14" s="1">
        <v>286075</v>
      </c>
      <c r="H14" s="1">
        <v>331968</v>
      </c>
      <c r="I14" s="1">
        <v>339244</v>
      </c>
      <c r="J14" s="1">
        <v>291930</v>
      </c>
      <c r="K14" s="1">
        <v>320825</v>
      </c>
      <c r="L14" s="1">
        <v>335992</v>
      </c>
      <c r="M14" s="1">
        <v>356063</v>
      </c>
      <c r="N14" s="1">
        <f>SUM(B14:M14)</f>
        <v>4165756</v>
      </c>
    </row>
    <row r="15" spans="1:14" ht="12.75">
      <c r="A15" s="3">
        <v>2002</v>
      </c>
      <c r="B15" s="1">
        <v>478420</v>
      </c>
      <c r="C15" s="1">
        <v>417167</v>
      </c>
      <c r="D15" s="1">
        <v>415065</v>
      </c>
      <c r="E15" s="1">
        <v>432812</v>
      </c>
      <c r="F15" s="1">
        <v>391021</v>
      </c>
      <c r="G15" s="1">
        <v>300110</v>
      </c>
      <c r="H15" s="1">
        <v>346931</v>
      </c>
      <c r="I15" s="1">
        <v>481276</v>
      </c>
      <c r="J15" s="1">
        <v>422942</v>
      </c>
      <c r="K15" s="1">
        <v>344108</v>
      </c>
      <c r="L15" s="1">
        <v>388974</v>
      </c>
      <c r="M15" s="1">
        <v>428628</v>
      </c>
      <c r="N15" s="1">
        <f>SUM(B15:M15)</f>
        <v>4847454</v>
      </c>
    </row>
    <row r="16" spans="1:14" ht="12.75">
      <c r="A16" s="3">
        <v>2003</v>
      </c>
      <c r="B16" s="1">
        <v>545491</v>
      </c>
      <c r="C16" s="1">
        <v>545718</v>
      </c>
      <c r="D16" s="1">
        <v>596491</v>
      </c>
      <c r="E16" s="1">
        <v>542900</v>
      </c>
      <c r="F16" s="1">
        <v>523627</v>
      </c>
      <c r="G16" s="1">
        <v>370873</v>
      </c>
      <c r="H16" s="1">
        <v>413390</v>
      </c>
      <c r="I16" s="1">
        <v>424450</v>
      </c>
      <c r="J16" s="1">
        <v>452723</v>
      </c>
      <c r="K16" s="1">
        <v>557365</v>
      </c>
      <c r="L16" s="1">
        <v>339126</v>
      </c>
      <c r="M16" s="1">
        <v>551795</v>
      </c>
      <c r="N16" s="1">
        <f>SUM(B16:M16)</f>
        <v>5863949</v>
      </c>
    </row>
    <row r="17" spans="1:14" ht="12.75">
      <c r="A17" s="3">
        <v>2004</v>
      </c>
      <c r="B17" s="1">
        <v>754443</v>
      </c>
      <c r="C17" s="1">
        <v>651426</v>
      </c>
      <c r="D17" s="1">
        <v>695767</v>
      </c>
      <c r="E17" s="1">
        <v>640879</v>
      </c>
      <c r="F17" s="1">
        <v>725387</v>
      </c>
      <c r="G17" s="1">
        <v>665737</v>
      </c>
      <c r="H17" s="1">
        <v>601910</v>
      </c>
      <c r="I17" s="1">
        <v>636442</v>
      </c>
      <c r="J17" s="1">
        <v>614869</v>
      </c>
      <c r="K17" s="1">
        <v>532583</v>
      </c>
      <c r="L17" s="1">
        <v>633475</v>
      </c>
      <c r="M17" s="1">
        <v>573492</v>
      </c>
      <c r="N17" s="1">
        <f>SUM(B17:M17)</f>
        <v>7726410</v>
      </c>
    </row>
    <row r="18" spans="1:14" ht="12.75">
      <c r="A18" s="4" t="s">
        <v>12</v>
      </c>
      <c r="B18" s="39">
        <f>SUM(B14:B17)/4</f>
        <v>557722.5</v>
      </c>
      <c r="C18" s="39">
        <f aca="true" t="shared" si="1" ref="C18:N18">SUM(C14:C17)/4</f>
        <v>492827.75</v>
      </c>
      <c r="D18" s="39">
        <f t="shared" si="1"/>
        <v>529296.5</v>
      </c>
      <c r="E18" s="39">
        <f t="shared" si="1"/>
        <v>475184.75</v>
      </c>
      <c r="F18" s="39">
        <f t="shared" si="1"/>
        <v>510036.75</v>
      </c>
      <c r="G18" s="39">
        <f t="shared" si="1"/>
        <v>405698.75</v>
      </c>
      <c r="H18" s="39">
        <f t="shared" si="1"/>
        <v>423549.75</v>
      </c>
      <c r="I18" s="39">
        <f t="shared" si="1"/>
        <v>470353</v>
      </c>
      <c r="J18" s="39">
        <f t="shared" si="1"/>
        <v>445616</v>
      </c>
      <c r="K18" s="39">
        <f t="shared" si="1"/>
        <v>438720.25</v>
      </c>
      <c r="L18" s="39">
        <f t="shared" si="1"/>
        <v>424391.75</v>
      </c>
      <c r="M18" s="39">
        <f t="shared" si="1"/>
        <v>477494.5</v>
      </c>
      <c r="N18" s="39">
        <f t="shared" si="1"/>
        <v>5650892.25</v>
      </c>
    </row>
    <row r="41" ht="20.25">
      <c r="A41" s="72" t="s">
        <v>86</v>
      </c>
    </row>
    <row r="42" ht="13.5" thickBot="1"/>
    <row r="43" spans="2:14" ht="13.5" thickBot="1">
      <c r="B43" s="75" t="s">
        <v>15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</row>
    <row r="44" spans="1:14" ht="12.75">
      <c r="A44" s="2" t="s">
        <v>13</v>
      </c>
      <c r="B44" s="5" t="s">
        <v>0</v>
      </c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6" t="s">
        <v>14</v>
      </c>
    </row>
    <row r="45" spans="1:14" ht="12.75">
      <c r="A45" s="3">
        <v>2001</v>
      </c>
      <c r="B45" s="1">
        <f>456216*1.25</f>
        <v>570270</v>
      </c>
      <c r="C45" s="1">
        <f>323822*1.25</f>
        <v>404777.5</v>
      </c>
      <c r="D45" s="1">
        <f>387507*1.25</f>
        <v>484383.75</v>
      </c>
      <c r="E45" s="1">
        <f>377082*1.25</f>
        <v>471352.5</v>
      </c>
      <c r="F45" s="1">
        <f>349015*1.25</f>
        <v>436268.75</v>
      </c>
      <c r="G45" s="1">
        <f>273928*1.25</f>
        <v>342410</v>
      </c>
      <c r="H45" s="1">
        <f>318670*1.25</f>
        <v>398337.5</v>
      </c>
      <c r="I45" s="1">
        <f>333327*1.25</f>
        <v>416658.75</v>
      </c>
      <c r="J45" s="1">
        <f>295689*1.25</f>
        <v>369611.25</v>
      </c>
      <c r="K45" s="1">
        <f>376855*1.25</f>
        <v>471068.75</v>
      </c>
      <c r="L45" s="1">
        <f>360734*1.25</f>
        <v>450917.5</v>
      </c>
      <c r="M45" s="1">
        <f>379895*1.25</f>
        <v>474868.75</v>
      </c>
      <c r="N45" s="1">
        <f>SUM(B45:M45)</f>
        <v>5290925</v>
      </c>
    </row>
    <row r="46" spans="1:14" ht="12.75">
      <c r="A46" s="3">
        <v>2002</v>
      </c>
      <c r="B46" s="1">
        <f>458292*1.25</f>
        <v>572865</v>
      </c>
      <c r="C46" s="1">
        <f>437431*1.25</f>
        <v>546788.75</v>
      </c>
      <c r="D46" s="1">
        <f>356573*1.25</f>
        <v>445716.25</v>
      </c>
      <c r="E46" s="1">
        <f>466398*1.25</f>
        <v>582997.5</v>
      </c>
      <c r="F46" s="1">
        <f>353119*1.25</f>
        <v>441398.75</v>
      </c>
      <c r="G46" s="1">
        <f>271170*1.25</f>
        <v>338962.5</v>
      </c>
      <c r="H46" s="1">
        <f>405125*1.25</f>
        <v>506406.25</v>
      </c>
      <c r="I46" s="1">
        <f>358636*1.25</f>
        <v>448295</v>
      </c>
      <c r="J46" s="1">
        <f>362628*1.25</f>
        <v>453285</v>
      </c>
      <c r="K46" s="1">
        <f>416064*1.25</f>
        <v>520080</v>
      </c>
      <c r="L46" s="1">
        <f>424485*1.25</f>
        <v>530606.25</v>
      </c>
      <c r="M46" s="1">
        <f>529053*1.25</f>
        <v>661316.25</v>
      </c>
      <c r="N46" s="1">
        <f>SUM(B46:M46)</f>
        <v>6048717.5</v>
      </c>
    </row>
    <row r="47" spans="1:14" ht="12.75">
      <c r="A47" s="3">
        <v>2003</v>
      </c>
      <c r="B47" s="1">
        <f>607351*1.25</f>
        <v>759188.75</v>
      </c>
      <c r="C47" s="1">
        <f>559341*1.25</f>
        <v>699176.25</v>
      </c>
      <c r="D47" s="1">
        <f>532951*1.25</f>
        <v>666188.75</v>
      </c>
      <c r="E47" s="1">
        <f>508536*1.25</f>
        <v>635670</v>
      </c>
      <c r="F47" s="1">
        <f>381747*1.25</f>
        <v>477183.75</v>
      </c>
      <c r="G47" s="1">
        <f>362497*1.25</f>
        <v>453121.25</v>
      </c>
      <c r="H47" s="1">
        <f>458117*1.25</f>
        <v>572646.25</v>
      </c>
      <c r="I47" s="1">
        <f>425604*1.25</f>
        <v>532005</v>
      </c>
      <c r="J47" s="1">
        <f>390958*1.25</f>
        <v>488697.5</v>
      </c>
      <c r="K47" s="1">
        <f>406619*1.25</f>
        <v>508273.75</v>
      </c>
      <c r="L47" s="1">
        <f>471023*1.25</f>
        <v>588778.75</v>
      </c>
      <c r="M47" s="1">
        <f>454292*1.25</f>
        <v>567865</v>
      </c>
      <c r="N47" s="1">
        <f>SUM(B47:M47)</f>
        <v>6948795</v>
      </c>
    </row>
    <row r="48" spans="1:14" ht="12.75">
      <c r="A48" s="3">
        <v>2004</v>
      </c>
      <c r="B48" s="1">
        <f>817609*1.25</f>
        <v>1022011.25</v>
      </c>
      <c r="C48" s="1">
        <f>667637*1.25</f>
        <v>834546.25</v>
      </c>
      <c r="D48" s="1">
        <f>716866*1.25</f>
        <v>896082.5</v>
      </c>
      <c r="E48" s="1">
        <f>707253*1.25</f>
        <v>884066.25</v>
      </c>
      <c r="F48" s="1">
        <f>630689*1.25</f>
        <v>788361.25</v>
      </c>
      <c r="G48" s="1">
        <f>645601*1.25</f>
        <v>807001.25</v>
      </c>
      <c r="H48" s="1">
        <f>591055*1.25</f>
        <v>738818.75</v>
      </c>
      <c r="I48" s="1">
        <f>644054*1.25</f>
        <v>805067.5</v>
      </c>
      <c r="J48" s="1">
        <f>550824*1.25</f>
        <v>688530</v>
      </c>
      <c r="K48" s="1">
        <f>529910*1.25</f>
        <v>662387.5</v>
      </c>
      <c r="L48" s="1">
        <f>515677*1.25</f>
        <v>644596.25</v>
      </c>
      <c r="M48" s="1">
        <f>533834*1.25</f>
        <v>667292.5</v>
      </c>
      <c r="N48" s="1">
        <f>SUM(B48:M48)</f>
        <v>9438761.25</v>
      </c>
    </row>
    <row r="49" spans="1:14" ht="12.75">
      <c r="A49" s="4" t="s">
        <v>12</v>
      </c>
      <c r="B49" s="39">
        <f aca="true" t="shared" si="2" ref="B49:N49">SUM(B45:B48)/4</f>
        <v>731083.75</v>
      </c>
      <c r="C49" s="39">
        <f t="shared" si="2"/>
        <v>621322.1875</v>
      </c>
      <c r="D49" s="39">
        <f t="shared" si="2"/>
        <v>623092.8125</v>
      </c>
      <c r="E49" s="39">
        <f t="shared" si="2"/>
        <v>643521.5625</v>
      </c>
      <c r="F49" s="39">
        <f t="shared" si="2"/>
        <v>535803.125</v>
      </c>
      <c r="G49" s="39">
        <f t="shared" si="2"/>
        <v>485373.75</v>
      </c>
      <c r="H49" s="39">
        <f t="shared" si="2"/>
        <v>554052.1875</v>
      </c>
      <c r="I49" s="39">
        <f t="shared" si="2"/>
        <v>550506.5625</v>
      </c>
      <c r="J49" s="39">
        <f t="shared" si="2"/>
        <v>500030.9375</v>
      </c>
      <c r="K49" s="39">
        <f t="shared" si="2"/>
        <v>540452.5</v>
      </c>
      <c r="L49" s="39">
        <f t="shared" si="2"/>
        <v>553724.6875</v>
      </c>
      <c r="M49" s="39">
        <f t="shared" si="2"/>
        <v>592835.625</v>
      </c>
      <c r="N49" s="39">
        <f t="shared" si="2"/>
        <v>6931799.6875</v>
      </c>
    </row>
    <row r="51" ht="13.5" thickBot="1"/>
    <row r="52" spans="2:14" ht="13.5" thickBot="1">
      <c r="B52" s="75" t="s">
        <v>16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</row>
    <row r="53" spans="1:14" ht="12.75">
      <c r="A53" s="2" t="s">
        <v>13</v>
      </c>
      <c r="B53" s="5" t="s">
        <v>0</v>
      </c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6" t="s">
        <v>14</v>
      </c>
    </row>
    <row r="54" spans="1:14" ht="12.75">
      <c r="A54" s="3">
        <v>2001</v>
      </c>
      <c r="B54" s="1">
        <f>452536*1.25</f>
        <v>565670</v>
      </c>
      <c r="C54" s="1">
        <f>357000*1.25</f>
        <v>446250</v>
      </c>
      <c r="D54" s="1">
        <f>409863*1.25</f>
        <v>512328.75</v>
      </c>
      <c r="E54" s="1">
        <f>284148*1.25</f>
        <v>355185</v>
      </c>
      <c r="F54" s="1">
        <f>400112*1.25</f>
        <v>500140</v>
      </c>
      <c r="G54" s="1">
        <f>286075*1.25</f>
        <v>357593.75</v>
      </c>
      <c r="H54" s="1">
        <f>331968*1.25</f>
        <v>414960</v>
      </c>
      <c r="I54" s="1">
        <f>339244*1.25</f>
        <v>424055</v>
      </c>
      <c r="J54" s="1">
        <f>291930*1.25</f>
        <v>364912.5</v>
      </c>
      <c r="K54" s="1">
        <f>320825*1.25</f>
        <v>401031.25</v>
      </c>
      <c r="L54" s="1">
        <f>335992*1.25</f>
        <v>419990</v>
      </c>
      <c r="M54" s="1">
        <f>356063*1.25</f>
        <v>445078.75</v>
      </c>
      <c r="N54" s="1">
        <f>SUM(B54:M54)</f>
        <v>5207195</v>
      </c>
    </row>
    <row r="55" spans="1:14" ht="12.75">
      <c r="A55" s="3">
        <v>2002</v>
      </c>
      <c r="B55" s="1">
        <f>478420*1.25</f>
        <v>598025</v>
      </c>
      <c r="C55" s="1">
        <f>417167*1.25</f>
        <v>521458.75</v>
      </c>
      <c r="D55" s="1">
        <f>415065*1.25</f>
        <v>518831.25</v>
      </c>
      <c r="E55" s="1">
        <f>432812*1.25</f>
        <v>541015</v>
      </c>
      <c r="F55" s="1">
        <f>391021*1.25</f>
        <v>488776.25</v>
      </c>
      <c r="G55" s="1">
        <f>300110*1.25</f>
        <v>375137.5</v>
      </c>
      <c r="H55" s="1">
        <f>346931*1.25</f>
        <v>433663.75</v>
      </c>
      <c r="I55" s="1">
        <f>481276*1.25</f>
        <v>601595</v>
      </c>
      <c r="J55" s="1">
        <f>422942*1.25</f>
        <v>528677.5</v>
      </c>
      <c r="K55" s="1">
        <f>344108*1.25</f>
        <v>430135</v>
      </c>
      <c r="L55" s="1">
        <f>388974*1.25</f>
        <v>486217.5</v>
      </c>
      <c r="M55" s="1">
        <f>428628*1.25</f>
        <v>535785</v>
      </c>
      <c r="N55" s="1">
        <f>SUM(B55:M55)</f>
        <v>6059317.5</v>
      </c>
    </row>
    <row r="56" spans="1:14" ht="12.75">
      <c r="A56" s="3">
        <v>2003</v>
      </c>
      <c r="B56" s="1">
        <f>545491*1.25</f>
        <v>681863.75</v>
      </c>
      <c r="C56" s="1">
        <f>545718*1.25</f>
        <v>682147.5</v>
      </c>
      <c r="D56" s="1">
        <f>596491*1.25</f>
        <v>745613.75</v>
      </c>
      <c r="E56" s="1">
        <f>542900*1.25</f>
        <v>678625</v>
      </c>
      <c r="F56" s="1">
        <f>523627*1.25</f>
        <v>654533.75</v>
      </c>
      <c r="G56" s="1">
        <f>370873*1.25</f>
        <v>463591.25</v>
      </c>
      <c r="H56" s="1">
        <f>413390*1.25</f>
        <v>516737.5</v>
      </c>
      <c r="I56" s="1">
        <f>424450*1.25</f>
        <v>530562.5</v>
      </c>
      <c r="J56" s="1">
        <f>452723*1.25</f>
        <v>565903.75</v>
      </c>
      <c r="K56" s="1">
        <f>557365*1.25</f>
        <v>696706.25</v>
      </c>
      <c r="L56" s="1">
        <f>339126*1.25</f>
        <v>423907.5</v>
      </c>
      <c r="M56" s="1">
        <f>551795*1.25</f>
        <v>689743.75</v>
      </c>
      <c r="N56" s="1">
        <f>SUM(B56:M56)</f>
        <v>7329936.25</v>
      </c>
    </row>
    <row r="57" spans="1:14" ht="12.75">
      <c r="A57" s="3">
        <v>2004</v>
      </c>
      <c r="B57" s="1">
        <f>754443*1.25</f>
        <v>943053.75</v>
      </c>
      <c r="C57" s="1">
        <f>651426*1.25</f>
        <v>814282.5</v>
      </c>
      <c r="D57" s="1">
        <f>695767*1.25</f>
        <v>869708.75</v>
      </c>
      <c r="E57" s="1">
        <f>640879*1.25</f>
        <v>801098.75</v>
      </c>
      <c r="F57" s="1">
        <f>725387*1.25</f>
        <v>906733.75</v>
      </c>
      <c r="G57" s="1">
        <f>665737*1.25</f>
        <v>832171.25</v>
      </c>
      <c r="H57" s="1">
        <f>601910*1.25</f>
        <v>752387.5</v>
      </c>
      <c r="I57" s="1">
        <f>636442*1.25</f>
        <v>795552.5</v>
      </c>
      <c r="J57" s="1">
        <f>614869*1.25</f>
        <v>768586.25</v>
      </c>
      <c r="K57" s="1">
        <f>532583*1.25</f>
        <v>665728.75</v>
      </c>
      <c r="L57" s="1">
        <f>633475*1.25</f>
        <v>791843.75</v>
      </c>
      <c r="M57" s="1">
        <f>573492*1.25</f>
        <v>716865</v>
      </c>
      <c r="N57" s="1">
        <f>SUM(B57:M57)</f>
        <v>9658012.5</v>
      </c>
    </row>
    <row r="58" spans="1:14" ht="12.75">
      <c r="A58" s="4" t="s">
        <v>12</v>
      </c>
      <c r="B58" s="39">
        <f aca="true" t="shared" si="3" ref="B58:N58">SUM(B54:B57)/4</f>
        <v>697153.125</v>
      </c>
      <c r="C58" s="39">
        <f t="shared" si="3"/>
        <v>616034.6875</v>
      </c>
      <c r="D58" s="39">
        <f t="shared" si="3"/>
        <v>661620.625</v>
      </c>
      <c r="E58" s="39">
        <f t="shared" si="3"/>
        <v>593980.9375</v>
      </c>
      <c r="F58" s="39">
        <f t="shared" si="3"/>
        <v>637545.9375</v>
      </c>
      <c r="G58" s="39">
        <f t="shared" si="3"/>
        <v>507123.4375</v>
      </c>
      <c r="H58" s="39">
        <f t="shared" si="3"/>
        <v>529437.1875</v>
      </c>
      <c r="I58" s="39">
        <f t="shared" si="3"/>
        <v>587941.25</v>
      </c>
      <c r="J58" s="39">
        <f t="shared" si="3"/>
        <v>557020</v>
      </c>
      <c r="K58" s="39">
        <f t="shared" si="3"/>
        <v>548400.3125</v>
      </c>
      <c r="L58" s="39">
        <f t="shared" si="3"/>
        <v>530489.6875</v>
      </c>
      <c r="M58" s="39">
        <f t="shared" si="3"/>
        <v>596868.125</v>
      </c>
      <c r="N58" s="39">
        <f t="shared" si="3"/>
        <v>7063615.3125</v>
      </c>
    </row>
    <row r="81" spans="2:14" ht="12.75">
      <c r="B81" s="30">
        <f aca="true" t="shared" si="4" ref="B81:M81">(B58-B49)</f>
        <v>-33930.625</v>
      </c>
      <c r="C81" s="30">
        <f t="shared" si="4"/>
        <v>-5287.5</v>
      </c>
      <c r="D81" s="30">
        <f t="shared" si="4"/>
        <v>38527.8125</v>
      </c>
      <c r="E81" s="30">
        <f t="shared" si="4"/>
        <v>-49540.625</v>
      </c>
      <c r="F81" s="30">
        <f t="shared" si="4"/>
        <v>101742.8125</v>
      </c>
      <c r="G81" s="30">
        <f t="shared" si="4"/>
        <v>21749.6875</v>
      </c>
      <c r="H81" s="30">
        <f t="shared" si="4"/>
        <v>-24615</v>
      </c>
      <c r="I81" s="30">
        <f t="shared" si="4"/>
        <v>37434.6875</v>
      </c>
      <c r="J81" s="30">
        <f t="shared" si="4"/>
        <v>56989.0625</v>
      </c>
      <c r="K81" s="30">
        <f t="shared" si="4"/>
        <v>7947.8125</v>
      </c>
      <c r="L81" s="30">
        <f t="shared" si="4"/>
        <v>-23235</v>
      </c>
      <c r="M81" s="30">
        <f t="shared" si="4"/>
        <v>4032.5</v>
      </c>
      <c r="N81" s="30"/>
    </row>
    <row r="85" spans="1:13" ht="12.75">
      <c r="A85" t="s">
        <v>88</v>
      </c>
      <c r="B85">
        <v>698</v>
      </c>
      <c r="C85">
        <v>616</v>
      </c>
      <c r="D85">
        <v>661</v>
      </c>
      <c r="E85">
        <v>593</v>
      </c>
      <c r="F85">
        <v>637</v>
      </c>
      <c r="G85">
        <v>507</v>
      </c>
      <c r="H85">
        <v>529</v>
      </c>
      <c r="I85">
        <v>587</v>
      </c>
      <c r="J85">
        <v>557</v>
      </c>
      <c r="K85">
        <v>548</v>
      </c>
      <c r="L85">
        <v>530</v>
      </c>
      <c r="M85">
        <v>596</v>
      </c>
    </row>
    <row r="86" spans="1:13" ht="12.75">
      <c r="A86" t="s">
        <v>89</v>
      </c>
      <c r="B86">
        <v>731</v>
      </c>
      <c r="C86">
        <v>621</v>
      </c>
      <c r="D86">
        <v>623</v>
      </c>
      <c r="E86">
        <v>643</v>
      </c>
      <c r="F86">
        <v>535</v>
      </c>
      <c r="G86">
        <v>485</v>
      </c>
      <c r="H86">
        <v>554</v>
      </c>
      <c r="I86">
        <v>550</v>
      </c>
      <c r="J86">
        <v>500</v>
      </c>
      <c r="K86">
        <v>540</v>
      </c>
      <c r="L86">
        <v>553</v>
      </c>
      <c r="M86">
        <v>592</v>
      </c>
    </row>
    <row r="87" spans="1:13" ht="13.5" thickBot="1">
      <c r="A87" t="s">
        <v>90</v>
      </c>
      <c r="B87">
        <f>(B85-B86)</f>
        <v>-33</v>
      </c>
      <c r="C87">
        <f aca="true" t="shared" si="5" ref="C87:M87">(C85-C86)</f>
        <v>-5</v>
      </c>
      <c r="D87">
        <f t="shared" si="5"/>
        <v>38</v>
      </c>
      <c r="E87">
        <f t="shared" si="5"/>
        <v>-50</v>
      </c>
      <c r="F87">
        <f t="shared" si="5"/>
        <v>102</v>
      </c>
      <c r="G87">
        <f t="shared" si="5"/>
        <v>22</v>
      </c>
      <c r="H87">
        <f t="shared" si="5"/>
        <v>-25</v>
      </c>
      <c r="I87">
        <f t="shared" si="5"/>
        <v>37</v>
      </c>
      <c r="J87">
        <f t="shared" si="5"/>
        <v>57</v>
      </c>
      <c r="K87">
        <f t="shared" si="5"/>
        <v>8</v>
      </c>
      <c r="L87">
        <f t="shared" si="5"/>
        <v>-23</v>
      </c>
      <c r="M87">
        <f t="shared" si="5"/>
        <v>4</v>
      </c>
    </row>
    <row r="88" spans="1:2" ht="13.5" thickBot="1">
      <c r="A88" s="91" t="s">
        <v>103</v>
      </c>
      <c r="B88" s="92" t="s">
        <v>104</v>
      </c>
    </row>
    <row r="89" spans="1:2" ht="12.75">
      <c r="A89" s="87" t="s">
        <v>91</v>
      </c>
      <c r="B89" s="88">
        <v>-33</v>
      </c>
    </row>
    <row r="90" spans="1:2" ht="12.75">
      <c r="A90" s="12" t="s">
        <v>92</v>
      </c>
      <c r="B90" s="89">
        <v>-5</v>
      </c>
    </row>
    <row r="91" spans="1:2" ht="12.75">
      <c r="A91" s="12" t="s">
        <v>93</v>
      </c>
      <c r="B91" s="89">
        <v>38</v>
      </c>
    </row>
    <row r="92" spans="1:2" ht="12.75">
      <c r="A92" s="12" t="s">
        <v>94</v>
      </c>
      <c r="B92" s="89">
        <v>-50</v>
      </c>
    </row>
    <row r="93" spans="1:2" ht="12.75">
      <c r="A93" s="12" t="s">
        <v>95</v>
      </c>
      <c r="B93" s="89">
        <v>102</v>
      </c>
    </row>
    <row r="94" spans="1:2" ht="12.75">
      <c r="A94" s="12" t="s">
        <v>96</v>
      </c>
      <c r="B94" s="89">
        <v>22</v>
      </c>
    </row>
    <row r="95" spans="1:2" ht="12.75">
      <c r="A95" s="12" t="s">
        <v>97</v>
      </c>
      <c r="B95" s="89">
        <v>-25</v>
      </c>
    </row>
    <row r="96" spans="1:2" ht="12.75">
      <c r="A96" s="12" t="s">
        <v>98</v>
      </c>
      <c r="B96" s="89">
        <v>37</v>
      </c>
    </row>
    <row r="97" spans="1:2" ht="12.75">
      <c r="A97" s="12" t="s">
        <v>99</v>
      </c>
      <c r="B97" s="89">
        <v>57</v>
      </c>
    </row>
    <row r="98" spans="1:2" ht="12.75">
      <c r="A98" s="12" t="s">
        <v>100</v>
      </c>
      <c r="B98" s="89">
        <v>8</v>
      </c>
    </row>
    <row r="99" spans="1:2" ht="12.75">
      <c r="A99" s="12" t="s">
        <v>101</v>
      </c>
      <c r="B99" s="89">
        <v>-23</v>
      </c>
    </row>
    <row r="100" spans="1:2" ht="13.5" thickBot="1">
      <c r="A100" s="34" t="s">
        <v>102</v>
      </c>
      <c r="B100" s="90">
        <v>4</v>
      </c>
    </row>
    <row r="101" ht="12.75">
      <c r="B101" s="9"/>
    </row>
    <row r="102" spans="1:3" ht="12.75">
      <c r="A102" s="9" t="s">
        <v>105</v>
      </c>
      <c r="B102" s="9">
        <f>(B89+B90+B92+B95+B99)</f>
        <v>-136</v>
      </c>
      <c r="C102">
        <f>(B102/12)</f>
        <v>-11.333333333333334</v>
      </c>
    </row>
    <row r="103" spans="1:3" ht="12.75">
      <c r="A103" s="9" t="s">
        <v>106</v>
      </c>
      <c r="B103" s="9">
        <f>(B91+B93+B94+B96+B97+B98+B100)</f>
        <v>268</v>
      </c>
      <c r="C103">
        <f>(B103/12)</f>
        <v>22.333333333333332</v>
      </c>
    </row>
    <row r="104" ht="12.75">
      <c r="B104">
        <f>SUM(B102:B103)</f>
        <v>132</v>
      </c>
    </row>
    <row r="110" spans="2:13" ht="12.75">
      <c r="B110" s="9" t="s">
        <v>107</v>
      </c>
      <c r="C110" s="9" t="s">
        <v>111</v>
      </c>
      <c r="D110" s="9" t="s">
        <v>112</v>
      </c>
      <c r="E110" s="9" t="s">
        <v>113</v>
      </c>
      <c r="F110" s="9" t="s">
        <v>114</v>
      </c>
      <c r="G110" s="9" t="s">
        <v>115</v>
      </c>
      <c r="H110" s="9" t="s">
        <v>116</v>
      </c>
      <c r="I110" s="9" t="s">
        <v>117</v>
      </c>
      <c r="J110" s="9" t="s">
        <v>118</v>
      </c>
      <c r="K110" s="9" t="s">
        <v>119</v>
      </c>
      <c r="L110" s="9" t="s">
        <v>120</v>
      </c>
      <c r="M110" s="9" t="s">
        <v>121</v>
      </c>
    </row>
    <row r="111" spans="1:13" ht="12.75">
      <c r="A111" t="s">
        <v>108</v>
      </c>
      <c r="B111">
        <v>-50</v>
      </c>
      <c r="C111">
        <v>52</v>
      </c>
      <c r="D111">
        <v>74</v>
      </c>
      <c r="E111">
        <v>49</v>
      </c>
      <c r="F111">
        <v>86</v>
      </c>
      <c r="G111">
        <v>143</v>
      </c>
      <c r="H111">
        <v>151</v>
      </c>
      <c r="I111">
        <v>128</v>
      </c>
      <c r="J111">
        <v>132</v>
      </c>
      <c r="K111">
        <v>99</v>
      </c>
      <c r="L111">
        <v>94</v>
      </c>
      <c r="M111">
        <v>132</v>
      </c>
    </row>
    <row r="112" spans="1:13" ht="12.75">
      <c r="A112" t="s">
        <v>110</v>
      </c>
      <c r="B112">
        <v>102</v>
      </c>
      <c r="C112">
        <v>22</v>
      </c>
      <c r="D112">
        <v>-25</v>
      </c>
      <c r="E112">
        <v>37</v>
      </c>
      <c r="F112">
        <v>57</v>
      </c>
      <c r="G112">
        <v>8</v>
      </c>
      <c r="H112">
        <v>-23</v>
      </c>
      <c r="I112">
        <v>4</v>
      </c>
      <c r="J112">
        <v>-33</v>
      </c>
      <c r="K112">
        <v>-5</v>
      </c>
      <c r="L112">
        <v>38</v>
      </c>
      <c r="M112">
        <v>50</v>
      </c>
    </row>
    <row r="113" spans="1:13" ht="12.75">
      <c r="A113" t="s">
        <v>109</v>
      </c>
      <c r="B113">
        <f>(B111+B112)</f>
        <v>52</v>
      </c>
      <c r="C113">
        <f aca="true" t="shared" si="6" ref="C113:M113">(C111+C112)</f>
        <v>74</v>
      </c>
      <c r="D113">
        <f t="shared" si="6"/>
        <v>49</v>
      </c>
      <c r="E113">
        <f t="shared" si="6"/>
        <v>86</v>
      </c>
      <c r="F113">
        <f t="shared" si="6"/>
        <v>143</v>
      </c>
      <c r="G113">
        <f t="shared" si="6"/>
        <v>151</v>
      </c>
      <c r="H113">
        <f t="shared" si="6"/>
        <v>128</v>
      </c>
      <c r="I113">
        <f t="shared" si="6"/>
        <v>132</v>
      </c>
      <c r="J113">
        <f t="shared" si="6"/>
        <v>99</v>
      </c>
      <c r="K113">
        <f t="shared" si="6"/>
        <v>94</v>
      </c>
      <c r="L113">
        <f t="shared" si="6"/>
        <v>132</v>
      </c>
      <c r="M113">
        <f t="shared" si="6"/>
        <v>182</v>
      </c>
    </row>
  </sheetData>
  <mergeCells count="4">
    <mergeCell ref="B3:N3"/>
    <mergeCell ref="B12:N12"/>
    <mergeCell ref="B43:N43"/>
    <mergeCell ref="B52:N52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C1">
      <selection activeCell="M5" sqref="M5"/>
    </sheetView>
  </sheetViews>
  <sheetFormatPr defaultColWidth="11.421875" defaultRowHeight="12.75"/>
  <cols>
    <col min="1" max="1" width="3.8515625" style="0" customWidth="1"/>
    <col min="3" max="3" width="20.57421875" style="0" customWidth="1"/>
    <col min="4" max="4" width="9.7109375" style="0" bestFit="1" customWidth="1"/>
    <col min="5" max="5" width="12.28125" style="0" bestFit="1" customWidth="1"/>
    <col min="6" max="6" width="9.7109375" style="0" bestFit="1" customWidth="1"/>
    <col min="7" max="8" width="10.7109375" style="0" bestFit="1" customWidth="1"/>
    <col min="9" max="9" width="9.7109375" style="0" bestFit="1" customWidth="1"/>
    <col min="10" max="10" width="10.7109375" style="0" bestFit="1" customWidth="1"/>
    <col min="11" max="12" width="9.7109375" style="0" bestFit="1" customWidth="1"/>
    <col min="13" max="13" width="10.7109375" style="0" bestFit="1" customWidth="1"/>
  </cols>
  <sheetData>
    <row r="1" ht="13.5" thickBot="1"/>
    <row r="2" spans="2:13" ht="13.5" thickBot="1">
      <c r="B2" s="78" t="s">
        <v>19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3.5" thickBot="1">
      <c r="B3" s="20" t="s">
        <v>17</v>
      </c>
      <c r="C3" s="13" t="s">
        <v>18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2:14" ht="33.75" customHeight="1">
      <c r="B4" s="21"/>
      <c r="C4" s="15" t="s">
        <v>31</v>
      </c>
      <c r="D4" s="26">
        <f>60*1.25</f>
        <v>75</v>
      </c>
      <c r="E4" s="26">
        <f>95*1.25</f>
        <v>118.75</v>
      </c>
      <c r="F4" s="26">
        <f>95*1.25</f>
        <v>118.75</v>
      </c>
      <c r="G4" s="26">
        <f>150*1.25</f>
        <v>187.5</v>
      </c>
      <c r="H4" s="26">
        <f>220*1.25</f>
        <v>275</v>
      </c>
      <c r="I4" s="26">
        <f>70*1.25</f>
        <v>87.5</v>
      </c>
      <c r="J4" s="26">
        <f>140*1.25</f>
        <v>175</v>
      </c>
      <c r="K4" s="26">
        <f>110*1.25</f>
        <v>137.5</v>
      </c>
      <c r="L4" s="26">
        <f>100*1.25</f>
        <v>125</v>
      </c>
      <c r="M4" s="27">
        <f>300*1.25</f>
        <v>375</v>
      </c>
      <c r="N4" s="9"/>
    </row>
    <row r="5" spans="1:14" ht="12.75">
      <c r="A5" s="38" t="s">
        <v>62</v>
      </c>
      <c r="B5" s="81" t="s">
        <v>32</v>
      </c>
      <c r="C5" s="16" t="s">
        <v>33</v>
      </c>
      <c r="D5" s="26">
        <f>(24*30)</f>
        <v>720</v>
      </c>
      <c r="E5" s="26">
        <f aca="true" t="shared" si="0" ref="E5:M5">(24*30)</f>
        <v>720</v>
      </c>
      <c r="F5" s="26">
        <f t="shared" si="0"/>
        <v>720</v>
      </c>
      <c r="G5" s="26">
        <f t="shared" si="0"/>
        <v>720</v>
      </c>
      <c r="H5" s="26">
        <f t="shared" si="0"/>
        <v>720</v>
      </c>
      <c r="I5" s="26">
        <f t="shared" si="0"/>
        <v>720</v>
      </c>
      <c r="J5" s="26">
        <f t="shared" si="0"/>
        <v>720</v>
      </c>
      <c r="K5" s="26">
        <f t="shared" si="0"/>
        <v>720</v>
      </c>
      <c r="L5" s="26">
        <f t="shared" si="0"/>
        <v>720</v>
      </c>
      <c r="M5" s="27">
        <f t="shared" si="0"/>
        <v>720</v>
      </c>
      <c r="N5" s="9"/>
    </row>
    <row r="6" spans="1:14" ht="12.75">
      <c r="A6" s="38" t="s">
        <v>63</v>
      </c>
      <c r="B6" s="81"/>
      <c r="C6" s="16" t="s">
        <v>34</v>
      </c>
      <c r="D6" s="26">
        <f>(D5*D4)</f>
        <v>54000</v>
      </c>
      <c r="E6" s="26">
        <f aca="true" t="shared" si="1" ref="E6:M6">(E5*E4)</f>
        <v>85500</v>
      </c>
      <c r="F6" s="26">
        <f t="shared" si="1"/>
        <v>85500</v>
      </c>
      <c r="G6" s="26">
        <f t="shared" si="1"/>
        <v>135000</v>
      </c>
      <c r="H6" s="26">
        <f t="shared" si="1"/>
        <v>198000</v>
      </c>
      <c r="I6" s="26">
        <f t="shared" si="1"/>
        <v>63000</v>
      </c>
      <c r="J6" s="26">
        <f t="shared" si="1"/>
        <v>126000</v>
      </c>
      <c r="K6" s="26">
        <f t="shared" si="1"/>
        <v>99000</v>
      </c>
      <c r="L6" s="26">
        <f t="shared" si="1"/>
        <v>90000</v>
      </c>
      <c r="M6" s="27">
        <f t="shared" si="1"/>
        <v>270000</v>
      </c>
      <c r="N6" s="9"/>
    </row>
    <row r="7" spans="1:14" ht="24" customHeight="1">
      <c r="A7" s="38"/>
      <c r="B7" s="81" t="s">
        <v>36</v>
      </c>
      <c r="C7" s="17" t="s">
        <v>79</v>
      </c>
      <c r="D7" s="25">
        <v>20</v>
      </c>
      <c r="E7" s="25">
        <v>20</v>
      </c>
      <c r="F7" s="25">
        <v>20</v>
      </c>
      <c r="G7" s="25">
        <v>20</v>
      </c>
      <c r="H7" s="25">
        <v>20</v>
      </c>
      <c r="I7" s="25">
        <v>20</v>
      </c>
      <c r="J7" s="25">
        <v>20</v>
      </c>
      <c r="K7" s="25">
        <v>20</v>
      </c>
      <c r="L7" s="25">
        <v>20</v>
      </c>
      <c r="M7" s="29">
        <v>25</v>
      </c>
      <c r="N7" s="9"/>
    </row>
    <row r="8" spans="1:14" ht="22.5" customHeight="1">
      <c r="A8" s="38"/>
      <c r="B8" s="81"/>
      <c r="C8" s="17" t="s">
        <v>80</v>
      </c>
      <c r="D8" s="25">
        <v>25</v>
      </c>
      <c r="E8" s="25">
        <v>25</v>
      </c>
      <c r="F8" s="25">
        <v>25</v>
      </c>
      <c r="G8" s="25">
        <v>25</v>
      </c>
      <c r="H8" s="25">
        <v>25</v>
      </c>
      <c r="I8" s="25">
        <v>25</v>
      </c>
      <c r="J8" s="25">
        <v>25</v>
      </c>
      <c r="K8" s="25">
        <v>25</v>
      </c>
      <c r="L8" s="25">
        <v>22</v>
      </c>
      <c r="M8" s="29">
        <v>28</v>
      </c>
      <c r="N8" s="9"/>
    </row>
    <row r="9" spans="1:14" ht="12.75">
      <c r="A9" s="38"/>
      <c r="B9" s="81"/>
      <c r="C9" s="16" t="s">
        <v>81</v>
      </c>
      <c r="D9" s="26">
        <f>(12/60)</f>
        <v>0.2</v>
      </c>
      <c r="E9" s="26">
        <f aca="true" t="shared" si="2" ref="E9:L9">(12/60)</f>
        <v>0.2</v>
      </c>
      <c r="F9" s="26">
        <f t="shared" si="2"/>
        <v>0.2</v>
      </c>
      <c r="G9" s="26">
        <f t="shared" si="2"/>
        <v>0.2</v>
      </c>
      <c r="H9" s="26">
        <f t="shared" si="2"/>
        <v>0.2</v>
      </c>
      <c r="I9" s="26">
        <f t="shared" si="2"/>
        <v>0.2</v>
      </c>
      <c r="J9" s="26">
        <f t="shared" si="2"/>
        <v>0.2</v>
      </c>
      <c r="K9" s="26">
        <f t="shared" si="2"/>
        <v>0.2</v>
      </c>
      <c r="L9" s="26">
        <f t="shared" si="2"/>
        <v>0.2</v>
      </c>
      <c r="M9" s="27">
        <f>(23/60)</f>
        <v>0.38333333333333336</v>
      </c>
      <c r="N9" s="9"/>
    </row>
    <row r="10" spans="1:14" ht="12.75">
      <c r="A10" s="38"/>
      <c r="B10" s="81"/>
      <c r="C10" s="16" t="s">
        <v>35</v>
      </c>
      <c r="D10" s="26">
        <v>22</v>
      </c>
      <c r="E10" s="26">
        <v>22</v>
      </c>
      <c r="F10" s="26">
        <v>22</v>
      </c>
      <c r="G10" s="26">
        <v>22</v>
      </c>
      <c r="H10" s="26">
        <v>22</v>
      </c>
      <c r="I10" s="26">
        <v>22</v>
      </c>
      <c r="J10" s="26">
        <v>22</v>
      </c>
      <c r="K10" s="26">
        <v>22</v>
      </c>
      <c r="L10" s="26">
        <v>22</v>
      </c>
      <c r="M10" s="27">
        <v>25</v>
      </c>
      <c r="N10" s="9"/>
    </row>
    <row r="11" spans="1:14" ht="12.75">
      <c r="A11" s="38"/>
      <c r="B11" s="82"/>
      <c r="C11" s="18" t="s">
        <v>37</v>
      </c>
      <c r="D11" s="26">
        <f>SUM(D7:D10)</f>
        <v>67.2</v>
      </c>
      <c r="E11" s="26">
        <f aca="true" t="shared" si="3" ref="E11:M11">SUM(E7:E10)</f>
        <v>67.2</v>
      </c>
      <c r="F11" s="26">
        <f t="shared" si="3"/>
        <v>67.2</v>
      </c>
      <c r="G11" s="26">
        <f t="shared" si="3"/>
        <v>67.2</v>
      </c>
      <c r="H11" s="26">
        <f t="shared" si="3"/>
        <v>67.2</v>
      </c>
      <c r="I11" s="26">
        <f t="shared" si="3"/>
        <v>67.2</v>
      </c>
      <c r="J11" s="26">
        <f t="shared" si="3"/>
        <v>67.2</v>
      </c>
      <c r="K11" s="26">
        <f t="shared" si="3"/>
        <v>67.2</v>
      </c>
      <c r="L11" s="26">
        <f t="shared" si="3"/>
        <v>64.2</v>
      </c>
      <c r="M11" s="26">
        <f t="shared" si="3"/>
        <v>78.38333333333333</v>
      </c>
      <c r="N11" s="9"/>
    </row>
    <row r="12" spans="1:14" ht="12.75">
      <c r="A12" s="38" t="s">
        <v>64</v>
      </c>
      <c r="B12" s="22" t="s">
        <v>42</v>
      </c>
      <c r="C12" s="16" t="s">
        <v>38</v>
      </c>
      <c r="D12" s="26">
        <f>(D11/D5)*100</f>
        <v>9.333333333333334</v>
      </c>
      <c r="E12" s="26">
        <f aca="true" t="shared" si="4" ref="E12:M12">(E11/E5)*100</f>
        <v>9.333333333333334</v>
      </c>
      <c r="F12" s="26">
        <f t="shared" si="4"/>
        <v>9.333333333333334</v>
      </c>
      <c r="G12" s="26">
        <f t="shared" si="4"/>
        <v>9.333333333333334</v>
      </c>
      <c r="H12" s="26">
        <f t="shared" si="4"/>
        <v>9.333333333333334</v>
      </c>
      <c r="I12" s="26">
        <f t="shared" si="4"/>
        <v>9.333333333333334</v>
      </c>
      <c r="J12" s="26">
        <f t="shared" si="4"/>
        <v>9.333333333333334</v>
      </c>
      <c r="K12" s="26">
        <f t="shared" si="4"/>
        <v>9.333333333333334</v>
      </c>
      <c r="L12" s="26">
        <f t="shared" si="4"/>
        <v>8.916666666666668</v>
      </c>
      <c r="M12" s="26">
        <f t="shared" si="4"/>
        <v>10.886574074074073</v>
      </c>
      <c r="N12" s="9"/>
    </row>
    <row r="13" spans="1:14" ht="12.75">
      <c r="A13" s="38" t="s">
        <v>65</v>
      </c>
      <c r="B13" s="22" t="s">
        <v>43</v>
      </c>
      <c r="C13" s="16" t="s">
        <v>39</v>
      </c>
      <c r="D13" s="26">
        <f>(D5-D11)</f>
        <v>652.8</v>
      </c>
      <c r="E13" s="26">
        <f aca="true" t="shared" si="5" ref="E13:M13">(E5-E11)</f>
        <v>652.8</v>
      </c>
      <c r="F13" s="26">
        <f t="shared" si="5"/>
        <v>652.8</v>
      </c>
      <c r="G13" s="26">
        <f t="shared" si="5"/>
        <v>652.8</v>
      </c>
      <c r="H13" s="26">
        <f t="shared" si="5"/>
        <v>652.8</v>
      </c>
      <c r="I13" s="26">
        <f t="shared" si="5"/>
        <v>652.8</v>
      </c>
      <c r="J13" s="26">
        <f t="shared" si="5"/>
        <v>652.8</v>
      </c>
      <c r="K13" s="26">
        <f t="shared" si="5"/>
        <v>652.8</v>
      </c>
      <c r="L13" s="26">
        <f t="shared" si="5"/>
        <v>655.8</v>
      </c>
      <c r="M13" s="26">
        <f t="shared" si="5"/>
        <v>641.6166666666667</v>
      </c>
      <c r="N13" s="9"/>
    </row>
    <row r="14" spans="1:14" ht="12.75">
      <c r="A14" s="38" t="s">
        <v>66</v>
      </c>
      <c r="B14" s="22" t="s">
        <v>44</v>
      </c>
      <c r="C14" s="16" t="s">
        <v>38</v>
      </c>
      <c r="D14" s="26">
        <f>(100-D12)</f>
        <v>90.66666666666667</v>
      </c>
      <c r="E14" s="26">
        <f aca="true" t="shared" si="6" ref="E14:M14">(100-E12)</f>
        <v>90.66666666666667</v>
      </c>
      <c r="F14" s="26">
        <f t="shared" si="6"/>
        <v>90.66666666666667</v>
      </c>
      <c r="G14" s="26">
        <f t="shared" si="6"/>
        <v>90.66666666666667</v>
      </c>
      <c r="H14" s="26">
        <f t="shared" si="6"/>
        <v>90.66666666666667</v>
      </c>
      <c r="I14" s="26">
        <f t="shared" si="6"/>
        <v>90.66666666666667</v>
      </c>
      <c r="J14" s="26">
        <f t="shared" si="6"/>
        <v>90.66666666666667</v>
      </c>
      <c r="K14" s="26">
        <f t="shared" si="6"/>
        <v>90.66666666666667</v>
      </c>
      <c r="L14" s="26">
        <f t="shared" si="6"/>
        <v>91.08333333333333</v>
      </c>
      <c r="M14" s="26">
        <f t="shared" si="6"/>
        <v>89.11342592592592</v>
      </c>
      <c r="N14" s="9"/>
    </row>
    <row r="15" spans="1:14" ht="25.5">
      <c r="A15" s="38"/>
      <c r="B15" s="22" t="s">
        <v>45</v>
      </c>
      <c r="C15" s="17" t="s">
        <v>40</v>
      </c>
      <c r="D15" s="26">
        <v>15</v>
      </c>
      <c r="E15" s="26">
        <v>15</v>
      </c>
      <c r="F15" s="26">
        <v>15</v>
      </c>
      <c r="G15" s="26">
        <v>15</v>
      </c>
      <c r="H15" s="26">
        <v>15</v>
      </c>
      <c r="I15" s="26">
        <v>15</v>
      </c>
      <c r="J15" s="26">
        <v>15</v>
      </c>
      <c r="K15" s="26">
        <v>15</v>
      </c>
      <c r="L15" s="26">
        <v>15</v>
      </c>
      <c r="M15" s="27">
        <v>17</v>
      </c>
      <c r="N15" s="9"/>
    </row>
    <row r="16" spans="1:14" ht="12.75">
      <c r="A16" s="38" t="s">
        <v>67</v>
      </c>
      <c r="B16" s="22" t="s">
        <v>46</v>
      </c>
      <c r="C16" s="16" t="s">
        <v>38</v>
      </c>
      <c r="D16" s="26">
        <f>D14*(1-D15/D13)</f>
        <v>88.58333333333334</v>
      </c>
      <c r="E16" s="26">
        <f aca="true" t="shared" si="7" ref="E16:M16">E14*(1-E15/E13)</f>
        <v>88.58333333333334</v>
      </c>
      <c r="F16" s="26">
        <f t="shared" si="7"/>
        <v>88.58333333333334</v>
      </c>
      <c r="G16" s="26">
        <f t="shared" si="7"/>
        <v>88.58333333333334</v>
      </c>
      <c r="H16" s="26">
        <f t="shared" si="7"/>
        <v>88.58333333333334</v>
      </c>
      <c r="I16" s="26">
        <f t="shared" si="7"/>
        <v>88.58333333333334</v>
      </c>
      <c r="J16" s="26">
        <f t="shared" si="7"/>
        <v>88.58333333333334</v>
      </c>
      <c r="K16" s="26">
        <f t="shared" si="7"/>
        <v>88.58333333333334</v>
      </c>
      <c r="L16" s="26">
        <f t="shared" si="7"/>
        <v>89</v>
      </c>
      <c r="M16" s="26">
        <f t="shared" si="7"/>
        <v>86.75231481481481</v>
      </c>
      <c r="N16" s="9"/>
    </row>
    <row r="17" spans="1:13" ht="13.5" thickBot="1">
      <c r="A17" s="38" t="s">
        <v>68</v>
      </c>
      <c r="B17" s="23" t="s">
        <v>47</v>
      </c>
      <c r="C17" s="19" t="s">
        <v>41</v>
      </c>
      <c r="D17" s="28">
        <f>(D16*D6/100)</f>
        <v>47835.00000000001</v>
      </c>
      <c r="E17" s="28">
        <f aca="true" t="shared" si="8" ref="E17:M17">(E16*E6/100)</f>
        <v>75738.75000000001</v>
      </c>
      <c r="F17" s="28">
        <f t="shared" si="8"/>
        <v>75738.75000000001</v>
      </c>
      <c r="G17" s="28">
        <f t="shared" si="8"/>
        <v>119587.50000000001</v>
      </c>
      <c r="H17" s="28">
        <f t="shared" si="8"/>
        <v>175395.00000000003</v>
      </c>
      <c r="I17" s="28">
        <f t="shared" si="8"/>
        <v>55807.50000000001</v>
      </c>
      <c r="J17" s="28">
        <f t="shared" si="8"/>
        <v>111615.00000000001</v>
      </c>
      <c r="K17" s="28">
        <f t="shared" si="8"/>
        <v>87697.50000000001</v>
      </c>
      <c r="L17" s="28">
        <f t="shared" si="8"/>
        <v>80100</v>
      </c>
      <c r="M17" s="28">
        <f t="shared" si="8"/>
        <v>234231.25</v>
      </c>
    </row>
    <row r="21" ht="12.75">
      <c r="E21" s="30">
        <f>SUM(D17:M17)</f>
        <v>1063746.25</v>
      </c>
    </row>
  </sheetData>
  <mergeCells count="3">
    <mergeCell ref="B2:M2"/>
    <mergeCell ref="B5:B6"/>
    <mergeCell ref="B7:B1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B17" sqref="B17"/>
    </sheetView>
  </sheetViews>
  <sheetFormatPr defaultColWidth="11.421875" defaultRowHeight="12.75"/>
  <cols>
    <col min="1" max="1" width="14.00390625" style="0" customWidth="1"/>
    <col min="2" max="2" width="10.7109375" style="0" bestFit="1" customWidth="1"/>
    <col min="4" max="4" width="10.8515625" style="0" customWidth="1"/>
    <col min="5" max="5" width="12.28125" style="0" bestFit="1" customWidth="1"/>
  </cols>
  <sheetData>
    <row r="1" ht="13.5" thickBot="1"/>
    <row r="2" spans="1:7" ht="43.5" customHeight="1">
      <c r="A2" s="31" t="s">
        <v>48</v>
      </c>
      <c r="B2" s="32" t="s">
        <v>49</v>
      </c>
      <c r="C2" s="32" t="s">
        <v>50</v>
      </c>
      <c r="D2" s="32" t="s">
        <v>51</v>
      </c>
      <c r="E2" s="33" t="s">
        <v>52</v>
      </c>
      <c r="F2" s="7"/>
      <c r="G2" s="8"/>
    </row>
    <row r="3" spans="1:5" ht="12.75">
      <c r="A3" s="12" t="s">
        <v>20</v>
      </c>
      <c r="B3" s="26">
        <f>43200*1.25</f>
        <v>54000</v>
      </c>
      <c r="C3" s="11">
        <v>88.58</v>
      </c>
      <c r="D3" s="11">
        <v>632.8</v>
      </c>
      <c r="E3" s="35">
        <f>38268*1.25</f>
        <v>47835</v>
      </c>
    </row>
    <row r="4" spans="1:5" ht="12.75">
      <c r="A4" s="12" t="s">
        <v>53</v>
      </c>
      <c r="B4" s="26">
        <f>68400*1.25</f>
        <v>85500</v>
      </c>
      <c r="C4" s="11">
        <v>88.58</v>
      </c>
      <c r="D4" s="11">
        <v>632.8</v>
      </c>
      <c r="E4" s="35">
        <f>60591*1.25</f>
        <v>75738.75</v>
      </c>
    </row>
    <row r="5" spans="1:5" ht="12.75">
      <c r="A5" s="12" t="s">
        <v>54</v>
      </c>
      <c r="B5" s="26">
        <f>68400*1.25</f>
        <v>85500</v>
      </c>
      <c r="C5" s="11">
        <v>88.58</v>
      </c>
      <c r="D5" s="11">
        <v>632.8</v>
      </c>
      <c r="E5" s="35">
        <f>60591*1.25</f>
        <v>75738.75</v>
      </c>
    </row>
    <row r="6" spans="1:5" ht="12.75">
      <c r="A6" s="12" t="s">
        <v>55</v>
      </c>
      <c r="B6" s="26">
        <f>108000*1.25</f>
        <v>135000</v>
      </c>
      <c r="C6" s="11">
        <v>88.58</v>
      </c>
      <c r="D6" s="11">
        <v>632.8</v>
      </c>
      <c r="E6" s="35">
        <f>95670*1.25</f>
        <v>119587.5</v>
      </c>
    </row>
    <row r="7" spans="1:5" ht="12.75">
      <c r="A7" s="12" t="s">
        <v>56</v>
      </c>
      <c r="B7" s="26">
        <f>158400*1.25</f>
        <v>198000</v>
      </c>
      <c r="C7" s="11">
        <v>88.58</v>
      </c>
      <c r="D7" s="11">
        <v>632.8</v>
      </c>
      <c r="E7" s="35">
        <f>140316*1.25</f>
        <v>175395</v>
      </c>
    </row>
    <row r="8" spans="1:5" ht="12.75">
      <c r="A8" s="12" t="s">
        <v>57</v>
      </c>
      <c r="B8" s="26">
        <f>50400*1.25</f>
        <v>63000</v>
      </c>
      <c r="C8" s="11">
        <v>88.58</v>
      </c>
      <c r="D8" s="11">
        <v>632.8</v>
      </c>
      <c r="E8" s="35">
        <f>44646*1.25</f>
        <v>55807.5</v>
      </c>
    </row>
    <row r="9" spans="1:5" ht="12.75">
      <c r="A9" s="12" t="s">
        <v>58</v>
      </c>
      <c r="B9" s="26">
        <f>100800*1.25</f>
        <v>126000</v>
      </c>
      <c r="C9" s="11">
        <v>88.58</v>
      </c>
      <c r="D9" s="11">
        <v>630.8</v>
      </c>
      <c r="E9" s="36">
        <f>89292*1.25</f>
        <v>111615</v>
      </c>
    </row>
    <row r="10" spans="1:5" ht="12.75">
      <c r="A10" s="12" t="s">
        <v>59</v>
      </c>
      <c r="B10" s="26">
        <f>79200*1.25</f>
        <v>99000</v>
      </c>
      <c r="C10" s="11">
        <v>88.58</v>
      </c>
      <c r="D10" s="11">
        <v>632.8</v>
      </c>
      <c r="E10" s="35">
        <f>70158*1.25</f>
        <v>87697.5</v>
      </c>
    </row>
    <row r="11" spans="1:5" ht="12.75">
      <c r="A11" s="12" t="s">
        <v>60</v>
      </c>
      <c r="B11" s="26">
        <f>72000*1.25</f>
        <v>90000</v>
      </c>
      <c r="C11" s="11">
        <v>89</v>
      </c>
      <c r="D11" s="11">
        <v>630.8</v>
      </c>
      <c r="E11" s="35">
        <f>64080*1.25</f>
        <v>80100</v>
      </c>
    </row>
    <row r="12" spans="1:5" ht="13.5" thickBot="1">
      <c r="A12" s="34" t="s">
        <v>61</v>
      </c>
      <c r="B12" s="28">
        <f>216000*1.25</f>
        <v>270000</v>
      </c>
      <c r="C12" s="24">
        <v>86.75</v>
      </c>
      <c r="D12" s="24">
        <v>619.62</v>
      </c>
      <c r="E12" s="37">
        <f>187385*1.25</f>
        <v>234231.25</v>
      </c>
    </row>
    <row r="13" spans="4:5" ht="12.75">
      <c r="D13" s="73" t="s">
        <v>14</v>
      </c>
      <c r="E13" s="71">
        <f>SUM(E3:E12)</f>
        <v>1063746.25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F53" sqref="F53:G54"/>
    </sheetView>
  </sheetViews>
  <sheetFormatPr defaultColWidth="11.421875" defaultRowHeight="12.75"/>
  <cols>
    <col min="2" max="2" width="5.57421875" style="0" customWidth="1"/>
    <col min="3" max="3" width="0.2890625" style="0" hidden="1" customWidth="1"/>
    <col min="4" max="4" width="0.13671875" style="0" hidden="1" customWidth="1"/>
    <col min="5" max="5" width="0.2890625" style="0" hidden="1" customWidth="1"/>
    <col min="6" max="6" width="12.140625" style="0" customWidth="1"/>
    <col min="7" max="7" width="12.57421875" style="0" bestFit="1" customWidth="1"/>
    <col min="8" max="8" width="11.57421875" style="0" bestFit="1" customWidth="1"/>
    <col min="10" max="10" width="11.57421875" style="0" bestFit="1" customWidth="1"/>
  </cols>
  <sheetData>
    <row r="2" spans="1:8" ht="56.25" customHeight="1">
      <c r="A2" s="83" t="s">
        <v>69</v>
      </c>
      <c r="B2" s="84"/>
      <c r="C2" s="48" t="s">
        <v>82</v>
      </c>
      <c r="D2" s="48" t="s">
        <v>83</v>
      </c>
      <c r="E2" s="48" t="s">
        <v>84</v>
      </c>
      <c r="F2" s="48" t="s">
        <v>70</v>
      </c>
      <c r="G2" s="48" t="s">
        <v>71</v>
      </c>
      <c r="H2" s="48" t="s">
        <v>72</v>
      </c>
    </row>
    <row r="3" spans="1:8" ht="12.75">
      <c r="A3" s="42">
        <v>36892</v>
      </c>
      <c r="B3" s="11">
        <v>1</v>
      </c>
      <c r="C3" s="1">
        <f>456216*1.25</f>
        <v>570270</v>
      </c>
      <c r="D3" s="26">
        <f>(C3*B3)</f>
        <v>570270</v>
      </c>
      <c r="E3" s="26">
        <f>(B3*B3)</f>
        <v>1</v>
      </c>
      <c r="F3" s="1">
        <f>456216*1.25</f>
        <v>570270</v>
      </c>
      <c r="G3" s="1">
        <f>(G53*B3+G54)</f>
        <v>390310.64</v>
      </c>
      <c r="H3" s="25">
        <f aca="true" t="shared" si="0" ref="H3:H50">(G3/C3)</f>
        <v>0.6844313044698126</v>
      </c>
    </row>
    <row r="4" spans="1:8" ht="12.75">
      <c r="A4" s="42">
        <v>36923</v>
      </c>
      <c r="B4" s="11">
        <v>2</v>
      </c>
      <c r="C4" s="1">
        <f>323822*1.25</f>
        <v>404777.5</v>
      </c>
      <c r="D4" s="26">
        <f aca="true" t="shared" si="1" ref="D4:D50">(C4*B4)</f>
        <v>809555</v>
      </c>
      <c r="E4" s="26">
        <f aca="true" t="shared" si="2" ref="E4:E50">(B4*B4)</f>
        <v>4</v>
      </c>
      <c r="F4" s="1">
        <f>323822*1.25</f>
        <v>404777.5</v>
      </c>
      <c r="G4" s="1">
        <f>(G53*B4+G54)</f>
        <v>398282.5</v>
      </c>
      <c r="H4" s="25">
        <f t="shared" si="0"/>
        <v>0.983954147649017</v>
      </c>
    </row>
    <row r="5" spans="1:8" ht="12.75">
      <c r="A5" s="42">
        <v>36951</v>
      </c>
      <c r="B5" s="11">
        <v>3</v>
      </c>
      <c r="C5" s="1">
        <f>387507*1.25</f>
        <v>484383.75</v>
      </c>
      <c r="D5" s="26">
        <f t="shared" si="1"/>
        <v>1453151.25</v>
      </c>
      <c r="E5" s="26">
        <f t="shared" si="2"/>
        <v>9</v>
      </c>
      <c r="F5" s="1">
        <f>387507*1.25</f>
        <v>484383.75</v>
      </c>
      <c r="G5" s="1">
        <f>(G53*B5+G54)</f>
        <v>406254.36000000004</v>
      </c>
      <c r="H5" s="25">
        <f t="shared" si="0"/>
        <v>0.8387035279362697</v>
      </c>
    </row>
    <row r="6" spans="1:8" ht="12.75">
      <c r="A6" s="42">
        <v>36982</v>
      </c>
      <c r="B6" s="11">
        <v>4</v>
      </c>
      <c r="C6" s="1">
        <f>377082*1.25</f>
        <v>471352.5</v>
      </c>
      <c r="D6" s="26">
        <f t="shared" si="1"/>
        <v>1885410</v>
      </c>
      <c r="E6" s="26">
        <f t="shared" si="2"/>
        <v>16</v>
      </c>
      <c r="F6" s="1">
        <f>377082*1.25</f>
        <v>471352.5</v>
      </c>
      <c r="G6" s="1">
        <f>(G53*B6+G54)</f>
        <v>414226.22000000003</v>
      </c>
      <c r="H6" s="25">
        <f t="shared" si="0"/>
        <v>0.8788034857139827</v>
      </c>
    </row>
    <row r="7" spans="1:8" ht="12.75">
      <c r="A7" s="42">
        <v>37012</v>
      </c>
      <c r="B7" s="11">
        <v>5</v>
      </c>
      <c r="C7" s="1">
        <f>349015*1.25</f>
        <v>436268.75</v>
      </c>
      <c r="D7" s="26">
        <f t="shared" si="1"/>
        <v>2181343.75</v>
      </c>
      <c r="E7" s="26">
        <f t="shared" si="2"/>
        <v>25</v>
      </c>
      <c r="F7" s="1">
        <f>349015*1.25</f>
        <v>436268.75</v>
      </c>
      <c r="G7" s="1">
        <f>(G53*B7+G54)</f>
        <v>422198.08</v>
      </c>
      <c r="H7" s="25">
        <f t="shared" si="0"/>
        <v>0.9677477013881925</v>
      </c>
    </row>
    <row r="8" spans="1:8" ht="12.75">
      <c r="A8" s="42">
        <v>37043</v>
      </c>
      <c r="B8" s="11">
        <v>6</v>
      </c>
      <c r="C8" s="1">
        <f>273928*1.25</f>
        <v>342410</v>
      </c>
      <c r="D8" s="26">
        <f t="shared" si="1"/>
        <v>2054460</v>
      </c>
      <c r="E8" s="26">
        <f t="shared" si="2"/>
        <v>36</v>
      </c>
      <c r="F8" s="1">
        <f>273928*1.25</f>
        <v>342410</v>
      </c>
      <c r="G8" s="1">
        <f>(G53*B8+G54)</f>
        <v>430169.94</v>
      </c>
      <c r="H8" s="25">
        <f t="shared" si="0"/>
        <v>1.2563007505621915</v>
      </c>
    </row>
    <row r="9" spans="1:8" ht="12.75">
      <c r="A9" s="42">
        <v>37073</v>
      </c>
      <c r="B9" s="11">
        <v>7</v>
      </c>
      <c r="C9" s="1">
        <f>318670*1.25</f>
        <v>398337.5</v>
      </c>
      <c r="D9" s="26">
        <f t="shared" si="1"/>
        <v>2788362.5</v>
      </c>
      <c r="E9" s="26">
        <f t="shared" si="2"/>
        <v>49</v>
      </c>
      <c r="F9" s="1">
        <f>318670*1.25</f>
        <v>398337.5</v>
      </c>
      <c r="G9" s="1">
        <f>(G53*B9+G54)</f>
        <v>438141.80000000005</v>
      </c>
      <c r="H9" s="25">
        <f t="shared" si="0"/>
        <v>1.099926067718957</v>
      </c>
    </row>
    <row r="10" spans="1:8" ht="12.75">
      <c r="A10" s="42">
        <v>37104</v>
      </c>
      <c r="B10" s="11">
        <v>8</v>
      </c>
      <c r="C10" s="1">
        <f>333327*1.25</f>
        <v>416658.75</v>
      </c>
      <c r="D10" s="26">
        <f t="shared" si="1"/>
        <v>3333270</v>
      </c>
      <c r="E10" s="26">
        <f t="shared" si="2"/>
        <v>64</v>
      </c>
      <c r="F10" s="1">
        <f>333327*1.25</f>
        <v>416658.75</v>
      </c>
      <c r="G10" s="1">
        <f>(G53*B10+G54)</f>
        <v>446113.66000000003</v>
      </c>
      <c r="H10" s="25">
        <f t="shared" si="0"/>
        <v>1.0706931271694162</v>
      </c>
    </row>
    <row r="11" spans="1:8" ht="12.75">
      <c r="A11" s="42">
        <v>37135</v>
      </c>
      <c r="B11" s="11">
        <v>9</v>
      </c>
      <c r="C11" s="1">
        <f>295689*1.25</f>
        <v>369611.25</v>
      </c>
      <c r="D11" s="26">
        <f t="shared" si="1"/>
        <v>3326501.25</v>
      </c>
      <c r="E11" s="26">
        <f t="shared" si="2"/>
        <v>81</v>
      </c>
      <c r="F11" s="1">
        <f>295689*1.25</f>
        <v>369611.25</v>
      </c>
      <c r="G11" s="1">
        <f>(G53*B11+G54)</f>
        <v>454085.52</v>
      </c>
      <c r="H11" s="25">
        <f t="shared" si="0"/>
        <v>1.2285489686799307</v>
      </c>
    </row>
    <row r="12" spans="1:8" ht="12.75">
      <c r="A12" s="42">
        <v>37165</v>
      </c>
      <c r="B12" s="11">
        <v>10</v>
      </c>
      <c r="C12" s="1">
        <f>376855*1.25</f>
        <v>471068.75</v>
      </c>
      <c r="D12" s="26">
        <f t="shared" si="1"/>
        <v>4710687.5</v>
      </c>
      <c r="E12" s="26">
        <f t="shared" si="2"/>
        <v>100</v>
      </c>
      <c r="F12" s="1">
        <f>376855*1.25</f>
        <v>471068.75</v>
      </c>
      <c r="G12" s="1">
        <f>(G53*B12+G54)</f>
        <v>462057.38</v>
      </c>
      <c r="H12" s="25">
        <f t="shared" si="0"/>
        <v>0.9808703718936992</v>
      </c>
    </row>
    <row r="13" spans="1:8" ht="12.75">
      <c r="A13" s="42">
        <v>37196</v>
      </c>
      <c r="B13" s="11">
        <v>11</v>
      </c>
      <c r="C13" s="1">
        <f>360734*1.25</f>
        <v>450917.5</v>
      </c>
      <c r="D13" s="26">
        <f t="shared" si="1"/>
        <v>4960092.5</v>
      </c>
      <c r="E13" s="26">
        <f t="shared" si="2"/>
        <v>121</v>
      </c>
      <c r="F13" s="1">
        <f>360734*1.25</f>
        <v>450917.5</v>
      </c>
      <c r="G13" s="1">
        <f>(G53*B13+G54)</f>
        <v>470029.24</v>
      </c>
      <c r="H13" s="25">
        <f t="shared" si="0"/>
        <v>1.0423841168284664</v>
      </c>
    </row>
    <row r="14" spans="1:8" ht="12.75">
      <c r="A14" s="42">
        <v>37226</v>
      </c>
      <c r="B14" s="11">
        <v>12</v>
      </c>
      <c r="C14" s="1">
        <f>379895*1.25</f>
        <v>474868.75</v>
      </c>
      <c r="D14" s="26">
        <f t="shared" si="1"/>
        <v>5698425</v>
      </c>
      <c r="E14" s="26">
        <f t="shared" si="2"/>
        <v>144</v>
      </c>
      <c r="F14" s="1">
        <f>379895*1.25</f>
        <v>474868.75</v>
      </c>
      <c r="G14" s="1">
        <f>(G53*B14+G54)</f>
        <v>478001.10000000003</v>
      </c>
      <c r="H14" s="25">
        <f t="shared" si="0"/>
        <v>1.0065962436989169</v>
      </c>
    </row>
    <row r="15" spans="1:8" ht="12.75">
      <c r="A15" s="42">
        <v>37257</v>
      </c>
      <c r="B15" s="11">
        <v>13</v>
      </c>
      <c r="C15" s="1">
        <f>458292*1.25</f>
        <v>572865</v>
      </c>
      <c r="D15" s="26">
        <f t="shared" si="1"/>
        <v>7447245</v>
      </c>
      <c r="E15" s="26">
        <f t="shared" si="2"/>
        <v>169</v>
      </c>
      <c r="F15" s="1">
        <f>458292*1.25</f>
        <v>572865</v>
      </c>
      <c r="G15" s="1">
        <f>(G53*B15+G54)</f>
        <v>485972.96</v>
      </c>
      <c r="H15" s="25">
        <f t="shared" si="0"/>
        <v>0.8483202150593945</v>
      </c>
    </row>
    <row r="16" spans="1:8" ht="12.75">
      <c r="A16" s="42">
        <v>37288</v>
      </c>
      <c r="B16" s="11">
        <v>14</v>
      </c>
      <c r="C16" s="1">
        <f>437431*1.25</f>
        <v>546788.75</v>
      </c>
      <c r="D16" s="26">
        <f t="shared" si="1"/>
        <v>7655042.5</v>
      </c>
      <c r="E16" s="26">
        <f t="shared" si="2"/>
        <v>196</v>
      </c>
      <c r="F16" s="1">
        <f>437431*1.25</f>
        <v>546788.75</v>
      </c>
      <c r="G16" s="1">
        <f>(G53*B16+G54)</f>
        <v>493944.82</v>
      </c>
      <c r="H16" s="25">
        <f t="shared" si="0"/>
        <v>0.9033558572666318</v>
      </c>
    </row>
    <row r="17" spans="1:8" ht="12.75">
      <c r="A17" s="42">
        <v>37316</v>
      </c>
      <c r="B17" s="11">
        <v>15</v>
      </c>
      <c r="C17" s="1">
        <f>356573*1.25</f>
        <v>445716.25</v>
      </c>
      <c r="D17" s="26">
        <f t="shared" si="1"/>
        <v>6685743.75</v>
      </c>
      <c r="E17" s="26">
        <f t="shared" si="2"/>
        <v>225</v>
      </c>
      <c r="F17" s="1">
        <f>356573*1.25</f>
        <v>445716.25</v>
      </c>
      <c r="G17" s="1">
        <f>(G53*B17+G54)</f>
        <v>501916.68000000005</v>
      </c>
      <c r="H17" s="25">
        <f t="shared" si="0"/>
        <v>1.1260901526475646</v>
      </c>
    </row>
    <row r="18" spans="1:10" ht="12.75">
      <c r="A18" s="42">
        <v>37347</v>
      </c>
      <c r="B18" s="11">
        <v>16</v>
      </c>
      <c r="C18" s="1">
        <f>466398*1.25</f>
        <v>582997.5</v>
      </c>
      <c r="D18" s="26">
        <f t="shared" si="1"/>
        <v>9327960</v>
      </c>
      <c r="E18" s="26">
        <f t="shared" si="2"/>
        <v>256</v>
      </c>
      <c r="F18" s="1">
        <f>466398*1.25</f>
        <v>582997.5</v>
      </c>
      <c r="G18" s="1">
        <f>(G53*B18+G54)</f>
        <v>509888.54000000004</v>
      </c>
      <c r="H18" s="25">
        <f t="shared" si="0"/>
        <v>0.8745981586541967</v>
      </c>
      <c r="J18" s="45"/>
    </row>
    <row r="19" spans="1:8" ht="12.75">
      <c r="A19" s="42">
        <v>37377</v>
      </c>
      <c r="B19" s="11">
        <v>17</v>
      </c>
      <c r="C19" s="1">
        <f>353119*1.25</f>
        <v>441398.75</v>
      </c>
      <c r="D19" s="26">
        <f t="shared" si="1"/>
        <v>7503778.75</v>
      </c>
      <c r="E19" s="26">
        <f t="shared" si="2"/>
        <v>289</v>
      </c>
      <c r="F19" s="1">
        <f>353119*1.25</f>
        <v>441398.75</v>
      </c>
      <c r="G19" s="1">
        <f>(G53*B19+G54)</f>
        <v>517860.4</v>
      </c>
      <c r="H19" s="25">
        <f t="shared" si="0"/>
        <v>1.1732257964029125</v>
      </c>
    </row>
    <row r="20" spans="1:8" ht="12.75">
      <c r="A20" s="42">
        <v>37408</v>
      </c>
      <c r="B20" s="11">
        <v>18</v>
      </c>
      <c r="C20" s="1">
        <f>271170*1.25</f>
        <v>338962.5</v>
      </c>
      <c r="D20" s="26">
        <f t="shared" si="1"/>
        <v>6101325</v>
      </c>
      <c r="E20" s="26">
        <f t="shared" si="2"/>
        <v>324</v>
      </c>
      <c r="F20" s="1">
        <f>271170*1.25</f>
        <v>338962.5</v>
      </c>
      <c r="G20" s="1">
        <f>(G53*B20+G54)</f>
        <v>525832.26</v>
      </c>
      <c r="H20" s="25">
        <f t="shared" si="0"/>
        <v>1.55129921451488</v>
      </c>
    </row>
    <row r="21" spans="1:8" ht="12.75">
      <c r="A21" s="42">
        <v>37438</v>
      </c>
      <c r="B21" s="11">
        <v>19</v>
      </c>
      <c r="C21" s="1">
        <f>405125*1.25</f>
        <v>506406.25</v>
      </c>
      <c r="D21" s="26">
        <f t="shared" si="1"/>
        <v>9621718.75</v>
      </c>
      <c r="E21" s="26">
        <f t="shared" si="2"/>
        <v>361</v>
      </c>
      <c r="F21" s="1">
        <f>405125*1.25</f>
        <v>506406.25</v>
      </c>
      <c r="G21" s="1">
        <f>(G53*B21+G54)</f>
        <v>533804.12</v>
      </c>
      <c r="H21" s="25">
        <f t="shared" si="0"/>
        <v>1.0541025510644864</v>
      </c>
    </row>
    <row r="22" spans="1:8" ht="12.75">
      <c r="A22" s="42">
        <v>37469</v>
      </c>
      <c r="B22" s="11">
        <v>20</v>
      </c>
      <c r="C22" s="1">
        <f>358636*1.25</f>
        <v>448295</v>
      </c>
      <c r="D22" s="26">
        <f t="shared" si="1"/>
        <v>8965900</v>
      </c>
      <c r="E22" s="26">
        <f t="shared" si="2"/>
        <v>400</v>
      </c>
      <c r="F22" s="1">
        <f>358636*1.25</f>
        <v>448295</v>
      </c>
      <c r="G22" s="1">
        <f>(G53*B22+G54)</f>
        <v>541775.98</v>
      </c>
      <c r="H22" s="25">
        <f t="shared" si="0"/>
        <v>1.2085255914074438</v>
      </c>
    </row>
    <row r="23" spans="1:8" ht="12.75">
      <c r="A23" s="42">
        <v>37500</v>
      </c>
      <c r="B23" s="11">
        <v>21</v>
      </c>
      <c r="C23" s="1">
        <f>362628*1.25</f>
        <v>453285</v>
      </c>
      <c r="D23" s="26">
        <f t="shared" si="1"/>
        <v>9518985</v>
      </c>
      <c r="E23" s="26">
        <f t="shared" si="2"/>
        <v>441</v>
      </c>
      <c r="F23" s="1">
        <f>362628*1.25</f>
        <v>453285</v>
      </c>
      <c r="G23" s="1">
        <f>(G53*B23+G54)</f>
        <v>549747.8400000001</v>
      </c>
      <c r="H23" s="25">
        <f t="shared" si="0"/>
        <v>1.2128083655978028</v>
      </c>
    </row>
    <row r="24" spans="1:8" ht="12.75">
      <c r="A24" s="42">
        <v>37530</v>
      </c>
      <c r="B24" s="11">
        <v>22</v>
      </c>
      <c r="C24" s="1">
        <f>416064*1.25</f>
        <v>520080</v>
      </c>
      <c r="D24" s="26">
        <f t="shared" si="1"/>
        <v>11441760</v>
      </c>
      <c r="E24" s="26">
        <f t="shared" si="2"/>
        <v>484</v>
      </c>
      <c r="F24" s="1">
        <f>416064*1.25</f>
        <v>520080</v>
      </c>
      <c r="G24" s="1">
        <f>(G53*B24+G54)</f>
        <v>557719.7</v>
      </c>
      <c r="H24" s="25">
        <f t="shared" si="0"/>
        <v>1.0723729041685894</v>
      </c>
    </row>
    <row r="25" spans="1:8" ht="12.75">
      <c r="A25" s="42">
        <v>37561</v>
      </c>
      <c r="B25" s="11">
        <v>23</v>
      </c>
      <c r="C25" s="1">
        <f>424485*1.25</f>
        <v>530606.25</v>
      </c>
      <c r="D25" s="26">
        <f t="shared" si="1"/>
        <v>12203943.75</v>
      </c>
      <c r="E25" s="26">
        <f t="shared" si="2"/>
        <v>529</v>
      </c>
      <c r="F25" s="1">
        <f>424485*1.25</f>
        <v>530606.25</v>
      </c>
      <c r="G25" s="1">
        <f>(G53*B25+G54)</f>
        <v>565691.56</v>
      </c>
      <c r="H25" s="25">
        <f t="shared" si="0"/>
        <v>1.0661230620634417</v>
      </c>
    </row>
    <row r="26" spans="1:8" ht="12.75">
      <c r="A26" s="42">
        <v>37591</v>
      </c>
      <c r="B26" s="11">
        <v>24</v>
      </c>
      <c r="C26" s="1">
        <f>529053*1.25</f>
        <v>661316.25</v>
      </c>
      <c r="D26" s="26">
        <f t="shared" si="1"/>
        <v>15871590</v>
      </c>
      <c r="E26" s="26">
        <f t="shared" si="2"/>
        <v>576</v>
      </c>
      <c r="F26" s="1">
        <f>529053*1.25</f>
        <v>661316.25</v>
      </c>
      <c r="G26" s="1">
        <f>(G53*B26+G54)</f>
        <v>573663.42</v>
      </c>
      <c r="H26" s="25">
        <f t="shared" si="0"/>
        <v>0.8674570147036309</v>
      </c>
    </row>
    <row r="27" spans="1:8" ht="12.75">
      <c r="A27" s="42">
        <v>37622</v>
      </c>
      <c r="B27" s="11">
        <v>25</v>
      </c>
      <c r="C27" s="1">
        <f>607351*1.25</f>
        <v>759188.75</v>
      </c>
      <c r="D27" s="26">
        <f t="shared" si="1"/>
        <v>18979718.75</v>
      </c>
      <c r="E27" s="26">
        <f t="shared" si="2"/>
        <v>625</v>
      </c>
      <c r="F27" s="1">
        <f>607351*1.25</f>
        <v>759188.75</v>
      </c>
      <c r="G27" s="1">
        <f>(G53*B27+G54)</f>
        <v>581635.28</v>
      </c>
      <c r="H27" s="25">
        <f t="shared" si="0"/>
        <v>0.7661273695112053</v>
      </c>
    </row>
    <row r="28" spans="1:8" ht="12.75">
      <c r="A28" s="42">
        <v>37653</v>
      </c>
      <c r="B28" s="11">
        <v>26</v>
      </c>
      <c r="C28" s="1">
        <f>559341*1.25</f>
        <v>699176.25</v>
      </c>
      <c r="D28" s="26">
        <f t="shared" si="1"/>
        <v>18178582.5</v>
      </c>
      <c r="E28" s="26">
        <f t="shared" si="2"/>
        <v>676</v>
      </c>
      <c r="F28" s="1">
        <f>559341*1.25</f>
        <v>699176.25</v>
      </c>
      <c r="G28" s="1">
        <f>(G53*B28+G54)</f>
        <v>589607.14</v>
      </c>
      <c r="H28" s="25">
        <f t="shared" si="0"/>
        <v>0.843288283891222</v>
      </c>
    </row>
    <row r="29" spans="1:8" ht="12.75">
      <c r="A29" s="42">
        <v>37681</v>
      </c>
      <c r="B29" s="11">
        <v>27</v>
      </c>
      <c r="C29" s="1">
        <f>532951*1.25</f>
        <v>666188.75</v>
      </c>
      <c r="D29" s="26">
        <f t="shared" si="1"/>
        <v>17987096.25</v>
      </c>
      <c r="E29" s="26">
        <f t="shared" si="2"/>
        <v>729</v>
      </c>
      <c r="F29" s="1">
        <f>532951*1.25</f>
        <v>666188.75</v>
      </c>
      <c r="G29" s="1">
        <f>(G53*B29+G54)</f>
        <v>597579</v>
      </c>
      <c r="H29" s="25">
        <f t="shared" si="0"/>
        <v>0.8970115451514304</v>
      </c>
    </row>
    <row r="30" spans="1:8" ht="12.75">
      <c r="A30" s="42">
        <v>37712</v>
      </c>
      <c r="B30" s="11">
        <v>28</v>
      </c>
      <c r="C30" s="1">
        <f>508536*1.25</f>
        <v>635670</v>
      </c>
      <c r="D30" s="26">
        <f t="shared" si="1"/>
        <v>17798760</v>
      </c>
      <c r="E30" s="26">
        <f t="shared" si="2"/>
        <v>784</v>
      </c>
      <c r="F30" s="1">
        <f>508536*1.25</f>
        <v>635670</v>
      </c>
      <c r="G30" s="1">
        <f>(G53*B30+G54)</f>
        <v>605550.86</v>
      </c>
      <c r="H30" s="25">
        <f t="shared" si="0"/>
        <v>0.9526182767788317</v>
      </c>
    </row>
    <row r="31" spans="1:8" ht="12.75">
      <c r="A31" s="42">
        <v>37742</v>
      </c>
      <c r="B31" s="11">
        <v>29</v>
      </c>
      <c r="C31" s="1">
        <f>381747*1.25</f>
        <v>477183.75</v>
      </c>
      <c r="D31" s="26">
        <f t="shared" si="1"/>
        <v>13838328.75</v>
      </c>
      <c r="E31" s="26">
        <f t="shared" si="2"/>
        <v>841</v>
      </c>
      <c r="F31" s="1">
        <f>381747*1.25</f>
        <v>477183.75</v>
      </c>
      <c r="G31" s="1">
        <f>(G53*B31+G54)</f>
        <v>613522.72</v>
      </c>
      <c r="H31" s="25">
        <f t="shared" si="0"/>
        <v>1.2857158694108926</v>
      </c>
    </row>
    <row r="32" spans="1:11" ht="12.75">
      <c r="A32" s="42">
        <v>37773</v>
      </c>
      <c r="B32" s="11">
        <v>30</v>
      </c>
      <c r="C32" s="1">
        <f>362497*1.25</f>
        <v>453121.25</v>
      </c>
      <c r="D32" s="26">
        <f t="shared" si="1"/>
        <v>13593637.5</v>
      </c>
      <c r="E32" s="26">
        <f t="shared" si="2"/>
        <v>900</v>
      </c>
      <c r="F32" s="1">
        <f>362497*1.25</f>
        <v>453121.25</v>
      </c>
      <c r="G32" s="1">
        <f>(G53*B32+G54)</f>
        <v>621494.5800000001</v>
      </c>
      <c r="H32" s="25">
        <f t="shared" si="0"/>
        <v>1.3715855965704546</v>
      </c>
      <c r="J32" s="68"/>
      <c r="K32">
        <v>305870.985</v>
      </c>
    </row>
    <row r="33" spans="1:11" ht="12.75">
      <c r="A33" s="42">
        <v>37803</v>
      </c>
      <c r="B33" s="11">
        <v>31</v>
      </c>
      <c r="C33" s="1">
        <f>458117*1.25</f>
        <v>572646.25</v>
      </c>
      <c r="D33" s="26">
        <f t="shared" si="1"/>
        <v>17752033.75</v>
      </c>
      <c r="E33" s="26">
        <f t="shared" si="2"/>
        <v>961</v>
      </c>
      <c r="F33" s="1">
        <f>458117*1.25</f>
        <v>572646.25</v>
      </c>
      <c r="G33" s="1">
        <f>(G53*B33+G54)</f>
        <v>629466.4400000001</v>
      </c>
      <c r="H33" s="25">
        <f t="shared" si="0"/>
        <v>1.0992238925863917</v>
      </c>
      <c r="J33" s="68"/>
      <c r="K33">
        <v>6377.51</v>
      </c>
    </row>
    <row r="34" spans="1:8" ht="12.75">
      <c r="A34" s="42">
        <v>37834</v>
      </c>
      <c r="B34" s="11">
        <v>32</v>
      </c>
      <c r="C34" s="1">
        <f>425604*1.25</f>
        <v>532005</v>
      </c>
      <c r="D34" s="26">
        <f t="shared" si="1"/>
        <v>17024160</v>
      </c>
      <c r="E34" s="26">
        <f t="shared" si="2"/>
        <v>1024</v>
      </c>
      <c r="F34" s="1">
        <f>425604*1.25</f>
        <v>532005</v>
      </c>
      <c r="G34" s="1">
        <f>(G53*B34+G54)</f>
        <v>637438.3</v>
      </c>
      <c r="H34" s="25">
        <f t="shared" si="0"/>
        <v>1.1981810321331567</v>
      </c>
    </row>
    <row r="35" spans="1:8" ht="12.75">
      <c r="A35" s="42">
        <v>37865</v>
      </c>
      <c r="B35" s="11">
        <v>33</v>
      </c>
      <c r="C35" s="1">
        <f>390958*1.25</f>
        <v>488697.5</v>
      </c>
      <c r="D35" s="26">
        <f t="shared" si="1"/>
        <v>16127017.5</v>
      </c>
      <c r="E35" s="26">
        <f t="shared" si="2"/>
        <v>1089</v>
      </c>
      <c r="F35" s="1">
        <f>390958*1.25</f>
        <v>488697.5</v>
      </c>
      <c r="G35" s="1">
        <f>(G53*B35+G54)</f>
        <v>645410.16</v>
      </c>
      <c r="H35" s="25">
        <f t="shared" si="0"/>
        <v>1.3206741593726181</v>
      </c>
    </row>
    <row r="36" spans="1:8" ht="12.75">
      <c r="A36" s="42">
        <v>37895</v>
      </c>
      <c r="B36" s="11">
        <v>34</v>
      </c>
      <c r="C36" s="1">
        <f>406619*1.25</f>
        <v>508273.75</v>
      </c>
      <c r="D36" s="26">
        <f t="shared" si="1"/>
        <v>17281307.5</v>
      </c>
      <c r="E36" s="26">
        <f t="shared" si="2"/>
        <v>1156</v>
      </c>
      <c r="F36" s="1">
        <f>406619*1.25</f>
        <v>508273.75</v>
      </c>
      <c r="G36" s="1">
        <f>(G53*B36+G54)</f>
        <v>653382.02</v>
      </c>
      <c r="H36" s="25">
        <f t="shared" si="0"/>
        <v>1.2854923552514763</v>
      </c>
    </row>
    <row r="37" spans="1:8" ht="12.75">
      <c r="A37" s="42">
        <v>37926</v>
      </c>
      <c r="B37" s="11">
        <v>35</v>
      </c>
      <c r="C37" s="1">
        <f>471023*1.25</f>
        <v>588778.75</v>
      </c>
      <c r="D37" s="26">
        <f t="shared" si="1"/>
        <v>20607256.25</v>
      </c>
      <c r="E37" s="26">
        <f t="shared" si="2"/>
        <v>1225</v>
      </c>
      <c r="F37" s="1">
        <f>471023*1.25</f>
        <v>588778.75</v>
      </c>
      <c r="G37" s="1">
        <f>(G53*B37+G54)</f>
        <v>661353.88</v>
      </c>
      <c r="H37" s="25">
        <f t="shared" si="0"/>
        <v>1.1232638406192479</v>
      </c>
    </row>
    <row r="38" spans="1:8" ht="12.75">
      <c r="A38" s="42">
        <v>37956</v>
      </c>
      <c r="B38" s="11">
        <v>36</v>
      </c>
      <c r="C38" s="1">
        <f>454292*1.25</f>
        <v>567865</v>
      </c>
      <c r="D38" s="26">
        <f t="shared" si="1"/>
        <v>20443140</v>
      </c>
      <c r="E38" s="26">
        <f t="shared" si="2"/>
        <v>1296</v>
      </c>
      <c r="F38" s="1">
        <f>454292*1.25</f>
        <v>567865</v>
      </c>
      <c r="G38" s="1">
        <f>(G53*B38+G54)</f>
        <v>669325.74</v>
      </c>
      <c r="H38" s="25">
        <f t="shared" si="0"/>
        <v>1.178670529087019</v>
      </c>
    </row>
    <row r="39" spans="1:8" ht="12.75">
      <c r="A39" s="42">
        <v>37987</v>
      </c>
      <c r="B39" s="11">
        <v>37</v>
      </c>
      <c r="C39" s="1">
        <f>817609*1.25</f>
        <v>1022011.25</v>
      </c>
      <c r="D39" s="26">
        <f t="shared" si="1"/>
        <v>37814416.25</v>
      </c>
      <c r="E39" s="26">
        <f t="shared" si="2"/>
        <v>1369</v>
      </c>
      <c r="F39" s="1">
        <f>817609*1.25</f>
        <v>1022011.25</v>
      </c>
      <c r="G39" s="1">
        <f>(G53*B39+G54)</f>
        <v>677297.6000000001</v>
      </c>
      <c r="H39" s="25">
        <f t="shared" si="0"/>
        <v>0.662710513215975</v>
      </c>
    </row>
    <row r="40" spans="1:8" ht="12.75">
      <c r="A40" s="42">
        <v>38018</v>
      </c>
      <c r="B40" s="11">
        <v>38</v>
      </c>
      <c r="C40" s="1">
        <f>667637*1.25</f>
        <v>834546.25</v>
      </c>
      <c r="D40" s="26">
        <f t="shared" si="1"/>
        <v>31712757.5</v>
      </c>
      <c r="E40" s="26">
        <f t="shared" si="2"/>
        <v>1444</v>
      </c>
      <c r="F40" s="1">
        <f>667637*1.25</f>
        <v>834546.25</v>
      </c>
      <c r="G40" s="1">
        <f>(G53*B40+G54)</f>
        <v>685269.46</v>
      </c>
      <c r="H40" s="25">
        <f t="shared" si="0"/>
        <v>0.8211281999050382</v>
      </c>
    </row>
    <row r="41" spans="1:8" ht="12.75">
      <c r="A41" s="42">
        <v>38047</v>
      </c>
      <c r="B41" s="11">
        <v>39</v>
      </c>
      <c r="C41" s="1">
        <f>716866*1.25</f>
        <v>896082.5</v>
      </c>
      <c r="D41" s="26">
        <f t="shared" si="1"/>
        <v>34947217.5</v>
      </c>
      <c r="E41" s="26">
        <f t="shared" si="2"/>
        <v>1521</v>
      </c>
      <c r="F41" s="1">
        <f>716866*1.25</f>
        <v>896082.5</v>
      </c>
      <c r="G41" s="1">
        <f>(G53*B41+G54)</f>
        <v>693241.3200000001</v>
      </c>
      <c r="H41" s="25">
        <f t="shared" si="0"/>
        <v>0.7736355971687875</v>
      </c>
    </row>
    <row r="42" spans="1:8" ht="12.75">
      <c r="A42" s="42">
        <v>38078</v>
      </c>
      <c r="B42" s="11">
        <v>40</v>
      </c>
      <c r="C42" s="1">
        <f>707253*1.25</f>
        <v>884066.25</v>
      </c>
      <c r="D42" s="26">
        <f t="shared" si="1"/>
        <v>35362650</v>
      </c>
      <c r="E42" s="26">
        <f t="shared" si="2"/>
        <v>1600</v>
      </c>
      <c r="F42" s="1">
        <f>707253*1.25</f>
        <v>884066.25</v>
      </c>
      <c r="G42" s="1">
        <f>(G53*B42+G54)</f>
        <v>701213.1799999999</v>
      </c>
      <c r="H42" s="25">
        <f t="shared" si="0"/>
        <v>0.7931681364377386</v>
      </c>
    </row>
    <row r="43" spans="1:8" ht="12.75">
      <c r="A43" s="42">
        <v>38108</v>
      </c>
      <c r="B43" s="11">
        <v>41</v>
      </c>
      <c r="C43" s="1">
        <f>630689*1.25</f>
        <v>788361.25</v>
      </c>
      <c r="D43" s="26">
        <f t="shared" si="1"/>
        <v>32322811.25</v>
      </c>
      <c r="E43" s="26">
        <f t="shared" si="2"/>
        <v>1681</v>
      </c>
      <c r="F43" s="1">
        <f>630689*1.25</f>
        <v>788361.25</v>
      </c>
      <c r="G43" s="1">
        <f>(G53*B43+G54)</f>
        <v>709185.04</v>
      </c>
      <c r="H43" s="25">
        <f t="shared" si="0"/>
        <v>0.8995686178132171</v>
      </c>
    </row>
    <row r="44" spans="1:8" ht="12.75">
      <c r="A44" s="42">
        <v>38139</v>
      </c>
      <c r="B44" s="11">
        <v>42</v>
      </c>
      <c r="C44" s="1">
        <f>645601*1.25</f>
        <v>807001.25</v>
      </c>
      <c r="D44" s="26">
        <f t="shared" si="1"/>
        <v>33894052.5</v>
      </c>
      <c r="E44" s="26">
        <f t="shared" si="2"/>
        <v>1764</v>
      </c>
      <c r="F44" s="1">
        <f>645601*1.25</f>
        <v>807001.25</v>
      </c>
      <c r="G44" s="1">
        <f>(G53*B44+G54)</f>
        <v>717156.9</v>
      </c>
      <c r="H44" s="25">
        <f t="shared" si="0"/>
        <v>0.8886688837222991</v>
      </c>
    </row>
    <row r="45" spans="1:8" ht="12.75">
      <c r="A45" s="42">
        <v>38169</v>
      </c>
      <c r="B45" s="11">
        <v>43</v>
      </c>
      <c r="C45" s="1">
        <f>591055*1.25</f>
        <v>738818.75</v>
      </c>
      <c r="D45" s="26">
        <f t="shared" si="1"/>
        <v>31769206.25</v>
      </c>
      <c r="E45" s="26">
        <f t="shared" si="2"/>
        <v>1849</v>
      </c>
      <c r="F45" s="1">
        <f>591055*1.25</f>
        <v>738818.75</v>
      </c>
      <c r="G45" s="1">
        <f>(G53*B45+G54)</f>
        <v>725128.76</v>
      </c>
      <c r="H45" s="25">
        <f t="shared" si="0"/>
        <v>0.9814704350694944</v>
      </c>
    </row>
    <row r="46" spans="1:8" ht="12.75">
      <c r="A46" s="42">
        <v>38200</v>
      </c>
      <c r="B46" s="11">
        <v>44</v>
      </c>
      <c r="C46" s="1">
        <f>644054*1.25</f>
        <v>805067.5</v>
      </c>
      <c r="D46" s="26">
        <f t="shared" si="1"/>
        <v>35422970</v>
      </c>
      <c r="E46" s="26">
        <f t="shared" si="2"/>
        <v>1936</v>
      </c>
      <c r="F46" s="1">
        <f>644054*1.25</f>
        <v>805067.5</v>
      </c>
      <c r="G46" s="1">
        <f>(G53*B46+G54)</f>
        <v>733100.62</v>
      </c>
      <c r="H46" s="25">
        <f t="shared" si="0"/>
        <v>0.9106076447005996</v>
      </c>
    </row>
    <row r="47" spans="1:8" ht="12.75">
      <c r="A47" s="42">
        <v>38231</v>
      </c>
      <c r="B47" s="11">
        <v>45</v>
      </c>
      <c r="C47" s="1">
        <f>550824*1.25</f>
        <v>688530</v>
      </c>
      <c r="D47" s="26">
        <f t="shared" si="1"/>
        <v>30983850</v>
      </c>
      <c r="E47" s="26">
        <f t="shared" si="2"/>
        <v>2025</v>
      </c>
      <c r="F47" s="1">
        <f>550824*1.25</f>
        <v>688530</v>
      </c>
      <c r="G47" s="1">
        <f>(G53*B47+G54)</f>
        <v>741072.48</v>
      </c>
      <c r="H47" s="25">
        <f t="shared" si="0"/>
        <v>1.076311097555662</v>
      </c>
    </row>
    <row r="48" spans="1:8" ht="12.75">
      <c r="A48" s="42">
        <v>38261</v>
      </c>
      <c r="B48" s="11">
        <v>46</v>
      </c>
      <c r="C48" s="1">
        <f>529910*1.25</f>
        <v>662387.5</v>
      </c>
      <c r="D48" s="26">
        <f t="shared" si="1"/>
        <v>30469825</v>
      </c>
      <c r="E48" s="26">
        <f t="shared" si="2"/>
        <v>2116</v>
      </c>
      <c r="F48" s="1">
        <f>529910*1.25</f>
        <v>662387.5</v>
      </c>
      <c r="G48" s="1">
        <f>(G53*B48+G54)</f>
        <v>749044.3400000001</v>
      </c>
      <c r="H48" s="25">
        <f t="shared" si="0"/>
        <v>1.1308249929233267</v>
      </c>
    </row>
    <row r="49" spans="1:8" ht="12.75">
      <c r="A49" s="42">
        <v>38292</v>
      </c>
      <c r="B49" s="11">
        <v>47</v>
      </c>
      <c r="C49" s="1">
        <f>515677*1.25</f>
        <v>644596.25</v>
      </c>
      <c r="D49" s="26">
        <f t="shared" si="1"/>
        <v>30296023.75</v>
      </c>
      <c r="E49" s="26">
        <f t="shared" si="2"/>
        <v>2209</v>
      </c>
      <c r="F49" s="1">
        <f>515677*1.25</f>
        <v>644596.25</v>
      </c>
      <c r="G49" s="1">
        <f>(G53*B49+G54)</f>
        <v>757016.2</v>
      </c>
      <c r="H49" s="25">
        <f t="shared" si="0"/>
        <v>1.1744036674119651</v>
      </c>
    </row>
    <row r="50" spans="1:8" ht="12.75">
      <c r="A50" s="42">
        <v>38322</v>
      </c>
      <c r="B50" s="11">
        <v>48</v>
      </c>
      <c r="C50" s="1">
        <f>533834*1.25</f>
        <v>667292.5</v>
      </c>
      <c r="D50" s="26">
        <f t="shared" si="1"/>
        <v>32030040</v>
      </c>
      <c r="E50" s="26">
        <f t="shared" si="2"/>
        <v>2304</v>
      </c>
      <c r="F50" s="1">
        <f>533834*1.25</f>
        <v>667292.5</v>
      </c>
      <c r="G50" s="1">
        <f>(G53*B50+G54)</f>
        <v>764988.06</v>
      </c>
      <c r="H50" s="25">
        <f t="shared" si="0"/>
        <v>1.1464059014600045</v>
      </c>
    </row>
    <row r="51" spans="1:5" ht="12.75">
      <c r="A51" s="69" t="s">
        <v>14</v>
      </c>
      <c r="B51" s="69">
        <f>SUM(B3:B50)</f>
        <v>1176</v>
      </c>
      <c r="C51" s="70">
        <f>SUM(C3:C50)</f>
        <v>27727198.75</v>
      </c>
      <c r="D51" s="70">
        <f>SUM(D3:D50)</f>
        <v>752753380</v>
      </c>
      <c r="E51" s="70">
        <f>SUM(E3:E50)</f>
        <v>38024</v>
      </c>
    </row>
    <row r="52" spans="1:5" ht="12.75">
      <c r="A52" s="69" t="s">
        <v>12</v>
      </c>
      <c r="B52" s="69">
        <f>(B51/48)</f>
        <v>24.5</v>
      </c>
      <c r="C52" s="70">
        <f>(C51/48)</f>
        <v>577649.9739583334</v>
      </c>
      <c r="D52" s="71"/>
      <c r="E52" s="71"/>
    </row>
    <row r="53" spans="6:7" ht="12.75">
      <c r="F53" t="s">
        <v>63</v>
      </c>
      <c r="G53">
        <v>7971.86</v>
      </c>
    </row>
    <row r="54" spans="6:7" ht="12.75">
      <c r="F54" t="s">
        <v>62</v>
      </c>
      <c r="G54">
        <v>382338.78</v>
      </c>
    </row>
    <row r="55" spans="4:6" ht="12.75">
      <c r="D55">
        <f>(D51-48*24.5*C52)</f>
        <v>73437010.625</v>
      </c>
      <c r="F55">
        <f>(C52-D56*24.5)</f>
        <v>382338.7754875887</v>
      </c>
    </row>
    <row r="56" spans="4:7" ht="12.75">
      <c r="D56">
        <f>(D55/9212)</f>
        <v>7971.88565186713</v>
      </c>
      <c r="G56">
        <f>(F55+D56)</f>
        <v>390310.66113945586</v>
      </c>
    </row>
  </sheetData>
  <mergeCells count="1"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3" sqref="A3:M29"/>
    </sheetView>
  </sheetViews>
  <sheetFormatPr defaultColWidth="11.421875" defaultRowHeight="12.75"/>
  <cols>
    <col min="1" max="1" width="9.00390625" style="0" customWidth="1"/>
    <col min="2" max="2" width="5.8515625" style="0" customWidth="1"/>
    <col min="3" max="3" width="10.7109375" style="0" customWidth="1"/>
    <col min="4" max="6" width="11.28125" style="0" hidden="1" customWidth="1"/>
    <col min="7" max="7" width="0.13671875" style="0" hidden="1" customWidth="1"/>
    <col min="8" max="9" width="11.28125" style="0" hidden="1" customWidth="1"/>
    <col min="10" max="10" width="11.421875" style="0" hidden="1" customWidth="1"/>
    <col min="12" max="13" width="13.28125" style="0" bestFit="1" customWidth="1"/>
  </cols>
  <sheetData>
    <row r="1" ht="12.75">
      <c r="M1" s="30"/>
    </row>
    <row r="2" ht="13.5" thickBot="1">
      <c r="M2" s="30"/>
    </row>
    <row r="3" spans="1:13" ht="69.75" customHeight="1">
      <c r="A3" s="85" t="s">
        <v>69</v>
      </c>
      <c r="B3" s="86"/>
      <c r="C3" s="40" t="s">
        <v>73</v>
      </c>
      <c r="D3" s="40" t="s">
        <v>73</v>
      </c>
      <c r="E3" s="40" t="s">
        <v>73</v>
      </c>
      <c r="F3" s="40" t="s">
        <v>73</v>
      </c>
      <c r="G3" s="40" t="s">
        <v>73</v>
      </c>
      <c r="H3" s="40" t="s">
        <v>73</v>
      </c>
      <c r="I3" s="40" t="s">
        <v>73</v>
      </c>
      <c r="J3" s="40" t="s">
        <v>73</v>
      </c>
      <c r="K3" s="40" t="s">
        <v>74</v>
      </c>
      <c r="L3" s="40" t="s">
        <v>87</v>
      </c>
      <c r="M3" s="62" t="s">
        <v>75</v>
      </c>
    </row>
    <row r="4" spans="1:13" ht="12.75">
      <c r="A4" s="47">
        <v>38353</v>
      </c>
      <c r="B4" s="11">
        <v>49</v>
      </c>
      <c r="C4" s="26">
        <v>0.78</v>
      </c>
      <c r="D4" s="26"/>
      <c r="E4" s="26">
        <f aca="true" t="shared" si="0" ref="E4:E29">(D4/C4)</f>
        <v>0</v>
      </c>
      <c r="F4" s="11">
        <v>1</v>
      </c>
      <c r="G4" s="10"/>
      <c r="H4" s="11">
        <v>49</v>
      </c>
      <c r="I4" s="10">
        <v>10309.7</v>
      </c>
      <c r="J4" s="10">
        <v>354160.52</v>
      </c>
      <c r="K4" s="1">
        <f>(P17*B4+P18)</f>
        <v>772959.9199999999</v>
      </c>
      <c r="L4" s="1">
        <v>100000</v>
      </c>
      <c r="M4" s="35">
        <f aca="true" t="shared" si="1" ref="M4:M15">(K4*C4+L4)</f>
        <v>702908.7376</v>
      </c>
    </row>
    <row r="5" spans="1:13" ht="12.75">
      <c r="A5" s="47">
        <v>38384</v>
      </c>
      <c r="B5" s="11">
        <v>50</v>
      </c>
      <c r="C5" s="26">
        <v>0.89</v>
      </c>
      <c r="D5" s="26"/>
      <c r="E5" s="26">
        <f t="shared" si="0"/>
        <v>0</v>
      </c>
      <c r="F5" s="11">
        <v>2</v>
      </c>
      <c r="G5" s="10"/>
      <c r="H5" s="11">
        <v>50</v>
      </c>
      <c r="I5" s="10">
        <v>10309.7</v>
      </c>
      <c r="J5" s="10">
        <v>354160.52</v>
      </c>
      <c r="K5" s="1">
        <f>(P17*B5+P18)</f>
        <v>780931.78</v>
      </c>
      <c r="L5" s="1">
        <v>100000</v>
      </c>
      <c r="M5" s="35">
        <f t="shared" si="1"/>
        <v>795029.2842</v>
      </c>
    </row>
    <row r="6" spans="1:13" ht="12.75">
      <c r="A6" s="47">
        <v>38412</v>
      </c>
      <c r="B6" s="11">
        <v>51</v>
      </c>
      <c r="C6" s="26">
        <v>0.91</v>
      </c>
      <c r="D6" s="26"/>
      <c r="E6" s="26">
        <f t="shared" si="0"/>
        <v>0</v>
      </c>
      <c r="F6" s="11">
        <v>3</v>
      </c>
      <c r="G6" s="10"/>
      <c r="H6" s="11">
        <v>51</v>
      </c>
      <c r="I6" s="10">
        <v>10309.7</v>
      </c>
      <c r="J6" s="10">
        <v>354160.52</v>
      </c>
      <c r="K6" s="1">
        <f>(P17*B6+P18)</f>
        <v>788903.64</v>
      </c>
      <c r="L6" s="1">
        <v>100000</v>
      </c>
      <c r="M6" s="35">
        <f t="shared" si="1"/>
        <v>817902.3124</v>
      </c>
    </row>
    <row r="7" spans="1:13" ht="12.75">
      <c r="A7" s="47">
        <v>38443</v>
      </c>
      <c r="B7" s="11">
        <v>52</v>
      </c>
      <c r="C7" s="26">
        <v>0.87</v>
      </c>
      <c r="D7" s="26"/>
      <c r="E7" s="26">
        <f t="shared" si="0"/>
        <v>0</v>
      </c>
      <c r="F7" s="11">
        <v>4</v>
      </c>
      <c r="G7" s="10"/>
      <c r="H7" s="11">
        <v>52</v>
      </c>
      <c r="I7" s="10">
        <v>10309.7</v>
      </c>
      <c r="J7" s="10">
        <v>354160.52</v>
      </c>
      <c r="K7" s="1">
        <f>(P17*B7+P18)</f>
        <v>796875.5</v>
      </c>
      <c r="L7" s="1">
        <v>100000</v>
      </c>
      <c r="M7" s="35">
        <f t="shared" si="1"/>
        <v>793281.6849999999</v>
      </c>
    </row>
    <row r="8" spans="1:13" ht="12.75">
      <c r="A8" s="47">
        <v>38473</v>
      </c>
      <c r="B8" s="11">
        <v>53</v>
      </c>
      <c r="C8" s="26">
        <v>0.9</v>
      </c>
      <c r="D8" s="26"/>
      <c r="E8" s="26">
        <f t="shared" si="0"/>
        <v>0</v>
      </c>
      <c r="F8" s="11">
        <v>5</v>
      </c>
      <c r="G8" s="10"/>
      <c r="H8" s="11">
        <v>53</v>
      </c>
      <c r="I8" s="10">
        <v>10309.7</v>
      </c>
      <c r="J8" s="10">
        <v>354160.52</v>
      </c>
      <c r="K8" s="1">
        <f>(P17*B8+P18)</f>
        <v>804847.36</v>
      </c>
      <c r="L8" s="1">
        <v>100000</v>
      </c>
      <c r="M8" s="35">
        <f t="shared" si="1"/>
        <v>824362.624</v>
      </c>
    </row>
    <row r="9" spans="1:13" ht="12.75">
      <c r="A9" s="47">
        <v>38504</v>
      </c>
      <c r="B9" s="11">
        <v>54</v>
      </c>
      <c r="C9" s="26">
        <v>1.22</v>
      </c>
      <c r="D9" s="26"/>
      <c r="E9" s="26">
        <f t="shared" si="0"/>
        <v>0</v>
      </c>
      <c r="F9" s="11">
        <v>6</v>
      </c>
      <c r="G9" s="10"/>
      <c r="H9" s="11">
        <v>54</v>
      </c>
      <c r="I9" s="10">
        <v>10309.7</v>
      </c>
      <c r="J9" s="10">
        <v>354160.52</v>
      </c>
      <c r="K9" s="1">
        <f>(P17*B9+P18)</f>
        <v>812819.22</v>
      </c>
      <c r="L9" s="1">
        <v>100000</v>
      </c>
      <c r="M9" s="35">
        <f t="shared" si="1"/>
        <v>1091639.4484</v>
      </c>
    </row>
    <row r="10" spans="1:13" ht="12.75">
      <c r="A10" s="47">
        <v>38534</v>
      </c>
      <c r="B10" s="11">
        <v>55</v>
      </c>
      <c r="C10" s="26">
        <v>1.06</v>
      </c>
      <c r="D10" s="26"/>
      <c r="E10" s="26">
        <f t="shared" si="0"/>
        <v>0</v>
      </c>
      <c r="F10" s="11">
        <v>7</v>
      </c>
      <c r="G10" s="10"/>
      <c r="H10" s="11">
        <v>55</v>
      </c>
      <c r="I10" s="10">
        <v>10309.7</v>
      </c>
      <c r="J10" s="10">
        <v>354160.52</v>
      </c>
      <c r="K10" s="1">
        <f>(P17*B10+P18)</f>
        <v>820791.0800000001</v>
      </c>
      <c r="L10" s="1">
        <v>50000</v>
      </c>
      <c r="M10" s="35">
        <f t="shared" si="1"/>
        <v>920038.5448000001</v>
      </c>
    </row>
    <row r="11" spans="1:13" ht="12.75">
      <c r="A11" s="47">
        <v>38565</v>
      </c>
      <c r="B11" s="11">
        <v>56</v>
      </c>
      <c r="C11" s="26">
        <v>1.1</v>
      </c>
      <c r="D11" s="26"/>
      <c r="E11" s="26">
        <f t="shared" si="0"/>
        <v>0</v>
      </c>
      <c r="F11" s="11">
        <v>8</v>
      </c>
      <c r="G11" s="10"/>
      <c r="H11" s="11">
        <v>56</v>
      </c>
      <c r="I11" s="10">
        <v>10309.7</v>
      </c>
      <c r="J11" s="10">
        <v>354160.52</v>
      </c>
      <c r="K11" s="1">
        <f>(P17*B11+P18)</f>
        <v>828762.94</v>
      </c>
      <c r="L11" s="1">
        <v>50000</v>
      </c>
      <c r="M11" s="35">
        <f t="shared" si="1"/>
        <v>961639.234</v>
      </c>
    </row>
    <row r="12" spans="1:13" ht="12.75">
      <c r="A12" s="47">
        <v>38596</v>
      </c>
      <c r="B12" s="11">
        <v>57</v>
      </c>
      <c r="C12" s="26">
        <v>1.21</v>
      </c>
      <c r="D12" s="26"/>
      <c r="E12" s="26">
        <f t="shared" si="0"/>
        <v>0</v>
      </c>
      <c r="F12" s="11">
        <v>9</v>
      </c>
      <c r="G12" s="10"/>
      <c r="H12" s="11">
        <v>57</v>
      </c>
      <c r="I12" s="10">
        <v>10309.7</v>
      </c>
      <c r="J12" s="10">
        <v>354160.52</v>
      </c>
      <c r="K12" s="1">
        <f>(P17*B12+P18)</f>
        <v>836734.8</v>
      </c>
      <c r="L12" s="1">
        <v>50000</v>
      </c>
      <c r="M12" s="35">
        <f t="shared" si="1"/>
        <v>1062449.108</v>
      </c>
    </row>
    <row r="13" spans="1:13" ht="12.75">
      <c r="A13" s="47">
        <v>38626</v>
      </c>
      <c r="B13" s="11">
        <v>58</v>
      </c>
      <c r="C13" s="26">
        <v>1.12</v>
      </c>
      <c r="D13" s="26"/>
      <c r="E13" s="26">
        <f t="shared" si="0"/>
        <v>0</v>
      </c>
      <c r="F13" s="11">
        <v>10</v>
      </c>
      <c r="G13" s="10"/>
      <c r="H13" s="11">
        <v>58</v>
      </c>
      <c r="I13" s="10">
        <v>10309.7</v>
      </c>
      <c r="J13" s="10">
        <v>354160.52</v>
      </c>
      <c r="K13" s="1">
        <f>(P17*B13+P18)</f>
        <v>844706.66</v>
      </c>
      <c r="L13" s="1">
        <v>50000</v>
      </c>
      <c r="M13" s="35">
        <f t="shared" si="1"/>
        <v>996071.4592000002</v>
      </c>
    </row>
    <row r="14" spans="1:13" ht="12.75">
      <c r="A14" s="47">
        <v>38657</v>
      </c>
      <c r="B14" s="11">
        <v>59</v>
      </c>
      <c r="C14" s="26">
        <v>1.1</v>
      </c>
      <c r="D14" s="26"/>
      <c r="E14" s="26">
        <f t="shared" si="0"/>
        <v>0</v>
      </c>
      <c r="F14" s="11">
        <v>11</v>
      </c>
      <c r="G14" s="10"/>
      <c r="H14" s="11">
        <v>59</v>
      </c>
      <c r="I14" s="10">
        <v>10309.7</v>
      </c>
      <c r="J14" s="10">
        <v>354160.52</v>
      </c>
      <c r="K14" s="1">
        <f>(P17*B14+P18)</f>
        <v>852678.52</v>
      </c>
      <c r="L14" s="1">
        <v>100000</v>
      </c>
      <c r="M14" s="35">
        <f t="shared" si="1"/>
        <v>1037946.3720000001</v>
      </c>
    </row>
    <row r="15" spans="1:13" ht="13.5" thickBot="1">
      <c r="A15" s="55">
        <v>38687</v>
      </c>
      <c r="B15" s="56">
        <v>60</v>
      </c>
      <c r="C15" s="41">
        <v>1.05</v>
      </c>
      <c r="D15" s="41"/>
      <c r="E15" s="41">
        <f t="shared" si="0"/>
        <v>0</v>
      </c>
      <c r="F15" s="56">
        <v>12</v>
      </c>
      <c r="G15" s="57"/>
      <c r="H15" s="56">
        <v>60</v>
      </c>
      <c r="I15" s="57">
        <v>10309.7</v>
      </c>
      <c r="J15" s="57">
        <v>354160.52</v>
      </c>
      <c r="K15" s="74">
        <f>(P17*B15+P18)</f>
        <v>860650.38</v>
      </c>
      <c r="L15" s="1">
        <v>100000</v>
      </c>
      <c r="M15" s="64">
        <f t="shared" si="1"/>
        <v>1003682.8990000001</v>
      </c>
    </row>
    <row r="16" spans="1:13" ht="13.5" thickBot="1">
      <c r="A16" s="51" t="s">
        <v>14</v>
      </c>
      <c r="B16" s="52"/>
      <c r="C16" s="53"/>
      <c r="D16" s="53"/>
      <c r="E16" s="53" t="e">
        <f t="shared" si="0"/>
        <v>#DIV/0!</v>
      </c>
      <c r="F16" s="52">
        <v>13</v>
      </c>
      <c r="G16" s="60"/>
      <c r="H16" s="52">
        <v>61</v>
      </c>
      <c r="I16" s="60">
        <v>10309.7</v>
      </c>
      <c r="J16" s="60">
        <v>354160.52</v>
      </c>
      <c r="K16" s="61"/>
      <c r="L16" s="54"/>
      <c r="M16" s="65">
        <f>SUM(M4:M15)</f>
        <v>11006951.7086</v>
      </c>
    </row>
    <row r="17" spans="1:16" ht="12.75">
      <c r="A17" s="46">
        <v>38718</v>
      </c>
      <c r="B17" s="43">
        <v>61</v>
      </c>
      <c r="C17" s="26">
        <v>0.78</v>
      </c>
      <c r="D17" s="44"/>
      <c r="E17" s="44">
        <f t="shared" si="0"/>
        <v>0</v>
      </c>
      <c r="F17" s="43">
        <v>14</v>
      </c>
      <c r="G17" s="58"/>
      <c r="H17" s="43">
        <v>62</v>
      </c>
      <c r="I17" s="58">
        <v>10309.7</v>
      </c>
      <c r="J17" s="58">
        <v>354160.52</v>
      </c>
      <c r="K17" s="59">
        <f>(P17*B17+P18)</f>
        <v>868622.24</v>
      </c>
      <c r="L17" s="59">
        <v>80000</v>
      </c>
      <c r="M17" s="63">
        <f aca="true" t="shared" si="2" ref="M17:M28">(K17*C17+L17)</f>
        <v>757525.3472</v>
      </c>
      <c r="O17" t="s">
        <v>63</v>
      </c>
      <c r="P17">
        <v>7971.86</v>
      </c>
    </row>
    <row r="18" spans="1:16" ht="12.75">
      <c r="A18" s="47">
        <v>38749</v>
      </c>
      <c r="B18" s="11">
        <v>62</v>
      </c>
      <c r="C18" s="26">
        <v>0.89</v>
      </c>
      <c r="D18" s="26"/>
      <c r="E18" s="26">
        <f t="shared" si="0"/>
        <v>0</v>
      </c>
      <c r="F18" s="11">
        <v>15</v>
      </c>
      <c r="G18" s="10"/>
      <c r="H18" s="11">
        <v>63</v>
      </c>
      <c r="I18" s="10">
        <v>10309.7</v>
      </c>
      <c r="J18" s="10">
        <v>354160.52</v>
      </c>
      <c r="K18" s="1">
        <f>(P17*B18+P18)</f>
        <v>876594.1000000001</v>
      </c>
      <c r="L18" s="59">
        <v>80000</v>
      </c>
      <c r="M18" s="63">
        <f t="shared" si="2"/>
        <v>860168.7490000001</v>
      </c>
      <c r="O18" t="s">
        <v>62</v>
      </c>
      <c r="P18">
        <v>382338.78</v>
      </c>
    </row>
    <row r="19" spans="1:13" ht="12.75">
      <c r="A19" s="47">
        <v>38777</v>
      </c>
      <c r="B19" s="11">
        <v>63</v>
      </c>
      <c r="C19" s="26">
        <v>0.91</v>
      </c>
      <c r="D19" s="26"/>
      <c r="E19" s="26">
        <f t="shared" si="0"/>
        <v>0</v>
      </c>
      <c r="F19" s="11">
        <v>16</v>
      </c>
      <c r="G19" s="10"/>
      <c r="H19" s="11">
        <v>64</v>
      </c>
      <c r="I19" s="10">
        <v>10309.7</v>
      </c>
      <c r="J19" s="10">
        <v>354160.52</v>
      </c>
      <c r="K19" s="1">
        <f>(P17*B19+P18)</f>
        <v>884565.96</v>
      </c>
      <c r="L19" s="59">
        <v>80000</v>
      </c>
      <c r="M19" s="63">
        <f t="shared" si="2"/>
        <v>884955.0236</v>
      </c>
    </row>
    <row r="20" spans="1:13" ht="12.75">
      <c r="A20" s="47">
        <v>38808</v>
      </c>
      <c r="B20" s="11">
        <v>64</v>
      </c>
      <c r="C20" s="26">
        <v>0.87</v>
      </c>
      <c r="D20" s="26"/>
      <c r="E20" s="26">
        <f t="shared" si="0"/>
        <v>0</v>
      </c>
      <c r="F20" s="11">
        <v>17</v>
      </c>
      <c r="G20" s="10"/>
      <c r="H20" s="11">
        <v>65</v>
      </c>
      <c r="I20" s="10">
        <v>10309.7</v>
      </c>
      <c r="J20" s="10">
        <v>354160.52</v>
      </c>
      <c r="K20" s="1">
        <f>(P17*B20+P18)</f>
        <v>892537.8200000001</v>
      </c>
      <c r="L20" s="59">
        <v>80000</v>
      </c>
      <c r="M20" s="63">
        <f t="shared" si="2"/>
        <v>856507.9034000001</v>
      </c>
    </row>
    <row r="21" spans="1:13" ht="12.75">
      <c r="A21" s="47">
        <v>38838</v>
      </c>
      <c r="B21" s="11">
        <v>65</v>
      </c>
      <c r="C21" s="26">
        <v>0.9</v>
      </c>
      <c r="D21" s="26"/>
      <c r="E21" s="26">
        <f t="shared" si="0"/>
        <v>0</v>
      </c>
      <c r="F21" s="11">
        <v>18</v>
      </c>
      <c r="G21" s="10"/>
      <c r="H21" s="11">
        <v>66</v>
      </c>
      <c r="I21" s="10">
        <v>10309.7</v>
      </c>
      <c r="J21" s="10">
        <v>354160.52</v>
      </c>
      <c r="K21" s="1">
        <f>(P17*B21+P18)</f>
        <v>900509.6799999999</v>
      </c>
      <c r="L21" s="59">
        <v>80000</v>
      </c>
      <c r="M21" s="63">
        <f t="shared" si="2"/>
        <v>890458.7119999999</v>
      </c>
    </row>
    <row r="22" spans="1:13" ht="12.75">
      <c r="A22" s="47">
        <v>38869</v>
      </c>
      <c r="B22" s="11">
        <v>66</v>
      </c>
      <c r="C22" s="26">
        <v>1.22</v>
      </c>
      <c r="D22" s="26"/>
      <c r="E22" s="26">
        <f t="shared" si="0"/>
        <v>0</v>
      </c>
      <c r="F22" s="11">
        <v>19</v>
      </c>
      <c r="G22" s="10"/>
      <c r="H22" s="11">
        <v>67</v>
      </c>
      <c r="I22" s="10">
        <v>10309.7</v>
      </c>
      <c r="J22" s="10">
        <v>354160.52</v>
      </c>
      <c r="K22" s="1">
        <f>(P17*B22+P18)</f>
        <v>908481.54</v>
      </c>
      <c r="L22" s="59">
        <v>80000</v>
      </c>
      <c r="M22" s="63">
        <f t="shared" si="2"/>
        <v>1188347.4788</v>
      </c>
    </row>
    <row r="23" spans="1:13" ht="12.75">
      <c r="A23" s="47">
        <v>38899</v>
      </c>
      <c r="B23" s="11">
        <v>67</v>
      </c>
      <c r="C23" s="26">
        <v>1.06</v>
      </c>
      <c r="D23" s="26"/>
      <c r="E23" s="26">
        <f t="shared" si="0"/>
        <v>0</v>
      </c>
      <c r="F23" s="11">
        <v>20</v>
      </c>
      <c r="G23" s="10"/>
      <c r="H23" s="11">
        <v>68</v>
      </c>
      <c r="I23" s="10">
        <v>10309.7</v>
      </c>
      <c r="J23" s="10">
        <v>354160.52</v>
      </c>
      <c r="K23" s="1">
        <f>(P17*B23+P18)</f>
        <v>916453.4</v>
      </c>
      <c r="L23" s="59">
        <v>80000</v>
      </c>
      <c r="M23" s="63">
        <f t="shared" si="2"/>
        <v>1051440.604</v>
      </c>
    </row>
    <row r="24" spans="1:13" ht="12.75">
      <c r="A24" s="47">
        <v>38930</v>
      </c>
      <c r="B24" s="11">
        <v>68</v>
      </c>
      <c r="C24" s="26">
        <v>1.1</v>
      </c>
      <c r="D24" s="26"/>
      <c r="E24" s="26">
        <f t="shared" si="0"/>
        <v>0</v>
      </c>
      <c r="F24" s="11">
        <v>21</v>
      </c>
      <c r="G24" s="10"/>
      <c r="H24" s="11">
        <v>69</v>
      </c>
      <c r="I24" s="10">
        <v>10309.7</v>
      </c>
      <c r="J24" s="10">
        <v>354160.52</v>
      </c>
      <c r="K24" s="1">
        <f>(P17*B24+P18)</f>
        <v>924425.26</v>
      </c>
      <c r="L24" s="59">
        <v>80000</v>
      </c>
      <c r="M24" s="63">
        <f t="shared" si="2"/>
        <v>1096867.786</v>
      </c>
    </row>
    <row r="25" spans="1:13" ht="12.75">
      <c r="A25" s="47">
        <v>38961</v>
      </c>
      <c r="B25" s="11">
        <v>69</v>
      </c>
      <c r="C25" s="26">
        <v>1.21</v>
      </c>
      <c r="D25" s="26"/>
      <c r="E25" s="26">
        <f t="shared" si="0"/>
        <v>0</v>
      </c>
      <c r="F25" s="11">
        <v>22</v>
      </c>
      <c r="G25" s="10"/>
      <c r="H25" s="11">
        <v>70</v>
      </c>
      <c r="I25" s="10">
        <v>10309.7</v>
      </c>
      <c r="J25" s="10">
        <v>354160.52</v>
      </c>
      <c r="K25" s="1">
        <f>(P17*B25+P18)</f>
        <v>932397.12</v>
      </c>
      <c r="L25" s="59">
        <v>80000</v>
      </c>
      <c r="M25" s="63">
        <f t="shared" si="2"/>
        <v>1208200.5152</v>
      </c>
    </row>
    <row r="26" spans="1:13" ht="12.75">
      <c r="A26" s="47">
        <v>38991</v>
      </c>
      <c r="B26" s="11">
        <v>70</v>
      </c>
      <c r="C26" s="26">
        <v>1.12</v>
      </c>
      <c r="D26" s="26"/>
      <c r="E26" s="26">
        <f t="shared" si="0"/>
        <v>0</v>
      </c>
      <c r="F26" s="11">
        <v>23</v>
      </c>
      <c r="G26" s="10"/>
      <c r="H26" s="11">
        <v>71</v>
      </c>
      <c r="I26" s="10">
        <v>10309.7</v>
      </c>
      <c r="J26" s="10">
        <v>354160.52</v>
      </c>
      <c r="K26" s="1">
        <f>(P17*B26+P18)</f>
        <v>940368.98</v>
      </c>
      <c r="L26" s="59">
        <v>80000</v>
      </c>
      <c r="M26" s="63">
        <f t="shared" si="2"/>
        <v>1133213.2576000001</v>
      </c>
    </row>
    <row r="27" spans="1:13" ht="12.75">
      <c r="A27" s="47">
        <v>39022</v>
      </c>
      <c r="B27" s="11">
        <v>71</v>
      </c>
      <c r="C27" s="26">
        <v>1.1</v>
      </c>
      <c r="D27" s="26"/>
      <c r="E27" s="26">
        <f t="shared" si="0"/>
        <v>0</v>
      </c>
      <c r="F27" s="11">
        <v>24</v>
      </c>
      <c r="G27" s="10"/>
      <c r="H27" s="11">
        <v>72</v>
      </c>
      <c r="I27" s="10">
        <v>10309.7</v>
      </c>
      <c r="J27" s="10">
        <v>354160.52</v>
      </c>
      <c r="K27" s="1">
        <f>(P17*B27+P18)</f>
        <v>948340.84</v>
      </c>
      <c r="L27" s="59">
        <v>80000</v>
      </c>
      <c r="M27" s="63">
        <f t="shared" si="2"/>
        <v>1123174.924</v>
      </c>
    </row>
    <row r="28" spans="1:13" ht="13.5" thickBot="1">
      <c r="A28" s="55">
        <v>39052</v>
      </c>
      <c r="B28" s="56">
        <v>72</v>
      </c>
      <c r="C28" s="41">
        <v>1.05</v>
      </c>
      <c r="D28" s="41"/>
      <c r="E28" s="41">
        <f t="shared" si="0"/>
        <v>0</v>
      </c>
      <c r="F28" s="56">
        <v>25</v>
      </c>
      <c r="G28" s="57"/>
      <c r="H28" s="56">
        <v>73</v>
      </c>
      <c r="I28" s="57">
        <v>10309.7</v>
      </c>
      <c r="J28" s="57">
        <v>354160.52</v>
      </c>
      <c r="K28" s="74">
        <f>(P17*B28+P18)</f>
        <v>956312.7</v>
      </c>
      <c r="L28" s="59">
        <v>80000</v>
      </c>
      <c r="M28" s="63">
        <f t="shared" si="2"/>
        <v>1084128.335</v>
      </c>
    </row>
    <row r="29" spans="1:13" ht="13.5" thickBot="1">
      <c r="A29" s="51" t="s">
        <v>14</v>
      </c>
      <c r="B29" s="52"/>
      <c r="C29" s="53"/>
      <c r="D29" s="53"/>
      <c r="E29" s="53" t="e">
        <f t="shared" si="0"/>
        <v>#DIV/0!</v>
      </c>
      <c r="F29" s="52">
        <v>26</v>
      </c>
      <c r="G29" s="60"/>
      <c r="H29" s="52">
        <v>74</v>
      </c>
      <c r="I29" s="60">
        <v>10309.7</v>
      </c>
      <c r="J29" s="60">
        <v>354160.52</v>
      </c>
      <c r="K29" s="60"/>
      <c r="L29" s="61"/>
      <c r="M29" s="65">
        <f>SUM(M17:M28)</f>
        <v>12134988.6358</v>
      </c>
    </row>
  </sheetData>
  <mergeCells count="1">
    <mergeCell ref="A3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B2" sqref="B2:C4"/>
    </sheetView>
  </sheetViews>
  <sheetFormatPr defaultColWidth="11.421875" defaultRowHeight="12.75"/>
  <cols>
    <col min="2" max="2" width="16.140625" style="0" customWidth="1"/>
    <col min="3" max="3" width="19.28125" style="0" customWidth="1"/>
  </cols>
  <sheetData>
    <row r="1" ht="13.5" thickBot="1"/>
    <row r="2" spans="2:3" ht="42.75" customHeight="1">
      <c r="B2" s="49" t="s">
        <v>13</v>
      </c>
      <c r="C2" s="50" t="s">
        <v>76</v>
      </c>
    </row>
    <row r="3" spans="2:3" ht="24" customHeight="1">
      <c r="B3" s="66" t="s">
        <v>77</v>
      </c>
      <c r="C3" s="67">
        <v>11006951.71</v>
      </c>
    </row>
    <row r="4" spans="2:3" ht="25.5">
      <c r="B4" s="66" t="s">
        <v>78</v>
      </c>
      <c r="C4" s="67">
        <v>12134988.64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FIMCP 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Cevallos</dc:creator>
  <cp:keywords/>
  <dc:description/>
  <cp:lastModifiedBy>Andres Cevallos</cp:lastModifiedBy>
  <dcterms:created xsi:type="dcterms:W3CDTF">2004-11-23T02:21:43Z</dcterms:created>
  <dcterms:modified xsi:type="dcterms:W3CDTF">2005-01-27T05:40:17Z</dcterms:modified>
  <cp:category/>
  <cp:version/>
  <cp:contentType/>
  <cp:contentStatus/>
</cp:coreProperties>
</file>