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firstSheet="1" activeTab="1"/>
  </bookViews>
  <sheets>
    <sheet name="CB_DATA_" sheetId="1" state="veryHidden" r:id="rId1"/>
    <sheet name="VARIOS -URINARIOS " sheetId="2" r:id="rId2"/>
    <sheet name="FLUJO DE CAJA  URINARIOS" sheetId="3" r:id="rId3"/>
    <sheet name="ANALISIS DE SENSIBILIDAD" sheetId="4" r:id="rId4"/>
  </sheets>
  <definedNames>
    <definedName name="CB_17f63fa0b09a46a582dfa173b22438b6" localSheetId="3" hidden="1">'ANALISIS DE SENSIBILIDAD'!#REF!</definedName>
    <definedName name="CB_17f63fa0b09a46a582dfa173b22438b6" localSheetId="2" hidden="1">'FLUJO DE CAJA  URINARIOS'!#REF!</definedName>
    <definedName name="CB_22ce7b578fcc414ea86262ed6429a268" localSheetId="3" hidden="1">'ANALISIS DE SENSIBILIDAD'!#REF!</definedName>
    <definedName name="CB_22ce7b578fcc414ea86262ed6429a268" localSheetId="2" hidden="1">'FLUJO DE CAJA  URINARIOS'!#REF!</definedName>
    <definedName name="CB_236bc0d9b1034cc881987166113936aa" localSheetId="3" hidden="1">'ANALISIS DE SENSIBILIDAD'!#REF!</definedName>
    <definedName name="CB_236bc0d9b1034cc881987166113936aa" localSheetId="2" hidden="1">'FLUJO DE CAJA  URINARIOS'!#REF!</definedName>
    <definedName name="CB_48b4e45f33bf46df864c371af8c97e0d" localSheetId="3" hidden="1">'ANALISIS DE SENSIBILIDAD'!#REF!</definedName>
    <definedName name="CB_48b4e45f33bf46df864c371af8c97e0d" localSheetId="2" hidden="1">'FLUJO DE CAJA  URINARIOS'!#REF!</definedName>
    <definedName name="CB_6700b29c6b2d4bf482d6afff4fa13886" localSheetId="3" hidden="1">'ANALISIS DE SENSIBILIDAD'!#REF!</definedName>
    <definedName name="CB_6700b29c6b2d4bf482d6afff4fa13886" localSheetId="2" hidden="1">'FLUJO DE CAJA  URINARIOS'!#REF!</definedName>
    <definedName name="CB_8fce3155fe7e44c7a9f3eb749c1091e5" localSheetId="3" hidden="1">'ANALISIS DE SENSIBILIDAD'!#REF!</definedName>
    <definedName name="CB_8fce3155fe7e44c7a9f3eb749c1091e5" localSheetId="2" hidden="1">'FLUJO DE CAJA  URINARIOS'!#REF!</definedName>
    <definedName name="CB_9efb3199b18f4ebd950fb79c1d9ad48d" localSheetId="3" hidden="1">'ANALISIS DE SENSIBILIDAD'!#REF!</definedName>
    <definedName name="CB_9efb3199b18f4ebd950fb79c1d9ad48d" localSheetId="2" hidden="1">'FLUJO DE CAJA  URINARIOS'!#REF!</definedName>
    <definedName name="CB_a29775d66e2c4463872e5e315e6752d4" localSheetId="3" hidden="1">'ANALISIS DE SENSIBILIDAD'!#REF!</definedName>
    <definedName name="CB_a29775d66e2c4463872e5e315e6752d4" localSheetId="2" hidden="1">'FLUJO DE CAJA  URINARIOS'!#REF!</definedName>
    <definedName name="CB_a430080399fb4d60b065718c8ea20972" localSheetId="3" hidden="1">'ANALISIS DE SENSIBILIDAD'!#REF!</definedName>
    <definedName name="CB_a430080399fb4d60b065718c8ea20972" localSheetId="2" hidden="1">'FLUJO DE CAJA  URINARIOS'!#REF!</definedName>
    <definedName name="CB_d171994c34c1410f8ac7bdbd0ed32503" localSheetId="3" hidden="1">'ANALISIS DE SENSIBILIDAD'!$D$40</definedName>
    <definedName name="CB_d171994c34c1410f8ac7bdbd0ed32503" localSheetId="2" hidden="1">'FLUJO DE CAJA  URINARIOS'!$D$40</definedName>
    <definedName name="CB_de7217f614d64f0a9f8f74d884f22cd1" localSheetId="3" hidden="1">'ANALISIS DE SENSIBILIDAD'!#REF!</definedName>
    <definedName name="CB_de7217f614d64f0a9f8f74d884f22cd1" localSheetId="2" hidden="1">'FLUJO DE CAJA  URINARIOS'!#REF!</definedName>
    <definedName name="CB_df3706ce2da249b4900631048f91af93" localSheetId="3" hidden="1">'ANALISIS DE SENSIBILIDAD'!#REF!</definedName>
    <definedName name="CB_df3706ce2da249b4900631048f91af93" localSheetId="2" hidden="1">'FLUJO DE CAJA  URINARIOS'!#REF!</definedName>
    <definedName name="CB_f12acdc4cf0f42538c2df79805ed1cee" localSheetId="3" hidden="1">'ANALISIS DE SENSIBILIDAD'!#REF!</definedName>
    <definedName name="CB_f12acdc4cf0f42538c2df79805ed1cee" localSheetId="2" hidden="1">'FLUJO DE CAJA  URINARIOS'!#REF!</definedName>
    <definedName name="CBWorkbookPriority" localSheetId="0" hidden="1">-1350737947</definedName>
    <definedName name="CBx_1164e800e8c746c882b490d981e85da3" localSheetId="0" hidden="1">"'CB_DATA_'!$A$1"</definedName>
    <definedName name="CBx_941445468c994b5baafd53f400161f5a" localSheetId="0" hidden="1">"'FLUJO DE CAJA ACTUAL XL'!$A$1"</definedName>
    <definedName name="CBx_c9a34d247ab44850baf0f22e87fba6df" localSheetId="0" hidden="1">"'FLUJO DE CAJA-INCREMENTAL'!$A$1"</definedName>
    <definedName name="CBx_Sheet_Guid" localSheetId="3" hidden="1">"'c9a34d24-7ab4-4850-baf0-f22e87fba6df"</definedName>
    <definedName name="CBx_Sheet_Guid" localSheetId="0" hidden="1">"'1164e800-e8c7-46c8-82b4-90d981e85da3"</definedName>
    <definedName name="CBx_Sheet_Guid" localSheetId="2" hidden="1">"'c9a34d24-7ab4-4850-baf0-f22e87fba6df"</definedName>
    <definedName name="CBx_StorageType" localSheetId="3" hidden="1">1</definedName>
    <definedName name="CBx_StorageType" localSheetId="0" hidden="1">1</definedName>
    <definedName name="CBx_StorageType" localSheetId="2" hidden="1">1</definedName>
    <definedName name="_xlnm.Print_Area" localSheetId="3">'ANALISIS DE SENSIBILIDAD'!$A$1:$U$80</definedName>
    <definedName name="_xlnm.Print_Area" localSheetId="2">'FLUJO DE CAJA  URINARIOS'!$A$1:$K$53</definedName>
    <definedName name="_xlnm.Print_Area" localSheetId="1">'VARIOS -URINARIOS '!$A$1:$Y$57</definedName>
  </definedNames>
  <calcPr fullCalcOnLoad="1"/>
</workbook>
</file>

<file path=xl/sharedStrings.xml><?xml version="1.0" encoding="utf-8"?>
<sst xmlns="http://schemas.openxmlformats.org/spreadsheetml/2006/main" count="243" uniqueCount="152">
  <si>
    <t>FLUJO DE CAJA</t>
  </si>
  <si>
    <t>DESCRIPCION</t>
  </si>
  <si>
    <t>CANTIDAD</t>
  </si>
  <si>
    <t>VALOR UNITARIO</t>
  </si>
  <si>
    <t>VALOR TOTAL</t>
  </si>
  <si>
    <t>VIDA UTIL</t>
  </si>
  <si>
    <t>AÑOS DEPRECIADOS</t>
  </si>
  <si>
    <t>VALOR SALVAMENTO</t>
  </si>
  <si>
    <t>N°</t>
  </si>
  <si>
    <t>DEPRECIACION ANUAL</t>
  </si>
  <si>
    <t>Equipo de Computación</t>
  </si>
  <si>
    <t>Muebles y Enseres</t>
  </si>
  <si>
    <t>TOTAL DE LA INVERSION</t>
  </si>
  <si>
    <t>COSTOS FIJOS</t>
  </si>
  <si>
    <t>SERVICIOS BASICOS</t>
  </si>
  <si>
    <t>ARRIENDO DE OFICINA</t>
  </si>
  <si>
    <t>GASTOS DE COMBUSTIBLE</t>
  </si>
  <si>
    <t>COSTOS VARIABLES</t>
  </si>
  <si>
    <t>TOTAL COSTOS VARIABLES</t>
  </si>
  <si>
    <t>OTROS GASTOS ADMINISTRATIVOS</t>
  </si>
  <si>
    <t>AÑOS</t>
  </si>
  <si>
    <t>TASA DE DESCUENTO</t>
  </si>
  <si>
    <t>TIR</t>
  </si>
  <si>
    <t>TABLA DE INGRESOS</t>
  </si>
  <si>
    <t>TABLA DE EGRESOS</t>
  </si>
  <si>
    <t>TOTAL DE COSTOS FIJOS</t>
  </si>
  <si>
    <t>DEPRECIACION DE MUEBLES Y ENSERES</t>
  </si>
  <si>
    <t>IMPUESTO</t>
  </si>
  <si>
    <t>INVERSION</t>
  </si>
  <si>
    <t>VNA</t>
  </si>
  <si>
    <t>TOTAL DE COSTOS DEL PERIODO</t>
  </si>
  <si>
    <t>UTILIDAD DESPUES DE IMPUESTO</t>
  </si>
  <si>
    <t>CAPITAL DE TRABAJO</t>
  </si>
  <si>
    <t>Molde Urinario</t>
  </si>
  <si>
    <t>Molde Urinario/desague</t>
  </si>
  <si>
    <t>Prestamo Bancario</t>
  </si>
  <si>
    <t>Capital Propio</t>
  </si>
  <si>
    <t>Monto en $</t>
  </si>
  <si>
    <t>% Inversion Inicial</t>
  </si>
  <si>
    <t>Distribucion de Capital</t>
  </si>
  <si>
    <t>Total</t>
  </si>
  <si>
    <t>Materiales Directos</t>
  </si>
  <si>
    <t xml:space="preserve">Unidad </t>
  </si>
  <si>
    <t>Policarbonato</t>
  </si>
  <si>
    <t>Pigmentos</t>
  </si>
  <si>
    <t>Polipropileno (PP)</t>
  </si>
  <si>
    <t>Saco del 25Kg.</t>
  </si>
  <si>
    <t xml:space="preserve">Precio </t>
  </si>
  <si>
    <t>Carro</t>
  </si>
  <si>
    <t xml:space="preserve">Carro </t>
  </si>
  <si>
    <t xml:space="preserve">Equipo de Computación </t>
  </si>
  <si>
    <t>sacos</t>
  </si>
  <si>
    <t>Sueldos y Salarios</t>
  </si>
  <si>
    <t xml:space="preserve">     Asistente</t>
  </si>
  <si>
    <t xml:space="preserve">     Ejecutivo de Ventas</t>
  </si>
  <si>
    <t xml:space="preserve">     Gerente Financiero</t>
  </si>
  <si>
    <t xml:space="preserve">     Gerente General</t>
  </si>
  <si>
    <t xml:space="preserve">        Tito Campos</t>
  </si>
  <si>
    <t xml:space="preserve">        Fernando Galarza</t>
  </si>
  <si>
    <t xml:space="preserve">        Jose Macias</t>
  </si>
  <si>
    <t>GASTOS ADMINISTRATIVOS</t>
  </si>
  <si>
    <t>COSTOS MATERIALES DIRECTOS</t>
  </si>
  <si>
    <t>Impuesto</t>
  </si>
  <si>
    <t>tasa de crecimineto anual</t>
  </si>
  <si>
    <t>CRECIMIENTO ANUAL</t>
  </si>
  <si>
    <t>Año 1</t>
  </si>
  <si>
    <t>Año 2</t>
  </si>
  <si>
    <t>Año 3</t>
  </si>
  <si>
    <t>Año 4</t>
  </si>
  <si>
    <t>Año 5</t>
  </si>
  <si>
    <t>INCREMENTO ANUAL DE COSTOS</t>
  </si>
  <si>
    <t xml:space="preserve">     Agua</t>
  </si>
  <si>
    <t xml:space="preserve">     Luz</t>
  </si>
  <si>
    <t xml:space="preserve">     Teléfono e Internet</t>
  </si>
  <si>
    <t>Servicios Básicos</t>
  </si>
  <si>
    <t>Arriendo de Oficina</t>
  </si>
  <si>
    <t>Gasto de Combustible</t>
  </si>
  <si>
    <t>Otros Gastos Administrativos</t>
  </si>
  <si>
    <t>TOTAL</t>
  </si>
  <si>
    <t>C/mes</t>
  </si>
  <si>
    <t>Rubro</t>
  </si>
  <si>
    <t xml:space="preserve">TOTAL </t>
  </si>
  <si>
    <t>Sueldo y Salario</t>
  </si>
  <si>
    <t xml:space="preserve">Materiales </t>
  </si>
  <si>
    <t>Costos de Producción</t>
  </si>
  <si>
    <t>Préstamo</t>
  </si>
  <si>
    <t>Periodo de Pago</t>
  </si>
  <si>
    <t>Número de Cuotas</t>
  </si>
  <si>
    <t>PERIODO</t>
  </si>
  <si>
    <t>CUOTA</t>
  </si>
  <si>
    <t>AMORTIZACIÓN</t>
  </si>
  <si>
    <t>INTERÉS</t>
  </si>
  <si>
    <t xml:space="preserve">CAPITAL AMORTIZADO </t>
  </si>
  <si>
    <t>CAPITAL VIVO</t>
  </si>
  <si>
    <t>Interés del préstamo</t>
  </si>
  <si>
    <t>Interés bancario anual</t>
  </si>
  <si>
    <t>AÑO</t>
  </si>
  <si>
    <t>PRECIO_PROM</t>
  </si>
  <si>
    <t>VENTAS $</t>
  </si>
  <si>
    <t>% CRECIMIENTO</t>
  </si>
  <si>
    <t>ETAPAS</t>
  </si>
  <si>
    <t>PRONÓSTICO DE VENTAS</t>
  </si>
  <si>
    <t>INCREMENTO ANUAL EN VENTAS</t>
  </si>
  <si>
    <t>MEDIO</t>
  </si>
  <si>
    <t>DETALLE</t>
  </si>
  <si>
    <t>COSTO/U</t>
  </si>
  <si>
    <r>
      <t>N</t>
    </r>
    <r>
      <rPr>
        <b/>
        <sz val="6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ANUNCIOS</t>
    </r>
  </si>
  <si>
    <t>Costo de Publicidad</t>
  </si>
  <si>
    <t>VENTAS URINARIOS ECOLÓGICOS</t>
  </si>
  <si>
    <t>SUELDO Y SALARIO</t>
  </si>
  <si>
    <t>PUBLICIDAD</t>
  </si>
  <si>
    <t>DEPRECIACION DE CARRO</t>
  </si>
  <si>
    <t>DEPRECIACION DE EQUIPOS DE COMPUTACIÓN</t>
  </si>
  <si>
    <t>DEPRECIACION MOLDE URINARIO</t>
  </si>
  <si>
    <t>DEPRECIACION MOLDE URINARIO/DESAGUE</t>
  </si>
  <si>
    <t>TOTAL DE INGRESOS DEL PERIODO</t>
  </si>
  <si>
    <t>AMORTIZACION</t>
  </si>
  <si>
    <t>DESARROLLO</t>
  </si>
  <si>
    <t>INTRODUCCION</t>
  </si>
  <si>
    <t>CRECIMIENTO</t>
  </si>
  <si>
    <t>Comisiones Vendedores</t>
  </si>
  <si>
    <t>GASTOS</t>
  </si>
  <si>
    <t>(-) COSTO DE VENTAS</t>
  </si>
  <si>
    <t>COSTO DE VENTAS</t>
  </si>
  <si>
    <t>MG NETO</t>
  </si>
  <si>
    <t>Radio</t>
  </si>
  <si>
    <t>5 Radios, Guayaquil                                                       Spots diarios 6 - 8 diarios, 20 seg</t>
  </si>
  <si>
    <t>Lanzamiento Ferias</t>
  </si>
  <si>
    <t>Ferias de Construcción, Ambientales</t>
  </si>
  <si>
    <t>Periódicos</t>
  </si>
  <si>
    <t>2 Diarios Principales</t>
  </si>
  <si>
    <t>PERIODO MESES</t>
  </si>
  <si>
    <t>Comisiones - Gerencia</t>
  </si>
  <si>
    <t>FLUJO</t>
  </si>
  <si>
    <t xml:space="preserve">FLUJO DE CAJA DESCONTADO </t>
  </si>
  <si>
    <t>FLUJO DE CAJA ACUMULADO</t>
  </si>
  <si>
    <t>UTILIDAD ANTES DE IMPUESTOS E INTERESES</t>
  </si>
  <si>
    <t>INTERESES</t>
  </si>
  <si>
    <t>UTILIDAD ANTES DE IMPUESTOS</t>
  </si>
  <si>
    <t>ANALISIS DE SENSIBILIDAD</t>
  </si>
  <si>
    <t>PRECIOS</t>
  </si>
  <si>
    <t>para variacion del precio en el analisis de sensibilidad</t>
  </si>
  <si>
    <t>COSTOS</t>
  </si>
  <si>
    <t>PARA ANALISIS DE SENSIBILIDAD EN COSTOS</t>
  </si>
  <si>
    <t>PAYBACK (PERIODO DE RECUPERACIÓN)</t>
  </si>
  <si>
    <t>CUADRO DE INVERSIONES</t>
  </si>
  <si>
    <t>CUADRO DE REPOSICIÓN</t>
  </si>
  <si>
    <t>CUADRO DE DEPRECIACIONES</t>
  </si>
  <si>
    <t>DISTRIBUCION DE CAPITAL PROPIO</t>
  </si>
  <si>
    <t>CUADRO AMORTIZACIÓN DEL PRÉSTAMO</t>
  </si>
  <si>
    <t>CUADRO DE VENTAS</t>
  </si>
  <si>
    <t>CASTOS DE PUBLICIDAD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</si>
</sst>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&quot;$&quot;\ * #,##0.0_);_(&quot;$&quot;\ * \(#,##0.0\);_(&quot;$&quot;\ * &quot;-&quot;_);_(@_)"/>
    <numFmt numFmtId="187" formatCode="_(&quot;$&quot;\ * #,##0.00_);_(&quot;$&quot;\ * \(#,##0.00\);_(&quot;$&quot;\ * &quot;-&quot;_);_(@_)"/>
    <numFmt numFmtId="188" formatCode="&quot;$&quot;\ #,##0.00"/>
    <numFmt numFmtId="189" formatCode="&quot;$&quot;\ #,##0"/>
    <numFmt numFmtId="190" formatCode="[$$-409]#,##0.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$&quot;#,##0.00"/>
    <numFmt numFmtId="197" formatCode="dd\-mm\-yy"/>
    <numFmt numFmtId="198" formatCode="_(&quot;$&quot;\ * #,##0.00000_);_(&quot;$&quot;\ * \(#,##0.00000\);_(&quot;$&quot;\ * &quot;-&quot;?????_);_(@_)"/>
    <numFmt numFmtId="199" formatCode="&quot;$&quot;#,##0.00\ ;\(&quot;$&quot;#,##0.00\)"/>
    <numFmt numFmtId="200" formatCode="_ [$€-2]\ * #,##0.00_ ;_ [$€-2]\ * \-#,##0.00_ ;_ [$€-2]\ * &quot;-&quot;??_ "/>
    <numFmt numFmtId="201" formatCode="0.0%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%"/>
    <numFmt numFmtId="206" formatCode="0.0000%"/>
    <numFmt numFmtId="207" formatCode="0.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24"/>
      <color indexed="8"/>
      <name val="Arial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88" fontId="0" fillId="0" borderId="11" xfId="0" applyNumberFormat="1" applyBorder="1" applyAlignment="1">
      <alignment horizontal="center"/>
    </xf>
    <xf numFmtId="0" fontId="0" fillId="0" borderId="21" xfId="0" applyBorder="1" applyAlignment="1">
      <alignment/>
    </xf>
    <xf numFmtId="188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44" fontId="0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Fill="1" applyBorder="1" applyAlignment="1">
      <alignment/>
    </xf>
    <xf numFmtId="188" fontId="2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88" fontId="0" fillId="0" borderId="10" xfId="0" applyNumberFormat="1" applyFill="1" applyBorder="1" applyAlignment="1">
      <alignment horizontal="center"/>
    </xf>
    <xf numFmtId="9" fontId="2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2" fillId="0" borderId="10" xfId="0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44" fontId="0" fillId="0" borderId="11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188" fontId="0" fillId="0" borderId="11" xfId="0" applyNumberForma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25" xfId="0" applyNumberFormat="1" applyFont="1" applyBorder="1" applyAlignment="1">
      <alignment/>
    </xf>
    <xf numFmtId="9" fontId="0" fillId="0" borderId="0" xfId="0" applyNumberFormat="1" applyAlignment="1">
      <alignment/>
    </xf>
    <xf numFmtId="4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87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7" fontId="0" fillId="0" borderId="12" xfId="0" applyNumberFormat="1" applyBorder="1" applyAlignment="1">
      <alignment horizontal="center"/>
    </xf>
    <xf numFmtId="187" fontId="0" fillId="0" borderId="3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187" fontId="0" fillId="0" borderId="13" xfId="0" applyNumberFormat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87" fontId="0" fillId="0" borderId="0" xfId="0" applyNumberFormat="1" applyFill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0" fontId="0" fillId="0" borderId="30" xfId="0" applyNumberFormat="1" applyBorder="1" applyAlignment="1">
      <alignment/>
    </xf>
    <xf numFmtId="10" fontId="0" fillId="0" borderId="11" xfId="0" applyNumberFormat="1" applyBorder="1" applyAlignment="1">
      <alignment/>
    </xf>
    <xf numFmtId="187" fontId="0" fillId="0" borderId="37" xfId="0" applyNumberFormat="1" applyBorder="1" applyAlignment="1">
      <alignment horizontal="center"/>
    </xf>
    <xf numFmtId="10" fontId="0" fillId="0" borderId="38" xfId="0" applyNumberFormat="1" applyBorder="1" applyAlignment="1">
      <alignment/>
    </xf>
    <xf numFmtId="187" fontId="0" fillId="0" borderId="35" xfId="0" applyNumberFormat="1" applyBorder="1" applyAlignment="1">
      <alignment horizontal="center"/>
    </xf>
    <xf numFmtId="0" fontId="2" fillId="0" borderId="34" xfId="0" applyFont="1" applyBorder="1" applyAlignment="1">
      <alignment horizontal="center"/>
    </xf>
    <xf numFmtId="10" fontId="0" fillId="0" borderId="36" xfId="0" applyNumberFormat="1" applyBorder="1" applyAlignment="1">
      <alignment/>
    </xf>
    <xf numFmtId="187" fontId="0" fillId="0" borderId="0" xfId="0" applyNumberForma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/>
    </xf>
    <xf numFmtId="187" fontId="2" fillId="0" borderId="0" xfId="0" applyNumberFormat="1" applyFont="1" applyBorder="1" applyAlignment="1">
      <alignment horizontal="center"/>
    </xf>
    <xf numFmtId="187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187" fontId="0" fillId="0" borderId="11" xfId="0" applyNumberFormat="1" applyBorder="1" applyAlignment="1">
      <alignment horizontal="center"/>
    </xf>
    <xf numFmtId="0" fontId="2" fillId="0" borderId="16" xfId="0" applyFont="1" applyBorder="1" applyAlignment="1">
      <alignment/>
    </xf>
    <xf numFmtId="187" fontId="0" fillId="0" borderId="14" xfId="0" applyNumberFormat="1" applyBorder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87" fontId="0" fillId="0" borderId="38" xfId="0" applyNumberFormat="1" applyBorder="1" applyAlignment="1">
      <alignment horizontal="center"/>
    </xf>
    <xf numFmtId="0" fontId="2" fillId="0" borderId="34" xfId="0" applyFont="1" applyBorder="1" applyAlignment="1">
      <alignment horizontal="center"/>
    </xf>
    <xf numFmtId="187" fontId="2" fillId="0" borderId="35" xfId="0" applyNumberFormat="1" applyFont="1" applyBorder="1" applyAlignment="1">
      <alignment horizontal="center"/>
    </xf>
    <xf numFmtId="187" fontId="2" fillId="0" borderId="36" xfId="0" applyNumberFormat="1" applyFont="1" applyBorder="1" applyAlignment="1">
      <alignment horizontal="center"/>
    </xf>
    <xf numFmtId="187" fontId="2" fillId="0" borderId="19" xfId="0" applyNumberFormat="1" applyFont="1" applyBorder="1" applyAlignment="1">
      <alignment horizontal="center"/>
    </xf>
    <xf numFmtId="187" fontId="2" fillId="0" borderId="19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87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8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187" fontId="0" fillId="0" borderId="39" xfId="0" applyNumberFormat="1" applyBorder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187" fontId="0" fillId="0" borderId="4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87" fontId="2" fillId="0" borderId="3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4" fontId="2" fillId="0" borderId="36" xfId="0" applyNumberFormat="1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44" fontId="0" fillId="0" borderId="13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87" fontId="0" fillId="0" borderId="41" xfId="0" applyNumberFormat="1" applyBorder="1" applyAlignment="1">
      <alignment horizontal="center" vertical="center"/>
    </xf>
    <xf numFmtId="44" fontId="0" fillId="0" borderId="15" xfId="0" applyNumberFormat="1" applyBorder="1" applyAlignment="1">
      <alignment vertical="center"/>
    </xf>
    <xf numFmtId="8" fontId="0" fillId="0" borderId="10" xfId="0" applyNumberFormat="1" applyBorder="1" applyAlignment="1">
      <alignment/>
    </xf>
    <xf numFmtId="9" fontId="1" fillId="0" borderId="10" xfId="60" applyFont="1" applyBorder="1" applyAlignment="1">
      <alignment horizontal="center"/>
    </xf>
    <xf numFmtId="9" fontId="1" fillId="0" borderId="0" xfId="60" applyFont="1" applyBorder="1" applyAlignment="1">
      <alignment horizontal="center"/>
    </xf>
    <xf numFmtId="9" fontId="1" fillId="0" borderId="0" xfId="60" applyFont="1" applyAlignment="1">
      <alignment/>
    </xf>
    <xf numFmtId="10" fontId="1" fillId="0" borderId="0" xfId="60" applyNumberFormat="1" applyFont="1" applyBorder="1" applyAlignment="1">
      <alignment horizontal="center"/>
    </xf>
    <xf numFmtId="43" fontId="1" fillId="0" borderId="0" xfId="42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187" fontId="0" fillId="0" borderId="2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4" fontId="0" fillId="0" borderId="43" xfId="0" applyNumberFormat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4" fontId="2" fillId="33" borderId="10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8" fontId="2" fillId="35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7" fontId="0" fillId="0" borderId="10" xfId="0" applyNumberFormat="1" applyFill="1" applyBorder="1" applyAlignment="1">
      <alignment horizontal="center"/>
    </xf>
    <xf numFmtId="7" fontId="0" fillId="0" borderId="11" xfId="0" applyNumberFormat="1" applyFill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7" fontId="0" fillId="0" borderId="12" xfId="0" applyNumberFormat="1" applyBorder="1" applyAlignment="1">
      <alignment horizontal="center"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 horizontal="center"/>
    </xf>
    <xf numFmtId="0" fontId="0" fillId="0" borderId="16" xfId="0" applyBorder="1" applyAlignment="1">
      <alignment/>
    </xf>
    <xf numFmtId="7" fontId="0" fillId="0" borderId="14" xfId="0" applyNumberFormat="1" applyBorder="1" applyAlignment="1">
      <alignment horizontal="center"/>
    </xf>
    <xf numFmtId="7" fontId="0" fillId="0" borderId="14" xfId="0" applyNumberFormat="1" applyFill="1" applyBorder="1" applyAlignment="1">
      <alignment horizontal="center"/>
    </xf>
    <xf numFmtId="7" fontId="0" fillId="0" borderId="15" xfId="0" applyNumberForma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/>
    </xf>
    <xf numFmtId="9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0" fontId="0" fillId="36" borderId="17" xfId="0" applyNumberForma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44" xfId="0" applyFont="1" applyBorder="1" applyAlignment="1">
      <alignment horizontal="center" vertical="center"/>
    </xf>
    <xf numFmtId="9" fontId="0" fillId="0" borderId="45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8" fontId="0" fillId="36" borderId="11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8" fontId="0" fillId="0" borderId="12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33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VNA PARA DISTINTAS TASAS DE DESCUENTOS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5"/>
          <c:w val="0.98225"/>
          <c:h val="0.79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'ANALISIS DE SENSIBILIDAD'!$E$45</c:f>
              <c:strCache>
                <c:ptCount val="1"/>
                <c:pt idx="0">
                  <c:v>VNA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'ANALISIS DE SENSIBILIDAD'!$D$46:$D$57</c:f>
              <c:numCache/>
            </c:numRef>
          </c:xVal>
          <c:yVal>
            <c:numRef>
              <c:f>'ANALISIS DE SENSIBILIDAD'!$E$46:$E$57</c:f>
              <c:numCache/>
            </c:numRef>
          </c:yVal>
          <c:smooth val="1"/>
        </c:ser>
        <c:axId val="40074672"/>
        <c:axId val="25127729"/>
      </c:scatterChart>
      <c:val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729"/>
        <c:crosses val="autoZero"/>
        <c:crossBetween val="midCat"/>
        <c:dispUnits/>
        <c:majorUnit val="0.08000000000000002"/>
      </c:valAx>
      <c:valAx>
        <c:axId val="25127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4672"/>
        <c:crosses val="autoZero"/>
        <c:crossBetween val="midCat"/>
        <c:dispUnits/>
        <c:majorUnit val="3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VNA CUANDO DISMINUYEN EL PRECIOS EN DIFERENTES PORCENTAJES 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85"/>
          <c:w val="0.9315"/>
          <c:h val="0.8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'ANALISIS DE SENSIBILIDAD'!$G$45</c:f>
              <c:strCache>
                <c:ptCount val="1"/>
                <c:pt idx="0">
                  <c:v>VNA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'ANALISIS DE SENSIBILIDAD'!$F$46:$F$53</c:f>
              <c:numCache/>
            </c:numRef>
          </c:xVal>
          <c:yVal>
            <c:numRef>
              <c:f>'ANALISIS DE SENSIBILIDAD'!$G$46:$G$53</c:f>
              <c:numCache/>
            </c:numRef>
          </c:yVal>
          <c:smooth val="1"/>
        </c:ser>
        <c:axId val="24822970"/>
        <c:axId val="22080139"/>
      </c:scatterChart>
      <c:val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0139"/>
        <c:crosses val="autoZero"/>
        <c:crossBetween val="midCat"/>
        <c:dispUnits/>
      </c:valAx>
      <c:valAx>
        <c:axId val="22080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229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VNA CUANDO INCREMENTAN LOS COSTOS TOTALES EN DIFERENTES PORCENTAJES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4325"/>
          <c:w val="0.97175"/>
          <c:h val="0.8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'ANALISIS DE SENSIBILIDAD'!$I$45</c:f>
              <c:strCache>
                <c:ptCount val="1"/>
                <c:pt idx="0">
                  <c:v>VNA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'ANALISIS DE SENSIBILIDAD'!$H$46:$H$53</c:f>
              <c:numCache/>
            </c:numRef>
          </c:xVal>
          <c:yVal>
            <c:numRef>
              <c:f>'ANALISIS DE SENSIBILIDAD'!$I$46:$I$53</c:f>
              <c:numCache/>
            </c:numRef>
          </c:yVal>
          <c:smooth val="1"/>
        </c:ser>
        <c:axId val="64503524"/>
        <c:axId val="43660805"/>
      </c:scatterChart>
      <c:val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0805"/>
        <c:crosses val="autoZero"/>
        <c:crossBetween val="midCat"/>
        <c:dispUnits/>
      </c:valAx>
      <c:valAx>
        <c:axId val="43660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035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58</xdr:row>
      <xdr:rowOff>9525</xdr:rowOff>
    </xdr:from>
    <xdr:to>
      <xdr:col>4</xdr:col>
      <xdr:colOff>619125</xdr:colOff>
      <xdr:row>77</xdr:row>
      <xdr:rowOff>133350</xdr:rowOff>
    </xdr:to>
    <xdr:graphicFrame>
      <xdr:nvGraphicFramePr>
        <xdr:cNvPr id="1" name="3 Gráfico"/>
        <xdr:cNvGraphicFramePr/>
      </xdr:nvGraphicFramePr>
      <xdr:xfrm>
        <a:off x="495300" y="13315950"/>
        <a:ext cx="57912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876300</xdr:colOff>
      <xdr:row>58</xdr:row>
      <xdr:rowOff>47625</xdr:rowOff>
    </xdr:from>
    <xdr:to>
      <xdr:col>10</xdr:col>
      <xdr:colOff>400050</xdr:colOff>
      <xdr:row>78</xdr:row>
      <xdr:rowOff>47625</xdr:rowOff>
    </xdr:to>
    <xdr:graphicFrame>
      <xdr:nvGraphicFramePr>
        <xdr:cNvPr id="2" name="4 Gráfico"/>
        <xdr:cNvGraphicFramePr/>
      </xdr:nvGraphicFramePr>
      <xdr:xfrm>
        <a:off x="6543675" y="13354050"/>
        <a:ext cx="61436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58</xdr:row>
      <xdr:rowOff>9525</xdr:rowOff>
    </xdr:from>
    <xdr:to>
      <xdr:col>20</xdr:col>
      <xdr:colOff>542925</xdr:colOff>
      <xdr:row>78</xdr:row>
      <xdr:rowOff>57150</xdr:rowOff>
    </xdr:to>
    <xdr:graphicFrame>
      <xdr:nvGraphicFramePr>
        <xdr:cNvPr id="3" name="5 Gráfico"/>
        <xdr:cNvGraphicFramePr/>
      </xdr:nvGraphicFramePr>
      <xdr:xfrm>
        <a:off x="12925425" y="13315950"/>
        <a:ext cx="59055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0000000000000000000000000000000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Block_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Block_7.0.0.0: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CB_0000000000000000000000000000000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CB_0000000000000000000000000000000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CB_0000000000000000000000000000000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CB_Block_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CB_Block_7.0.0.0: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CB_0000000000000000000000000000000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CB_0000000000000000000000000000000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CB_0000000000000000000000000000000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CB_Block_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CB_Block_7.0.0.0: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CB_0000000000000000000000000000000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CB_0000000000000000000000000000000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CB_0000000000000000000000000000000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CB_Block_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CB_Block_7.0.0.0: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2:P2"/>
  <sheetViews>
    <sheetView zoomScalePageLayoutView="0" workbookViewId="0" topLeftCell="A1">
      <selection activeCell="A1" sqref="A1"/>
    </sheetView>
  </sheetViews>
  <sheetFormatPr defaultColWidth="9.00390625" defaultRowHeight="15"/>
  <sheetData>
    <row r="2" ht="15">
      <c r="P2" t="e">
        <f>_XLL.CB.RECALCCOUNTERFN()</f>
        <v>#NAME?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70"/>
  <sheetViews>
    <sheetView tabSelected="1" zoomScale="90" zoomScaleNormal="90" zoomScalePageLayoutView="0" workbookViewId="0" topLeftCell="A1">
      <selection activeCell="A16" sqref="A16"/>
    </sheetView>
  </sheetViews>
  <sheetFormatPr defaultColWidth="9.00390625" defaultRowHeight="15"/>
  <cols>
    <col min="1" max="1" width="4.421875" style="0" customWidth="1"/>
    <col min="2" max="2" width="5.28125" style="0" customWidth="1"/>
    <col min="3" max="3" width="28.140625" style="0" customWidth="1"/>
    <col min="4" max="4" width="15.28125" style="0" customWidth="1"/>
    <col min="5" max="6" width="12.7109375" style="0" bestFit="1" customWidth="1"/>
    <col min="7" max="7" width="7.7109375" style="0" customWidth="1"/>
    <col min="8" max="8" width="13.140625" style="0" customWidth="1"/>
    <col min="9" max="9" width="13.8515625" style="0" customWidth="1"/>
    <col min="10" max="10" width="13.28125" style="0" customWidth="1"/>
    <col min="11" max="11" width="20.28125" style="0" customWidth="1"/>
    <col min="12" max="12" width="33.421875" style="0" customWidth="1"/>
    <col min="13" max="13" width="13.8515625" style="0" customWidth="1"/>
    <col min="14" max="14" width="17.7109375" style="0" customWidth="1"/>
    <col min="15" max="15" width="12.421875" style="0" customWidth="1"/>
    <col min="16" max="16" width="14.421875" style="0" customWidth="1"/>
    <col min="17" max="17" width="14.28125" style="0" customWidth="1"/>
    <col min="18" max="18" width="14.00390625" style="0" customWidth="1"/>
    <col min="19" max="19" width="13.57421875" style="0" customWidth="1"/>
    <col min="20" max="20" width="11.140625" style="0" customWidth="1"/>
    <col min="21" max="21" width="13.7109375" style="0" customWidth="1"/>
    <col min="22" max="22" width="16.00390625" style="0" customWidth="1"/>
    <col min="23" max="24" width="17.00390625" style="0" customWidth="1"/>
    <col min="25" max="26" width="16.7109375" style="0" customWidth="1"/>
    <col min="27" max="27" width="9.421875" style="0" bestFit="1" customWidth="1"/>
    <col min="28" max="28" width="12.7109375" style="0" bestFit="1" customWidth="1"/>
    <col min="29" max="29" width="11.57421875" style="0" bestFit="1" customWidth="1"/>
    <col min="30" max="30" width="12.7109375" style="0" bestFit="1" customWidth="1"/>
    <col min="31" max="31" width="13.8515625" style="0" bestFit="1" customWidth="1"/>
    <col min="32" max="32" width="12.7109375" style="0" bestFit="1" customWidth="1"/>
  </cols>
  <sheetData>
    <row r="2" spans="2:12" ht="15.75">
      <c r="B2" s="197" t="s">
        <v>145</v>
      </c>
      <c r="L2" s="197" t="s">
        <v>61</v>
      </c>
    </row>
    <row r="3" ht="15.75" thickBot="1"/>
    <row r="4" spans="2:15" ht="30.75" customHeight="1" thickBot="1">
      <c r="B4" s="66" t="s">
        <v>8</v>
      </c>
      <c r="C4" s="67" t="s">
        <v>1</v>
      </c>
      <c r="D4" s="67" t="s">
        <v>2</v>
      </c>
      <c r="E4" s="68" t="s">
        <v>3</v>
      </c>
      <c r="F4" s="68" t="s">
        <v>4</v>
      </c>
      <c r="G4" s="68" t="s">
        <v>5</v>
      </c>
      <c r="H4" s="68" t="s">
        <v>6</v>
      </c>
      <c r="I4" s="68" t="s">
        <v>9</v>
      </c>
      <c r="J4" s="69" t="s">
        <v>7</v>
      </c>
      <c r="L4" s="198" t="s">
        <v>41</v>
      </c>
      <c r="M4" s="199" t="s">
        <v>42</v>
      </c>
      <c r="N4" s="199" t="s">
        <v>47</v>
      </c>
      <c r="O4" s="200" t="s">
        <v>51</v>
      </c>
    </row>
    <row r="5" spans="2:15" ht="15">
      <c r="B5" s="57">
        <v>1</v>
      </c>
      <c r="C5" s="58" t="s">
        <v>48</v>
      </c>
      <c r="D5" s="58">
        <v>1</v>
      </c>
      <c r="E5" s="59">
        <v>15000</v>
      </c>
      <c r="F5" s="59">
        <f>E5*D5</f>
        <v>15000</v>
      </c>
      <c r="G5" s="60">
        <v>5</v>
      </c>
      <c r="H5" s="60">
        <v>5</v>
      </c>
      <c r="I5" s="59">
        <f>F5/G5</f>
        <v>3000</v>
      </c>
      <c r="J5" s="61">
        <v>0</v>
      </c>
      <c r="L5" s="170" t="s">
        <v>43</v>
      </c>
      <c r="M5" s="7" t="s">
        <v>46</v>
      </c>
      <c r="N5" s="13">
        <v>125</v>
      </c>
      <c r="O5" s="8">
        <v>189</v>
      </c>
    </row>
    <row r="6" spans="2:15" ht="15">
      <c r="B6" s="10">
        <v>2</v>
      </c>
      <c r="C6" s="2" t="s">
        <v>10</v>
      </c>
      <c r="D6" s="1">
        <v>4</v>
      </c>
      <c r="E6" s="56">
        <v>500</v>
      </c>
      <c r="F6" s="56">
        <f>E6*D6</f>
        <v>2000</v>
      </c>
      <c r="G6" s="3">
        <v>3</v>
      </c>
      <c r="H6" s="3">
        <v>3</v>
      </c>
      <c r="I6" s="56">
        <f>F6/G6</f>
        <v>666.6666666666666</v>
      </c>
      <c r="J6" s="4">
        <v>0</v>
      </c>
      <c r="L6" s="16" t="s">
        <v>45</v>
      </c>
      <c r="M6" s="3" t="s">
        <v>46</v>
      </c>
      <c r="N6" s="56">
        <v>47.5</v>
      </c>
      <c r="O6" s="4">
        <v>27</v>
      </c>
    </row>
    <row r="7" spans="2:15" ht="15.75" thickBot="1">
      <c r="B7" s="10">
        <v>3</v>
      </c>
      <c r="C7" s="1" t="s">
        <v>11</v>
      </c>
      <c r="D7" s="1">
        <v>1</v>
      </c>
      <c r="E7" s="56">
        <v>600</v>
      </c>
      <c r="F7" s="56">
        <f>E7*D7</f>
        <v>600</v>
      </c>
      <c r="G7" s="3">
        <v>5</v>
      </c>
      <c r="H7" s="3">
        <v>5</v>
      </c>
      <c r="I7" s="56">
        <f>F7/G7</f>
        <v>120</v>
      </c>
      <c r="J7" s="4">
        <v>0</v>
      </c>
      <c r="L7" s="163" t="s">
        <v>44</v>
      </c>
      <c r="M7" s="5" t="s">
        <v>46</v>
      </c>
      <c r="N7" s="62">
        <v>52.5</v>
      </c>
      <c r="O7" s="6">
        <v>13</v>
      </c>
    </row>
    <row r="8" spans="2:10" ht="15">
      <c r="B8" s="10">
        <v>4</v>
      </c>
      <c r="C8" s="1" t="s">
        <v>33</v>
      </c>
      <c r="D8" s="1">
        <v>1</v>
      </c>
      <c r="E8" s="56">
        <v>27000</v>
      </c>
      <c r="F8" s="56">
        <f>E8*D8</f>
        <v>27000</v>
      </c>
      <c r="G8" s="3">
        <v>10</v>
      </c>
      <c r="H8" s="3">
        <v>10</v>
      </c>
      <c r="I8" s="56">
        <f>F8/G8</f>
        <v>2700</v>
      </c>
      <c r="J8" s="4">
        <v>0</v>
      </c>
    </row>
    <row r="9" spans="2:20" ht="16.5" thickBot="1">
      <c r="B9" s="11">
        <v>5</v>
      </c>
      <c r="C9" s="12" t="s">
        <v>34</v>
      </c>
      <c r="D9" s="12">
        <v>1</v>
      </c>
      <c r="E9" s="62">
        <v>8000</v>
      </c>
      <c r="F9" s="62">
        <f>E9*D9</f>
        <v>8000</v>
      </c>
      <c r="G9" s="5">
        <v>10</v>
      </c>
      <c r="H9" s="5">
        <v>10</v>
      </c>
      <c r="I9" s="62">
        <f>F9/G9</f>
        <v>800</v>
      </c>
      <c r="J9" s="6">
        <v>0</v>
      </c>
      <c r="T9" s="201" t="s">
        <v>149</v>
      </c>
    </row>
    <row r="10" spans="2:22" ht="21.75" customHeight="1" thickBot="1">
      <c r="B10" s="208" t="s">
        <v>12</v>
      </c>
      <c r="C10" s="209"/>
      <c r="D10" s="209"/>
      <c r="E10" s="209"/>
      <c r="F10" s="14">
        <f>SUM(F5:F9)</f>
        <v>52600</v>
      </c>
      <c r="L10" t="s">
        <v>102</v>
      </c>
      <c r="M10">
        <f>1+(M9/4)</f>
        <v>1</v>
      </c>
      <c r="T10" t="s">
        <v>85</v>
      </c>
      <c r="V10" s="84">
        <v>25000</v>
      </c>
    </row>
    <row r="11" spans="2:22" ht="17.25" customHeight="1">
      <c r="B11" s="87"/>
      <c r="C11" s="87"/>
      <c r="D11" s="87"/>
      <c r="E11" s="87"/>
      <c r="F11" s="84"/>
      <c r="L11" t="s">
        <v>62</v>
      </c>
      <c r="M11">
        <v>0.25</v>
      </c>
      <c r="N11" s="88">
        <f>+M11</f>
        <v>0.25</v>
      </c>
      <c r="T11" s="28" t="s">
        <v>86</v>
      </c>
      <c r="V11" s="109">
        <v>3</v>
      </c>
    </row>
    <row r="12" spans="2:22" ht="15" customHeight="1">
      <c r="B12" s="87"/>
      <c r="C12" s="87"/>
      <c r="D12" s="87"/>
      <c r="E12" s="87"/>
      <c r="F12" s="84"/>
      <c r="L12" t="s">
        <v>63</v>
      </c>
      <c r="M12">
        <v>0.03</v>
      </c>
      <c r="N12" s="88">
        <f>+M12</f>
        <v>0.03</v>
      </c>
      <c r="T12" t="s">
        <v>87</v>
      </c>
      <c r="V12" s="109">
        <v>3</v>
      </c>
    </row>
    <row r="13" spans="12:23" ht="15">
      <c r="L13" t="s">
        <v>64</v>
      </c>
      <c r="M13">
        <f>+M11*M12</f>
        <v>0.0075</v>
      </c>
      <c r="N13" s="88">
        <f>+M13</f>
        <v>0.0075</v>
      </c>
      <c r="T13" t="s">
        <v>94</v>
      </c>
      <c r="V13" s="110">
        <v>0.0425</v>
      </c>
      <c r="W13">
        <f>+V13/100</f>
        <v>0.00042500000000000003</v>
      </c>
    </row>
    <row r="14" spans="12:22" ht="15">
      <c r="L14" t="s">
        <v>70</v>
      </c>
      <c r="M14">
        <f>1+(M12)</f>
        <v>1.03</v>
      </c>
      <c r="N14" s="88"/>
      <c r="T14" t="s">
        <v>95</v>
      </c>
      <c r="V14" s="110">
        <v>0.16</v>
      </c>
    </row>
    <row r="15" ht="15.75">
      <c r="B15" s="197" t="s">
        <v>146</v>
      </c>
    </row>
    <row r="16" ht="16.5" thickBot="1">
      <c r="L16" s="197" t="s">
        <v>60</v>
      </c>
    </row>
    <row r="17" spans="2:26" ht="37.5" customHeight="1" thickBot="1">
      <c r="B17" s="66" t="s">
        <v>8</v>
      </c>
      <c r="C17" s="67" t="s">
        <v>1</v>
      </c>
      <c r="D17" s="67" t="s">
        <v>2</v>
      </c>
      <c r="E17" s="68" t="s">
        <v>3</v>
      </c>
      <c r="F17" s="68" t="s">
        <v>4</v>
      </c>
      <c r="G17" s="68" t="s">
        <v>5</v>
      </c>
      <c r="H17" s="68" t="s">
        <v>6</v>
      </c>
      <c r="I17" s="68" t="s">
        <v>9</v>
      </c>
      <c r="J17" s="69" t="s">
        <v>7</v>
      </c>
      <c r="L17" s="96" t="s">
        <v>80</v>
      </c>
      <c r="M17" s="97" t="s">
        <v>79</v>
      </c>
      <c r="N17" s="97" t="s">
        <v>65</v>
      </c>
      <c r="O17" s="97" t="s">
        <v>66</v>
      </c>
      <c r="P17" s="97" t="s">
        <v>67</v>
      </c>
      <c r="Q17" s="97" t="s">
        <v>68</v>
      </c>
      <c r="R17" s="98" t="s">
        <v>69</v>
      </c>
      <c r="T17" s="96" t="s">
        <v>88</v>
      </c>
      <c r="U17" s="97" t="s">
        <v>89</v>
      </c>
      <c r="V17" s="97" t="s">
        <v>91</v>
      </c>
      <c r="W17" s="97" t="s">
        <v>90</v>
      </c>
      <c r="X17" s="97" t="s">
        <v>92</v>
      </c>
      <c r="Y17" s="98" t="s">
        <v>93</v>
      </c>
      <c r="Z17" s="124"/>
    </row>
    <row r="18" spans="2:26" ht="18.75" customHeight="1">
      <c r="B18" s="57">
        <v>1</v>
      </c>
      <c r="C18" s="58" t="s">
        <v>49</v>
      </c>
      <c r="D18" s="58">
        <v>1</v>
      </c>
      <c r="E18" s="59">
        <v>15000</v>
      </c>
      <c r="F18" s="59">
        <f>E18*D18</f>
        <v>15000</v>
      </c>
      <c r="G18" s="58">
        <v>5</v>
      </c>
      <c r="H18" s="58">
        <v>4</v>
      </c>
      <c r="I18" s="59">
        <f>F18/G18</f>
        <v>3000</v>
      </c>
      <c r="J18" s="63">
        <v>4000</v>
      </c>
      <c r="L18" s="94" t="s">
        <v>52</v>
      </c>
      <c r="M18" s="95">
        <f>SUM(M19:M23)</f>
        <v>2350</v>
      </c>
      <c r="N18" s="95">
        <f>SUM(N19:N25)</f>
        <v>33450</v>
      </c>
      <c r="O18" s="95">
        <f>SUM(O19:O25)</f>
        <v>38233.5</v>
      </c>
      <c r="P18" s="95">
        <f>SUM(P19:P25)</f>
        <v>43042.380000000005</v>
      </c>
      <c r="Q18" s="95">
        <f>SUM(Q19:Q25)</f>
        <v>47352.4014</v>
      </c>
      <c r="R18" s="205">
        <f>SUM(R19:R25)</f>
        <v>50403.098442</v>
      </c>
      <c r="T18" s="9">
        <v>0</v>
      </c>
      <c r="U18" s="204">
        <v>0</v>
      </c>
      <c r="V18" s="204">
        <v>0</v>
      </c>
      <c r="W18" s="204">
        <v>0</v>
      </c>
      <c r="X18" s="204">
        <v>0</v>
      </c>
      <c r="Y18" s="194">
        <f>V10</f>
        <v>25000</v>
      </c>
      <c r="Z18" s="143"/>
    </row>
    <row r="19" spans="2:26" ht="18.75" customHeight="1" thickBot="1">
      <c r="B19" s="11">
        <v>2</v>
      </c>
      <c r="C19" s="64" t="s">
        <v>50</v>
      </c>
      <c r="D19" s="12">
        <v>4</v>
      </c>
      <c r="E19" s="62">
        <v>500</v>
      </c>
      <c r="F19" s="62">
        <f>E19*D19</f>
        <v>2000</v>
      </c>
      <c r="G19" s="12">
        <v>3</v>
      </c>
      <c r="H19" s="12">
        <v>2</v>
      </c>
      <c r="I19" s="62">
        <f>F19/G19</f>
        <v>666.6666666666666</v>
      </c>
      <c r="J19" s="65">
        <v>475.77</v>
      </c>
      <c r="L19" s="16" t="s">
        <v>56</v>
      </c>
      <c r="M19" s="56">
        <v>1000</v>
      </c>
      <c r="N19" s="56">
        <f>+M19*12</f>
        <v>12000</v>
      </c>
      <c r="O19" s="56">
        <f>N19*($M$14)</f>
        <v>12360</v>
      </c>
      <c r="P19" s="56">
        <f>O19*($M$14)</f>
        <v>12730.800000000001</v>
      </c>
      <c r="Q19" s="56">
        <f>P19*($M$14)</f>
        <v>13112.724000000002</v>
      </c>
      <c r="R19" s="93">
        <f>Q19*($M$14)</f>
        <v>13506.105720000003</v>
      </c>
      <c r="T19" s="10">
        <v>1</v>
      </c>
      <c r="U19" s="111">
        <f>PMT(V14,V11,-V10)</f>
        <v>11131.446827932452</v>
      </c>
      <c r="V19" s="54">
        <f>Y18*$V$14</f>
        <v>4000</v>
      </c>
      <c r="W19" s="111">
        <f>U19-V19</f>
        <v>7131.446827932452</v>
      </c>
      <c r="X19" s="111">
        <f>+W19+X18</f>
        <v>7131.446827932452</v>
      </c>
      <c r="Y19" s="186">
        <f>Y18-W19</f>
        <v>17868.55317206755</v>
      </c>
      <c r="Z19" s="143"/>
    </row>
    <row r="20" spans="2:26" ht="18.75" customHeight="1" thickBot="1">
      <c r="B20" s="210" t="s">
        <v>81</v>
      </c>
      <c r="C20" s="211"/>
      <c r="D20" s="211"/>
      <c r="E20" s="211"/>
      <c r="F20" s="104">
        <f>SUM(F18:F19)</f>
        <v>17000</v>
      </c>
      <c r="I20" s="105">
        <f>SUM(I18:I19)</f>
        <v>3666.6666666666665</v>
      </c>
      <c r="J20" s="104">
        <f>SUM(J18:J19)</f>
        <v>4475.77</v>
      </c>
      <c r="L20" s="16" t="s">
        <v>55</v>
      </c>
      <c r="M20" s="56">
        <v>500</v>
      </c>
      <c r="N20" s="56">
        <f>+M20*12</f>
        <v>6000</v>
      </c>
      <c r="O20" s="56">
        <f aca="true" t="shared" si="0" ref="O20:R23">N20*($M$14)</f>
        <v>6180</v>
      </c>
      <c r="P20" s="56">
        <f t="shared" si="0"/>
        <v>6365.400000000001</v>
      </c>
      <c r="Q20" s="56">
        <f t="shared" si="0"/>
        <v>6556.362000000001</v>
      </c>
      <c r="R20" s="93">
        <f t="shared" si="0"/>
        <v>6753.052860000002</v>
      </c>
      <c r="T20" s="10">
        <v>2</v>
      </c>
      <c r="U20" s="111">
        <f>U19</f>
        <v>11131.446827932452</v>
      </c>
      <c r="V20" s="54">
        <f>Y19*$V$14</f>
        <v>2858.968507530808</v>
      </c>
      <c r="W20" s="111">
        <f>U20-V20</f>
        <v>8272.478320401644</v>
      </c>
      <c r="X20" s="111">
        <f>+W20+X19</f>
        <v>15403.925148334096</v>
      </c>
      <c r="Y20" s="186">
        <f>Y19-W20</f>
        <v>9596.074851665906</v>
      </c>
      <c r="Z20" s="143"/>
    </row>
    <row r="21" spans="12:26" ht="18.75" customHeight="1" thickBot="1">
      <c r="L21" s="16" t="s">
        <v>54</v>
      </c>
      <c r="M21" s="56">
        <v>300</v>
      </c>
      <c r="N21" s="56">
        <f>+M21*12</f>
        <v>3600</v>
      </c>
      <c r="O21" s="56">
        <f t="shared" si="0"/>
        <v>3708</v>
      </c>
      <c r="P21" s="56">
        <f t="shared" si="0"/>
        <v>3819.2400000000002</v>
      </c>
      <c r="Q21" s="56">
        <f t="shared" si="0"/>
        <v>3933.8172000000004</v>
      </c>
      <c r="R21" s="93">
        <f t="shared" si="0"/>
        <v>4051.8317160000006</v>
      </c>
      <c r="T21" s="11">
        <v>3</v>
      </c>
      <c r="U21" s="202">
        <f>U20</f>
        <v>11131.446827932452</v>
      </c>
      <c r="V21" s="203">
        <f>Y20*$V$14</f>
        <v>1535.371976266545</v>
      </c>
      <c r="W21" s="202">
        <f>U21-V21</f>
        <v>9596.074851665908</v>
      </c>
      <c r="X21" s="202">
        <f>+W21+X20</f>
        <v>25000.000000000004</v>
      </c>
      <c r="Y21" s="187">
        <f>Y20-W21</f>
        <v>0</v>
      </c>
      <c r="Z21" s="143"/>
    </row>
    <row r="22" spans="2:20" ht="15.75">
      <c r="B22" s="197" t="s">
        <v>147</v>
      </c>
      <c r="L22" s="16" t="s">
        <v>53</v>
      </c>
      <c r="M22" s="56">
        <v>250</v>
      </c>
      <c r="N22" s="56">
        <f>+M22*12</f>
        <v>3000</v>
      </c>
      <c r="O22" s="56">
        <f t="shared" si="0"/>
        <v>3090</v>
      </c>
      <c r="P22" s="56">
        <f t="shared" si="0"/>
        <v>3182.7000000000003</v>
      </c>
      <c r="Q22" s="56">
        <f t="shared" si="0"/>
        <v>3278.1810000000005</v>
      </c>
      <c r="R22" s="93">
        <f t="shared" si="0"/>
        <v>3376.526430000001</v>
      </c>
      <c r="T22" s="109"/>
    </row>
    <row r="23" spans="12:20" ht="15.75" thickBot="1">
      <c r="L23" s="16" t="s">
        <v>54</v>
      </c>
      <c r="M23" s="56">
        <v>300</v>
      </c>
      <c r="N23" s="56">
        <f>+M23*12</f>
        <v>3600</v>
      </c>
      <c r="O23" s="56">
        <f t="shared" si="0"/>
        <v>3708</v>
      </c>
      <c r="P23" s="56">
        <f t="shared" si="0"/>
        <v>3819.2400000000002</v>
      </c>
      <c r="Q23" s="56">
        <f t="shared" si="0"/>
        <v>3933.8172000000004</v>
      </c>
      <c r="R23" s="93">
        <f t="shared" si="0"/>
        <v>4051.8317160000006</v>
      </c>
      <c r="T23" s="109"/>
    </row>
    <row r="24" spans="2:20" ht="45.75" thickBot="1">
      <c r="B24" s="66" t="s">
        <v>8</v>
      </c>
      <c r="C24" s="67" t="s">
        <v>1</v>
      </c>
      <c r="D24" s="67" t="s">
        <v>2</v>
      </c>
      <c r="E24" s="68" t="s">
        <v>3</v>
      </c>
      <c r="F24" s="68" t="s">
        <v>4</v>
      </c>
      <c r="G24" s="68" t="s">
        <v>5</v>
      </c>
      <c r="H24" s="68" t="s">
        <v>6</v>
      </c>
      <c r="I24" s="68" t="s">
        <v>9</v>
      </c>
      <c r="L24" s="16" t="s">
        <v>120</v>
      </c>
      <c r="M24" s="56"/>
      <c r="N24" s="56">
        <f>0.05*W37</f>
        <v>3500</v>
      </c>
      <c r="O24" s="56">
        <f>0.05*W38</f>
        <v>6125</v>
      </c>
      <c r="P24" s="56">
        <f>0.05*W39</f>
        <v>8750</v>
      </c>
      <c r="Q24" s="56">
        <f>0.05*W40</f>
        <v>11025</v>
      </c>
      <c r="R24" s="93">
        <f>0.05*W41</f>
        <v>12442.5</v>
      </c>
      <c r="T24" s="109"/>
    </row>
    <row r="25" spans="2:20" ht="15">
      <c r="B25" s="57">
        <v>1</v>
      </c>
      <c r="C25" s="58" t="s">
        <v>48</v>
      </c>
      <c r="D25" s="58">
        <v>1</v>
      </c>
      <c r="E25" s="59">
        <v>15000</v>
      </c>
      <c r="F25" s="59">
        <f>E25*D25</f>
        <v>15000</v>
      </c>
      <c r="G25" s="60">
        <v>5</v>
      </c>
      <c r="H25" s="60">
        <v>5</v>
      </c>
      <c r="I25" s="59">
        <f>F25/G25</f>
        <v>3000</v>
      </c>
      <c r="L25" s="16" t="s">
        <v>132</v>
      </c>
      <c r="M25" s="56"/>
      <c r="N25" s="56">
        <f>N24/2</f>
        <v>1750</v>
      </c>
      <c r="O25" s="56">
        <f>O24/2</f>
        <v>3062.5</v>
      </c>
      <c r="P25" s="56">
        <f>P24/2</f>
        <v>4375</v>
      </c>
      <c r="Q25" s="56">
        <f>Q24/2</f>
        <v>5512.5</v>
      </c>
      <c r="R25" s="93">
        <f>R24/2</f>
        <v>6221.25</v>
      </c>
      <c r="T25" s="109"/>
    </row>
    <row r="26" spans="2:18" ht="15">
      <c r="B26" s="10">
        <v>2</v>
      </c>
      <c r="C26" s="2" t="s">
        <v>10</v>
      </c>
      <c r="D26" s="1">
        <v>4</v>
      </c>
      <c r="E26" s="56">
        <v>500</v>
      </c>
      <c r="F26" s="56">
        <f>E26*D26</f>
        <v>2000</v>
      </c>
      <c r="G26" s="3">
        <v>3</v>
      </c>
      <c r="H26" s="3">
        <v>3</v>
      </c>
      <c r="I26" s="56">
        <f>F26/G26</f>
        <v>666.6666666666666</v>
      </c>
      <c r="L26" s="92" t="s">
        <v>74</v>
      </c>
      <c r="M26" s="56">
        <f aca="true" t="shared" si="1" ref="M26:R26">SUM(M27:M29)</f>
        <v>280</v>
      </c>
      <c r="N26" s="56">
        <f t="shared" si="1"/>
        <v>3360</v>
      </c>
      <c r="O26" s="56">
        <f t="shared" si="1"/>
        <v>3460.8</v>
      </c>
      <c r="P26" s="56">
        <f t="shared" si="1"/>
        <v>3564.624</v>
      </c>
      <c r="Q26" s="56">
        <f t="shared" si="1"/>
        <v>3671.56272</v>
      </c>
      <c r="R26" s="93">
        <f t="shared" si="1"/>
        <v>3781.7096016</v>
      </c>
    </row>
    <row r="27" spans="2:18" ht="15">
      <c r="B27" s="10">
        <v>3</v>
      </c>
      <c r="C27" s="1" t="s">
        <v>11</v>
      </c>
      <c r="D27" s="1">
        <v>1</v>
      </c>
      <c r="E27" s="56">
        <v>600</v>
      </c>
      <c r="F27" s="56">
        <f>E27*D27</f>
        <v>600</v>
      </c>
      <c r="G27" s="3">
        <v>5</v>
      </c>
      <c r="H27" s="3">
        <v>5</v>
      </c>
      <c r="I27" s="56">
        <f>F27/G27</f>
        <v>120</v>
      </c>
      <c r="L27" s="16" t="s">
        <v>71</v>
      </c>
      <c r="M27" s="56">
        <v>30</v>
      </c>
      <c r="N27" s="56">
        <f aca="true" t="shared" si="2" ref="N27:N32">+M27*12</f>
        <v>360</v>
      </c>
      <c r="O27" s="56">
        <f>N27*($M$14)</f>
        <v>370.8</v>
      </c>
      <c r="P27" s="56">
        <f>O27*($M$14)</f>
        <v>381.92400000000004</v>
      </c>
      <c r="Q27" s="56">
        <f>P27*($M$14)</f>
        <v>393.38172000000003</v>
      </c>
      <c r="R27" s="93">
        <f>Q27*($M$14)</f>
        <v>405.18317160000004</v>
      </c>
    </row>
    <row r="28" spans="2:18" ht="15">
      <c r="B28" s="10">
        <v>4</v>
      </c>
      <c r="C28" s="1" t="s">
        <v>33</v>
      </c>
      <c r="D28" s="1">
        <v>1</v>
      </c>
      <c r="E28" s="56">
        <v>27000</v>
      </c>
      <c r="F28" s="56">
        <f>E28*D28</f>
        <v>27000</v>
      </c>
      <c r="G28" s="3">
        <v>10</v>
      </c>
      <c r="H28" s="3">
        <v>10</v>
      </c>
      <c r="I28" s="56">
        <f>F28/G28</f>
        <v>2700</v>
      </c>
      <c r="L28" s="16" t="s">
        <v>72</v>
      </c>
      <c r="M28" s="56">
        <v>50</v>
      </c>
      <c r="N28" s="56">
        <f t="shared" si="2"/>
        <v>600</v>
      </c>
      <c r="O28" s="56">
        <f aca="true" t="shared" si="3" ref="O28:R32">N28*($M$14)</f>
        <v>618</v>
      </c>
      <c r="P28" s="56">
        <f t="shared" si="3"/>
        <v>636.54</v>
      </c>
      <c r="Q28" s="56">
        <f t="shared" si="3"/>
        <v>655.6362</v>
      </c>
      <c r="R28" s="93">
        <f t="shared" si="3"/>
        <v>675.305286</v>
      </c>
    </row>
    <row r="29" spans="2:18" ht="15.75" thickBot="1">
      <c r="B29" s="11">
        <v>5</v>
      </c>
      <c r="C29" s="12" t="s">
        <v>34</v>
      </c>
      <c r="D29" s="12">
        <v>1</v>
      </c>
      <c r="E29" s="62">
        <v>8000</v>
      </c>
      <c r="F29" s="62">
        <f>E29*D29</f>
        <v>8000</v>
      </c>
      <c r="G29" s="5">
        <v>10</v>
      </c>
      <c r="H29" s="5">
        <v>10</v>
      </c>
      <c r="I29" s="62">
        <f>F29/G29</f>
        <v>800</v>
      </c>
      <c r="L29" s="16" t="s">
        <v>73</v>
      </c>
      <c r="M29" s="56">
        <v>200</v>
      </c>
      <c r="N29" s="56">
        <f t="shared" si="2"/>
        <v>2400</v>
      </c>
      <c r="O29" s="56">
        <f t="shared" si="3"/>
        <v>2472</v>
      </c>
      <c r="P29" s="56">
        <f t="shared" si="3"/>
        <v>2546.16</v>
      </c>
      <c r="Q29" s="56">
        <f t="shared" si="3"/>
        <v>2622.5448</v>
      </c>
      <c r="R29" s="93">
        <f t="shared" si="3"/>
        <v>2701.221144</v>
      </c>
    </row>
    <row r="30" spans="12:23" ht="15">
      <c r="L30" s="92" t="s">
        <v>75</v>
      </c>
      <c r="M30" s="56">
        <v>450</v>
      </c>
      <c r="N30" s="56">
        <f t="shared" si="2"/>
        <v>5400</v>
      </c>
      <c r="O30" s="56">
        <f t="shared" si="3"/>
        <v>5562</v>
      </c>
      <c r="P30" s="56">
        <f t="shared" si="3"/>
        <v>5728.860000000001</v>
      </c>
      <c r="Q30" s="56">
        <f t="shared" si="3"/>
        <v>5900.725800000001</v>
      </c>
      <c r="R30" s="93">
        <f t="shared" si="3"/>
        <v>6077.747574000001</v>
      </c>
      <c r="V30" s="189">
        <v>1</v>
      </c>
      <c r="W30" t="s">
        <v>141</v>
      </c>
    </row>
    <row r="31" spans="12:18" ht="15">
      <c r="L31" s="92" t="s">
        <v>76</v>
      </c>
      <c r="M31" s="56">
        <v>210</v>
      </c>
      <c r="N31" s="56">
        <f t="shared" si="2"/>
        <v>2520</v>
      </c>
      <c r="O31" s="56">
        <f t="shared" si="3"/>
        <v>2595.6</v>
      </c>
      <c r="P31" s="56">
        <f t="shared" si="3"/>
        <v>2673.468</v>
      </c>
      <c r="Q31" s="56">
        <f t="shared" si="3"/>
        <v>2753.67204</v>
      </c>
      <c r="R31" s="93">
        <f t="shared" si="3"/>
        <v>2836.2822012</v>
      </c>
    </row>
    <row r="32" spans="12:18" ht="15.75" thickBot="1">
      <c r="L32" s="99" t="s">
        <v>77</v>
      </c>
      <c r="M32" s="79">
        <v>150</v>
      </c>
      <c r="N32" s="79">
        <f t="shared" si="2"/>
        <v>1800</v>
      </c>
      <c r="O32" s="79">
        <f t="shared" si="3"/>
        <v>1854</v>
      </c>
      <c r="P32" s="79">
        <f t="shared" si="3"/>
        <v>1909.6200000000001</v>
      </c>
      <c r="Q32" s="79">
        <f t="shared" si="3"/>
        <v>1966.9086000000002</v>
      </c>
      <c r="R32" s="100">
        <f t="shared" si="3"/>
        <v>2025.9158580000003</v>
      </c>
    </row>
    <row r="33" spans="12:28" ht="21" customHeight="1" thickBot="1">
      <c r="L33" s="101" t="s">
        <v>78</v>
      </c>
      <c r="M33" s="102">
        <f aca="true" t="shared" si="4" ref="M33:R33">+M32+M31+M30+M26+M18</f>
        <v>3440</v>
      </c>
      <c r="N33" s="102">
        <f t="shared" si="4"/>
        <v>46530</v>
      </c>
      <c r="O33" s="102">
        <f t="shared" si="4"/>
        <v>51705.9</v>
      </c>
      <c r="P33" s="102">
        <f t="shared" si="4"/>
        <v>56918.952000000005</v>
      </c>
      <c r="Q33" s="102">
        <f t="shared" si="4"/>
        <v>61645.270560000004</v>
      </c>
      <c r="R33" s="103">
        <f t="shared" si="4"/>
        <v>65124.7536768</v>
      </c>
      <c r="T33" s="197" t="s">
        <v>150</v>
      </c>
      <c r="W33" s="38">
        <f>((W37*0.1)/12)/2</f>
        <v>291.6666666666667</v>
      </c>
      <c r="Z33" s="113">
        <f>(19.76+6.5+20.95)</f>
        <v>47.21</v>
      </c>
      <c r="AB33" t="s">
        <v>124</v>
      </c>
    </row>
    <row r="34" spans="3:30" ht="21" customHeight="1" thickBot="1">
      <c r="C34" s="197" t="s">
        <v>32</v>
      </c>
      <c r="L34" s="108"/>
      <c r="M34" s="89"/>
      <c r="N34" s="89"/>
      <c r="O34" s="89"/>
      <c r="P34" s="89"/>
      <c r="Q34" s="89"/>
      <c r="R34" s="89"/>
      <c r="Y34">
        <v>350</v>
      </c>
      <c r="Z34" s="113">
        <f>(19.76+6.5+20.95)+AD34</f>
        <v>279.85999999999996</v>
      </c>
      <c r="AA34" s="38">
        <f>Y34-Z34</f>
        <v>70.14000000000004</v>
      </c>
      <c r="AB34" s="139">
        <f>AA34/Y34</f>
        <v>0.20040000000000013</v>
      </c>
      <c r="AD34" s="38">
        <f>(AD37/12)/(U37/12)</f>
        <v>232.64999999999998</v>
      </c>
    </row>
    <row r="35" spans="12:27" ht="21" customHeight="1" thickBot="1">
      <c r="L35" s="197" t="s">
        <v>148</v>
      </c>
      <c r="O35" s="89"/>
      <c r="P35" s="89"/>
      <c r="Q35" s="89"/>
      <c r="R35" s="89"/>
      <c r="T35" s="218" t="s">
        <v>101</v>
      </c>
      <c r="U35" s="219"/>
      <c r="V35" s="219"/>
      <c r="W35" s="219"/>
      <c r="X35" s="219"/>
      <c r="Y35" s="220"/>
      <c r="Z35" s="28"/>
      <c r="AA35" s="139"/>
    </row>
    <row r="36" spans="3:30" ht="28.5" customHeight="1" thickBot="1">
      <c r="C36" s="106" t="s">
        <v>32</v>
      </c>
      <c r="D36" s="106" t="s">
        <v>78</v>
      </c>
      <c r="L36" s="73" t="s">
        <v>39</v>
      </c>
      <c r="M36" s="74" t="s">
        <v>37</v>
      </c>
      <c r="N36" s="75" t="s">
        <v>38</v>
      </c>
      <c r="O36" s="84"/>
      <c r="P36" s="84"/>
      <c r="Q36" s="84"/>
      <c r="R36" s="84"/>
      <c r="T36" s="114" t="s">
        <v>96</v>
      </c>
      <c r="U36" s="68" t="s">
        <v>2</v>
      </c>
      <c r="V36" s="68" t="s">
        <v>97</v>
      </c>
      <c r="W36" s="68" t="s">
        <v>98</v>
      </c>
      <c r="X36" s="68" t="s">
        <v>99</v>
      </c>
      <c r="Y36" s="69" t="s">
        <v>100</v>
      </c>
      <c r="Z36" s="142" t="s">
        <v>123</v>
      </c>
      <c r="AD36" t="s">
        <v>121</v>
      </c>
    </row>
    <row r="37" spans="3:33" ht="17.25" customHeight="1">
      <c r="C37" s="3" t="s">
        <v>82</v>
      </c>
      <c r="D37" s="90">
        <f>M18</f>
        <v>2350</v>
      </c>
      <c r="L37" s="76" t="s">
        <v>35</v>
      </c>
      <c r="M37" s="59">
        <v>25000</v>
      </c>
      <c r="N37" s="77">
        <f>(+M37/M42)</f>
        <v>0.4752851711026616</v>
      </c>
      <c r="P37" s="84"/>
      <c r="Q37" s="85"/>
      <c r="R37" s="84"/>
      <c r="T37" s="10">
        <v>1</v>
      </c>
      <c r="U37" s="1">
        <v>200</v>
      </c>
      <c r="V37" s="113">
        <f>350*V30</f>
        <v>350</v>
      </c>
      <c r="W37" s="113">
        <f>+V37*U37</f>
        <v>70000</v>
      </c>
      <c r="X37" s="1"/>
      <c r="Y37" s="55" t="s">
        <v>117</v>
      </c>
      <c r="Z37" s="113">
        <f>(19.76+6.5+20.95)*U37</f>
        <v>9442</v>
      </c>
      <c r="AA37" s="141">
        <f>U37/12</f>
        <v>16.666666666666668</v>
      </c>
      <c r="AB37" s="38">
        <f>W37/12</f>
        <v>5833.333333333333</v>
      </c>
      <c r="AC37" s="38">
        <f>AB37-M33</f>
        <v>2393.333333333333</v>
      </c>
      <c r="AD37" s="71">
        <f>N33</f>
        <v>46530</v>
      </c>
      <c r="AE37" s="38">
        <f>W37-AD37</f>
        <v>23470</v>
      </c>
      <c r="AF37" s="38">
        <f>AE37/12</f>
        <v>1955.8333333333333</v>
      </c>
      <c r="AG37" s="141">
        <f>AE37/W37</f>
        <v>0.3352857142857143</v>
      </c>
    </row>
    <row r="38" spans="3:33" ht="17.25" customHeight="1">
      <c r="C38" s="3" t="s">
        <v>74</v>
      </c>
      <c r="D38" s="90">
        <f>M26</f>
        <v>280</v>
      </c>
      <c r="L38" s="16" t="s">
        <v>36</v>
      </c>
      <c r="M38" s="56"/>
      <c r="N38" s="78"/>
      <c r="Q38" s="84"/>
      <c r="R38" s="140"/>
      <c r="S38" s="138"/>
      <c r="T38" s="10">
        <v>2</v>
      </c>
      <c r="U38" s="1">
        <v>350</v>
      </c>
      <c r="V38" s="113">
        <f>350*$V$30</f>
        <v>350</v>
      </c>
      <c r="W38" s="113">
        <f aca="true" t="shared" si="5" ref="W38:W46">+V38*U38</f>
        <v>122500</v>
      </c>
      <c r="X38" s="137">
        <f aca="true" t="shared" si="6" ref="X38:X46">W38/W37-1</f>
        <v>0.75</v>
      </c>
      <c r="Y38" s="55" t="s">
        <v>118</v>
      </c>
      <c r="Z38" s="113">
        <f aca="true" t="shared" si="7" ref="Z38:Z46">(19.76+6.5+20.95)*U38</f>
        <v>16523.5</v>
      </c>
      <c r="AA38" s="141">
        <f aca="true" t="shared" si="8" ref="AA38:AA46">U38/12</f>
        <v>29.166666666666668</v>
      </c>
      <c r="AB38" s="38">
        <f aca="true" t="shared" si="9" ref="AB38:AB46">W38/12</f>
        <v>10208.333333333334</v>
      </c>
      <c r="AD38" s="71">
        <f>O33</f>
        <v>51705.9</v>
      </c>
      <c r="AE38" s="38">
        <f>W38-AD38</f>
        <v>70794.1</v>
      </c>
      <c r="AF38" s="38">
        <f>AE38/12</f>
        <v>5899.508333333334</v>
      </c>
      <c r="AG38" s="141">
        <f>AE38/W38</f>
        <v>0.5779110204081633</v>
      </c>
    </row>
    <row r="39" spans="3:33" ht="17.25" customHeight="1">
      <c r="C39" s="3" t="s">
        <v>75</v>
      </c>
      <c r="D39" s="90">
        <f>M30</f>
        <v>450</v>
      </c>
      <c r="L39" s="16" t="s">
        <v>57</v>
      </c>
      <c r="M39" s="56">
        <v>9100</v>
      </c>
      <c r="N39" s="78">
        <f>(+M39/M42)</f>
        <v>0.17300380228136883</v>
      </c>
      <c r="Q39" s="84"/>
      <c r="R39" s="140"/>
      <c r="S39" s="138"/>
      <c r="T39" s="10">
        <v>3</v>
      </c>
      <c r="U39" s="1">
        <v>500</v>
      </c>
      <c r="V39" s="113">
        <f>350*V30</f>
        <v>350</v>
      </c>
      <c r="W39" s="113">
        <f t="shared" si="5"/>
        <v>175000</v>
      </c>
      <c r="X39" s="137">
        <f t="shared" si="6"/>
        <v>0.4285714285714286</v>
      </c>
      <c r="Y39" s="55" t="s">
        <v>119</v>
      </c>
      <c r="Z39" s="113">
        <f t="shared" si="7"/>
        <v>23605</v>
      </c>
      <c r="AA39" s="141">
        <f t="shared" si="8"/>
        <v>41.666666666666664</v>
      </c>
      <c r="AB39" s="38">
        <f t="shared" si="9"/>
        <v>14583.333333333334</v>
      </c>
      <c r="AD39" s="71">
        <f>P33</f>
        <v>56918.952000000005</v>
      </c>
      <c r="AE39" s="38">
        <f>W39-AD39</f>
        <v>118081.048</v>
      </c>
      <c r="AF39" s="38">
        <f>AE39/12</f>
        <v>9840.087333333333</v>
      </c>
      <c r="AG39" s="141">
        <f>AE39/W39</f>
        <v>0.6747488457142857</v>
      </c>
    </row>
    <row r="40" spans="3:33" ht="17.25" customHeight="1">
      <c r="C40" s="3" t="s">
        <v>76</v>
      </c>
      <c r="D40" s="90">
        <f>M31</f>
        <v>210</v>
      </c>
      <c r="L40" s="16" t="s">
        <v>58</v>
      </c>
      <c r="M40" s="56">
        <v>8500</v>
      </c>
      <c r="N40" s="78">
        <f>+(M40/M42)</f>
        <v>0.16159695817490494</v>
      </c>
      <c r="Q40" s="84"/>
      <c r="R40" s="140"/>
      <c r="S40" s="138"/>
      <c r="T40" s="10">
        <v>4</v>
      </c>
      <c r="U40" s="1">
        <v>700</v>
      </c>
      <c r="V40" s="113">
        <f>$V$39*(0.9)*V30</f>
        <v>315</v>
      </c>
      <c r="W40" s="113">
        <f t="shared" si="5"/>
        <v>220500</v>
      </c>
      <c r="X40" s="137">
        <f t="shared" si="6"/>
        <v>0.26</v>
      </c>
      <c r="Y40" s="55" t="s">
        <v>119</v>
      </c>
      <c r="Z40" s="113">
        <f t="shared" si="7"/>
        <v>33047</v>
      </c>
      <c r="AA40" s="141">
        <f t="shared" si="8"/>
        <v>58.333333333333336</v>
      </c>
      <c r="AB40" s="38">
        <f t="shared" si="9"/>
        <v>18375</v>
      </c>
      <c r="AD40" s="71">
        <f>Q33</f>
        <v>61645.270560000004</v>
      </c>
      <c r="AE40" s="38">
        <f>W40-AD40</f>
        <v>158854.72944</v>
      </c>
      <c r="AF40" s="38">
        <f>AE40/12</f>
        <v>13237.894119999999</v>
      </c>
      <c r="AG40" s="141">
        <f>AE40/W40</f>
        <v>0.7204296119727891</v>
      </c>
    </row>
    <row r="41" spans="3:33" ht="17.25" customHeight="1" thickBot="1">
      <c r="C41" s="3" t="s">
        <v>77</v>
      </c>
      <c r="D41" s="90">
        <f>M32</f>
        <v>150</v>
      </c>
      <c r="L41" s="17" t="s">
        <v>59</v>
      </c>
      <c r="M41" s="79">
        <v>10000</v>
      </c>
      <c r="N41" s="80">
        <f>+(M41/M42)</f>
        <v>0.19011406844106463</v>
      </c>
      <c r="Q41" s="84"/>
      <c r="R41" s="140"/>
      <c r="S41" s="138"/>
      <c r="T41" s="10">
        <v>5</v>
      </c>
      <c r="U41" s="1">
        <v>790</v>
      </c>
      <c r="V41" s="113">
        <f>$V$39*(0.9)*V30</f>
        <v>315</v>
      </c>
      <c r="W41" s="113">
        <f t="shared" si="5"/>
        <v>248850</v>
      </c>
      <c r="X41" s="137">
        <f t="shared" si="6"/>
        <v>0.12857142857142856</v>
      </c>
      <c r="Y41" s="55"/>
      <c r="Z41" s="113">
        <f t="shared" si="7"/>
        <v>37295.9</v>
      </c>
      <c r="AA41" s="141">
        <f t="shared" si="8"/>
        <v>65.83333333333333</v>
      </c>
      <c r="AB41" s="38">
        <f t="shared" si="9"/>
        <v>20737.5</v>
      </c>
      <c r="AD41" s="71">
        <f>R33</f>
        <v>65124.7536768</v>
      </c>
      <c r="AE41" s="38">
        <f>W41-AD41</f>
        <v>183725.2463232</v>
      </c>
      <c r="AF41" s="38">
        <f>AE41/12</f>
        <v>15310.4371936</v>
      </c>
      <c r="AG41" s="141">
        <f>AE41/W41</f>
        <v>0.7382971521928873</v>
      </c>
    </row>
    <row r="42" spans="3:28" ht="17.25" customHeight="1" thickBot="1">
      <c r="C42" s="3" t="s">
        <v>83</v>
      </c>
      <c r="D42" s="90">
        <f>19.76*200</f>
        <v>3952.0000000000005</v>
      </c>
      <c r="G42" s="53"/>
      <c r="L42" s="82" t="s">
        <v>40</v>
      </c>
      <c r="M42" s="81">
        <f>+M41+M40+M39+M38+M37</f>
        <v>52600</v>
      </c>
      <c r="N42" s="83">
        <f>SUM(N37:N41)</f>
        <v>1</v>
      </c>
      <c r="Q42" s="70"/>
      <c r="R42" s="140"/>
      <c r="S42" s="138"/>
      <c r="T42" s="10">
        <v>6</v>
      </c>
      <c r="U42" s="1">
        <v>900</v>
      </c>
      <c r="V42" s="113">
        <f>$V$39*(0.9)</f>
        <v>315</v>
      </c>
      <c r="W42" s="113">
        <f t="shared" si="5"/>
        <v>283500</v>
      </c>
      <c r="X42" s="137">
        <f t="shared" si="6"/>
        <v>0.139240506329114</v>
      </c>
      <c r="Y42" s="55"/>
      <c r="Z42" s="113">
        <f t="shared" si="7"/>
        <v>42489</v>
      </c>
      <c r="AA42" s="141">
        <f t="shared" si="8"/>
        <v>75</v>
      </c>
      <c r="AB42" s="38">
        <f t="shared" si="9"/>
        <v>23625</v>
      </c>
    </row>
    <row r="43" spans="3:28" ht="17.25" customHeight="1">
      <c r="C43" s="3" t="s">
        <v>107</v>
      </c>
      <c r="D43" s="90">
        <f>P54</f>
        <v>24000</v>
      </c>
      <c r="G43" s="53"/>
      <c r="Q43" s="70"/>
      <c r="R43" s="140"/>
      <c r="S43" s="138"/>
      <c r="T43" s="10">
        <v>7</v>
      </c>
      <c r="U43" s="1">
        <v>1000</v>
      </c>
      <c r="V43" s="113">
        <f>$V$39*(0.9)</f>
        <v>315</v>
      </c>
      <c r="W43" s="113">
        <f t="shared" si="5"/>
        <v>315000</v>
      </c>
      <c r="X43" s="137">
        <f t="shared" si="6"/>
        <v>0.11111111111111116</v>
      </c>
      <c r="Y43" s="55"/>
      <c r="Z43" s="113">
        <f t="shared" si="7"/>
        <v>47210</v>
      </c>
      <c r="AA43" s="141">
        <f t="shared" si="8"/>
        <v>83.33333333333333</v>
      </c>
      <c r="AB43" s="38">
        <f t="shared" si="9"/>
        <v>26250</v>
      </c>
    </row>
    <row r="44" spans="3:28" ht="19.5" customHeight="1">
      <c r="C44" s="3" t="s">
        <v>84</v>
      </c>
      <c r="D44" s="90">
        <f>(6.5+20.95)*200</f>
        <v>5490</v>
      </c>
      <c r="G44" s="53"/>
      <c r="Q44" s="70"/>
      <c r="R44" s="140"/>
      <c r="S44" s="138"/>
      <c r="T44" s="10">
        <v>8</v>
      </c>
      <c r="U44" s="1">
        <v>1250</v>
      </c>
      <c r="V44" s="113">
        <f>$V$43*(0.9)</f>
        <v>283.5</v>
      </c>
      <c r="W44" s="113">
        <f t="shared" si="5"/>
        <v>354375</v>
      </c>
      <c r="X44" s="137">
        <f t="shared" si="6"/>
        <v>0.125</v>
      </c>
      <c r="Y44" s="55"/>
      <c r="Z44" s="113">
        <f t="shared" si="7"/>
        <v>59012.5</v>
      </c>
      <c r="AA44" s="141">
        <f t="shared" si="8"/>
        <v>104.16666666666667</v>
      </c>
      <c r="AB44" s="38">
        <f t="shared" si="9"/>
        <v>29531.25</v>
      </c>
    </row>
    <row r="45" spans="3:28" ht="23.25" customHeight="1">
      <c r="C45" s="91" t="s">
        <v>40</v>
      </c>
      <c r="D45" s="107">
        <f>SUM(D37:D44)</f>
        <v>36882</v>
      </c>
      <c r="G45" s="53"/>
      <c r="Q45" s="70"/>
      <c r="R45" s="140"/>
      <c r="S45" s="138"/>
      <c r="T45" s="10">
        <v>9</v>
      </c>
      <c r="U45" s="1">
        <v>1420</v>
      </c>
      <c r="V45" s="113">
        <f>$V$43*(0.85)</f>
        <v>267.75</v>
      </c>
      <c r="W45" s="113">
        <f t="shared" si="5"/>
        <v>380205</v>
      </c>
      <c r="X45" s="137">
        <f t="shared" si="6"/>
        <v>0.07288888888888878</v>
      </c>
      <c r="Y45" s="55"/>
      <c r="Z45" s="113">
        <f t="shared" si="7"/>
        <v>67038.2</v>
      </c>
      <c r="AA45" s="141">
        <f t="shared" si="8"/>
        <v>118.33333333333333</v>
      </c>
      <c r="AB45" s="38">
        <f t="shared" si="9"/>
        <v>31683.75</v>
      </c>
    </row>
    <row r="46" spans="15:28" ht="27" customHeight="1" thickBot="1">
      <c r="O46" s="72"/>
      <c r="Q46" s="70"/>
      <c r="R46" s="140"/>
      <c r="S46" s="138"/>
      <c r="T46" s="115">
        <v>10</v>
      </c>
      <c r="U46" s="116">
        <v>1530</v>
      </c>
      <c r="V46" s="113">
        <f>$V$43*(0.85)</f>
        <v>267.75</v>
      </c>
      <c r="W46" s="117">
        <f t="shared" si="5"/>
        <v>409657.5</v>
      </c>
      <c r="X46" s="137">
        <f t="shared" si="6"/>
        <v>0.07746478873239426</v>
      </c>
      <c r="Y46" s="118"/>
      <c r="Z46" s="113">
        <f t="shared" si="7"/>
        <v>72231.3</v>
      </c>
      <c r="AA46" s="141">
        <f t="shared" si="8"/>
        <v>127.5</v>
      </c>
      <c r="AB46" s="38">
        <f t="shared" si="9"/>
        <v>34138.125</v>
      </c>
    </row>
    <row r="47" spans="19:26" ht="18.75" customHeight="1" thickBot="1">
      <c r="S47" s="86"/>
      <c r="T47" s="212" t="s">
        <v>78</v>
      </c>
      <c r="U47" s="213"/>
      <c r="V47" s="213"/>
      <c r="W47" s="119">
        <f>SUM(W37:W46)</f>
        <v>2579587.5</v>
      </c>
      <c r="X47" s="120"/>
      <c r="Y47" s="121"/>
      <c r="Z47" s="28"/>
    </row>
    <row r="48" spans="11:23" ht="27.75" customHeight="1">
      <c r="K48" s="197" t="s">
        <v>151</v>
      </c>
      <c r="W48" s="71"/>
    </row>
    <row r="49" spans="13:26" ht="18.75" customHeight="1" thickBot="1">
      <c r="M49" s="71"/>
      <c r="S49" s="28"/>
      <c r="T49" s="214"/>
      <c r="U49" s="214"/>
      <c r="V49" s="214"/>
      <c r="W49" s="214"/>
      <c r="X49" s="214"/>
      <c r="Y49" s="122"/>
      <c r="Z49" s="122"/>
    </row>
    <row r="50" spans="11:26" ht="33" customHeight="1" thickBot="1">
      <c r="K50" s="96" t="s">
        <v>103</v>
      </c>
      <c r="L50" s="97" t="s">
        <v>104</v>
      </c>
      <c r="M50" s="97" t="s">
        <v>131</v>
      </c>
      <c r="N50" s="97" t="s">
        <v>105</v>
      </c>
      <c r="O50" s="97" t="s">
        <v>106</v>
      </c>
      <c r="P50" s="98" t="s">
        <v>78</v>
      </c>
      <c r="S50" s="28"/>
      <c r="T50" s="124"/>
      <c r="U50" s="124"/>
      <c r="V50" s="124"/>
      <c r="W50" s="124"/>
      <c r="X50" s="124"/>
      <c r="Y50" s="124"/>
      <c r="Z50" s="124"/>
    </row>
    <row r="51" spans="11:26" ht="33.75" customHeight="1">
      <c r="K51" s="131" t="s">
        <v>127</v>
      </c>
      <c r="L51" s="132" t="s">
        <v>128</v>
      </c>
      <c r="M51" s="133">
        <v>2</v>
      </c>
      <c r="N51" s="134">
        <v>6000</v>
      </c>
      <c r="O51" s="133"/>
      <c r="P51" s="135">
        <f>+N51*M51</f>
        <v>12000</v>
      </c>
      <c r="S51" s="28"/>
      <c r="T51" s="123"/>
      <c r="U51" s="123"/>
      <c r="V51" s="123"/>
      <c r="W51" s="84"/>
      <c r="X51" s="84"/>
      <c r="Y51" s="123"/>
      <c r="Z51" s="123"/>
    </row>
    <row r="52" spans="11:26" ht="47.25" customHeight="1" thickBot="1">
      <c r="K52" s="126" t="s">
        <v>129</v>
      </c>
      <c r="L52" s="127" t="s">
        <v>130</v>
      </c>
      <c r="M52" s="128">
        <v>6</v>
      </c>
      <c r="N52" s="129">
        <v>2000</v>
      </c>
      <c r="O52" s="128">
        <v>96</v>
      </c>
      <c r="P52" s="130">
        <f>+N52*M52</f>
        <v>12000</v>
      </c>
      <c r="S52" s="28"/>
      <c r="T52" s="123"/>
      <c r="U52" s="123"/>
      <c r="V52" s="123"/>
      <c r="W52" s="84"/>
      <c r="X52" s="84"/>
      <c r="Y52" s="123"/>
      <c r="Z52" s="123"/>
    </row>
    <row r="53" spans="11:26" ht="47.25" customHeight="1" thickBot="1">
      <c r="K53" s="144" t="s">
        <v>125</v>
      </c>
      <c r="L53" s="145" t="s">
        <v>126</v>
      </c>
      <c r="M53" s="146">
        <v>6</v>
      </c>
      <c r="N53" s="147">
        <v>1850</v>
      </c>
      <c r="O53" s="148"/>
      <c r="P53" s="149">
        <f>M53*N53</f>
        <v>11100</v>
      </c>
      <c r="S53" s="28"/>
      <c r="T53" s="123"/>
      <c r="U53" s="123"/>
      <c r="V53" s="123"/>
      <c r="W53" s="84"/>
      <c r="X53" s="84"/>
      <c r="Y53" s="123"/>
      <c r="Z53" s="123"/>
    </row>
    <row r="54" spans="11:26" ht="23.25" customHeight="1" thickBot="1">
      <c r="K54" s="215" t="s">
        <v>78</v>
      </c>
      <c r="L54" s="216"/>
      <c r="M54" s="216"/>
      <c r="N54" s="216"/>
      <c r="O54" s="217"/>
      <c r="P54" s="125">
        <f>+P52+P51</f>
        <v>24000</v>
      </c>
      <c r="S54" s="28"/>
      <c r="T54" s="123"/>
      <c r="U54" s="123"/>
      <c r="V54" s="123"/>
      <c r="W54" s="84"/>
      <c r="X54" s="84"/>
      <c r="Y54" s="123"/>
      <c r="Z54" s="123"/>
    </row>
    <row r="55" spans="4:26" ht="15">
      <c r="D55" s="70"/>
      <c r="M55" s="70"/>
      <c r="S55" s="28"/>
      <c r="T55" s="123"/>
      <c r="U55" s="123"/>
      <c r="V55" s="123"/>
      <c r="W55" s="84"/>
      <c r="X55" s="84"/>
      <c r="Y55" s="123"/>
      <c r="Z55" s="123"/>
    </row>
    <row r="56" spans="4:26" ht="15">
      <c r="D56" s="71"/>
      <c r="O56" s="38"/>
      <c r="S56" s="28"/>
      <c r="T56" s="123"/>
      <c r="U56" s="123"/>
      <c r="V56" s="123"/>
      <c r="W56" s="84"/>
      <c r="X56" s="84"/>
      <c r="Y56" s="123"/>
      <c r="Z56" s="123"/>
    </row>
    <row r="57" spans="19:26" ht="24" customHeight="1">
      <c r="S57" s="28"/>
      <c r="T57" s="123"/>
      <c r="U57" s="123"/>
      <c r="V57" s="123"/>
      <c r="W57" s="84"/>
      <c r="X57" s="84"/>
      <c r="Y57" s="123"/>
      <c r="Z57" s="123"/>
    </row>
    <row r="58" spans="19:26" ht="15">
      <c r="S58" s="28"/>
      <c r="T58" s="123"/>
      <c r="U58" s="123"/>
      <c r="V58" s="123"/>
      <c r="W58" s="84"/>
      <c r="X58" s="84"/>
      <c r="Y58" s="123"/>
      <c r="Z58" s="123"/>
    </row>
    <row r="59" spans="19:26" ht="15">
      <c r="S59" s="28"/>
      <c r="T59" s="123"/>
      <c r="U59" s="123"/>
      <c r="V59" s="123"/>
      <c r="W59" s="84"/>
      <c r="X59" s="84"/>
      <c r="Y59" s="28"/>
      <c r="Z59" s="28"/>
    </row>
    <row r="60" spans="19:24" ht="15">
      <c r="S60" s="28"/>
      <c r="T60" s="123"/>
      <c r="U60" s="123"/>
      <c r="V60" s="123"/>
      <c r="W60" s="84"/>
      <c r="X60" s="84"/>
    </row>
    <row r="61" spans="19:24" ht="15">
      <c r="S61" s="28"/>
      <c r="T61" s="207"/>
      <c r="U61" s="207"/>
      <c r="V61" s="207"/>
      <c r="W61" s="206"/>
      <c r="X61" s="206"/>
    </row>
    <row r="62" spans="19:24" ht="15">
      <c r="S62" s="28"/>
      <c r="T62" s="28"/>
      <c r="U62" s="28"/>
      <c r="V62" s="28"/>
      <c r="W62" s="28"/>
      <c r="X62" s="28"/>
    </row>
    <row r="70" ht="15">
      <c r="AG70" s="112"/>
    </row>
  </sheetData>
  <sheetProtection/>
  <mergeCells count="7">
    <mergeCell ref="T61:V61"/>
    <mergeCell ref="B10:E10"/>
    <mergeCell ref="B20:E20"/>
    <mergeCell ref="T47:V47"/>
    <mergeCell ref="T49:X49"/>
    <mergeCell ref="K54:O54"/>
    <mergeCell ref="T35:Y35"/>
  </mergeCells>
  <printOptions/>
  <pageMargins left="0.3" right="0.7086614173228347" top="0.46" bottom="0.51" header="0.31496062992125984" footer="0.31496062992125984"/>
  <pageSetup fitToWidth="5" fitToHeight="1" horizontalDpi="300" verticalDpi="3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0" zoomScaleNormal="80" zoomScaleSheetLayoutView="80" zoomScalePageLayoutView="0" workbookViewId="0" topLeftCell="A1">
      <selection activeCell="A1" sqref="A1:K53"/>
    </sheetView>
  </sheetViews>
  <sheetFormatPr defaultColWidth="9.00390625" defaultRowHeight="15"/>
  <cols>
    <col min="1" max="2" width="9.00390625" style="0" customWidth="1"/>
    <col min="3" max="3" width="34.00390625" style="0" customWidth="1"/>
    <col min="4" max="4" width="15.00390625" style="0" customWidth="1"/>
    <col min="5" max="5" width="14.00390625" style="0" bestFit="1" customWidth="1"/>
    <col min="6" max="6" width="14.7109375" style="0" customWidth="1"/>
    <col min="7" max="7" width="16.421875" style="0" customWidth="1"/>
    <col min="8" max="8" width="16.28125" style="0" customWidth="1"/>
    <col min="9" max="9" width="16.57421875" style="0" customWidth="1"/>
    <col min="10" max="10" width="9.00390625" style="0" customWidth="1"/>
  </cols>
  <sheetData>
    <row r="1" spans="2:10" ht="30">
      <c r="B1" s="24"/>
      <c r="C1" s="224" t="s">
        <v>0</v>
      </c>
      <c r="D1" s="225"/>
      <c r="E1" s="225"/>
      <c r="F1" s="225"/>
      <c r="G1" s="225"/>
      <c r="H1" s="225"/>
      <c r="I1" s="226"/>
      <c r="J1" s="25"/>
    </row>
    <row r="2" spans="2:10" ht="15.75">
      <c r="B2" s="19"/>
      <c r="C2" s="45" t="s">
        <v>20</v>
      </c>
      <c r="D2" s="150">
        <v>0</v>
      </c>
      <c r="E2" s="150">
        <v>1</v>
      </c>
      <c r="F2" s="150">
        <v>2</v>
      </c>
      <c r="G2" s="150">
        <v>3</v>
      </c>
      <c r="H2" s="150">
        <v>4</v>
      </c>
      <c r="I2" s="151">
        <v>5</v>
      </c>
      <c r="J2" s="26"/>
    </row>
    <row r="3" spans="2:10" ht="33.75" customHeight="1">
      <c r="B3" s="19"/>
      <c r="C3" s="227" t="s">
        <v>23</v>
      </c>
      <c r="D3" s="228"/>
      <c r="E3" s="228"/>
      <c r="F3" s="228"/>
      <c r="G3" s="228"/>
      <c r="H3" s="228"/>
      <c r="I3" s="229"/>
      <c r="J3" s="26"/>
    </row>
    <row r="4" spans="2:10" ht="16.5" customHeight="1">
      <c r="B4" s="19"/>
      <c r="C4" s="16" t="s">
        <v>108</v>
      </c>
      <c r="D4" s="3"/>
      <c r="E4" s="21">
        <f>'VARIOS -URINARIOS '!W37</f>
        <v>70000</v>
      </c>
      <c r="F4" s="23">
        <f>'VARIOS -URINARIOS '!W38</f>
        <v>122500</v>
      </c>
      <c r="G4" s="23">
        <f>'VARIOS -URINARIOS '!W39</f>
        <v>175000</v>
      </c>
      <c r="H4" s="23">
        <f>'VARIOS -URINARIOS '!W40</f>
        <v>220500</v>
      </c>
      <c r="I4" s="46">
        <f>'VARIOS -URINARIOS '!W41</f>
        <v>248850</v>
      </c>
      <c r="J4" s="26"/>
    </row>
    <row r="5" spans="2:10" ht="16.5" customHeight="1">
      <c r="B5" s="19"/>
      <c r="C5" s="16" t="s">
        <v>122</v>
      </c>
      <c r="D5" s="3"/>
      <c r="E5" s="21">
        <f>'VARIOS -URINARIOS '!Z37</f>
        <v>9442</v>
      </c>
      <c r="F5" s="21">
        <f>'VARIOS -URINARIOS '!Z38</f>
        <v>16523.5</v>
      </c>
      <c r="G5" s="21">
        <f>'VARIOS -URINARIOS '!Z39</f>
        <v>23605</v>
      </c>
      <c r="H5" s="21">
        <f>'VARIOS -URINARIOS '!Z40</f>
        <v>33047</v>
      </c>
      <c r="I5" s="21">
        <f>'VARIOS -URINARIOS '!Z41</f>
        <v>37295.9</v>
      </c>
      <c r="J5" s="26"/>
    </row>
    <row r="6" spans="2:10" ht="21.75" customHeight="1">
      <c r="B6" s="19"/>
      <c r="C6" s="152" t="s">
        <v>115</v>
      </c>
      <c r="D6" s="153"/>
      <c r="E6" s="154">
        <f>E4-E5</f>
        <v>60558</v>
      </c>
      <c r="F6" s="154">
        <f>F4-F5</f>
        <v>105976.5</v>
      </c>
      <c r="G6" s="154">
        <f>G4-G5</f>
        <v>151395</v>
      </c>
      <c r="H6" s="154">
        <f>H4-H5</f>
        <v>187453</v>
      </c>
      <c r="I6" s="154">
        <f>I4-I5</f>
        <v>211554.1</v>
      </c>
      <c r="J6" s="26"/>
    </row>
    <row r="7" spans="2:10" ht="26.25" customHeight="1">
      <c r="B7" s="19"/>
      <c r="C7" s="227" t="s">
        <v>24</v>
      </c>
      <c r="D7" s="228"/>
      <c r="E7" s="228"/>
      <c r="F7" s="228"/>
      <c r="G7" s="228"/>
      <c r="H7" s="228"/>
      <c r="I7" s="229"/>
      <c r="J7" s="26"/>
    </row>
    <row r="8" spans="1:10" ht="18" customHeight="1">
      <c r="A8" s="15"/>
      <c r="B8" s="27"/>
      <c r="C8" s="221" t="s">
        <v>13</v>
      </c>
      <c r="D8" s="222"/>
      <c r="E8" s="222"/>
      <c r="F8" s="222"/>
      <c r="G8" s="222"/>
      <c r="H8" s="222"/>
      <c r="I8" s="223"/>
      <c r="J8" s="29"/>
    </row>
    <row r="9" spans="2:10" ht="18" customHeight="1">
      <c r="B9" s="19"/>
      <c r="C9" s="16" t="s">
        <v>109</v>
      </c>
      <c r="D9" s="3"/>
      <c r="E9" s="20">
        <f>'VARIOS -URINARIOS '!N18</f>
        <v>33450</v>
      </c>
      <c r="F9" s="20">
        <f>'VARIOS -URINARIOS '!O18</f>
        <v>38233.5</v>
      </c>
      <c r="G9" s="20">
        <f>'VARIOS -URINARIOS '!P18</f>
        <v>43042.380000000005</v>
      </c>
      <c r="H9" s="20">
        <f>'VARIOS -URINARIOS '!Q18</f>
        <v>47352.4014</v>
      </c>
      <c r="I9" s="18">
        <f>'VARIOS -URINARIOS '!R18</f>
        <v>50403.098442</v>
      </c>
      <c r="J9" s="26"/>
    </row>
    <row r="10" spans="2:10" ht="18" customHeight="1">
      <c r="B10" s="19"/>
      <c r="C10" s="16" t="s">
        <v>14</v>
      </c>
      <c r="D10" s="3"/>
      <c r="E10" s="20">
        <f>'VARIOS -URINARIOS '!N26</f>
        <v>3360</v>
      </c>
      <c r="F10" s="20">
        <f>'VARIOS -URINARIOS '!O26</f>
        <v>3460.8</v>
      </c>
      <c r="G10" s="20">
        <f>'VARIOS -URINARIOS '!P26</f>
        <v>3564.624</v>
      </c>
      <c r="H10" s="20">
        <f>'VARIOS -URINARIOS '!Q26</f>
        <v>3671.56272</v>
      </c>
      <c r="I10" s="20">
        <f>'VARIOS -URINARIOS '!R26</f>
        <v>3781.7096016</v>
      </c>
      <c r="J10" s="26"/>
    </row>
    <row r="11" spans="2:10" ht="18" customHeight="1">
      <c r="B11" s="19"/>
      <c r="C11" s="16" t="s">
        <v>15</v>
      </c>
      <c r="D11" s="3"/>
      <c r="E11" s="20">
        <f>'VARIOS -URINARIOS '!N30</f>
        <v>5400</v>
      </c>
      <c r="F11" s="20">
        <f>'VARIOS -URINARIOS '!O30</f>
        <v>5562</v>
      </c>
      <c r="G11" s="20">
        <f>'VARIOS -URINARIOS '!P30</f>
        <v>5728.860000000001</v>
      </c>
      <c r="H11" s="20">
        <f>'VARIOS -URINARIOS '!Q30</f>
        <v>5900.725800000001</v>
      </c>
      <c r="I11" s="20">
        <f>'VARIOS -URINARIOS '!R30</f>
        <v>6077.747574000001</v>
      </c>
      <c r="J11" s="26"/>
    </row>
    <row r="12" spans="2:10" ht="18.75" customHeight="1">
      <c r="B12" s="19"/>
      <c r="C12" s="16" t="s">
        <v>16</v>
      </c>
      <c r="D12" s="3"/>
      <c r="E12" s="20">
        <f>'VARIOS -URINARIOS '!N31</f>
        <v>2520</v>
      </c>
      <c r="F12" s="20">
        <f>'VARIOS -URINARIOS '!O31</f>
        <v>2595.6</v>
      </c>
      <c r="G12" s="20">
        <f>'VARIOS -URINARIOS '!P31</f>
        <v>2673.468</v>
      </c>
      <c r="H12" s="20">
        <f>'VARIOS -URINARIOS '!Q31</f>
        <v>2753.67204</v>
      </c>
      <c r="I12" s="20">
        <f>'VARIOS -URINARIOS '!R31</f>
        <v>2836.2822012</v>
      </c>
      <c r="J12" s="26"/>
    </row>
    <row r="13" spans="1:10" s="15" customFormat="1" ht="17.25" customHeight="1">
      <c r="A13"/>
      <c r="B13" s="19"/>
      <c r="C13" s="16" t="s">
        <v>19</v>
      </c>
      <c r="D13" s="3"/>
      <c r="E13" s="20">
        <f>'VARIOS -URINARIOS '!N32</f>
        <v>1800</v>
      </c>
      <c r="F13" s="20">
        <f>'VARIOS -URINARIOS '!O32</f>
        <v>1854</v>
      </c>
      <c r="G13" s="20">
        <f>'VARIOS -URINARIOS '!P32</f>
        <v>1909.6200000000001</v>
      </c>
      <c r="H13" s="20">
        <f>'VARIOS -URINARIOS '!Q32</f>
        <v>1966.9086000000002</v>
      </c>
      <c r="I13" s="20">
        <f>'VARIOS -URINARIOS '!R32</f>
        <v>2025.9158580000003</v>
      </c>
      <c r="J13" s="26"/>
    </row>
    <row r="14" spans="1:10" s="15" customFormat="1" ht="20.25" customHeight="1">
      <c r="A14"/>
      <c r="B14" s="19"/>
      <c r="C14" s="155" t="s">
        <v>25</v>
      </c>
      <c r="D14" s="150"/>
      <c r="E14" s="156">
        <f>SUM(E9:E13)</f>
        <v>46530</v>
      </c>
      <c r="F14" s="156">
        <f>SUM(F9:F13)</f>
        <v>51705.9</v>
      </c>
      <c r="G14" s="156">
        <f>SUM(G9:G13)</f>
        <v>56918.952000000005</v>
      </c>
      <c r="H14" s="156">
        <f>SUM(H9:H13)</f>
        <v>61645.270560000004</v>
      </c>
      <c r="I14" s="157">
        <f>SUM(I9:I13)</f>
        <v>65124.753676800006</v>
      </c>
      <c r="J14" s="26"/>
    </row>
    <row r="15" spans="2:10" ht="21" customHeight="1">
      <c r="B15" s="19"/>
      <c r="C15" s="221" t="s">
        <v>17</v>
      </c>
      <c r="D15" s="222"/>
      <c r="E15" s="222"/>
      <c r="F15" s="222"/>
      <c r="G15" s="222"/>
      <c r="H15" s="222"/>
      <c r="I15" s="223"/>
      <c r="J15" s="26"/>
    </row>
    <row r="16" spans="2:10" ht="15">
      <c r="B16" s="19"/>
      <c r="C16" s="48" t="s">
        <v>110</v>
      </c>
      <c r="D16" s="32"/>
      <c r="E16" s="20">
        <f>'VARIOS -URINARIOS '!P54</f>
        <v>24000</v>
      </c>
      <c r="F16" s="20">
        <f>E16*'VARIOS -URINARIOS '!$M$14</f>
        <v>24720</v>
      </c>
      <c r="G16" s="20">
        <f>F16*'VARIOS -URINARIOS '!$M$14</f>
        <v>25461.600000000002</v>
      </c>
      <c r="H16" s="20">
        <f>G16*'VARIOS -URINARIOS '!$M$14</f>
        <v>26225.448000000004</v>
      </c>
      <c r="I16" s="20">
        <f>H16*'VARIOS -URINARIOS '!$M$14</f>
        <v>27012.211440000006</v>
      </c>
      <c r="J16" s="26"/>
    </row>
    <row r="17" spans="2:10" ht="15" customHeight="1">
      <c r="B17" s="19"/>
      <c r="C17" s="155" t="s">
        <v>18</v>
      </c>
      <c r="D17" s="150"/>
      <c r="E17" s="156">
        <f>SUM(E16:E16)</f>
        <v>24000</v>
      </c>
      <c r="F17" s="156">
        <f>SUM(F16:F16)</f>
        <v>24720</v>
      </c>
      <c r="G17" s="156">
        <f>SUM(G16:G16)</f>
        <v>25461.600000000002</v>
      </c>
      <c r="H17" s="156">
        <f>SUM(H16:H16)</f>
        <v>26225.448000000004</v>
      </c>
      <c r="I17" s="157">
        <f>SUM(I16:I16)</f>
        <v>27012.211440000006</v>
      </c>
      <c r="J17" s="26"/>
    </row>
    <row r="18" spans="2:10" ht="24" customHeight="1">
      <c r="B18" s="19"/>
      <c r="C18" s="152" t="s">
        <v>30</v>
      </c>
      <c r="D18" s="153"/>
      <c r="E18" s="156">
        <f>E14+E17</f>
        <v>70530</v>
      </c>
      <c r="F18" s="156">
        <f>F14+F17</f>
        <v>76425.9</v>
      </c>
      <c r="G18" s="156">
        <f>G14+G17</f>
        <v>82380.55200000001</v>
      </c>
      <c r="H18" s="156">
        <f>H14+H17</f>
        <v>87870.71856000001</v>
      </c>
      <c r="I18" s="157">
        <f>I14+I17</f>
        <v>92136.96511680001</v>
      </c>
      <c r="J18" s="26"/>
    </row>
    <row r="19" spans="2:10" s="39" customFormat="1" ht="21" customHeight="1">
      <c r="B19" s="40"/>
      <c r="C19" s="48" t="s">
        <v>111</v>
      </c>
      <c r="D19" s="32"/>
      <c r="E19" s="20">
        <f>'VARIOS -URINARIOS '!I5</f>
        <v>3000</v>
      </c>
      <c r="F19" s="20">
        <f aca="true" t="shared" si="0" ref="F19:I23">E19</f>
        <v>3000</v>
      </c>
      <c r="G19" s="20">
        <f t="shared" si="0"/>
        <v>3000</v>
      </c>
      <c r="H19" s="20">
        <f t="shared" si="0"/>
        <v>3000</v>
      </c>
      <c r="I19" s="20">
        <f t="shared" si="0"/>
        <v>3000</v>
      </c>
      <c r="J19" s="43"/>
    </row>
    <row r="20" spans="2:10" s="39" customFormat="1" ht="21" customHeight="1">
      <c r="B20" s="40"/>
      <c r="C20" s="48" t="s">
        <v>112</v>
      </c>
      <c r="D20" s="32"/>
      <c r="E20" s="20">
        <f>'VARIOS -URINARIOS '!I6</f>
        <v>666.6666666666666</v>
      </c>
      <c r="F20" s="20">
        <f t="shared" si="0"/>
        <v>666.6666666666666</v>
      </c>
      <c r="G20" s="20">
        <f t="shared" si="0"/>
        <v>666.6666666666666</v>
      </c>
      <c r="H20" s="20">
        <f t="shared" si="0"/>
        <v>666.6666666666666</v>
      </c>
      <c r="I20" s="20">
        <f t="shared" si="0"/>
        <v>666.6666666666666</v>
      </c>
      <c r="J20" s="43"/>
    </row>
    <row r="21" spans="2:10" s="39" customFormat="1" ht="21" customHeight="1">
      <c r="B21" s="40"/>
      <c r="C21" s="48" t="s">
        <v>26</v>
      </c>
      <c r="D21" s="32"/>
      <c r="E21" s="20">
        <f>'VARIOS -URINARIOS '!I7</f>
        <v>120</v>
      </c>
      <c r="F21" s="20">
        <f aca="true" t="shared" si="1" ref="F21:I22">E21</f>
        <v>120</v>
      </c>
      <c r="G21" s="20">
        <f t="shared" si="1"/>
        <v>120</v>
      </c>
      <c r="H21" s="20">
        <f t="shared" si="1"/>
        <v>120</v>
      </c>
      <c r="I21" s="20">
        <f t="shared" si="1"/>
        <v>120</v>
      </c>
      <c r="J21" s="43"/>
    </row>
    <row r="22" spans="2:10" s="39" customFormat="1" ht="20.25" customHeight="1">
      <c r="B22" s="40"/>
      <c r="C22" s="48" t="s">
        <v>113</v>
      </c>
      <c r="D22" s="32"/>
      <c r="E22" s="20">
        <f>'VARIOS -URINARIOS '!I8</f>
        <v>2700</v>
      </c>
      <c r="F22" s="20">
        <f t="shared" si="1"/>
        <v>2700</v>
      </c>
      <c r="G22" s="20">
        <f t="shared" si="1"/>
        <v>2700</v>
      </c>
      <c r="H22" s="20">
        <f t="shared" si="1"/>
        <v>2700</v>
      </c>
      <c r="I22" s="20">
        <f t="shared" si="1"/>
        <v>2700</v>
      </c>
      <c r="J22" s="43"/>
    </row>
    <row r="23" spans="2:10" s="39" customFormat="1" ht="21" customHeight="1">
      <c r="B23" s="40"/>
      <c r="C23" s="48" t="s">
        <v>114</v>
      </c>
      <c r="D23" s="32"/>
      <c r="E23" s="20">
        <f>'VARIOS -URINARIOS '!I9</f>
        <v>800</v>
      </c>
      <c r="F23" s="20">
        <f t="shared" si="0"/>
        <v>800</v>
      </c>
      <c r="G23" s="20">
        <f t="shared" si="0"/>
        <v>800</v>
      </c>
      <c r="H23" s="20">
        <f t="shared" si="0"/>
        <v>800</v>
      </c>
      <c r="I23" s="20">
        <f t="shared" si="0"/>
        <v>800</v>
      </c>
      <c r="J23" s="43"/>
    </row>
    <row r="24" spans="2:10" s="39" customFormat="1" ht="21" customHeight="1">
      <c r="B24" s="40"/>
      <c r="C24" s="152" t="s">
        <v>136</v>
      </c>
      <c r="D24" s="153"/>
      <c r="E24" s="158">
        <f>E6-(E18+E19+E20+E21+E22+E23)</f>
        <v>-17258.66666666667</v>
      </c>
      <c r="F24" s="158">
        <f>F6-(F18+F19+F20+F21+F22+F23)</f>
        <v>22263.933333333334</v>
      </c>
      <c r="G24" s="158">
        <f>G6-(G18+G19+G20+G21+G22+G23)</f>
        <v>61727.78133333332</v>
      </c>
      <c r="H24" s="158">
        <f>H6-(H18+H19+H20+H21+H22+H23)</f>
        <v>92295.61477333332</v>
      </c>
      <c r="I24" s="158">
        <f>I6-(I18+I19+I20+I21+I22+I23)</f>
        <v>112130.46821653332</v>
      </c>
      <c r="J24" s="43"/>
    </row>
    <row r="25" spans="2:10" s="39" customFormat="1" ht="18" customHeight="1">
      <c r="B25" s="40"/>
      <c r="C25" s="49" t="s">
        <v>137</v>
      </c>
      <c r="D25" s="177">
        <v>0.16</v>
      </c>
      <c r="E25" s="42">
        <f>-'VARIOS -URINARIOS '!V19</f>
        <v>-4000</v>
      </c>
      <c r="F25" s="42">
        <f>-'VARIOS -URINARIOS '!V20</f>
        <v>-2858.968507530808</v>
      </c>
      <c r="G25" s="42">
        <f>-'VARIOS -URINARIOS '!V21</f>
        <v>-1535.371976266545</v>
      </c>
      <c r="H25" s="42"/>
      <c r="I25" s="42"/>
      <c r="J25" s="43"/>
    </row>
    <row r="26" spans="2:10" s="39" customFormat="1" ht="21" customHeight="1">
      <c r="B26" s="40"/>
      <c r="C26" s="152" t="s">
        <v>138</v>
      </c>
      <c r="D26" s="153"/>
      <c r="E26" s="158">
        <f>E24+E25</f>
        <v>-21258.66666666667</v>
      </c>
      <c r="F26" s="158">
        <f>F24+F25</f>
        <v>19404.964825802526</v>
      </c>
      <c r="G26" s="158">
        <f>G24+G25</f>
        <v>60192.409357066776</v>
      </c>
      <c r="H26" s="158">
        <f>H24+H25</f>
        <v>92295.61477333332</v>
      </c>
      <c r="I26" s="158">
        <f>I24+I25</f>
        <v>112130.46821653332</v>
      </c>
      <c r="J26" s="43"/>
    </row>
    <row r="27" spans="2:10" ht="15">
      <c r="B27" s="19"/>
      <c r="C27" s="49" t="s">
        <v>27</v>
      </c>
      <c r="D27" s="177">
        <v>0.25</v>
      </c>
      <c r="E27" s="42">
        <f>IF(E26&lt;0,0,((E26*$D$27)))</f>
        <v>0</v>
      </c>
      <c r="F27" s="42">
        <f>IF(F26&lt;0,0,((F26*$D$27)))</f>
        <v>4851.241206450632</v>
      </c>
      <c r="G27" s="42">
        <f>IF(G26&lt;0,0,((G26*$D$27)))</f>
        <v>15048.102339266694</v>
      </c>
      <c r="H27" s="42">
        <f>IF(H26&lt;0,0,((H26*$D$27)))</f>
        <v>23073.90369333333</v>
      </c>
      <c r="I27" s="42">
        <f>IF(I26&lt;0,0,((I26*$D$27)))</f>
        <v>28032.61705413333</v>
      </c>
      <c r="J27" s="26"/>
    </row>
    <row r="28" spans="2:10" ht="18" customHeight="1">
      <c r="B28" s="19"/>
      <c r="C28" s="152" t="s">
        <v>31</v>
      </c>
      <c r="D28" s="153"/>
      <c r="E28" s="158">
        <f>E26-E27</f>
        <v>-21258.66666666667</v>
      </c>
      <c r="F28" s="158">
        <f>F26-F27</f>
        <v>14553.723619351895</v>
      </c>
      <c r="G28" s="158">
        <f>G26-G27</f>
        <v>45144.30701780008</v>
      </c>
      <c r="H28" s="158">
        <f>H26-H27</f>
        <v>69221.71108</v>
      </c>
      <c r="I28" s="158">
        <f>I26-I27</f>
        <v>84097.8511624</v>
      </c>
      <c r="J28" s="26"/>
    </row>
    <row r="29" spans="2:10" ht="15">
      <c r="B29" s="19"/>
      <c r="C29" s="48" t="s">
        <v>111</v>
      </c>
      <c r="D29" s="41"/>
      <c r="E29" s="44">
        <f>$E$19</f>
        <v>3000</v>
      </c>
      <c r="F29" s="44">
        <f aca="true" t="shared" si="2" ref="F29:I31">E29</f>
        <v>3000</v>
      </c>
      <c r="G29" s="44">
        <f t="shared" si="2"/>
        <v>3000</v>
      </c>
      <c r="H29" s="44">
        <f t="shared" si="2"/>
        <v>3000</v>
      </c>
      <c r="I29" s="44">
        <f t="shared" si="2"/>
        <v>3000</v>
      </c>
      <c r="J29" s="26"/>
    </row>
    <row r="30" spans="2:19" ht="15">
      <c r="B30" s="19"/>
      <c r="C30" s="48" t="s">
        <v>112</v>
      </c>
      <c r="D30" s="32"/>
      <c r="E30" s="34">
        <f>$E$20</f>
        <v>666.6666666666666</v>
      </c>
      <c r="F30" s="34">
        <f t="shared" si="2"/>
        <v>666.6666666666666</v>
      </c>
      <c r="G30" s="34">
        <f t="shared" si="2"/>
        <v>666.6666666666666</v>
      </c>
      <c r="H30" s="34">
        <f t="shared" si="2"/>
        <v>666.6666666666666</v>
      </c>
      <c r="I30" s="34">
        <f t="shared" si="2"/>
        <v>666.6666666666666</v>
      </c>
      <c r="J30" s="26"/>
      <c r="S30" s="53"/>
    </row>
    <row r="31" spans="2:10" ht="15" customHeight="1">
      <c r="B31" s="19"/>
      <c r="C31" s="48" t="s">
        <v>26</v>
      </c>
      <c r="D31" s="3"/>
      <c r="E31" s="34">
        <f>E21</f>
        <v>120</v>
      </c>
      <c r="F31" s="34">
        <f t="shared" si="2"/>
        <v>120</v>
      </c>
      <c r="G31" s="34">
        <f t="shared" si="2"/>
        <v>120</v>
      </c>
      <c r="H31" s="34">
        <f t="shared" si="2"/>
        <v>120</v>
      </c>
      <c r="I31" s="34">
        <f t="shared" si="2"/>
        <v>120</v>
      </c>
      <c r="J31" s="26"/>
    </row>
    <row r="32" spans="2:10" ht="15" customHeight="1">
      <c r="B32" s="19"/>
      <c r="C32" s="48" t="s">
        <v>113</v>
      </c>
      <c r="D32" s="3"/>
      <c r="E32" s="34">
        <f>E22</f>
        <v>2700</v>
      </c>
      <c r="F32" s="34">
        <f aca="true" t="shared" si="3" ref="F32:I33">E32</f>
        <v>2700</v>
      </c>
      <c r="G32" s="34">
        <f t="shared" si="3"/>
        <v>2700</v>
      </c>
      <c r="H32" s="34">
        <f t="shared" si="3"/>
        <v>2700</v>
      </c>
      <c r="I32" s="34">
        <f t="shared" si="3"/>
        <v>2700</v>
      </c>
      <c r="J32" s="26"/>
    </row>
    <row r="33" spans="2:10" ht="15" customHeight="1">
      <c r="B33" s="19"/>
      <c r="C33" s="48" t="s">
        <v>114</v>
      </c>
      <c r="D33" s="3"/>
      <c r="E33" s="34">
        <f>E23</f>
        <v>800</v>
      </c>
      <c r="F33" s="34">
        <f t="shared" si="3"/>
        <v>800</v>
      </c>
      <c r="G33" s="34">
        <f t="shared" si="3"/>
        <v>800</v>
      </c>
      <c r="H33" s="34">
        <f t="shared" si="3"/>
        <v>800</v>
      </c>
      <c r="I33" s="34">
        <f t="shared" si="3"/>
        <v>800</v>
      </c>
      <c r="J33" s="26"/>
    </row>
    <row r="34" spans="2:10" ht="24" customHeight="1">
      <c r="B34" s="19"/>
      <c r="C34" s="48" t="s">
        <v>28</v>
      </c>
      <c r="D34" s="20">
        <f>'VARIOS -URINARIOS '!F10</f>
        <v>52600</v>
      </c>
      <c r="E34" s="3"/>
      <c r="F34" s="3"/>
      <c r="G34" s="3"/>
      <c r="H34" s="3"/>
      <c r="I34" s="50"/>
      <c r="J34" s="26"/>
    </row>
    <row r="35" spans="2:10" ht="24" customHeight="1">
      <c r="B35" s="19"/>
      <c r="C35" s="48" t="s">
        <v>116</v>
      </c>
      <c r="D35" s="20"/>
      <c r="E35" s="136">
        <f>'VARIOS -URINARIOS '!W19</f>
        <v>7131.446827932452</v>
      </c>
      <c r="F35" s="136">
        <f>'VARIOS -URINARIOS '!W20</f>
        <v>8272.478320401644</v>
      </c>
      <c r="G35" s="136">
        <f>'VARIOS -URINARIOS '!W21</f>
        <v>9596.074851665908</v>
      </c>
      <c r="H35" s="3"/>
      <c r="I35" s="34"/>
      <c r="J35" s="26"/>
    </row>
    <row r="36" spans="2:10" ht="21" customHeight="1">
      <c r="B36" s="19"/>
      <c r="C36" s="48" t="s">
        <v>32</v>
      </c>
      <c r="D36" s="36">
        <f>'VARIOS -URINARIOS '!D45</f>
        <v>36882</v>
      </c>
      <c r="E36" s="3"/>
      <c r="F36" s="3"/>
      <c r="G36" s="3"/>
      <c r="H36" s="3"/>
      <c r="I36" s="34">
        <f>D36</f>
        <v>36882</v>
      </c>
      <c r="J36" s="26"/>
    </row>
    <row r="37" spans="2:10" ht="15.75" thickBot="1">
      <c r="B37" s="22"/>
      <c r="C37" s="48" t="s">
        <v>7</v>
      </c>
      <c r="D37" s="3"/>
      <c r="E37" s="3"/>
      <c r="F37" s="3"/>
      <c r="G37" s="3"/>
      <c r="H37" s="3"/>
      <c r="I37" s="50">
        <f>'VARIOS -URINARIOS '!J20</f>
        <v>4475.77</v>
      </c>
      <c r="J37" s="31"/>
    </row>
    <row r="38" spans="3:9" ht="15">
      <c r="C38" s="47" t="s">
        <v>0</v>
      </c>
      <c r="D38" s="33">
        <f>-SUM(D29:D36)</f>
        <v>-89482</v>
      </c>
      <c r="E38" s="33">
        <f>E28+E29+E30+E31+E32+E33+E34-E35+E36+E37</f>
        <v>-21103.446827932457</v>
      </c>
      <c r="F38" s="33">
        <f>F28+F29+F30+F31+F32+F33+F34-F35+F36+F37</f>
        <v>13567.911965616919</v>
      </c>
      <c r="G38" s="33">
        <f>G28+G29+G30+G31+G32+G33+G34-G35+G36+G37</f>
        <v>42834.898832800834</v>
      </c>
      <c r="H38" s="33">
        <f>SUM(H28:H37)</f>
        <v>76508.37774666667</v>
      </c>
      <c r="I38" s="51">
        <f>SUM(I28:I37)</f>
        <v>132742.28782906666</v>
      </c>
    </row>
    <row r="39" spans="3:9" ht="15">
      <c r="C39" s="47" t="s">
        <v>21</v>
      </c>
      <c r="D39" s="37">
        <v>0.12</v>
      </c>
      <c r="E39" s="35"/>
      <c r="F39" s="35"/>
      <c r="G39" s="35"/>
      <c r="H39" s="35"/>
      <c r="I39" s="52"/>
    </row>
    <row r="40" spans="3:9" ht="15">
      <c r="C40" s="161" t="s">
        <v>29</v>
      </c>
      <c r="D40" s="162">
        <f>NPV(D39,E38:I38)+D38</f>
        <v>56924.9242283621</v>
      </c>
      <c r="E40" s="28"/>
      <c r="F40" s="28"/>
      <c r="G40" s="159" t="s">
        <v>22</v>
      </c>
      <c r="H40" s="160">
        <f>IRR(D38:I38)</f>
        <v>0.2472211169757859</v>
      </c>
      <c r="I40" s="26"/>
    </row>
    <row r="41" spans="3:9" ht="15.75" thickBot="1">
      <c r="C41" s="22"/>
      <c r="D41" s="30"/>
      <c r="E41" s="30"/>
      <c r="F41" s="30"/>
      <c r="G41" s="30"/>
      <c r="H41" s="30"/>
      <c r="I41" s="31"/>
    </row>
    <row r="44" ht="15">
      <c r="C44" s="53"/>
    </row>
    <row r="45" ht="15.75">
      <c r="C45" s="197" t="s">
        <v>144</v>
      </c>
    </row>
    <row r="46" ht="15.75" thickBot="1"/>
    <row r="47" spans="3:9" ht="23.25" customHeight="1" thickBot="1">
      <c r="C47" s="174" t="s">
        <v>20</v>
      </c>
      <c r="D47" s="175">
        <v>0</v>
      </c>
      <c r="E47" s="175">
        <v>1</v>
      </c>
      <c r="F47" s="175">
        <v>2</v>
      </c>
      <c r="G47" s="175">
        <v>3</v>
      </c>
      <c r="H47" s="175">
        <v>4</v>
      </c>
      <c r="I47" s="176">
        <v>5</v>
      </c>
    </row>
    <row r="48" spans="3:9" ht="20.25" customHeight="1">
      <c r="C48" s="170" t="s">
        <v>133</v>
      </c>
      <c r="D48" s="171">
        <f aca="true" t="shared" si="4" ref="D48:I48">D38</f>
        <v>-89482</v>
      </c>
      <c r="E48" s="172">
        <f t="shared" si="4"/>
        <v>-21103.446827932457</v>
      </c>
      <c r="F48" s="172">
        <f t="shared" si="4"/>
        <v>13567.911965616919</v>
      </c>
      <c r="G48" s="172">
        <f t="shared" si="4"/>
        <v>42834.898832800834</v>
      </c>
      <c r="H48" s="172">
        <f t="shared" si="4"/>
        <v>76508.37774666667</v>
      </c>
      <c r="I48" s="173">
        <f t="shared" si="4"/>
        <v>132742.28782906666</v>
      </c>
    </row>
    <row r="49" spans="3:9" ht="20.25" customHeight="1">
      <c r="C49" s="16" t="s">
        <v>134</v>
      </c>
      <c r="D49" s="169">
        <f>-D48</f>
        <v>89482</v>
      </c>
      <c r="E49" s="164">
        <f>E48/(1.18)</f>
        <v>-17884.27697282412</v>
      </c>
      <c r="F49" s="164">
        <f>F48/(1.18^2)</f>
        <v>9744.263118081672</v>
      </c>
      <c r="G49" s="164">
        <f>G48/(1.18^3)</f>
        <v>26070.641857736697</v>
      </c>
      <c r="H49" s="164">
        <f>H48/(1.18^4)</f>
        <v>39462.17009765301</v>
      </c>
      <c r="I49" s="165">
        <f>I48/(1.18^5)</f>
        <v>58022.87739360129</v>
      </c>
    </row>
    <row r="50" spans="3:9" ht="20.25" customHeight="1" thickBot="1">
      <c r="C50" s="163" t="s">
        <v>135</v>
      </c>
      <c r="D50" s="167">
        <f>D48</f>
        <v>-89482</v>
      </c>
      <c r="E50" s="167">
        <f>D50+E49</f>
        <v>-107366.27697282413</v>
      </c>
      <c r="F50" s="167">
        <f>E50+F49</f>
        <v>-97622.01385474246</v>
      </c>
      <c r="G50" s="167">
        <f>F50+G49</f>
        <v>-71551.37199700576</v>
      </c>
      <c r="H50" s="167">
        <f>G50+H49</f>
        <v>-32089.201899352745</v>
      </c>
      <c r="I50" s="166">
        <f>H50+I49</f>
        <v>25933.675494248542</v>
      </c>
    </row>
    <row r="54" ht="15">
      <c r="F54" s="168"/>
    </row>
  </sheetData>
  <sheetProtection/>
  <mergeCells count="5">
    <mergeCell ref="C15:I15"/>
    <mergeCell ref="C8:I8"/>
    <mergeCell ref="C1:I1"/>
    <mergeCell ref="C3:I3"/>
    <mergeCell ref="C7:I7"/>
  </mergeCells>
  <printOptions/>
  <pageMargins left="0.07874015748031496" right="0.7086614173228347" top="0.2755905511811024" bottom="0.3937007874015748" header="0.31496062992125984" footer="0.57"/>
  <pageSetup fitToHeight="1" fitToWidth="1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="80" zoomScaleNormal="80" zoomScaleSheetLayoutView="80" zoomScalePageLayoutView="0" workbookViewId="0" topLeftCell="A1">
      <selection activeCell="A1" sqref="A1:U80"/>
    </sheetView>
  </sheetViews>
  <sheetFormatPr defaultColWidth="9.00390625" defaultRowHeight="15"/>
  <cols>
    <col min="1" max="2" width="9.00390625" style="0" customWidth="1"/>
    <col min="3" max="3" width="44.00390625" style="0" customWidth="1"/>
    <col min="4" max="4" width="23.00390625" style="0" customWidth="1"/>
    <col min="5" max="5" width="19.28125" style="0" customWidth="1"/>
    <col min="6" max="6" width="19.57421875" style="0" customWidth="1"/>
    <col min="7" max="7" width="16.421875" style="0" customWidth="1"/>
    <col min="8" max="8" width="16.28125" style="0" customWidth="1"/>
    <col min="9" max="9" width="18.7109375" style="0" customWidth="1"/>
    <col min="10" max="10" width="9.00390625" style="0" customWidth="1"/>
  </cols>
  <sheetData>
    <row r="1" spans="2:10" ht="30">
      <c r="B1" s="24"/>
      <c r="C1" s="224" t="s">
        <v>0</v>
      </c>
      <c r="D1" s="225"/>
      <c r="E1" s="225"/>
      <c r="F1" s="225"/>
      <c r="G1" s="225"/>
      <c r="H1" s="225"/>
      <c r="I1" s="226"/>
      <c r="J1" s="25"/>
    </row>
    <row r="2" spans="2:10" ht="15.75">
      <c r="B2" s="19"/>
      <c r="C2" s="45" t="s">
        <v>20</v>
      </c>
      <c r="D2" s="150">
        <v>0</v>
      </c>
      <c r="E2" s="150">
        <v>1</v>
      </c>
      <c r="F2" s="150">
        <v>2</v>
      </c>
      <c r="G2" s="150">
        <v>3</v>
      </c>
      <c r="H2" s="150">
        <v>4</v>
      </c>
      <c r="I2" s="151">
        <v>5</v>
      </c>
      <c r="J2" s="26"/>
    </row>
    <row r="3" spans="2:10" ht="33.75" customHeight="1">
      <c r="B3" s="19"/>
      <c r="C3" s="227" t="s">
        <v>23</v>
      </c>
      <c r="D3" s="228"/>
      <c r="E3" s="228"/>
      <c r="F3" s="228"/>
      <c r="G3" s="228"/>
      <c r="H3" s="228"/>
      <c r="I3" s="229"/>
      <c r="J3" s="26"/>
    </row>
    <row r="4" spans="2:10" ht="16.5" customHeight="1">
      <c r="B4" s="19"/>
      <c r="C4" s="16" t="s">
        <v>108</v>
      </c>
      <c r="D4" s="3"/>
      <c r="E4" s="21">
        <f>'VARIOS -URINARIOS '!W37</f>
        <v>70000</v>
      </c>
      <c r="F4" s="23">
        <f>'VARIOS -URINARIOS '!W38</f>
        <v>122500</v>
      </c>
      <c r="G4" s="23">
        <f>'VARIOS -URINARIOS '!W39</f>
        <v>175000</v>
      </c>
      <c r="H4" s="23">
        <f>'VARIOS -URINARIOS '!W40</f>
        <v>220500</v>
      </c>
      <c r="I4" s="46">
        <f>'VARIOS -URINARIOS '!W41</f>
        <v>248850</v>
      </c>
      <c r="J4" s="26"/>
    </row>
    <row r="5" spans="2:10" ht="16.5" customHeight="1">
      <c r="B5" s="19"/>
      <c r="C5" s="16" t="s">
        <v>122</v>
      </c>
      <c r="D5" s="3"/>
      <c r="E5" s="21">
        <f>'VARIOS -URINARIOS '!Z37</f>
        <v>9442</v>
      </c>
      <c r="F5" s="21">
        <f>'VARIOS -URINARIOS '!Z38</f>
        <v>16523.5</v>
      </c>
      <c r="G5" s="21">
        <f>'VARIOS -URINARIOS '!Z39</f>
        <v>23605</v>
      </c>
      <c r="H5" s="21">
        <f>'VARIOS -URINARIOS '!Z40</f>
        <v>33047</v>
      </c>
      <c r="I5" s="21">
        <f>'VARIOS -URINARIOS '!Z41</f>
        <v>37295.9</v>
      </c>
      <c r="J5" s="26"/>
    </row>
    <row r="6" spans="2:10" ht="21.75" customHeight="1">
      <c r="B6" s="19"/>
      <c r="C6" s="152" t="s">
        <v>115</v>
      </c>
      <c r="D6" s="153"/>
      <c r="E6" s="154">
        <f>E4-E5</f>
        <v>60558</v>
      </c>
      <c r="F6" s="154">
        <f>F4-F5</f>
        <v>105976.5</v>
      </c>
      <c r="G6" s="154">
        <f>G4-G5</f>
        <v>151395</v>
      </c>
      <c r="H6" s="154">
        <f>H4-H5</f>
        <v>187453</v>
      </c>
      <c r="I6" s="154">
        <f>I4-I5</f>
        <v>211554.1</v>
      </c>
      <c r="J6" s="26"/>
    </row>
    <row r="7" spans="2:10" ht="26.25" customHeight="1">
      <c r="B7" s="19"/>
      <c r="C7" s="227" t="s">
        <v>24</v>
      </c>
      <c r="D7" s="228"/>
      <c r="E7" s="228"/>
      <c r="F7" s="228"/>
      <c r="G7" s="228"/>
      <c r="H7" s="228"/>
      <c r="I7" s="229"/>
      <c r="J7" s="26"/>
    </row>
    <row r="8" spans="1:10" ht="18" customHeight="1">
      <c r="A8" s="15"/>
      <c r="B8" s="27"/>
      <c r="C8" s="221" t="s">
        <v>13</v>
      </c>
      <c r="D8" s="222"/>
      <c r="E8" s="222"/>
      <c r="F8" s="222"/>
      <c r="G8" s="222"/>
      <c r="H8" s="222"/>
      <c r="I8" s="223"/>
      <c r="J8" s="29"/>
    </row>
    <row r="9" spans="2:10" ht="18" customHeight="1">
      <c r="B9" s="19"/>
      <c r="C9" s="16" t="s">
        <v>109</v>
      </c>
      <c r="D9" s="3"/>
      <c r="E9" s="20">
        <f>'VARIOS -URINARIOS '!N18</f>
        <v>33450</v>
      </c>
      <c r="F9" s="20">
        <f>'VARIOS -URINARIOS '!O18</f>
        <v>38233.5</v>
      </c>
      <c r="G9" s="20">
        <f>'VARIOS -URINARIOS '!P18</f>
        <v>43042.380000000005</v>
      </c>
      <c r="H9" s="20">
        <f>'VARIOS -URINARIOS '!Q18</f>
        <v>47352.4014</v>
      </c>
      <c r="I9" s="18">
        <f>'VARIOS -URINARIOS '!R18</f>
        <v>50403.098442</v>
      </c>
      <c r="J9" s="26"/>
    </row>
    <row r="10" spans="2:10" ht="18" customHeight="1">
      <c r="B10" s="19"/>
      <c r="C10" s="16" t="s">
        <v>14</v>
      </c>
      <c r="D10" s="3"/>
      <c r="E10" s="20">
        <f>'VARIOS -URINARIOS '!N26</f>
        <v>3360</v>
      </c>
      <c r="F10" s="20">
        <f>'VARIOS -URINARIOS '!O26</f>
        <v>3460.8</v>
      </c>
      <c r="G10" s="20">
        <f>'VARIOS -URINARIOS '!P26</f>
        <v>3564.624</v>
      </c>
      <c r="H10" s="20">
        <f>'VARIOS -URINARIOS '!Q26</f>
        <v>3671.56272</v>
      </c>
      <c r="I10" s="20">
        <f>'VARIOS -URINARIOS '!R26</f>
        <v>3781.7096016</v>
      </c>
      <c r="J10" s="26"/>
    </row>
    <row r="11" spans="2:10" ht="18" customHeight="1">
      <c r="B11" s="19"/>
      <c r="C11" s="16" t="s">
        <v>15</v>
      </c>
      <c r="D11" s="3"/>
      <c r="E11" s="20">
        <f>'VARIOS -URINARIOS '!N30</f>
        <v>5400</v>
      </c>
      <c r="F11" s="20">
        <f>'VARIOS -URINARIOS '!O30</f>
        <v>5562</v>
      </c>
      <c r="G11" s="20">
        <f>'VARIOS -URINARIOS '!P30</f>
        <v>5728.860000000001</v>
      </c>
      <c r="H11" s="20">
        <f>'VARIOS -URINARIOS '!Q30</f>
        <v>5900.725800000001</v>
      </c>
      <c r="I11" s="20">
        <f>'VARIOS -URINARIOS '!R30</f>
        <v>6077.747574000001</v>
      </c>
      <c r="J11" s="26"/>
    </row>
    <row r="12" spans="2:10" ht="18.75" customHeight="1">
      <c r="B12" s="19"/>
      <c r="C12" s="16" t="s">
        <v>16</v>
      </c>
      <c r="D12" s="3"/>
      <c r="E12" s="20">
        <f>'VARIOS -URINARIOS '!N31</f>
        <v>2520</v>
      </c>
      <c r="F12" s="20">
        <f>'VARIOS -URINARIOS '!O31</f>
        <v>2595.6</v>
      </c>
      <c r="G12" s="20">
        <f>'VARIOS -URINARIOS '!P31</f>
        <v>2673.468</v>
      </c>
      <c r="H12" s="20">
        <f>'VARIOS -URINARIOS '!Q31</f>
        <v>2753.67204</v>
      </c>
      <c r="I12" s="20">
        <f>'VARIOS -URINARIOS '!R31</f>
        <v>2836.2822012</v>
      </c>
      <c r="J12" s="26"/>
    </row>
    <row r="13" spans="1:10" s="15" customFormat="1" ht="17.25" customHeight="1">
      <c r="A13"/>
      <c r="B13" s="19"/>
      <c r="C13" s="16" t="s">
        <v>19</v>
      </c>
      <c r="D13" s="3"/>
      <c r="E13" s="20">
        <f>'VARIOS -URINARIOS '!N32</f>
        <v>1800</v>
      </c>
      <c r="F13" s="20">
        <f>'VARIOS -URINARIOS '!O32</f>
        <v>1854</v>
      </c>
      <c r="G13" s="20">
        <f>'VARIOS -URINARIOS '!P32</f>
        <v>1909.6200000000001</v>
      </c>
      <c r="H13" s="20">
        <f>'VARIOS -URINARIOS '!Q32</f>
        <v>1966.9086000000002</v>
      </c>
      <c r="I13" s="20">
        <f>'VARIOS -URINARIOS '!R32</f>
        <v>2025.9158580000003</v>
      </c>
      <c r="J13" s="26"/>
    </row>
    <row r="14" spans="1:10" s="15" customFormat="1" ht="20.25" customHeight="1">
      <c r="A14"/>
      <c r="B14" s="19"/>
      <c r="C14" s="155" t="s">
        <v>25</v>
      </c>
      <c r="D14" s="150"/>
      <c r="E14" s="156">
        <f>SUM(E9:E13)</f>
        <v>46530</v>
      </c>
      <c r="F14" s="156">
        <f>SUM(F9:F13)</f>
        <v>51705.9</v>
      </c>
      <c r="G14" s="156">
        <f>SUM(G9:G13)</f>
        <v>56918.952000000005</v>
      </c>
      <c r="H14" s="156">
        <f>SUM(H9:H13)</f>
        <v>61645.270560000004</v>
      </c>
      <c r="I14" s="157">
        <f>SUM(I9:I13)</f>
        <v>65124.753676800006</v>
      </c>
      <c r="J14" s="26"/>
    </row>
    <row r="15" spans="2:10" ht="21" customHeight="1">
      <c r="B15" s="19"/>
      <c r="C15" s="221" t="s">
        <v>17</v>
      </c>
      <c r="D15" s="222"/>
      <c r="E15" s="222"/>
      <c r="F15" s="222"/>
      <c r="G15" s="222"/>
      <c r="H15" s="222"/>
      <c r="I15" s="223"/>
      <c r="J15" s="26"/>
    </row>
    <row r="16" spans="2:14" ht="15">
      <c r="B16" s="19"/>
      <c r="C16" s="48" t="s">
        <v>110</v>
      </c>
      <c r="D16" s="32"/>
      <c r="E16" s="20">
        <f>'VARIOS -URINARIOS '!P54</f>
        <v>24000</v>
      </c>
      <c r="F16" s="20">
        <f>E16*'VARIOS -URINARIOS '!$M$14</f>
        <v>24720</v>
      </c>
      <c r="G16" s="20">
        <f>F16*'VARIOS -URINARIOS '!$M$14</f>
        <v>25461.600000000002</v>
      </c>
      <c r="H16" s="20">
        <f>G16*'VARIOS -URINARIOS '!$M$14</f>
        <v>26225.448000000004</v>
      </c>
      <c r="I16" s="20">
        <f>H16*'VARIOS -URINARIOS '!$M$14</f>
        <v>27012.211440000006</v>
      </c>
      <c r="J16" s="26"/>
      <c r="M16" s="189">
        <v>1</v>
      </c>
      <c r="N16" t="s">
        <v>143</v>
      </c>
    </row>
    <row r="17" spans="2:10" ht="15" customHeight="1">
      <c r="B17" s="19"/>
      <c r="C17" s="155" t="s">
        <v>18</v>
      </c>
      <c r="D17" s="150"/>
      <c r="E17" s="156">
        <f>SUM(E16:E16)</f>
        <v>24000</v>
      </c>
      <c r="F17" s="156">
        <f>SUM(F16:F16)</f>
        <v>24720</v>
      </c>
      <c r="G17" s="156">
        <f>SUM(G16:G16)</f>
        <v>25461.600000000002</v>
      </c>
      <c r="H17" s="156">
        <f>SUM(H16:H16)</f>
        <v>26225.448000000004</v>
      </c>
      <c r="I17" s="157">
        <f>SUM(I16:I16)</f>
        <v>27012.211440000006</v>
      </c>
      <c r="J17" s="26"/>
    </row>
    <row r="18" spans="2:10" ht="24" customHeight="1">
      <c r="B18" s="19"/>
      <c r="C18" s="152" t="s">
        <v>30</v>
      </c>
      <c r="D18" s="153"/>
      <c r="E18" s="156">
        <f>(E14+E17)*M16</f>
        <v>70530</v>
      </c>
      <c r="F18" s="156">
        <f>(F14+F17)*M16</f>
        <v>76425.9</v>
      </c>
      <c r="G18" s="156">
        <f>(G14+G17)*M16</f>
        <v>82380.55200000001</v>
      </c>
      <c r="H18" s="156">
        <f>(H14+H17)*M16</f>
        <v>87870.71856000001</v>
      </c>
      <c r="I18" s="157">
        <f>(I14+I17)*M16</f>
        <v>92136.96511680001</v>
      </c>
      <c r="J18" s="26"/>
    </row>
    <row r="19" spans="2:10" s="39" customFormat="1" ht="21" customHeight="1">
      <c r="B19" s="40"/>
      <c r="C19" s="48" t="s">
        <v>111</v>
      </c>
      <c r="D19" s="32"/>
      <c r="E19" s="20">
        <f>'VARIOS -URINARIOS '!I5</f>
        <v>3000</v>
      </c>
      <c r="F19" s="20">
        <f aca="true" t="shared" si="0" ref="F19:I23">E19</f>
        <v>3000</v>
      </c>
      <c r="G19" s="20">
        <f t="shared" si="0"/>
        <v>3000</v>
      </c>
      <c r="H19" s="20">
        <f t="shared" si="0"/>
        <v>3000</v>
      </c>
      <c r="I19" s="20">
        <f t="shared" si="0"/>
        <v>3000</v>
      </c>
      <c r="J19" s="43"/>
    </row>
    <row r="20" spans="2:10" s="39" customFormat="1" ht="21" customHeight="1">
      <c r="B20" s="40"/>
      <c r="C20" s="48" t="s">
        <v>112</v>
      </c>
      <c r="D20" s="32"/>
      <c r="E20" s="20">
        <f>'VARIOS -URINARIOS '!I6</f>
        <v>666.6666666666666</v>
      </c>
      <c r="F20" s="20">
        <f t="shared" si="0"/>
        <v>666.6666666666666</v>
      </c>
      <c r="G20" s="20">
        <f t="shared" si="0"/>
        <v>666.6666666666666</v>
      </c>
      <c r="H20" s="20">
        <f t="shared" si="0"/>
        <v>666.6666666666666</v>
      </c>
      <c r="I20" s="20">
        <f t="shared" si="0"/>
        <v>666.6666666666666</v>
      </c>
      <c r="J20" s="43"/>
    </row>
    <row r="21" spans="2:10" s="39" customFormat="1" ht="21" customHeight="1">
      <c r="B21" s="40"/>
      <c r="C21" s="48" t="s">
        <v>26</v>
      </c>
      <c r="D21" s="32"/>
      <c r="E21" s="20">
        <f>'VARIOS -URINARIOS '!I7</f>
        <v>120</v>
      </c>
      <c r="F21" s="20">
        <f t="shared" si="0"/>
        <v>120</v>
      </c>
      <c r="G21" s="20">
        <f t="shared" si="0"/>
        <v>120</v>
      </c>
      <c r="H21" s="20">
        <f t="shared" si="0"/>
        <v>120</v>
      </c>
      <c r="I21" s="20">
        <f t="shared" si="0"/>
        <v>120</v>
      </c>
      <c r="J21" s="43"/>
    </row>
    <row r="22" spans="2:10" s="39" customFormat="1" ht="20.25" customHeight="1">
      <c r="B22" s="40"/>
      <c r="C22" s="48" t="s">
        <v>113</v>
      </c>
      <c r="D22" s="32"/>
      <c r="E22" s="20">
        <f>'VARIOS -URINARIOS '!I8</f>
        <v>2700</v>
      </c>
      <c r="F22" s="20">
        <f t="shared" si="0"/>
        <v>2700</v>
      </c>
      <c r="G22" s="20">
        <f t="shared" si="0"/>
        <v>2700</v>
      </c>
      <c r="H22" s="20">
        <f t="shared" si="0"/>
        <v>2700</v>
      </c>
      <c r="I22" s="20">
        <f t="shared" si="0"/>
        <v>2700</v>
      </c>
      <c r="J22" s="43"/>
    </row>
    <row r="23" spans="2:10" s="39" customFormat="1" ht="21" customHeight="1">
      <c r="B23" s="40"/>
      <c r="C23" s="48" t="s">
        <v>114</v>
      </c>
      <c r="D23" s="32"/>
      <c r="E23" s="20">
        <f>'VARIOS -URINARIOS '!I9</f>
        <v>800</v>
      </c>
      <c r="F23" s="20">
        <f t="shared" si="0"/>
        <v>800</v>
      </c>
      <c r="G23" s="20">
        <f t="shared" si="0"/>
        <v>800</v>
      </c>
      <c r="H23" s="20">
        <f t="shared" si="0"/>
        <v>800</v>
      </c>
      <c r="I23" s="20">
        <f t="shared" si="0"/>
        <v>800</v>
      </c>
      <c r="J23" s="43"/>
    </row>
    <row r="24" spans="2:10" s="39" customFormat="1" ht="21" customHeight="1">
      <c r="B24" s="40"/>
      <c r="C24" s="152" t="s">
        <v>136</v>
      </c>
      <c r="D24" s="153"/>
      <c r="E24" s="158">
        <f>E6-(E18+E19+E20+E21+E22+E23)</f>
        <v>-17258.66666666667</v>
      </c>
      <c r="F24" s="158">
        <f>F6-(F18+F19+F20+F21+F22+F23)</f>
        <v>22263.933333333334</v>
      </c>
      <c r="G24" s="158">
        <f>G6-(G18+G19+G20+G21+G22+G23)</f>
        <v>61727.78133333332</v>
      </c>
      <c r="H24" s="158">
        <f>H6-(H18+H19+H20+H21+H22+H23)</f>
        <v>92295.61477333332</v>
      </c>
      <c r="I24" s="158">
        <f>I6-(I18+I19+I20+I21+I22+I23)</f>
        <v>112130.46821653332</v>
      </c>
      <c r="J24" s="43"/>
    </row>
    <row r="25" spans="2:10" s="39" customFormat="1" ht="18" customHeight="1">
      <c r="B25" s="40"/>
      <c r="C25" s="49" t="s">
        <v>137</v>
      </c>
      <c r="D25" s="177">
        <v>0.16</v>
      </c>
      <c r="E25" s="42">
        <f>-'VARIOS -URINARIOS '!V19</f>
        <v>-4000</v>
      </c>
      <c r="F25" s="42">
        <f>-'VARIOS -URINARIOS '!V20</f>
        <v>-2858.968507530808</v>
      </c>
      <c r="G25" s="42">
        <f>-'VARIOS -URINARIOS '!V21</f>
        <v>-1535.371976266545</v>
      </c>
      <c r="H25" s="42"/>
      <c r="I25" s="42"/>
      <c r="J25" s="43"/>
    </row>
    <row r="26" spans="2:10" s="39" customFormat="1" ht="21" customHeight="1">
      <c r="B26" s="40"/>
      <c r="C26" s="152" t="s">
        <v>138</v>
      </c>
      <c r="D26" s="153"/>
      <c r="E26" s="158">
        <f>E24+E25</f>
        <v>-21258.66666666667</v>
      </c>
      <c r="F26" s="158">
        <f>F24+F25</f>
        <v>19404.964825802526</v>
      </c>
      <c r="G26" s="158">
        <f>G24+G25</f>
        <v>60192.409357066776</v>
      </c>
      <c r="H26" s="158">
        <f>H24+H25</f>
        <v>92295.61477333332</v>
      </c>
      <c r="I26" s="158">
        <f>I24+I25</f>
        <v>112130.46821653332</v>
      </c>
      <c r="J26" s="43"/>
    </row>
    <row r="27" spans="2:10" ht="15">
      <c r="B27" s="19"/>
      <c r="C27" s="49" t="s">
        <v>27</v>
      </c>
      <c r="D27" s="177">
        <v>0.25</v>
      </c>
      <c r="E27" s="42">
        <f>IF(E26&lt;0,0,((E26*$D$27)))</f>
        <v>0</v>
      </c>
      <c r="F27" s="42">
        <f>IF(F26&lt;0,0,((F26*$D$27)))</f>
        <v>4851.241206450632</v>
      </c>
      <c r="G27" s="42">
        <f>IF(G26&lt;0,0,((G26*$D$27)))</f>
        <v>15048.102339266694</v>
      </c>
      <c r="H27" s="42">
        <f>IF(H26&lt;0,0,((H26*$D$27)))</f>
        <v>23073.90369333333</v>
      </c>
      <c r="I27" s="42">
        <f>IF(I26&lt;0,0,((I26*$D$27)))</f>
        <v>28032.61705413333</v>
      </c>
      <c r="J27" s="26"/>
    </row>
    <row r="28" spans="2:10" ht="18" customHeight="1">
      <c r="B28" s="19"/>
      <c r="C28" s="152" t="s">
        <v>31</v>
      </c>
      <c r="D28" s="153"/>
      <c r="E28" s="158">
        <f>E26-E27</f>
        <v>-21258.66666666667</v>
      </c>
      <c r="F28" s="158">
        <f>F26-F27</f>
        <v>14553.723619351895</v>
      </c>
      <c r="G28" s="158">
        <f>G26-G27</f>
        <v>45144.30701780008</v>
      </c>
      <c r="H28" s="158">
        <f>H26-H27</f>
        <v>69221.71108</v>
      </c>
      <c r="I28" s="158">
        <f>I26-I27</f>
        <v>84097.8511624</v>
      </c>
      <c r="J28" s="26"/>
    </row>
    <row r="29" spans="2:10" ht="15">
      <c r="B29" s="19"/>
      <c r="C29" s="48" t="s">
        <v>111</v>
      </c>
      <c r="D29" s="41"/>
      <c r="E29" s="44">
        <f>$E$19</f>
        <v>3000</v>
      </c>
      <c r="F29" s="44">
        <f aca="true" t="shared" si="1" ref="F29:I33">E29</f>
        <v>3000</v>
      </c>
      <c r="G29" s="44">
        <f t="shared" si="1"/>
        <v>3000</v>
      </c>
      <c r="H29" s="44">
        <f t="shared" si="1"/>
        <v>3000</v>
      </c>
      <c r="I29" s="44">
        <f t="shared" si="1"/>
        <v>3000</v>
      </c>
      <c r="J29" s="26"/>
    </row>
    <row r="30" spans="2:19" ht="15">
      <c r="B30" s="19"/>
      <c r="C30" s="48" t="s">
        <v>112</v>
      </c>
      <c r="D30" s="32"/>
      <c r="E30" s="34">
        <f>$E$20</f>
        <v>666.6666666666666</v>
      </c>
      <c r="F30" s="34">
        <f t="shared" si="1"/>
        <v>666.6666666666666</v>
      </c>
      <c r="G30" s="34">
        <f t="shared" si="1"/>
        <v>666.6666666666666</v>
      </c>
      <c r="H30" s="34">
        <f t="shared" si="1"/>
        <v>666.6666666666666</v>
      </c>
      <c r="I30" s="34">
        <f t="shared" si="1"/>
        <v>666.6666666666666</v>
      </c>
      <c r="J30" s="26"/>
      <c r="S30" s="53"/>
    </row>
    <row r="31" spans="2:10" ht="15" customHeight="1">
      <c r="B31" s="19"/>
      <c r="C31" s="48" t="s">
        <v>26</v>
      </c>
      <c r="D31" s="3"/>
      <c r="E31" s="34">
        <f>E21</f>
        <v>120</v>
      </c>
      <c r="F31" s="34">
        <f t="shared" si="1"/>
        <v>120</v>
      </c>
      <c r="G31" s="34">
        <f t="shared" si="1"/>
        <v>120</v>
      </c>
      <c r="H31" s="34">
        <f t="shared" si="1"/>
        <v>120</v>
      </c>
      <c r="I31" s="34">
        <f t="shared" si="1"/>
        <v>120</v>
      </c>
      <c r="J31" s="26"/>
    </row>
    <row r="32" spans="2:10" ht="15" customHeight="1">
      <c r="B32" s="19"/>
      <c r="C32" s="48" t="s">
        <v>113</v>
      </c>
      <c r="D32" s="3"/>
      <c r="E32" s="34">
        <f>E22</f>
        <v>2700</v>
      </c>
      <c r="F32" s="34">
        <f t="shared" si="1"/>
        <v>2700</v>
      </c>
      <c r="G32" s="34">
        <f t="shared" si="1"/>
        <v>2700</v>
      </c>
      <c r="H32" s="34">
        <f t="shared" si="1"/>
        <v>2700</v>
      </c>
      <c r="I32" s="34">
        <f t="shared" si="1"/>
        <v>2700</v>
      </c>
      <c r="J32" s="26"/>
    </row>
    <row r="33" spans="2:10" ht="15" customHeight="1">
      <c r="B33" s="19"/>
      <c r="C33" s="48" t="s">
        <v>114</v>
      </c>
      <c r="D33" s="3"/>
      <c r="E33" s="34">
        <f>E23</f>
        <v>800</v>
      </c>
      <c r="F33" s="34">
        <f t="shared" si="1"/>
        <v>800</v>
      </c>
      <c r="G33" s="34">
        <f t="shared" si="1"/>
        <v>800</v>
      </c>
      <c r="H33" s="34">
        <f t="shared" si="1"/>
        <v>800</v>
      </c>
      <c r="I33" s="34">
        <f t="shared" si="1"/>
        <v>800</v>
      </c>
      <c r="J33" s="26"/>
    </row>
    <row r="34" spans="2:10" ht="24" customHeight="1">
      <c r="B34" s="19"/>
      <c r="C34" s="48" t="s">
        <v>28</v>
      </c>
      <c r="D34" s="20">
        <f>'VARIOS -URINARIOS '!F10</f>
        <v>52600</v>
      </c>
      <c r="E34" s="3"/>
      <c r="F34" s="3"/>
      <c r="G34" s="3"/>
      <c r="H34" s="3"/>
      <c r="I34" s="50"/>
      <c r="J34" s="26"/>
    </row>
    <row r="35" spans="2:10" ht="24" customHeight="1">
      <c r="B35" s="19"/>
      <c r="C35" s="48" t="s">
        <v>116</v>
      </c>
      <c r="D35" s="20"/>
      <c r="E35" s="136">
        <f>'VARIOS -URINARIOS '!W19</f>
        <v>7131.446827932452</v>
      </c>
      <c r="F35" s="136">
        <f>'VARIOS -URINARIOS '!W20</f>
        <v>8272.478320401644</v>
      </c>
      <c r="G35" s="136">
        <f>'VARIOS -URINARIOS '!W21</f>
        <v>9596.074851665908</v>
      </c>
      <c r="H35" s="3"/>
      <c r="I35" s="34"/>
      <c r="J35" s="26"/>
    </row>
    <row r="36" spans="2:10" ht="21" customHeight="1">
      <c r="B36" s="19"/>
      <c r="C36" s="48" t="s">
        <v>32</v>
      </c>
      <c r="D36" s="36">
        <f>'VARIOS -URINARIOS '!D45</f>
        <v>36882</v>
      </c>
      <c r="E36" s="3"/>
      <c r="F36" s="3"/>
      <c r="G36" s="3"/>
      <c r="H36" s="3"/>
      <c r="I36" s="34">
        <f>D36</f>
        <v>36882</v>
      </c>
      <c r="J36" s="26"/>
    </row>
    <row r="37" spans="2:10" ht="15.75" thickBot="1">
      <c r="B37" s="22"/>
      <c r="C37" s="48" t="s">
        <v>7</v>
      </c>
      <c r="D37" s="3"/>
      <c r="E37" s="3"/>
      <c r="F37" s="3"/>
      <c r="G37" s="3"/>
      <c r="H37" s="3"/>
      <c r="I37" s="50">
        <f>'VARIOS -URINARIOS '!J20</f>
        <v>4475.77</v>
      </c>
      <c r="J37" s="31"/>
    </row>
    <row r="38" spans="3:9" ht="15">
      <c r="C38" s="47" t="s">
        <v>0</v>
      </c>
      <c r="D38" s="33">
        <f>-SUM(D29:D36)</f>
        <v>-89482</v>
      </c>
      <c r="E38" s="33">
        <f>E28+E29+E30+E31+E32+E33+E34-E35+E36+E37</f>
        <v>-21103.446827932457</v>
      </c>
      <c r="F38" s="33">
        <f>F28+F29+F30+F31+F32+F33+F34-F35+F36+F37</f>
        <v>13567.911965616919</v>
      </c>
      <c r="G38" s="33">
        <f>G28+G29+G30+G31+G32+G33+G34-G35+G36+G37</f>
        <v>42834.898832800834</v>
      </c>
      <c r="H38" s="33">
        <f>SUM(H28:H37)</f>
        <v>76508.37774666667</v>
      </c>
      <c r="I38" s="51">
        <f>SUM(I28:I37)</f>
        <v>132742.28782906666</v>
      </c>
    </row>
    <row r="39" spans="3:9" ht="15">
      <c r="C39" s="47" t="s">
        <v>21</v>
      </c>
      <c r="D39" s="37">
        <v>0.12</v>
      </c>
      <c r="E39" s="35"/>
      <c r="F39" s="35"/>
      <c r="G39" s="35"/>
      <c r="H39" s="35"/>
      <c r="I39" s="52"/>
    </row>
    <row r="40" spans="3:9" ht="15">
      <c r="C40" s="161" t="s">
        <v>29</v>
      </c>
      <c r="D40" s="162">
        <f>NPV(D39,E38:I38)+D38</f>
        <v>56924.9242283621</v>
      </c>
      <c r="E40" s="28"/>
      <c r="F40" s="28"/>
      <c r="G40" s="159" t="s">
        <v>22</v>
      </c>
      <c r="H40" s="160">
        <f>IRR(D38:I38)</f>
        <v>0.2472211169757859</v>
      </c>
      <c r="I40" s="26"/>
    </row>
    <row r="41" spans="3:9" ht="15.75" thickBot="1">
      <c r="C41" s="22"/>
      <c r="D41" s="30"/>
      <c r="E41" s="30"/>
      <c r="F41" s="30"/>
      <c r="G41" s="30"/>
      <c r="H41" s="30"/>
      <c r="I41" s="31"/>
    </row>
    <row r="44" spans="2:3" ht="15.75" thickBot="1">
      <c r="B44" s="196" t="s">
        <v>139</v>
      </c>
      <c r="C44" s="53"/>
    </row>
    <row r="45" spans="4:9" ht="24" customHeight="1" thickBot="1">
      <c r="D45" s="183" t="s">
        <v>21</v>
      </c>
      <c r="E45" s="184" t="s">
        <v>29</v>
      </c>
      <c r="F45" s="190" t="s">
        <v>140</v>
      </c>
      <c r="G45" s="184" t="s">
        <v>29</v>
      </c>
      <c r="H45" s="190" t="s">
        <v>142</v>
      </c>
      <c r="I45" s="184" t="s">
        <v>29</v>
      </c>
    </row>
    <row r="46" spans="4:9" ht="15">
      <c r="D46" s="182">
        <v>0</v>
      </c>
      <c r="E46" s="194">
        <f aca="true" t="shared" si="2" ref="E46:E52">NPV(D46,$E$38:$I$38)+$D$38</f>
        <v>155068.02954621863</v>
      </c>
      <c r="F46" s="191">
        <v>0.05</v>
      </c>
      <c r="G46" s="188">
        <v>27269.38</v>
      </c>
      <c r="H46" s="191">
        <v>0.05</v>
      </c>
      <c r="I46" s="188">
        <v>45237.98</v>
      </c>
    </row>
    <row r="47" spans="2:9" ht="15">
      <c r="B47" s="53">
        <v>0.1</v>
      </c>
      <c r="D47" s="180">
        <v>0.05</v>
      </c>
      <c r="E47" s="186">
        <f t="shared" si="2"/>
        <v>106679.05909195275</v>
      </c>
      <c r="F47" s="192">
        <v>0.06</v>
      </c>
      <c r="G47" s="18">
        <v>21478.78</v>
      </c>
      <c r="H47" s="192">
        <v>0.1</v>
      </c>
      <c r="I47" s="18">
        <v>33551.04</v>
      </c>
    </row>
    <row r="48" spans="4:9" ht="15">
      <c r="D48" s="180">
        <v>0.1</v>
      </c>
      <c r="E48" s="186">
        <f t="shared" si="2"/>
        <v>69407.46064510566</v>
      </c>
      <c r="F48" s="192">
        <v>0.07</v>
      </c>
      <c r="G48" s="18">
        <v>15718.21</v>
      </c>
      <c r="H48" s="192">
        <v>0.15</v>
      </c>
      <c r="I48" s="18">
        <v>21864.1</v>
      </c>
    </row>
    <row r="49" spans="4:9" ht="15">
      <c r="D49" s="180">
        <v>0.15</v>
      </c>
      <c r="E49" s="186">
        <f t="shared" si="2"/>
        <v>40331.399270348935</v>
      </c>
      <c r="F49" s="192">
        <v>0.08</v>
      </c>
      <c r="G49" s="18">
        <v>9987.68</v>
      </c>
      <c r="H49" s="192">
        <v>0.2</v>
      </c>
      <c r="I49" s="18">
        <v>10177.15</v>
      </c>
    </row>
    <row r="50" spans="4:9" ht="15">
      <c r="D50" s="180">
        <v>0.2</v>
      </c>
      <c r="E50" s="186">
        <f t="shared" si="2"/>
        <v>17385.219641559437</v>
      </c>
      <c r="F50" s="192">
        <v>0.09</v>
      </c>
      <c r="G50" s="18">
        <v>4296.19</v>
      </c>
      <c r="H50" s="192">
        <v>0.25</v>
      </c>
      <c r="I50" s="186">
        <v>-1509.79</v>
      </c>
    </row>
    <row r="51" spans="4:9" ht="15">
      <c r="D51" s="185">
        <f>IRR(D38:I38)</f>
        <v>0.2472211169757859</v>
      </c>
      <c r="E51" s="195">
        <f t="shared" si="2"/>
        <v>0</v>
      </c>
      <c r="F51" s="192">
        <v>0.1</v>
      </c>
      <c r="G51" s="186">
        <v>-1356.27</v>
      </c>
      <c r="H51" s="192">
        <v>0.3</v>
      </c>
      <c r="I51" s="186">
        <v>-13898.82</v>
      </c>
    </row>
    <row r="52" spans="4:9" ht="15">
      <c r="D52" s="180">
        <v>0.25</v>
      </c>
      <c r="E52" s="186">
        <f t="shared" si="2"/>
        <v>-915.0012010938808</v>
      </c>
      <c r="F52" s="192">
        <v>0.11</v>
      </c>
      <c r="G52" s="186">
        <v>-6969.7</v>
      </c>
      <c r="H52" s="192">
        <v>0.35</v>
      </c>
      <c r="I52" s="186">
        <v>-26347.34</v>
      </c>
    </row>
    <row r="53" spans="4:9" ht="15.75" thickBot="1">
      <c r="D53" s="180">
        <v>0.3</v>
      </c>
      <c r="E53" s="186">
        <f>NPV(D53,$E$38:$I$38)+$D$38</f>
        <v>-15651.007756577921</v>
      </c>
      <c r="F53" s="193">
        <v>0.12</v>
      </c>
      <c r="G53" s="187">
        <v>-12544.09</v>
      </c>
      <c r="H53" s="193">
        <v>0.4</v>
      </c>
      <c r="I53" s="187">
        <v>-38795.87</v>
      </c>
    </row>
    <row r="54" spans="4:5" ht="15">
      <c r="D54" s="180">
        <v>0.35</v>
      </c>
      <c r="E54" s="186">
        <f>NPV(D54,$E$38:$I$38)+$D$38</f>
        <v>-27622.041629265732</v>
      </c>
    </row>
    <row r="55" spans="4:5" ht="15">
      <c r="D55" s="180">
        <v>0.4</v>
      </c>
      <c r="E55" s="186">
        <f>NPV(D55,$E$38:$I$38)+$D$38</f>
        <v>-37425.98028236798</v>
      </c>
    </row>
    <row r="56" spans="4:5" ht="15">
      <c r="D56" s="180">
        <v>0.45</v>
      </c>
      <c r="E56" s="186">
        <f>NPV(D56,$E$38:$I$38)+$D$38</f>
        <v>-45515.22000155792</v>
      </c>
    </row>
    <row r="57" spans="4:6" ht="15.75" thickBot="1">
      <c r="D57" s="181">
        <v>0.5</v>
      </c>
      <c r="E57" s="187">
        <f>NPV(D57,$E$38:$I$38)+$D$38</f>
        <v>-52235.72771813431</v>
      </c>
      <c r="F57" s="123"/>
    </row>
    <row r="58" spans="4:6" ht="15">
      <c r="D58" s="178"/>
      <c r="E58" s="179"/>
      <c r="F58" s="109"/>
    </row>
    <row r="59" spans="4:6" ht="15">
      <c r="D59" s="178"/>
      <c r="E59" s="179"/>
      <c r="F59" s="109"/>
    </row>
  </sheetData>
  <sheetProtection/>
  <mergeCells count="5">
    <mergeCell ref="C15:I15"/>
    <mergeCell ref="C1:I1"/>
    <mergeCell ref="C3:I3"/>
    <mergeCell ref="C7:I7"/>
    <mergeCell ref="C8:I8"/>
  </mergeCells>
  <printOptions/>
  <pageMargins left="0.07874015748031496" right="0.7086614173228347" top="0.2755905511811024" bottom="0.3937007874015748" header="0.31496062992125984" footer="0.31496062992125984"/>
  <pageSetup fitToWidth="2" fitToHeight="1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daychi</dc:creator>
  <cp:keywords/>
  <dc:description/>
  <cp:lastModifiedBy>usuario</cp:lastModifiedBy>
  <cp:lastPrinted>2010-09-21T13:24:35Z</cp:lastPrinted>
  <dcterms:created xsi:type="dcterms:W3CDTF">2009-04-12T18:54:57Z</dcterms:created>
  <dcterms:modified xsi:type="dcterms:W3CDTF">2010-09-21T13:25:16Z</dcterms:modified>
  <cp:category/>
  <cp:version/>
  <cp:contentType/>
  <cp:contentStatus/>
</cp:coreProperties>
</file>