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mbeddings/oleObject3.bin" ContentType="application/vnd.openxmlformats-officedocument.oleObject"/>
  <Default Extension="emf" ContentType="image/x-emf"/>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00" yWindow="75" windowWidth="6900" windowHeight="6015" tabRatio="601" firstSheet="10" activeTab="12"/>
  </bookViews>
  <sheets>
    <sheet name="Introducción" sheetId="19" r:id="rId1"/>
    <sheet name="1.Instrucciones" sheetId="18" r:id="rId2"/>
    <sheet name="3.Supuesto para Resultados" sheetId="11" r:id="rId3"/>
    <sheet name="2.Supuestos para Balance" sheetId="4" r:id="rId4"/>
    <sheet name="4.Proyección Balance" sheetId="16" r:id="rId5"/>
    <sheet name="5.Proyección Ingresos" sheetId="6" r:id="rId6"/>
    <sheet name="6.Proyección Egresos" sheetId="9" r:id="rId7"/>
    <sheet name="7.Balance Proyectado" sheetId="17" r:id="rId8"/>
    <sheet name="8.Estado de Resultado proyectad" sheetId="1" r:id="rId9"/>
    <sheet name="9.Cash Flow" sheetId="8" r:id="rId10"/>
    <sheet name="10.Valoración" sheetId="14" r:id="rId11"/>
    <sheet name="11.Anexo _Macrofinancieros" sheetId="12" r:id="rId12"/>
    <sheet name="12.Anexo_Macroeconómicos" sheetId="13" r:id="rId13"/>
  </sheets>
  <externalReferences>
    <externalReference r:id="rId14"/>
  </externalReferences>
  <calcPr calcId="125725"/>
</workbook>
</file>

<file path=xl/calcChain.xml><?xml version="1.0" encoding="utf-8"?>
<calcChain xmlns="http://schemas.openxmlformats.org/spreadsheetml/2006/main">
  <c r="D37" i="17"/>
  <c r="D36"/>
  <c r="D35"/>
  <c r="E82" i="16"/>
  <c r="F82" s="1"/>
  <c r="G82" s="1"/>
  <c r="H82" s="1"/>
  <c r="D82"/>
  <c r="D72"/>
  <c r="E72" s="1"/>
  <c r="F72" s="1"/>
  <c r="G72" s="1"/>
  <c r="H72" s="1"/>
  <c r="D63"/>
  <c r="E63" s="1"/>
  <c r="F63" s="1"/>
  <c r="G63" s="1"/>
  <c r="C65" i="9"/>
  <c r="C69" s="1"/>
  <c r="C72"/>
  <c r="D72" s="1"/>
  <c r="D105" i="16"/>
  <c r="C11" i="9"/>
  <c r="C20"/>
  <c r="D20" s="1"/>
  <c r="I12"/>
  <c r="C12"/>
  <c r="C21" s="1"/>
  <c r="C13"/>
  <c r="C22" s="1"/>
  <c r="G12"/>
  <c r="C14"/>
  <c r="C23"/>
  <c r="D23" s="1"/>
  <c r="C43"/>
  <c r="C52"/>
  <c r="D52" s="1"/>
  <c r="F44"/>
  <c r="C70"/>
  <c r="D70" s="1"/>
  <c r="C71"/>
  <c r="D71" s="1"/>
  <c r="C83"/>
  <c r="C91"/>
  <c r="C84"/>
  <c r="D91"/>
  <c r="E41" i="1" s="1"/>
  <c r="C92" i="9"/>
  <c r="D92" s="1"/>
  <c r="C93"/>
  <c r="D93" s="1"/>
  <c r="C121"/>
  <c r="C132" s="1"/>
  <c r="D132" s="1"/>
  <c r="D64" i="16"/>
  <c r="E64" s="1"/>
  <c r="D73"/>
  <c r="E73" s="1"/>
  <c r="F73" s="1"/>
  <c r="G73" s="1"/>
  <c r="H73" s="1"/>
  <c r="D83"/>
  <c r="E83" s="1"/>
  <c r="F83" s="1"/>
  <c r="G83" s="1"/>
  <c r="H83" s="1"/>
  <c r="C125" i="9"/>
  <c r="C136" s="1"/>
  <c r="C145"/>
  <c r="C149" s="1"/>
  <c r="E78" i="17"/>
  <c r="E77"/>
  <c r="E76"/>
  <c r="E75"/>
  <c r="E65"/>
  <c r="E64"/>
  <c r="E37"/>
  <c r="F36"/>
  <c r="E36"/>
  <c r="E105" i="16"/>
  <c r="F105" s="1"/>
  <c r="H105" s="1"/>
  <c r="H125" s="1"/>
  <c r="H61" i="1" s="1"/>
  <c r="L105" i="16"/>
  <c r="L106"/>
  <c r="G105"/>
  <c r="D66"/>
  <c r="C73" i="9"/>
  <c r="D73" s="1"/>
  <c r="E73" s="1"/>
  <c r="F73" s="1"/>
  <c r="G73" s="1"/>
  <c r="I11"/>
  <c r="B30"/>
  <c r="G11"/>
  <c r="B33"/>
  <c r="D13" i="6"/>
  <c r="C23" s="1"/>
  <c r="D14"/>
  <c r="C24" s="1"/>
  <c r="D24" s="1"/>
  <c r="E24" s="1"/>
  <c r="F24" s="1"/>
  <c r="G24" s="1"/>
  <c r="D15"/>
  <c r="C25" s="1"/>
  <c r="D25" s="1"/>
  <c r="E25" s="1"/>
  <c r="F25" s="1"/>
  <c r="G25" s="1"/>
  <c r="H12"/>
  <c r="B82"/>
  <c r="E63"/>
  <c r="D67" s="1"/>
  <c r="C47"/>
  <c r="E15" i="17"/>
  <c r="E16"/>
  <c r="F16" s="1"/>
  <c r="E17"/>
  <c r="F17" s="1"/>
  <c r="G17" s="1"/>
  <c r="H17" s="1"/>
  <c r="I17" s="1"/>
  <c r="F15"/>
  <c r="G15"/>
  <c r="H15" s="1"/>
  <c r="B92" i="6"/>
  <c r="B87"/>
  <c r="E61" i="14"/>
  <c r="E51" i="17"/>
  <c r="E52"/>
  <c r="E53"/>
  <c r="E54"/>
  <c r="E55"/>
  <c r="E61"/>
  <c r="E62"/>
  <c r="E63"/>
  <c r="E60" s="1"/>
  <c r="E9"/>
  <c r="E11"/>
  <c r="E12"/>
  <c r="E13"/>
  <c r="E18"/>
  <c r="E14" s="1"/>
  <c r="E20"/>
  <c r="E21"/>
  <c r="E22"/>
  <c r="E24"/>
  <c r="E29"/>
  <c r="E43"/>
  <c r="E40"/>
  <c r="D106" i="16"/>
  <c r="E41" i="17" s="1"/>
  <c r="D118" i="16"/>
  <c r="D119" s="1"/>
  <c r="E35" i="17"/>
  <c r="D90" i="16"/>
  <c r="E38" i="17" s="1"/>
  <c r="E33" s="1"/>
  <c r="D16" i="6"/>
  <c r="E26" s="1"/>
  <c r="F26" s="1"/>
  <c r="G26" s="1"/>
  <c r="H16"/>
  <c r="I15" i="9"/>
  <c r="G15"/>
  <c r="F47"/>
  <c r="C79" i="6"/>
  <c r="D79" s="1"/>
  <c r="E79" s="1"/>
  <c r="F79" s="1"/>
  <c r="G79" s="1"/>
  <c r="H23" i="1" s="1"/>
  <c r="F77" i="17"/>
  <c r="D85" i="6" s="1"/>
  <c r="E24" i="1" s="1"/>
  <c r="C128" i="6"/>
  <c r="C135" s="1"/>
  <c r="C129"/>
  <c r="C136" s="1"/>
  <c r="D136" s="1"/>
  <c r="E136" s="1"/>
  <c r="F136" s="1"/>
  <c r="G136" s="1"/>
  <c r="H28" i="1" s="1"/>
  <c r="C130" i="6"/>
  <c r="C137"/>
  <c r="D137" s="1"/>
  <c r="E137" s="1"/>
  <c r="F137" s="1"/>
  <c r="G137" s="1"/>
  <c r="H29" i="1" s="1"/>
  <c r="C106" i="6"/>
  <c r="C115" s="1"/>
  <c r="D115" s="1"/>
  <c r="D106"/>
  <c r="E106"/>
  <c r="C107"/>
  <c r="C116" s="1"/>
  <c r="D107"/>
  <c r="E107"/>
  <c r="C108"/>
  <c r="C117" s="1"/>
  <c r="D108"/>
  <c r="E108"/>
  <c r="C109"/>
  <c r="C118" s="1"/>
  <c r="D109"/>
  <c r="E109"/>
  <c r="C85" i="9"/>
  <c r="E91"/>
  <c r="C86"/>
  <c r="F91"/>
  <c r="G91" s="1"/>
  <c r="H41" i="1" s="1"/>
  <c r="F20" i="17"/>
  <c r="G20"/>
  <c r="H20" s="1"/>
  <c r="F21"/>
  <c r="G21"/>
  <c r="H21" s="1"/>
  <c r="I21" s="1"/>
  <c r="F22"/>
  <c r="G22"/>
  <c r="H22" s="1"/>
  <c r="I22" s="1"/>
  <c r="F23"/>
  <c r="G23"/>
  <c r="H23" s="1"/>
  <c r="I23" s="1"/>
  <c r="H13" i="6"/>
  <c r="H14"/>
  <c r="H15"/>
  <c r="F29" i="17"/>
  <c r="G29" s="1"/>
  <c r="F43"/>
  <c r="G43" s="1"/>
  <c r="E104" i="16"/>
  <c r="E106"/>
  <c r="F104" s="1"/>
  <c r="F106" s="1"/>
  <c r="G104" s="1"/>
  <c r="G106" s="1"/>
  <c r="L107"/>
  <c r="I40" i="17"/>
  <c r="E118" i="16"/>
  <c r="L118"/>
  <c r="F118"/>
  <c r="L119"/>
  <c r="G118"/>
  <c r="L120"/>
  <c r="H118"/>
  <c r="F75" i="17"/>
  <c r="G75"/>
  <c r="H75" s="1"/>
  <c r="I75" s="1"/>
  <c r="F76"/>
  <c r="G76"/>
  <c r="H76" s="1"/>
  <c r="I76" s="1"/>
  <c r="F78"/>
  <c r="G78"/>
  <c r="H78" s="1"/>
  <c r="I78" s="1"/>
  <c r="C122" i="9"/>
  <c r="C133" s="1"/>
  <c r="D133" s="1"/>
  <c r="E133" s="1"/>
  <c r="F133" s="1"/>
  <c r="G133" s="1"/>
  <c r="H57" i="1" s="1"/>
  <c r="C123" i="9"/>
  <c r="C134" s="1"/>
  <c r="C124"/>
  <c r="C135" s="1"/>
  <c r="D135" s="1"/>
  <c r="E135" s="1"/>
  <c r="F135" s="1"/>
  <c r="G135" s="1"/>
  <c r="H59" i="1" s="1"/>
  <c r="L65" i="16"/>
  <c r="L66"/>
  <c r="L67"/>
  <c r="L74"/>
  <c r="L75"/>
  <c r="L84"/>
  <c r="L85"/>
  <c r="L86"/>
  <c r="D154" i="6"/>
  <c r="C164" s="1"/>
  <c r="D164" s="1"/>
  <c r="E164" s="1"/>
  <c r="F164" s="1"/>
  <c r="G164" s="1"/>
  <c r="H66" i="1" s="1"/>
  <c r="H40" i="17"/>
  <c r="F51"/>
  <c r="G51" s="1"/>
  <c r="H51" s="1"/>
  <c r="I51" s="1"/>
  <c r="H46" i="8" s="1"/>
  <c r="F52" i="17"/>
  <c r="G52"/>
  <c r="H52" s="1"/>
  <c r="I52" s="1"/>
  <c r="H47" i="8" s="1"/>
  <c r="F53" i="17"/>
  <c r="G53" s="1"/>
  <c r="H53" s="1"/>
  <c r="I53" s="1"/>
  <c r="H48" i="8" s="1"/>
  <c r="F54" i="17"/>
  <c r="G54" s="1"/>
  <c r="F55"/>
  <c r="G55"/>
  <c r="H55" s="1"/>
  <c r="I55" s="1"/>
  <c r="H50" i="8" s="1"/>
  <c r="F43" i="9"/>
  <c r="B56" s="1"/>
  <c r="I13"/>
  <c r="G13"/>
  <c r="F45"/>
  <c r="I14"/>
  <c r="G14"/>
  <c r="F46"/>
  <c r="D56" i="1"/>
  <c r="D57"/>
  <c r="D59"/>
  <c r="G57"/>
  <c r="G59"/>
  <c r="F61" i="17"/>
  <c r="G61" s="1"/>
  <c r="F62"/>
  <c r="G62"/>
  <c r="H62" s="1"/>
  <c r="F63"/>
  <c r="G63" s="1"/>
  <c r="F64"/>
  <c r="G64" s="1"/>
  <c r="F65"/>
  <c r="G65"/>
  <c r="H65" s="1"/>
  <c r="F9"/>
  <c r="G9"/>
  <c r="H9" s="1"/>
  <c r="F11"/>
  <c r="G11"/>
  <c r="H11" s="1"/>
  <c r="I11" s="1"/>
  <c r="F12"/>
  <c r="G12"/>
  <c r="H12" s="1"/>
  <c r="I12" s="1"/>
  <c r="F13"/>
  <c r="G13"/>
  <c r="H13" s="1"/>
  <c r="I13" s="1"/>
  <c r="F35"/>
  <c r="G35" s="1"/>
  <c r="G36"/>
  <c r="H36" s="1"/>
  <c r="I36" s="1"/>
  <c r="F37"/>
  <c r="G37"/>
  <c r="H37" s="1"/>
  <c r="I37" s="1"/>
  <c r="H18" i="8"/>
  <c r="H85" i="16"/>
  <c r="H75"/>
  <c r="E23" i="1"/>
  <c r="E28"/>
  <c r="E29"/>
  <c r="E36"/>
  <c r="F24" i="17"/>
  <c r="E48" i="1" s="1"/>
  <c r="F40" i="17"/>
  <c r="F41"/>
  <c r="F74"/>
  <c r="F58" s="1"/>
  <c r="E125" i="16"/>
  <c r="E61" i="1" s="1"/>
  <c r="E66"/>
  <c r="F19" i="17"/>
  <c r="E46" i="8"/>
  <c r="E47"/>
  <c r="E48"/>
  <c r="E49"/>
  <c r="E50"/>
  <c r="E74" i="17"/>
  <c r="E58" s="1"/>
  <c r="E56" i="8"/>
  <c r="E55" s="1"/>
  <c r="E57"/>
  <c r="E58"/>
  <c r="E59"/>
  <c r="E60"/>
  <c r="F50" i="17"/>
  <c r="F10" s="1"/>
  <c r="F8" s="1"/>
  <c r="F60"/>
  <c r="E18" i="8"/>
  <c r="E85" i="16"/>
  <c r="E75"/>
  <c r="E66"/>
  <c r="E93"/>
  <c r="E37" i="8" s="1"/>
  <c r="F23" i="1"/>
  <c r="F28"/>
  <c r="F29"/>
  <c r="F41"/>
  <c r="G24" i="17"/>
  <c r="F48" i="1"/>
  <c r="G41" i="17"/>
  <c r="G40"/>
  <c r="F125" i="16"/>
  <c r="F61" i="1"/>
  <c r="F66"/>
  <c r="G19" i="17"/>
  <c r="F46" i="8"/>
  <c r="F47"/>
  <c r="F48"/>
  <c r="F50"/>
  <c r="F57"/>
  <c r="F60"/>
  <c r="F18"/>
  <c r="F85" i="16"/>
  <c r="F93" s="1"/>
  <c r="F37" i="8" s="1"/>
  <c r="F75" i="16"/>
  <c r="F66"/>
  <c r="G23" i="1"/>
  <c r="G28"/>
  <c r="G29"/>
  <c r="G41"/>
  <c r="G125" i="16"/>
  <c r="G61" i="1"/>
  <c r="G18" i="8" s="1"/>
  <c r="G66" i="1"/>
  <c r="G46" i="8"/>
  <c r="G47"/>
  <c r="G48"/>
  <c r="G50"/>
  <c r="G85" i="16"/>
  <c r="G93" s="1"/>
  <c r="G37" i="8" s="1"/>
  <c r="G75" i="16"/>
  <c r="G66"/>
  <c r="D33" i="17"/>
  <c r="D39"/>
  <c r="D14"/>
  <c r="D45" s="1"/>
  <c r="D56"/>
  <c r="D50"/>
  <c r="D60"/>
  <c r="D47" i="1"/>
  <c r="D48"/>
  <c r="D19"/>
  <c r="D23"/>
  <c r="C85" i="6"/>
  <c r="D24" i="1" s="1"/>
  <c r="D28"/>
  <c r="D29"/>
  <c r="D32"/>
  <c r="D33"/>
  <c r="D34"/>
  <c r="D36"/>
  <c r="D38"/>
  <c r="D41"/>
  <c r="D40" s="1"/>
  <c r="D42"/>
  <c r="D43"/>
  <c r="D60"/>
  <c r="D125" i="16"/>
  <c r="D61" i="1" s="1"/>
  <c r="D66"/>
  <c r="D17" i="8"/>
  <c r="D93" i="16"/>
  <c r="D37" i="8"/>
  <c r="D46"/>
  <c r="D47"/>
  <c r="D48"/>
  <c r="D49"/>
  <c r="D45"/>
  <c r="D50"/>
  <c r="D56"/>
  <c r="D57"/>
  <c r="D58"/>
  <c r="D59"/>
  <c r="D60"/>
  <c r="L64" i="16"/>
  <c r="D19" i="17"/>
  <c r="D74"/>
  <c r="G28" i="8"/>
  <c r="D39"/>
  <c r="D40"/>
  <c r="D42"/>
  <c r="G27"/>
  <c r="G29"/>
  <c r="G30"/>
  <c r="E39"/>
  <c r="E40"/>
  <c r="E42"/>
  <c r="E27"/>
  <c r="E28"/>
  <c r="E29"/>
  <c r="E30"/>
  <c r="E23"/>
  <c r="E25"/>
  <c r="D23"/>
  <c r="D24"/>
  <c r="D25"/>
  <c r="D27"/>
  <c r="D28"/>
  <c r="D29"/>
  <c r="G39"/>
  <c r="G25"/>
  <c r="F39"/>
  <c r="F40"/>
  <c r="F27"/>
  <c r="F28"/>
  <c r="F29"/>
  <c r="F30"/>
  <c r="F23"/>
  <c r="F25"/>
  <c r="H39"/>
  <c r="H28"/>
  <c r="H29"/>
  <c r="H30"/>
  <c r="H25"/>
  <c r="D69"/>
  <c r="D35"/>
  <c r="E35"/>
  <c r="F14" i="12"/>
  <c r="F15"/>
  <c r="F16"/>
  <c r="F17"/>
  <c r="F18"/>
  <c r="F19"/>
  <c r="F20"/>
  <c r="F21"/>
  <c r="F22"/>
  <c r="F23"/>
  <c r="F24"/>
  <c r="F25"/>
  <c r="F26"/>
  <c r="F27"/>
  <c r="F28"/>
  <c r="F29"/>
  <c r="F30"/>
  <c r="F31"/>
  <c r="F32"/>
  <c r="F33"/>
  <c r="F34"/>
  <c r="F35"/>
  <c r="F36"/>
  <c r="F37"/>
  <c r="F46"/>
  <c r="C13" i="1"/>
  <c r="C17"/>
  <c r="C20"/>
  <c r="C22"/>
  <c r="C26"/>
  <c r="C30"/>
  <c r="C35"/>
  <c r="C40"/>
  <c r="C44"/>
  <c r="C53" s="1"/>
  <c r="C46"/>
  <c r="C55"/>
  <c r="D74" i="16"/>
  <c r="E74"/>
  <c r="D84"/>
  <c r="E84"/>
  <c r="F84"/>
  <c r="G84"/>
  <c r="H84"/>
  <c r="D65"/>
  <c r="E65"/>
  <c r="F74"/>
  <c r="G74"/>
  <c r="H74"/>
  <c r="L73"/>
  <c r="L83"/>
  <c r="C94" i="9"/>
  <c r="D94"/>
  <c r="E94" s="1"/>
  <c r="F94" s="1"/>
  <c r="G94" s="1"/>
  <c r="H43" i="17" l="1"/>
  <c r="F42" i="8"/>
  <c r="D135" i="6"/>
  <c r="D27" i="1"/>
  <c r="D26" s="1"/>
  <c r="C138" i="6"/>
  <c r="G16" i="17"/>
  <c r="F18"/>
  <c r="E47" i="1" s="1"/>
  <c r="E24" i="8"/>
  <c r="D149" i="9"/>
  <c r="D67" i="1"/>
  <c r="E43"/>
  <c r="E93" i="9"/>
  <c r="E72"/>
  <c r="E34" i="1"/>
  <c r="H54" i="17"/>
  <c r="F49" i="8"/>
  <c r="F45" s="1"/>
  <c r="G50" i="17"/>
  <c r="G10" s="1"/>
  <c r="G8" s="1"/>
  <c r="D134" i="9"/>
  <c r="E134" s="1"/>
  <c r="F134" s="1"/>
  <c r="D58" i="1"/>
  <c r="H29" i="17"/>
  <c r="F35" i="8"/>
  <c r="D118" i="6"/>
  <c r="D39" i="1"/>
  <c r="C119" i="6"/>
  <c r="D116"/>
  <c r="D37" i="1"/>
  <c r="D35" s="1"/>
  <c r="I15" i="17"/>
  <c r="H23" i="8" s="1"/>
  <c r="G23"/>
  <c r="E67" i="6"/>
  <c r="E16" i="1" s="1"/>
  <c r="D27" i="16"/>
  <c r="D16" i="1"/>
  <c r="D136" i="9"/>
  <c r="D62" i="1"/>
  <c r="D69" i="9"/>
  <c r="D31" i="1"/>
  <c r="C64"/>
  <c r="C70" s="1"/>
  <c r="D55" i="8"/>
  <c r="D30" i="1"/>
  <c r="D117" i="6"/>
  <c r="E115"/>
  <c r="E50" i="17"/>
  <c r="B51" i="6"/>
  <c r="D68" i="17"/>
  <c r="D70" s="1"/>
  <c r="F26" i="8"/>
  <c r="E45"/>
  <c r="E19" i="17"/>
  <c r="G69" i="8"/>
  <c r="I9" i="17"/>
  <c r="I65"/>
  <c r="H60" i="8" s="1"/>
  <c r="G60"/>
  <c r="H64" i="17"/>
  <c r="F59" i="8"/>
  <c r="I62" i="17"/>
  <c r="H57" i="8" s="1"/>
  <c r="G57"/>
  <c r="G60" i="17"/>
  <c r="H61"/>
  <c r="F56" i="8"/>
  <c r="C72" i="1"/>
  <c r="C74" s="1"/>
  <c r="D18" i="8"/>
  <c r="D55" i="1"/>
  <c r="F69" i="8"/>
  <c r="D52" i="1"/>
  <c r="D53" i="8"/>
  <c r="E52" i="1"/>
  <c r="E53" i="8"/>
  <c r="H35" i="17"/>
  <c r="H63"/>
  <c r="F58" i="8"/>
  <c r="H104" i="16"/>
  <c r="H106" s="1"/>
  <c r="I41" i="17" s="1"/>
  <c r="H41"/>
  <c r="E10"/>
  <c r="E8" s="1"/>
  <c r="F67" i="6"/>
  <c r="E27" i="16"/>
  <c r="C27" i="6"/>
  <c r="D23"/>
  <c r="E149" i="9"/>
  <c r="E67" i="1"/>
  <c r="E136" i="9"/>
  <c r="E62" i="1"/>
  <c r="F64" i="16"/>
  <c r="E90"/>
  <c r="E92" i="9"/>
  <c r="E42" i="1"/>
  <c r="E71" i="9"/>
  <c r="E33" i="1"/>
  <c r="D22" i="9"/>
  <c r="B32"/>
  <c r="E69"/>
  <c r="E31" i="1"/>
  <c r="I20" i="17"/>
  <c r="H24"/>
  <c r="G48" i="1" s="1"/>
  <c r="E117" i="16"/>
  <c r="E119" s="1"/>
  <c r="E42" i="17"/>
  <c r="D41" i="8" s="1"/>
  <c r="E56" i="1"/>
  <c r="E132" i="9"/>
  <c r="E32" i="1"/>
  <c r="E70" i="9"/>
  <c r="C56"/>
  <c r="E19" i="1" s="1"/>
  <c r="E52" i="9"/>
  <c r="C33"/>
  <c r="E23"/>
  <c r="D21"/>
  <c r="B31"/>
  <c r="C30"/>
  <c r="E20"/>
  <c r="D22" i="8"/>
  <c r="F14" i="17"/>
  <c r="D51" i="6"/>
  <c r="C51"/>
  <c r="B34" i="9"/>
  <c r="E40" i="1"/>
  <c r="D29" i="16"/>
  <c r="D30" s="1"/>
  <c r="G77" i="17"/>
  <c r="D11" i="16" l="1"/>
  <c r="D14" i="1"/>
  <c r="F115" i="6"/>
  <c r="F36" i="1"/>
  <c r="E116" i="6"/>
  <c r="D119"/>
  <c r="E37" i="1"/>
  <c r="H50" i="17"/>
  <c r="H10" s="1"/>
  <c r="H8" s="1"/>
  <c r="G49" i="8"/>
  <c r="G45" s="1"/>
  <c r="I54" i="17"/>
  <c r="F72" i="9"/>
  <c r="F34" i="1"/>
  <c r="E135" i="6"/>
  <c r="E27" i="1"/>
  <c r="E26" s="1"/>
  <c r="D138" i="6"/>
  <c r="I43" i="17"/>
  <c r="H42" i="8" s="1"/>
  <c r="G42"/>
  <c r="E149" i="16"/>
  <c r="E151" s="1"/>
  <c r="E152" s="1"/>
  <c r="E26" i="8"/>
  <c r="D26"/>
  <c r="E117" i="6"/>
  <c r="E119" s="1"/>
  <c r="E38" i="1"/>
  <c r="E118" i="6"/>
  <c r="E39" i="1"/>
  <c r="I29" i="17"/>
  <c r="H35" i="8" s="1"/>
  <c r="G35"/>
  <c r="G134" i="9"/>
  <c r="H58" i="1" s="1"/>
  <c r="G58"/>
  <c r="F93" i="9"/>
  <c r="F43" i="1"/>
  <c r="H16" i="17"/>
  <c r="G18"/>
  <c r="F47" i="1" s="1"/>
  <c r="F24" i="8"/>
  <c r="E26" i="16"/>
  <c r="E28" i="17"/>
  <c r="D34" i="8" s="1"/>
  <c r="E21" i="9"/>
  <c r="C31"/>
  <c r="F149" i="16"/>
  <c r="F117"/>
  <c r="F119" s="1"/>
  <c r="F42" i="17"/>
  <c r="I24"/>
  <c r="H48" i="1" s="1"/>
  <c r="H27" i="8"/>
  <c r="E60" i="1"/>
  <c r="E17" i="8" s="1"/>
  <c r="F38" i="17"/>
  <c r="E23" i="6"/>
  <c r="D27"/>
  <c r="E69" i="8"/>
  <c r="H40"/>
  <c r="I63" i="17"/>
  <c r="H58" i="8" s="1"/>
  <c r="G58"/>
  <c r="I64" i="17"/>
  <c r="H59" i="8" s="1"/>
  <c r="G59"/>
  <c r="E30" i="1"/>
  <c r="E29" i="16"/>
  <c r="E44" i="17"/>
  <c r="D51" i="1" s="1"/>
  <c r="F55" i="8"/>
  <c r="H77" i="17"/>
  <c r="E85" i="6"/>
  <c r="F24" i="1" s="1"/>
  <c r="G74" i="17"/>
  <c r="G58" s="1"/>
  <c r="E11" i="16"/>
  <c r="E14" i="1"/>
  <c r="E22" i="8"/>
  <c r="D18" i="1"/>
  <c r="D17" s="1"/>
  <c r="E138" i="16"/>
  <c r="F11"/>
  <c r="F14" i="1"/>
  <c r="F20" i="9"/>
  <c r="D30"/>
  <c r="F23"/>
  <c r="D33"/>
  <c r="F52"/>
  <c r="D56"/>
  <c r="F19" i="1" s="1"/>
  <c r="F70" i="9"/>
  <c r="F32" i="1"/>
  <c r="F132" i="9"/>
  <c r="F56" i="1"/>
  <c r="F69" i="9"/>
  <c r="F31" i="1"/>
  <c r="C32" i="9"/>
  <c r="C34" s="1"/>
  <c r="E22"/>
  <c r="F71"/>
  <c r="F33" i="1"/>
  <c r="F92" i="9"/>
  <c r="F42" i="1"/>
  <c r="F40" s="1"/>
  <c r="G64" i="16"/>
  <c r="F65"/>
  <c r="F90"/>
  <c r="F60" i="1" s="1"/>
  <c r="F17" i="8" s="1"/>
  <c r="F136" i="9"/>
  <c r="F62" i="1"/>
  <c r="F149" i="9"/>
  <c r="F67" i="1"/>
  <c r="C33" i="6"/>
  <c r="C90"/>
  <c r="D25" i="1" s="1"/>
  <c r="D22" s="1"/>
  <c r="F27" i="16"/>
  <c r="G67" i="6"/>
  <c r="F16" i="1"/>
  <c r="G40" i="8"/>
  <c r="I35" i="17"/>
  <c r="I61"/>
  <c r="H60"/>
  <c r="G56" i="8"/>
  <c r="G55" s="1"/>
  <c r="H69"/>
  <c r="H19" i="17"/>
  <c r="E39"/>
  <c r="E59" l="1"/>
  <c r="D54" i="8" s="1"/>
  <c r="F148" i="16"/>
  <c r="F151" s="1"/>
  <c r="F152" s="1"/>
  <c r="H49" i="8"/>
  <c r="H45" s="1"/>
  <c r="I50" i="17"/>
  <c r="I10" s="1"/>
  <c r="I8" s="1"/>
  <c r="G115" i="6"/>
  <c r="G36" i="1"/>
  <c r="D13" i="16"/>
  <c r="D14"/>
  <c r="G24" i="8"/>
  <c r="I16" i="17"/>
  <c r="E51" i="6"/>
  <c r="H18" i="17"/>
  <c r="G93" i="9"/>
  <c r="H43" i="1" s="1"/>
  <c r="G43"/>
  <c r="F118" i="6"/>
  <c r="F39" i="1"/>
  <c r="F117" i="6"/>
  <c r="F38" i="1"/>
  <c r="F135" i="6"/>
  <c r="F27" i="1"/>
  <c r="F26" s="1"/>
  <c r="E138" i="6"/>
  <c r="G72" i="9"/>
  <c r="H34" i="1" s="1"/>
  <c r="G34"/>
  <c r="F116" i="6"/>
  <c r="F37" i="1"/>
  <c r="G14" i="17"/>
  <c r="F22" i="8" s="1"/>
  <c r="E35" i="1"/>
  <c r="G148" i="16"/>
  <c r="F59" i="17"/>
  <c r="E54" i="8" s="1"/>
  <c r="E18" i="1"/>
  <c r="E17" s="1"/>
  <c r="F138" i="16"/>
  <c r="D38" i="8"/>
  <c r="H63" i="16"/>
  <c r="E160"/>
  <c r="E162" s="1"/>
  <c r="E163" s="1"/>
  <c r="D19"/>
  <c r="D15" i="1"/>
  <c r="D13" s="1"/>
  <c r="D20" s="1"/>
  <c r="D44" s="1"/>
  <c r="G136" i="9"/>
  <c r="H62" i="1" s="1"/>
  <c r="G62"/>
  <c r="F22" i="9"/>
  <c r="D32"/>
  <c r="G26" i="8"/>
  <c r="H67" i="6"/>
  <c r="G27" i="16"/>
  <c r="G16" i="1"/>
  <c r="H64" i="16"/>
  <c r="H90" s="1"/>
  <c r="H60" i="1" s="1"/>
  <c r="H17" i="8" s="1"/>
  <c r="G65" i="16"/>
  <c r="G90"/>
  <c r="G60" i="1" s="1"/>
  <c r="G17" i="8" s="1"/>
  <c r="G92" i="9"/>
  <c r="H42" i="1" s="1"/>
  <c r="H40" s="1"/>
  <c r="G42"/>
  <c r="G40" s="1"/>
  <c r="G71" i="9"/>
  <c r="H33" i="1" s="1"/>
  <c r="G33"/>
  <c r="G69" i="9"/>
  <c r="H31" i="1" s="1"/>
  <c r="G31"/>
  <c r="G132" i="9"/>
  <c r="H56" i="1" s="1"/>
  <c r="G56"/>
  <c r="G70" i="9"/>
  <c r="H32" i="1" s="1"/>
  <c r="G32"/>
  <c r="G52" i="9"/>
  <c r="F56" s="1"/>
  <c r="H19" i="1" s="1"/>
  <c r="E56" i="9"/>
  <c r="G19" i="1" s="1"/>
  <c r="G23" i="9"/>
  <c r="F33" s="1"/>
  <c r="E33"/>
  <c r="G20"/>
  <c r="F30" s="1"/>
  <c r="E30"/>
  <c r="D33" i="6"/>
  <c r="D90"/>
  <c r="E25" i="1" s="1"/>
  <c r="E22" s="1"/>
  <c r="G38" i="17"/>
  <c r="F33"/>
  <c r="G117" i="16"/>
  <c r="G119" s="1"/>
  <c r="G42" i="17"/>
  <c r="F21" i="9"/>
  <c r="D31"/>
  <c r="E55" i="1"/>
  <c r="E30" i="16"/>
  <c r="I60" i="17"/>
  <c r="H56" i="8"/>
  <c r="H55" s="1"/>
  <c r="G149" i="9"/>
  <c r="H67" i="1" s="1"/>
  <c r="G67"/>
  <c r="F55"/>
  <c r="G149" i="16"/>
  <c r="E140"/>
  <c r="E141"/>
  <c r="F52" i="1"/>
  <c r="F53" i="8"/>
  <c r="I77" i="17"/>
  <c r="H74"/>
  <c r="H58" s="1"/>
  <c r="F85" i="6"/>
  <c r="G24" i="1" s="1"/>
  <c r="E27" i="6"/>
  <c r="F23"/>
  <c r="E41" i="8"/>
  <c r="F44" i="17"/>
  <c r="E51" i="1" s="1"/>
  <c r="F39" i="17"/>
  <c r="E38" i="8" s="1"/>
  <c r="F30" i="1"/>
  <c r="D34" i="9"/>
  <c r="I19" i="17"/>
  <c r="G116" i="6" l="1"/>
  <c r="H37" i="1" s="1"/>
  <c r="G37"/>
  <c r="G47"/>
  <c r="H14" i="17"/>
  <c r="F51" i="6"/>
  <c r="I18" i="17"/>
  <c r="H47" i="1" s="1"/>
  <c r="H24" i="8"/>
  <c r="I14" i="17"/>
  <c r="E10" i="16"/>
  <c r="E26" i="17"/>
  <c r="D32" i="8" s="1"/>
  <c r="H36" i="1"/>
  <c r="G135" i="6"/>
  <c r="G27" i="1"/>
  <c r="G26" s="1"/>
  <c r="F138" i="6"/>
  <c r="G117"/>
  <c r="H38" i="1" s="1"/>
  <c r="G38"/>
  <c r="G35" s="1"/>
  <c r="G118" i="6"/>
  <c r="H39" i="1" s="1"/>
  <c r="G39"/>
  <c r="G11" i="16"/>
  <c r="G14" i="1"/>
  <c r="F35"/>
  <c r="F119" i="6"/>
  <c r="G138" i="16"/>
  <c r="F18" i="1"/>
  <c r="F17" s="1"/>
  <c r="G23" i="6"/>
  <c r="G27" s="1"/>
  <c r="F27"/>
  <c r="G85"/>
  <c r="H24" i="1" s="1"/>
  <c r="I74" i="17"/>
  <c r="I58" s="1"/>
  <c r="F41" i="8"/>
  <c r="G44" i="17"/>
  <c r="F51" i="1" s="1"/>
  <c r="H55"/>
  <c r="J149" i="16"/>
  <c r="H27"/>
  <c r="H16" i="1"/>
  <c r="G22" i="9"/>
  <c r="F32" s="1"/>
  <c r="E32"/>
  <c r="D21" i="16"/>
  <c r="D22" s="1"/>
  <c r="H66"/>
  <c r="H93" s="1"/>
  <c r="H37" i="8" s="1"/>
  <c r="H65" i="16"/>
  <c r="G151"/>
  <c r="G152" s="1"/>
  <c r="H30" i="1"/>
  <c r="H26" i="8"/>
  <c r="E33" i="6"/>
  <c r="E90"/>
  <c r="F25" i="1" s="1"/>
  <c r="F22" s="1"/>
  <c r="G52"/>
  <c r="G53" i="8"/>
  <c r="F137" i="16"/>
  <c r="E57" i="17"/>
  <c r="F28"/>
  <c r="E34" i="8" s="1"/>
  <c r="F26" i="16"/>
  <c r="G21" i="9"/>
  <c r="F31" s="1"/>
  <c r="F34" s="1"/>
  <c r="E31"/>
  <c r="H117" i="16"/>
  <c r="H119" s="1"/>
  <c r="I42" i="17" s="1"/>
  <c r="H42"/>
  <c r="H38"/>
  <c r="G33"/>
  <c r="E19" i="16"/>
  <c r="F160"/>
  <c r="E15" i="1"/>
  <c r="E13" s="1"/>
  <c r="E20" s="1"/>
  <c r="E44" s="1"/>
  <c r="H149" i="16"/>
  <c r="G55" i="1"/>
  <c r="E66" i="17"/>
  <c r="F159" i="16"/>
  <c r="E34" i="9"/>
  <c r="G30" i="1"/>
  <c r="E13" i="16" l="1"/>
  <c r="E14"/>
  <c r="H11"/>
  <c r="H14" i="1"/>
  <c r="H35"/>
  <c r="H27"/>
  <c r="H26" s="1"/>
  <c r="G138" i="6"/>
  <c r="G22" i="8"/>
  <c r="H22"/>
  <c r="G119" i="6"/>
  <c r="E18" i="16"/>
  <c r="E27" i="17"/>
  <c r="D42" i="16"/>
  <c r="D44" s="1"/>
  <c r="H148"/>
  <c r="G59" i="17"/>
  <c r="F54" i="8" s="1"/>
  <c r="D61"/>
  <c r="E68" i="17"/>
  <c r="F14" i="14" s="1"/>
  <c r="G41" i="8"/>
  <c r="H39" i="17"/>
  <c r="H44"/>
  <c r="G51" i="1" s="1"/>
  <c r="F30" i="16"/>
  <c r="F29"/>
  <c r="E56" i="17"/>
  <c r="D52" i="8"/>
  <c r="D51" s="1"/>
  <c r="H18" i="1"/>
  <c r="H17" s="1"/>
  <c r="J138" i="16"/>
  <c r="H52" i="1"/>
  <c r="H53" i="8"/>
  <c r="F33" i="6"/>
  <c r="F90"/>
  <c r="G25" i="1" s="1"/>
  <c r="G22" s="1"/>
  <c r="G18"/>
  <c r="G17" s="1"/>
  <c r="H138" i="16"/>
  <c r="F162"/>
  <c r="F163" s="1"/>
  <c r="I38" i="17"/>
  <c r="I33" s="1"/>
  <c r="H33"/>
  <c r="H41" i="8"/>
  <c r="I44" i="17"/>
  <c r="H51" i="1" s="1"/>
  <c r="F140" i="16"/>
  <c r="F141" s="1"/>
  <c r="F19"/>
  <c r="G160"/>
  <c r="F15" i="1"/>
  <c r="F13" s="1"/>
  <c r="F20" s="1"/>
  <c r="F44" s="1"/>
  <c r="G33" i="6"/>
  <c r="G90"/>
  <c r="H25" i="1" s="1"/>
  <c r="H22" s="1"/>
  <c r="G39" i="17"/>
  <c r="F10" i="16" l="1"/>
  <c r="F13" s="1"/>
  <c r="F14" s="1"/>
  <c r="F26" i="17"/>
  <c r="E32" i="8" s="1"/>
  <c r="G137" i="16"/>
  <c r="F57" i="17"/>
  <c r="G10" i="16"/>
  <c r="G26" i="17"/>
  <c r="F66"/>
  <c r="G159" i="16"/>
  <c r="G38" i="8"/>
  <c r="F38"/>
  <c r="G26" i="16"/>
  <c r="G28" i="17"/>
  <c r="F34" i="8" s="1"/>
  <c r="E32" i="17"/>
  <c r="D50" i="1" s="1"/>
  <c r="E21" i="16"/>
  <c r="E22" s="1"/>
  <c r="H15" i="1"/>
  <c r="H13" s="1"/>
  <c r="H20" s="1"/>
  <c r="H44" s="1"/>
  <c r="H19" i="16"/>
  <c r="J160"/>
  <c r="G19"/>
  <c r="H160"/>
  <c r="G15" i="1"/>
  <c r="G13" s="1"/>
  <c r="G20" s="1"/>
  <c r="G44" s="1"/>
  <c r="H152" i="16"/>
  <c r="H151"/>
  <c r="D33" i="8"/>
  <c r="E30" i="17"/>
  <c r="D49" i="1" s="1"/>
  <c r="D46" s="1"/>
  <c r="E25" i="17"/>
  <c r="I39"/>
  <c r="H38" i="8" s="1"/>
  <c r="E42" i="16" l="1"/>
  <c r="E44" s="1"/>
  <c r="F27" i="17"/>
  <c r="F18" i="16"/>
  <c r="D19" i="8"/>
  <c r="D20" s="1"/>
  <c r="D53" i="1"/>
  <c r="D64" s="1"/>
  <c r="D70" s="1"/>
  <c r="G29" i="16"/>
  <c r="G30" s="1"/>
  <c r="E61" i="8"/>
  <c r="F68" i="17"/>
  <c r="G13" i="16"/>
  <c r="G14"/>
  <c r="G140"/>
  <c r="G141" s="1"/>
  <c r="E31" i="17"/>
  <c r="D31" i="8"/>
  <c r="E45" i="17"/>
  <c r="H59"/>
  <c r="G54" i="8" s="1"/>
  <c r="J148" i="16"/>
  <c r="G162"/>
  <c r="G163" s="1"/>
  <c r="F32" i="8"/>
  <c r="E52"/>
  <c r="E51" s="1"/>
  <c r="F56" i="17"/>
  <c r="H159" i="16" l="1"/>
  <c r="G66" i="17"/>
  <c r="H137" i="16"/>
  <c r="G57" i="17"/>
  <c r="H26" i="16"/>
  <c r="H28" i="17"/>
  <c r="G34" i="8" s="1"/>
  <c r="D36"/>
  <c r="H10" i="16"/>
  <c r="H26" i="17"/>
  <c r="D72" i="1"/>
  <c r="D74" s="1"/>
  <c r="D13" i="8" s="1"/>
  <c r="F21" i="16"/>
  <c r="F22" s="1"/>
  <c r="F32" i="17"/>
  <c r="E50" i="1" s="1"/>
  <c r="J151" i="16"/>
  <c r="J152" s="1"/>
  <c r="I59" i="17" s="1"/>
  <c r="H54" i="8" s="1"/>
  <c r="E70" i="17"/>
  <c r="F13" i="14"/>
  <c r="E33" i="8"/>
  <c r="F30" i="17"/>
  <c r="E49" i="1" s="1"/>
  <c r="E46" s="1"/>
  <c r="G18" i="16" l="1"/>
  <c r="G27" i="17"/>
  <c r="F42" i="16"/>
  <c r="F44" s="1"/>
  <c r="E19" i="8"/>
  <c r="E20" s="1"/>
  <c r="E53" i="1"/>
  <c r="E64" s="1"/>
  <c r="E70" s="1"/>
  <c r="F15" i="14"/>
  <c r="D63" i="8"/>
  <c r="D64" s="1"/>
  <c r="D68" s="1"/>
  <c r="D70" s="1"/>
  <c r="H13" i="16"/>
  <c r="H14"/>
  <c r="I26" i="17" s="1"/>
  <c r="H29" i="16"/>
  <c r="H30" s="1"/>
  <c r="I28" i="17" s="1"/>
  <c r="H34" i="8" s="1"/>
  <c r="H140" i="16"/>
  <c r="H141" s="1"/>
  <c r="H162"/>
  <c r="H163" s="1"/>
  <c r="G32" i="8"/>
  <c r="F52"/>
  <c r="F51" s="1"/>
  <c r="G56" i="17"/>
  <c r="F61" i="8"/>
  <c r="G68" i="17"/>
  <c r="F25"/>
  <c r="F19" i="14"/>
  <c r="F29" s="1"/>
  <c r="F31" i="17"/>
  <c r="H66" l="1"/>
  <c r="J159" i="16"/>
  <c r="E39" i="14"/>
  <c r="E195" i="8"/>
  <c r="E36"/>
  <c r="H32"/>
  <c r="F45" i="17"/>
  <c r="F70" s="1"/>
  <c r="E63" i="8" s="1"/>
  <c r="E31"/>
  <c r="J137" i="16"/>
  <c r="H57" i="17"/>
  <c r="E72" i="1"/>
  <c r="E74" s="1"/>
  <c r="E13" i="8" s="1"/>
  <c r="G32" i="17"/>
  <c r="F50" i="1" s="1"/>
  <c r="G21" i="16"/>
  <c r="G22" s="1"/>
  <c r="D41" i="14"/>
  <c r="F33" i="8"/>
  <c r="G30" i="17"/>
  <c r="F49" i="1" s="1"/>
  <c r="F46" s="1"/>
  <c r="F19" i="8" l="1"/>
  <c r="F20" s="1"/>
  <c r="F53" i="1"/>
  <c r="F64" s="1"/>
  <c r="F70" s="1"/>
  <c r="H27" i="17"/>
  <c r="G42" i="16"/>
  <c r="G44" s="1"/>
  <c r="H18"/>
  <c r="E64" i="8"/>
  <c r="E68"/>
  <c r="E70" s="1"/>
  <c r="J140" i="16"/>
  <c r="J141"/>
  <c r="I57" i="17" s="1"/>
  <c r="G61" i="8"/>
  <c r="H68" i="17"/>
  <c r="G25"/>
  <c r="G52" i="8"/>
  <c r="G51" s="1"/>
  <c r="H56" i="17"/>
  <c r="J163" i="16"/>
  <c r="I66" i="17" s="1"/>
  <c r="J162" i="16"/>
  <c r="G31" i="17"/>
  <c r="H61" i="8" l="1"/>
  <c r="I68" i="17"/>
  <c r="H52" i="8"/>
  <c r="H51" s="1"/>
  <c r="I56" i="17"/>
  <c r="F195" i="8"/>
  <c r="F39" i="14"/>
  <c r="H21" i="16"/>
  <c r="H22" s="1"/>
  <c r="G33" i="8"/>
  <c r="H30" i="17"/>
  <c r="G49" i="1" s="1"/>
  <c r="F36" i="8"/>
  <c r="G45" i="17"/>
  <c r="G70" s="1"/>
  <c r="F63" i="8" s="1"/>
  <c r="F31"/>
  <c r="H32" i="17"/>
  <c r="G50" i="1" s="1"/>
  <c r="F72"/>
  <c r="F74" s="1"/>
  <c r="F13" i="8" s="1"/>
  <c r="H31" i="17" l="1"/>
  <c r="H42" i="16"/>
  <c r="H44" s="1"/>
  <c r="I27" i="17"/>
  <c r="F64" i="8"/>
  <c r="F68" s="1"/>
  <c r="F70" s="1"/>
  <c r="H25" i="17"/>
  <c r="G36" i="8"/>
  <c r="G46" i="1"/>
  <c r="H45" i="17" l="1"/>
  <c r="H70" s="1"/>
  <c r="G63" i="8" s="1"/>
  <c r="G31"/>
  <c r="I32" i="17"/>
  <c r="H50" i="1" s="1"/>
  <c r="G19" i="8"/>
  <c r="G20" s="1"/>
  <c r="G53" i="1"/>
  <c r="G64" s="1"/>
  <c r="G70" s="1"/>
  <c r="G195" i="8"/>
  <c r="G39" i="14"/>
  <c r="H33" i="8"/>
  <c r="I25" i="17"/>
  <c r="I30"/>
  <c r="H49" i="1" s="1"/>
  <c r="H46" s="1"/>
  <c r="G72" l="1"/>
  <c r="G74" s="1"/>
  <c r="G13" i="8" s="1"/>
  <c r="I31" i="17"/>
  <c r="H36" i="8" s="1"/>
  <c r="H31"/>
  <c r="H19"/>
  <c r="H20" s="1"/>
  <c r="H53" i="1"/>
  <c r="H64" s="1"/>
  <c r="H70" s="1"/>
  <c r="G64" i="8" l="1"/>
  <c r="G68"/>
  <c r="G70" s="1"/>
  <c r="H72" i="1"/>
  <c r="H74" s="1"/>
  <c r="H13" i="8" s="1"/>
  <c r="I45" i="17"/>
  <c r="I70" s="1"/>
  <c r="H63" i="8" s="1"/>
  <c r="H64" l="1"/>
  <c r="H68"/>
  <c r="H70" s="1"/>
  <c r="H39" i="14"/>
  <c r="H195" i="8"/>
  <c r="I39" i="14" l="1"/>
  <c r="E44" s="1"/>
  <c r="I195" i="8"/>
</calcChain>
</file>

<file path=xl/sharedStrings.xml><?xml version="1.0" encoding="utf-8"?>
<sst xmlns="http://schemas.openxmlformats.org/spreadsheetml/2006/main" count="1084" uniqueCount="669">
  <si>
    <t>El modelo está construido para usuarios externos al banco, es decir alguien que no tiene acceso</t>
  </si>
  <si>
    <t>a información detallada o explícita del banco.</t>
  </si>
  <si>
    <t>IMPORTANTE:</t>
  </si>
  <si>
    <t>Los supuestos en su mayoría fueron basados en datos históricos del banco, consideramos las</t>
  </si>
  <si>
    <t xml:space="preserve">Hay cuentas del Balance y Estado de resultado que requirieron de varios cálculos, es por ello </t>
  </si>
  <si>
    <t>3.1</t>
  </si>
  <si>
    <t>Se estimó que cada año el banco realizará inversiones en activos esto debido a su expansión</t>
  </si>
  <si>
    <t>Las depreciaciones se basaron en los porcentajes por ley. Adicionalmente asumir que la ad</t>
  </si>
  <si>
    <t>Por ello el cálculo está basado en el supuesto de que realizará compras.</t>
  </si>
  <si>
    <t>quisición la realiza al inicio del año. Por ello el cálculo de la depreciación inicia desde el año</t>
  </si>
  <si>
    <t>completo. También como el usuario es externo y desconoce el costo histórico y fecha de ad</t>
  </si>
  <si>
    <t xml:space="preserve">Para las cuentas por cobrar del banco estimamos un porcentaje de cobro sobre los intereses </t>
  </si>
  <si>
    <t>que se esperan tener, para lo cual primero se deben calcular los intereses proyectados,es decir</t>
  </si>
  <si>
    <t xml:space="preserve"> ir a la hoja de proyeción de ingresos.</t>
  </si>
  <si>
    <t>En la hoja de proyección de ingresos se coloca los saldos finales del año base, es decir desde</t>
  </si>
  <si>
    <t>el año donde se desea proyectar</t>
  </si>
  <si>
    <t>Los bienes adjudicados por pago se establece que un porcentaje de las cuentas por cobrar los</t>
  </si>
  <si>
    <t>clientes finalmente cancelarán su deuda con bienes</t>
  </si>
  <si>
    <t>adquisición de las propiedades y equipo se asume como costo histórico el valor dea año base</t>
  </si>
  <si>
    <t>7.</t>
  </si>
  <si>
    <t xml:space="preserve">Se presume que el banco realizará pagos a terceros por servicios futuros, en éste caso se </t>
  </si>
  <si>
    <t>8.</t>
  </si>
  <si>
    <t>7.1</t>
  </si>
  <si>
    <t>Las amorizaciones tienen similar trato que depreciaciones, así mismo amortizaremos desde</t>
  </si>
  <si>
    <t>el inicio del año, excepto uno de los cinco años empezará a amortizar desde mediados de año.</t>
  </si>
  <si>
    <t>estima pagos anticipados en algunos años no en todos. Así mismo los gastos diferidos.</t>
  </si>
  <si>
    <t>Esto es a decisión del usuario. El porcentaje de amortización lo consideramos en base a lo que</t>
  </si>
  <si>
    <t>actualmente se conoce amortizan los bancos.</t>
  </si>
  <si>
    <t xml:space="preserve">Para las cuentas por pagar de intereses estimamos un porcentaje sobre los intereses de las </t>
  </si>
  <si>
    <t xml:space="preserve">obligaciones con el público, lo cuál la diferencia consideramos que el banco mantendrá como </t>
  </si>
  <si>
    <t>cuentas por pagar, es decir que de todo los intereses que se genere cada año, el banco no can</t>
  </si>
  <si>
    <t>celará en su totalidad. Así mismo se debe considerar los saldos del año base.</t>
  </si>
  <si>
    <t>Las cuentas por pagar varias, que son generadas por los gastos de operación en su mayoría, consideramos que una porción de los gastos de operación de cada año no se cancelarán en su totalidad. Se debe considerar los saldos del año base, es decir lo que aún falta por cancelar.</t>
  </si>
  <si>
    <t>10.</t>
  </si>
  <si>
    <t>11.</t>
  </si>
  <si>
    <t>En la hoja de proyección de ingresos, las celdas modificables son los saldos del año base, lo</t>
  </si>
  <si>
    <t>cual sirve para la aplicaión de los supuestos.</t>
  </si>
  <si>
    <t>12.</t>
  </si>
  <si>
    <t>Las tasas pasivas y las tasas activas básicamente se estimaron basadas en promedios de años anteriores y como ha venido siendo el comportamiento de las mismas, aunque como ya lo aclaramos en alguna parte, son poco predecibles porque dependen de circunstancias que se escapan del control del banco, como lo es el riesgo país y entorno económico del país.</t>
  </si>
  <si>
    <t>13.</t>
  </si>
  <si>
    <t>El promedio de crecimiento de la cartera de crédito es lo que consideramos crecerá las comisiones ganadas provenientes de ellas.</t>
  </si>
  <si>
    <t>14.</t>
  </si>
  <si>
    <t>El porcentaje sobre las cartas de crédito aplicada es la que se conoce cobran por ellas.El porcentaje se lo aplica sobre cada valor de carta de crédito, la cual a su vez ya se ha proyectado en la hoja de balance proyectado.</t>
  </si>
  <si>
    <t>15.</t>
  </si>
  <si>
    <t>Para las comisiones generadas por otras razones diferentes a las anteriores como avales, fianzas o administración del crédito, etc.,consideramos un promedio de las comisiones que se cobran por cada uno de ellas.</t>
  </si>
  <si>
    <t>16.</t>
  </si>
  <si>
    <t>Año 2005 - 2009</t>
  </si>
  <si>
    <t>Los gastos por provisiones se estimaron de manera simple en base a las provisiones de años anteriores,y la relación que tuvieron sobre los gastos por provisiones. El cálculo se lo demuestra directamen en la hoja del Estado de Resultado proyectado.</t>
  </si>
  <si>
    <t>Depreciaciones y Amortizaciones son calculadas en la hoja Proyección del Balance</t>
  </si>
  <si>
    <t>17.</t>
  </si>
  <si>
    <t>Los datos del año base se rellenan con los datos del balance del último año histórico</t>
  </si>
  <si>
    <t>Estimación de crecimiento de los flujos de efectivo a perpetuidad a partir del último año, con el fin</t>
  </si>
  <si>
    <t>de obtener un valor residual de la empresa.</t>
  </si>
  <si>
    <t>18.</t>
  </si>
  <si>
    <t xml:space="preserve">La tasa activa y pasiva para el cálculo de la tasa de descuento se estimaron en base a las tasas referenciales publicadas por el Banco Central del Ecuador. </t>
  </si>
  <si>
    <t>La tasa de rentabilidad y tasa de riesgo del sector son supuestos. Estas pueden ser modificadas por el usuario</t>
  </si>
  <si>
    <t xml:space="preserve">     DE EFECTIVO FUTURO</t>
  </si>
  <si>
    <t>4)</t>
  </si>
  <si>
    <t>Aclaraciones de supuestos utilizados en las proyecciones:</t>
  </si>
  <si>
    <t xml:space="preserve"> tasas de crecimiento como modo de predecir el comportamiento del banco</t>
  </si>
  <si>
    <t>El modo de proyectar y los supuestos son simples sin complicaciones ya que se considera que</t>
  </si>
  <si>
    <t>la información es extremamente limitada. Es por ello que el uso del modelo es para un usuario</t>
  </si>
  <si>
    <t>que no tiene acceso a información explícita y detallada del banco.</t>
  </si>
  <si>
    <t>Para llenar la hoja de cálculo se debe empezar en orden de las hojas excepto la hoja de balance proyectado que aunque se encuentra en la hoja 6 hay que llenar primero unos datos Ya que se encuentran relacionados con los ingresos y egresos del banco. Casi todos los supuestos se encuentran en la hoja 2 y 3 .</t>
  </si>
  <si>
    <t>REGRESAR</t>
  </si>
  <si>
    <t>SALDO INICIAL</t>
  </si>
  <si>
    <t>SALDO FINAL</t>
  </si>
  <si>
    <t>CÁLCULO DE TASA DE DESCUENTO</t>
  </si>
  <si>
    <t>WACC</t>
  </si>
  <si>
    <t>WACC:</t>
  </si>
  <si>
    <t>RIESGO DEL SECTOR</t>
  </si>
  <si>
    <t xml:space="preserve">RENTABILIDAD </t>
  </si>
  <si>
    <t>Tasa de Descuento</t>
  </si>
  <si>
    <t>Tasa de Descuento=</t>
  </si>
  <si>
    <t>Activo:</t>
  </si>
  <si>
    <t>Pasivo:</t>
  </si>
  <si>
    <t>Patrimonio:</t>
  </si>
  <si>
    <t>Tasa Activa:</t>
  </si>
  <si>
    <t>Tasa Pasiva:</t>
  </si>
  <si>
    <t>COSTO PROMEDIO DEL CAPITAL</t>
  </si>
  <si>
    <t>Tasa de Descuento:</t>
  </si>
  <si>
    <t>VALOR DEL BANCO:</t>
  </si>
  <si>
    <t xml:space="preserve"> El valor recibido en bienes por cancelaciones de deudas de clientes se esti-</t>
  </si>
  <si>
    <t>estima será una proporción de lo que el banco espere no cobrar en cada año.</t>
  </si>
  <si>
    <t>La depreciación acumulada cada año aumentará por los activos del banco que</t>
  </si>
  <si>
    <t>van disminuendo su valor desde su adquisición.</t>
  </si>
  <si>
    <t xml:space="preserve">Proveniente de valores pagados por servicios que serán recibidos en el futuro </t>
  </si>
  <si>
    <t>Los gastos diferidos, su comportamiento se debe a la realización de estudios</t>
  </si>
  <si>
    <t xml:space="preserve">Otros activos provenientes del valor de anticipos de impuestos , depósitos de </t>
  </si>
  <si>
    <t>garantía para recibir servicios públicos, faltantes de caja y otros.Se estima</t>
  </si>
  <si>
    <t>según sus datos de años precedentes.</t>
  </si>
  <si>
    <t>Operaciones generadas por la negociación de documentos como cédulas</t>
  </si>
  <si>
    <t>hipotecarias, bonos, avales, tales operaciones se estima el banco seguirá</t>
  </si>
  <si>
    <t>manteniendo al siguiente ritmo de crecimiento.</t>
  </si>
  <si>
    <t>Se estima incrementará el volumen de depósitos a plazo fijo,aunque los clien-</t>
  </si>
  <si>
    <t xml:space="preserve">Los valores depositados para el cumplimiento de sus clientes o terceros se </t>
  </si>
  <si>
    <t>estima crecerán, como lo ha venido haciendo en años anteriores.</t>
  </si>
  <si>
    <t>para recaudos.Adicionalmente del giros y transferencias que realizan los clien</t>
  </si>
  <si>
    <t>tes, y los cheques de grencia emitidos por la institución.</t>
  </si>
  <si>
    <t>Las obligaciones con otras instituciones aumentarán cada año por el financia-</t>
  </si>
  <si>
    <t>, CFN y organismos multilaterales como la CAF, BID.</t>
  </si>
  <si>
    <t>Provenientes de cuentas por pagar a proveedores, personal, publicidad, entre</t>
  </si>
  <si>
    <t xml:space="preserve">Promedio de crecimiento </t>
  </si>
  <si>
    <t>Cartas de crédito</t>
  </si>
  <si>
    <t>Comisión sobre cartas de crédito</t>
  </si>
  <si>
    <t>Otras</t>
  </si>
  <si>
    <t>Año</t>
  </si>
  <si>
    <t>Valor</t>
  </si>
  <si>
    <t>Equipos de Computación</t>
  </si>
  <si>
    <t>Gastos proyectados</t>
  </si>
  <si>
    <t>Monto estimado de pago</t>
  </si>
  <si>
    <t>Monto estimado de anticipo</t>
  </si>
  <si>
    <t>INTERESES DE CARTERA DE CRÉDITOS</t>
  </si>
  <si>
    <t>OBLIGACIONES FINANCIERAS</t>
  </si>
  <si>
    <t>COMISIONES GANADAS</t>
  </si>
  <si>
    <t>CARTERA DE CRÉDITOS</t>
  </si>
  <si>
    <t>OTRAS</t>
  </si>
  <si>
    <t>INGRESOS POR SERVICIOS</t>
  </si>
  <si>
    <t>AFILIACIONES Y RENOVACIONES</t>
  </si>
  <si>
    <t>MANEJO Y COBRANZAS</t>
  </si>
  <si>
    <t>OTROS SERVICIOS</t>
  </si>
  <si>
    <t>COMISIONES CAUSADAS</t>
  </si>
  <si>
    <t>OPERACIONES CONTINGENTES</t>
  </si>
  <si>
    <t>SERVICIOS FIDUCIARIOS</t>
  </si>
  <si>
    <t>VARIAS</t>
  </si>
  <si>
    <t>UTILIDADES FINANCIERAS</t>
  </si>
  <si>
    <t>GANANCIA EN CAMBIO</t>
  </si>
  <si>
    <t>EN VALUACIÓN DE INVERSIONES</t>
  </si>
  <si>
    <t>EN VENTA DE ACTIVOS PRODUCTIVOS</t>
  </si>
  <si>
    <t>ARRENDAMIENTO FINANCIERO</t>
  </si>
  <si>
    <t>PERDIDAS FINANCIERAS</t>
  </si>
  <si>
    <t>PÉRDIDA EN CAMBIO</t>
  </si>
  <si>
    <t>PROVISIONES</t>
  </si>
  <si>
    <t>INVERSIONES</t>
  </si>
  <si>
    <t>CUENTAS POR COBRAR</t>
  </si>
  <si>
    <t>OTROS ACTIVOS</t>
  </si>
  <si>
    <t>GASTOS DE OPERACION</t>
  </si>
  <si>
    <t>GASTOS DE PERSONAL</t>
  </si>
  <si>
    <t>HONORARIOS</t>
  </si>
  <si>
    <t>SERVICIOS VARIOS</t>
  </si>
  <si>
    <t>IMPUESTOS, CONTRIBUCIONES Y MULTAS</t>
  </si>
  <si>
    <t>DEPRECIACIONES</t>
  </si>
  <si>
    <t>AMORTIZACIONES</t>
  </si>
  <si>
    <t>OTROS GASTOS</t>
  </si>
  <si>
    <t>OTROS INGRESOS OPERACIONALES</t>
  </si>
  <si>
    <t>OTROS</t>
  </si>
  <si>
    <t>OTRAS PERDIDAS OPERACIONALES</t>
  </si>
  <si>
    <t>GANANCIA O PERDIDA ANTES DE IMPUESTOS</t>
  </si>
  <si>
    <t>IMPUESTOS Y PARTICIPACION A EMPLEADOS</t>
  </si>
  <si>
    <t>GANANCIA O PERDIDA DEL EJERCICIO</t>
  </si>
  <si>
    <t>GASTOS</t>
  </si>
  <si>
    <t>ACTIVO</t>
  </si>
  <si>
    <t>FONDOS DISPONIBLES</t>
  </si>
  <si>
    <t xml:space="preserve">INVERSIONES DEL SECTOR PRIVADO </t>
  </si>
  <si>
    <t>INVERSIONES DEL SECTOR PUBLICO</t>
  </si>
  <si>
    <t>INVERSIONES DE DISPONIB. RESTRINGIDA</t>
  </si>
  <si>
    <t>(PROVISIÓN PARA INVERSIONES)</t>
  </si>
  <si>
    <t>CARTERA DE CREDITOS</t>
  </si>
  <si>
    <t>CARTERA DE CREDITOS COMERCIALES</t>
  </si>
  <si>
    <t>CARTERA DE CREDITOS DE  CONSUMO</t>
  </si>
  <si>
    <t>CARTERA DE CREDITOS DE VIVIENDA</t>
  </si>
  <si>
    <t>CARTERA DE CREDITOS  PARA LA MICROEMPRESA</t>
  </si>
  <si>
    <t>(PROVISIONES PARA CRÉDITOS INCOBRABLES)</t>
  </si>
  <si>
    <t>PROPIEDADES Y EQUIPO</t>
  </si>
  <si>
    <t>PASIVO</t>
  </si>
  <si>
    <t>OBLIGACIONES CON EL PUBLICO</t>
  </si>
  <si>
    <t>DEPÓSITOS A LA VISTA</t>
  </si>
  <si>
    <t>OPERACIONES DE REPORTO</t>
  </si>
  <si>
    <t>DEPÓSITOS A PLAZO</t>
  </si>
  <si>
    <t>DEPÓSITOS DE GARANTÍA</t>
  </si>
  <si>
    <t>OBLIGACIONES INMEDIATAS</t>
  </si>
  <si>
    <t>CUENTAS POR PAGAR</t>
  </si>
  <si>
    <t>OBLIGACIONES CON INSTITUCIONES FINANCIERAS DEL EXTERIOR</t>
  </si>
  <si>
    <t>OBLIGACIONES CON ENTIDADES FINANCIERAS DEL SECTOR PÚBLICO</t>
  </si>
  <si>
    <t>OBLIGACIONES CON ORGANISMOS MULTILATERALES</t>
  </si>
  <si>
    <t>VALORES EN CIRCULACION</t>
  </si>
  <si>
    <t>OTROS PASIVOS</t>
  </si>
  <si>
    <t>PATRIMONIO</t>
  </si>
  <si>
    <t>MODELO DE VALORACION FINANCIERA PARA BANCOS DEL ECUADOR</t>
  </si>
  <si>
    <t>INSTRUCCIÓN:</t>
  </si>
  <si>
    <t>VARIABLES</t>
  </si>
  <si>
    <t>SUPUESTOS</t>
  </si>
  <si>
    <t>Fondos Disponibles</t>
  </si>
  <si>
    <t>Inversiones</t>
  </si>
  <si>
    <t>Cartera de Créditos:</t>
  </si>
  <si>
    <t>Consumo</t>
  </si>
  <si>
    <t>Vivienda</t>
  </si>
  <si>
    <t xml:space="preserve">Comerciales </t>
  </si>
  <si>
    <t>Microempresa</t>
  </si>
  <si>
    <t>Propiedades y equipo</t>
  </si>
  <si>
    <t>Otros Activos</t>
  </si>
  <si>
    <t>Depósitos a la vista</t>
  </si>
  <si>
    <t>Operaciones de Reporto</t>
  </si>
  <si>
    <t>Depósitos a plazo</t>
  </si>
  <si>
    <t>Depósitos de garantía</t>
  </si>
  <si>
    <t>Obligaciones Inmediatas</t>
  </si>
  <si>
    <t>Valores en circulación</t>
  </si>
  <si>
    <t xml:space="preserve">debido a la confianza de los clientes en el banco , esto se refleja en la </t>
  </si>
  <si>
    <t xml:space="preserve"> evolución positiva que ha tenido el banco en depósitos, y flexibilidad  </t>
  </si>
  <si>
    <t xml:space="preserve">Las obligaciones inmediatas mantendrán un comportamiento similar </t>
  </si>
  <si>
    <t>INGRESOS</t>
  </si>
  <si>
    <t>Año 2005</t>
  </si>
  <si>
    <t>CARTERA DE CREDITO</t>
  </si>
  <si>
    <t>Tasa de crecimiento estimada:</t>
  </si>
  <si>
    <t>Cartera de créditos</t>
  </si>
  <si>
    <t>Comerciales</t>
  </si>
  <si>
    <t>Microempresa*</t>
  </si>
  <si>
    <t>Tasa activa referencial:</t>
  </si>
  <si>
    <t>Año 2006</t>
  </si>
  <si>
    <t>Año 2007</t>
  </si>
  <si>
    <t>Año 2008</t>
  </si>
  <si>
    <t>Año 2009</t>
  </si>
  <si>
    <t>Estimada</t>
  </si>
  <si>
    <t>CREDITOS</t>
  </si>
  <si>
    <t>INTERESES</t>
  </si>
  <si>
    <t>Total</t>
  </si>
  <si>
    <t>TOTAL INGRESOS</t>
  </si>
  <si>
    <t>INTERESES CAUSADOS</t>
  </si>
  <si>
    <t>OBLIGACIONES CON EL PÚBLICO</t>
  </si>
  <si>
    <t>OTROS INTERESES</t>
  </si>
  <si>
    <t>MARGEN NETO INTERESES</t>
  </si>
  <si>
    <t>CARTAS DE CRÉDITO</t>
  </si>
  <si>
    <t>MARGEN BRUTO FINANCIERO</t>
  </si>
  <si>
    <t>MARGEN NETO FINANCIERO</t>
  </si>
  <si>
    <t>MARGEN DE INTERMEDIACION</t>
  </si>
  <si>
    <t>POR CARTERA</t>
  </si>
  <si>
    <t>CREDITO</t>
  </si>
  <si>
    <t>Tasa de incremento</t>
  </si>
  <si>
    <t>Comisiones Ganadas</t>
  </si>
  <si>
    <t>Gastos de Operación</t>
  </si>
  <si>
    <t>CAJA</t>
  </si>
  <si>
    <t>DEPÓSITOS PARA ENCAJE</t>
  </si>
  <si>
    <t>BANCOS Y OTRAS INSTITUCIONES FINANCIERAS</t>
  </si>
  <si>
    <t>EFECTOS DE COBRO INMEDIATO</t>
  </si>
  <si>
    <t>REMESAS EN TRÁNSITO</t>
  </si>
  <si>
    <t>INTERESES POR COBRAR DE INVERSIONES</t>
  </si>
  <si>
    <t>INTERESES POR COBRAR DE CARTERA DE CRÉDITOS</t>
  </si>
  <si>
    <t>PAGOS POR CUENTA DE CLIENTES</t>
  </si>
  <si>
    <t>CUENTAS POR COBRAR VARIAS</t>
  </si>
  <si>
    <t>(PROVISIÓN PARA CUENTAS POR COBRAR)</t>
  </si>
  <si>
    <t>EDIFICIOS</t>
  </si>
  <si>
    <t>MUEBLES, ENSERES Y EQUIPOS DE OFICINA</t>
  </si>
  <si>
    <t>EQUIPOS DE COMPUTACIÓN</t>
  </si>
  <si>
    <t>(DEPRECIACIÓN ACUMULADA)</t>
  </si>
  <si>
    <t>INVERSIONES EN ACCIONES Y PARTICIPACIONES</t>
  </si>
  <si>
    <t>GASTOS Y PAGOS ANTICIPADOS</t>
  </si>
  <si>
    <t>GASTOS DIFERIDOS</t>
  </si>
  <si>
    <t>(PROVISIÓN PARA OTROS ACTIVOS IRRECUPERABLES)</t>
  </si>
  <si>
    <t>INTERESES POR PAGAR</t>
  </si>
  <si>
    <t>PROVISIONES PARA ACEPTACIONES BANCARIAS Y OPERACIONES CONTINGENTES</t>
  </si>
  <si>
    <t>CUENTAS POR PAGAR VARIAS</t>
  </si>
  <si>
    <t>TOTAL</t>
  </si>
  <si>
    <t>CUENTAS CONTINGENTES</t>
  </si>
  <si>
    <t>ACREEDORAS</t>
  </si>
  <si>
    <t>AVALES</t>
  </si>
  <si>
    <t>FIANZAS Y GARANTÍAS</t>
  </si>
  <si>
    <t>CRÉDITOS APROBADOS NO DESEMBOLSADOS</t>
  </si>
  <si>
    <t>Dato Histórico 2004</t>
  </si>
  <si>
    <t>Año Base</t>
  </si>
  <si>
    <t>PROYECCION DE INTERESES INVERSIONES</t>
  </si>
  <si>
    <t>PROYECCION DE INTERESES CARTERA DE CRÉDITO</t>
  </si>
  <si>
    <t>Por pago por cuentas de clientes y Préstamos fondos de reserva</t>
  </si>
  <si>
    <t>PROYECCION OTROS INTERESES</t>
  </si>
  <si>
    <t>PROYECCION COMISIONES GANADAS</t>
  </si>
  <si>
    <t>Cartas de créditos</t>
  </si>
  <si>
    <t>PROYECCION UTILIDADES FINANCIERAS</t>
  </si>
  <si>
    <t>Ganancia en cambio</t>
  </si>
  <si>
    <t>En valuación de inversiones</t>
  </si>
  <si>
    <t>En venta de activos productivos</t>
  </si>
  <si>
    <t>Arrendamiento Financiero</t>
  </si>
  <si>
    <t xml:space="preserve">Tasa de incremento             </t>
  </si>
  <si>
    <t>2006-2008</t>
  </si>
  <si>
    <t>PROYECCION OTROS INGRESOS OPERACIONALES</t>
  </si>
  <si>
    <t>PROYECCION INGRESOS POR SERVICIOS</t>
  </si>
  <si>
    <t>Afiliaciones y Renovaciones</t>
  </si>
  <si>
    <t>Manejo y Cobranzas</t>
  </si>
  <si>
    <t>Otros Servicios</t>
  </si>
  <si>
    <t>Corte de estado de cuenta</t>
  </si>
  <si>
    <t>Cheque devuelto</t>
  </si>
  <si>
    <t>Revocatoria de cheque</t>
  </si>
  <si>
    <t>Cheques protestados</t>
  </si>
  <si>
    <t>Anulación de cheque</t>
  </si>
  <si>
    <t>Valor por cheque</t>
  </si>
  <si>
    <t>Cheque certificado</t>
  </si>
  <si>
    <t>Copia de documentos</t>
  </si>
  <si>
    <t>Servicios bancarios</t>
  </si>
  <si>
    <t>Servicios de Cajeros Automáticos</t>
  </si>
  <si>
    <t>Servicios en banca electrónica y telefónica</t>
  </si>
  <si>
    <t>Entrega de estados de cuentas</t>
  </si>
  <si>
    <t>PROYECCION INTERESES - OBLIGACIONES CON EL PÚBLICO</t>
  </si>
  <si>
    <t>Operaciones de reporto</t>
  </si>
  <si>
    <t xml:space="preserve"> *Tasa Operaciones de reporto </t>
  </si>
  <si>
    <t>Op. Reporto*</t>
  </si>
  <si>
    <t>DEPÓSITOS DE GARANTIA</t>
  </si>
  <si>
    <t>Tasas de interés pasivas</t>
  </si>
  <si>
    <t>Dep. a plazo</t>
  </si>
  <si>
    <t>PROYECCION INTERESES - OBLIGACIONES FINANCIERAS</t>
  </si>
  <si>
    <t>PROYECCION COMISIONES CAUSADAS</t>
  </si>
  <si>
    <t>PROYECCION PERDIDAS FINANCIERAS</t>
  </si>
  <si>
    <t>*Bienes realizables, adjudicados por pago y de arrendamiento mercantil</t>
  </si>
  <si>
    <t>BRAPAM*</t>
  </si>
  <si>
    <t>Cartera de crédito</t>
  </si>
  <si>
    <t>Cuentas por cobrar</t>
  </si>
  <si>
    <t>Operaciones cotingentes</t>
  </si>
  <si>
    <t>PROYECCION GASTOS POR PROVISIONES</t>
  </si>
  <si>
    <t>Dato Histórico</t>
  </si>
  <si>
    <t>Edificios</t>
  </si>
  <si>
    <t>versiones está en el sector privado,pues considera existe menos riesgo.</t>
  </si>
  <si>
    <t xml:space="preserve">Las provisiones por inversiones que el banco ha realizado en los últimos </t>
  </si>
  <si>
    <t>años en base a su percepción de riesgo es:</t>
  </si>
  <si>
    <t>cursos al sector comercial, un 84% de la cartera según su historia crediti-</t>
  </si>
  <si>
    <t xml:space="preserve">cia será para este sector,el banco cada año elevará su cartera,claro está  </t>
  </si>
  <si>
    <t xml:space="preserve">Los siguientes años se estima seguirán destinando la mayor parte de re   </t>
  </si>
  <si>
    <t>Considerando que en la actualidad existen presiones de sectores políticos</t>
  </si>
  <si>
    <t>hacia los bancos, para que asignen recursos a la microempresa, se esti-</t>
  </si>
  <si>
    <t>ma que en los siguientes años comenzará a otorgar crédito aunque en po-</t>
  </si>
  <si>
    <t>ca proporción y con minucioso análisis de riesgo de crédito.</t>
  </si>
  <si>
    <t>Las provisiones de cartera de crédito según análisis de riesgo que ha reali</t>
  </si>
  <si>
    <t>zado el banco en años precedentes con respecto a la  cartera bruta.</t>
  </si>
  <si>
    <t>Equipos de computación</t>
  </si>
  <si>
    <t>Muebles,Enseres y Eq.Oficina</t>
  </si>
  <si>
    <t>Cuentas por Cobrar</t>
  </si>
  <si>
    <t>Depreciación Acumulada</t>
  </si>
  <si>
    <t>Obligaciones con el público:</t>
  </si>
  <si>
    <t>de apertura de  cuentas.</t>
  </si>
  <si>
    <t>Otros Pasivos</t>
  </si>
  <si>
    <t>Provisiones para inversiones</t>
  </si>
  <si>
    <t>Provisiones Cartera de crédito</t>
  </si>
  <si>
    <t xml:space="preserve">Provisiones para cuentas por  </t>
  </si>
  <si>
    <t>cobrar</t>
  </si>
  <si>
    <t>Provisiones para Otros activos</t>
  </si>
  <si>
    <t>INGRESOS Y EGRESOS</t>
  </si>
  <si>
    <t>el banco tenga de la situación económica del país. Si es</t>
  </si>
  <si>
    <t>negativa, mayor tasa, y viceversa.</t>
  </si>
  <si>
    <t>TASAS</t>
  </si>
  <si>
    <t>AÑOS</t>
  </si>
  <si>
    <t xml:space="preserve">Tasas pasivas </t>
  </si>
  <si>
    <t xml:space="preserve">Tasas activas </t>
  </si>
  <si>
    <t>Tasas para depósitos a la vista</t>
  </si>
  <si>
    <t>y depósitos de garantía</t>
  </si>
  <si>
    <t>Las tasas para estos tipos de depósitos se estimó en ba-</t>
  </si>
  <si>
    <t>se a tasas promedio de los bancos privados, desde el año</t>
  </si>
  <si>
    <t>2003.</t>
  </si>
  <si>
    <t>Tasas para depósitos a plazo</t>
  </si>
  <si>
    <t>Según datos de tasas promedios de los bancos privados</t>
  </si>
  <si>
    <t>se estima que en los próximos años serán las tasas sigui</t>
  </si>
  <si>
    <t xml:space="preserve">Tasas para operaciones de </t>
  </si>
  <si>
    <t>reporto</t>
  </si>
  <si>
    <t xml:space="preserve">De la misma manera según datos promedios publicados </t>
  </si>
  <si>
    <t>entes:</t>
  </si>
  <si>
    <t>Depósitos a la vista y de garantías</t>
  </si>
  <si>
    <t>INTERESES GANADOS</t>
  </si>
  <si>
    <t>El financiamiento que requiere el banco según su historia,</t>
  </si>
  <si>
    <t>proviene principalmente de los organismos multilaterales,</t>
  </si>
  <si>
    <t>seguido de entidades del sector público, y finalmente de</t>
  </si>
  <si>
    <t>bancos del exterior.</t>
  </si>
  <si>
    <t xml:space="preserve"> OTROS INGRESOS</t>
  </si>
  <si>
    <t>Otros Intereses:</t>
  </si>
  <si>
    <t>No cambia</t>
  </si>
  <si>
    <t>Utilidades Financieras:</t>
  </si>
  <si>
    <t>2005 - 2009</t>
  </si>
  <si>
    <t>2005 - 2006</t>
  </si>
  <si>
    <t>"</t>
  </si>
  <si>
    <t>2006 - 2008</t>
  </si>
  <si>
    <t>2005 - 2008</t>
  </si>
  <si>
    <t>Ganancias en cambio:</t>
  </si>
  <si>
    <t>En valuación de inversiones:</t>
  </si>
  <si>
    <t>En venta de activos productivos:</t>
  </si>
  <si>
    <t>Arrendamiento financiero:</t>
  </si>
  <si>
    <t>Ingresos por Servicios:</t>
  </si>
  <si>
    <t>Otros servicios</t>
  </si>
  <si>
    <t>Otros Ingresos Operacionales:</t>
  </si>
  <si>
    <t>Tasa de crecimiento</t>
  </si>
  <si>
    <t>Tasas de interés</t>
  </si>
  <si>
    <t>OTROS EGRESOS</t>
  </si>
  <si>
    <t>Comisiones Causadas:</t>
  </si>
  <si>
    <t>Pérdidas Financieras</t>
  </si>
  <si>
    <t>2005 -2008</t>
  </si>
  <si>
    <t>Gastos por Provisiones</t>
  </si>
  <si>
    <t>Sobre el total de las provisiones</t>
  </si>
  <si>
    <t>Bienes realizables y de arrendamiento mercantil</t>
  </si>
  <si>
    <t>Operaciones Contingentes</t>
  </si>
  <si>
    <t>2005 -2009</t>
  </si>
  <si>
    <t>Otros Gastos</t>
  </si>
  <si>
    <t>Impuestos Contribuciones y multas</t>
  </si>
  <si>
    <t>Servicios varios</t>
  </si>
  <si>
    <t>Gastos de personal</t>
  </si>
  <si>
    <t>Honorarios</t>
  </si>
  <si>
    <t>PROYECCION GASTOS DE OPERACIONES</t>
  </si>
  <si>
    <t>OTRAS PÉRDIDAS OPERACIONALES</t>
  </si>
  <si>
    <t>Gastos del personal</t>
  </si>
  <si>
    <t>Servicios Varios</t>
  </si>
  <si>
    <t>Impuestos, contribuciones y multas</t>
  </si>
  <si>
    <t>Otras pérdidas operacionales:</t>
  </si>
  <si>
    <t>Los siguientes supuestos son aplicables con respecto a los ingresos y egresos que el banco se estima percibirá en los siguientes años, los cua-</t>
  </si>
  <si>
    <t>Bienes adjudicados por pago,</t>
  </si>
  <si>
    <t xml:space="preserve"> de arrendamiento mercantil y no</t>
  </si>
  <si>
    <t>utilizados por la institución</t>
  </si>
  <si>
    <t xml:space="preserve">Provisiones </t>
  </si>
  <si>
    <t>2008-2009</t>
  </si>
  <si>
    <t>Año 2008-2009</t>
  </si>
  <si>
    <t>PROYECCIÓN DEL BALANCE GENERAL</t>
  </si>
  <si>
    <t>En miles de dólares</t>
  </si>
  <si>
    <t>POYECCIÓN DE ESTADO DE PÉRDIDAS Y GANANCIAS</t>
  </si>
  <si>
    <t>INTERESES DE INVERSIONES EN TÍTULOS VALORES</t>
  </si>
  <si>
    <t>INTERESES  GANADOS</t>
  </si>
  <si>
    <t xml:space="preserve">OTROS INTERESES </t>
  </si>
  <si>
    <t>BIENES ADJUDICADOS POR PAGO Y DE ARRENDAMIENTO MERCANTIL</t>
  </si>
  <si>
    <t>BIENES ADJUD POR PAGO, DE ARREN MERC Y NO UTILIZADOS POR LA INSTIT.</t>
  </si>
  <si>
    <t>(PROVISIÓN PARA BIENES ADJUDICADOS POR PAGO Y RECUPERADOS)</t>
  </si>
  <si>
    <t xml:space="preserve">OBLIGACIONES CONVERTIBLES EN ACCIONES </t>
  </si>
  <si>
    <t>TOTAL PASIVO</t>
  </si>
  <si>
    <t>TOTAL ACTIVOS</t>
  </si>
  <si>
    <t>A  partir del 2006 otorgorgará :</t>
  </si>
  <si>
    <t>en miles de dólares</t>
  </si>
  <si>
    <t>Las provisiones  según el riesgo que ha percibido el banco sobre las cuen-</t>
  </si>
  <si>
    <t xml:space="preserve">La cartera de consumo representa aproximmadamente un 11% del total </t>
  </si>
  <si>
    <t xml:space="preserve">de la cartera de crédito .Y  considerando que es el crédito que menos ha </t>
  </si>
  <si>
    <t>crecido en los últimos años en relación con los otros tipos de crédito.</t>
  </si>
  <si>
    <t>Las provisiones  realizadas por el banco en años anteriores es la siguiente:</t>
  </si>
  <si>
    <t>bles, equipos de oficina, equipos de computación, por apertura de agencias</t>
  </si>
  <si>
    <t>Se estima que el banco, en los próximos años realizará adquisición de mue-</t>
  </si>
  <si>
    <t>Este fondo es administrado por la Corporación financiera Nacional, el cual fue</t>
  </si>
  <si>
    <t>creado para resolver eventuales requerimientos de liquidez. Y en base a lo qu</t>
  </si>
  <si>
    <t>Del sector público</t>
  </si>
  <si>
    <t>Del sector privado</t>
  </si>
  <si>
    <t>De disponibilidad restringida</t>
  </si>
  <si>
    <t>Con organismos multilaterales</t>
  </si>
  <si>
    <t>Con instituciones del exterior</t>
  </si>
  <si>
    <t>Con instituciones del sector público</t>
  </si>
  <si>
    <t xml:space="preserve">  </t>
  </si>
  <si>
    <t>Inversiones en acciones y participaciones</t>
  </si>
  <si>
    <t>Gastos y pagos anticipados</t>
  </si>
  <si>
    <t>Gastos Diferidos</t>
  </si>
  <si>
    <t>Intereses por Pagar</t>
  </si>
  <si>
    <t>Cuentas por pagar varias</t>
  </si>
  <si>
    <t>y Operaciones Contingentes</t>
  </si>
  <si>
    <t>Cuentas por Pagar:</t>
  </si>
  <si>
    <t>Obligaciones Financieras:</t>
  </si>
  <si>
    <t>Pasiva (1)</t>
  </si>
  <si>
    <t>Activa (2)</t>
  </si>
  <si>
    <t>SPREAD (2-1)</t>
  </si>
  <si>
    <t>TASAS DE INTERES REFERENCIALES</t>
  </si>
  <si>
    <t>Abril</t>
  </si>
  <si>
    <t>En</t>
  </si>
  <si>
    <t>Feb</t>
  </si>
  <si>
    <t>Marz</t>
  </si>
  <si>
    <t>May</t>
  </si>
  <si>
    <t>Jun</t>
  </si>
  <si>
    <t>Jul</t>
  </si>
  <si>
    <t>Ag</t>
  </si>
  <si>
    <t>Sept</t>
  </si>
  <si>
    <t>Oct</t>
  </si>
  <si>
    <t>Nov</t>
  </si>
  <si>
    <t>Dic</t>
  </si>
  <si>
    <t>Meses</t>
  </si>
  <si>
    <t>SUBIR</t>
  </si>
  <si>
    <t>MESES</t>
  </si>
  <si>
    <t>TASAS REFERENCIALES REALES</t>
  </si>
  <si>
    <t>Inflación anual</t>
  </si>
  <si>
    <t>Fuente:</t>
  </si>
  <si>
    <t>Página web Banco Central del Ecuador/Bancos Privados</t>
  </si>
  <si>
    <r>
      <t>Fuente:</t>
    </r>
    <r>
      <rPr>
        <sz val="7.5"/>
        <color indexed="9"/>
        <rFont val="Arial"/>
        <family val="2"/>
      </rPr>
      <t>Página web Banco Central del Ecuador/Bancos Privados</t>
    </r>
  </si>
  <si>
    <r>
      <t>Nota:</t>
    </r>
    <r>
      <rPr>
        <sz val="7.5"/>
        <color indexed="9"/>
        <rFont val="Arial"/>
        <family val="2"/>
      </rPr>
      <t>Tasas de interes referenciales nominales descontadas las inflaciones</t>
    </r>
  </si>
  <si>
    <t>Depósitos de</t>
  </si>
  <si>
    <t>Ahorro</t>
  </si>
  <si>
    <t>Operaciones de</t>
  </si>
  <si>
    <t>Reporto(1-29)</t>
  </si>
  <si>
    <t>Dep. a la vista y otros</t>
  </si>
  <si>
    <t xml:space="preserve">Depósitos </t>
  </si>
  <si>
    <r>
      <t>a plazo</t>
    </r>
    <r>
      <rPr>
        <b/>
        <sz val="6"/>
        <color indexed="9"/>
        <rFont val="Arial"/>
        <family val="2"/>
      </rPr>
      <t>(3-83)</t>
    </r>
  </si>
  <si>
    <t>Tasas de interés: Operaciones Pasivas</t>
  </si>
  <si>
    <t>Promedio Ponderado del período</t>
  </si>
  <si>
    <r>
      <t xml:space="preserve">Fuente: </t>
    </r>
    <r>
      <rPr>
        <sz val="7.5"/>
        <color indexed="41"/>
        <rFont val="Arial"/>
        <family val="2"/>
      </rPr>
      <t>Página web del Banco Central del Ecuador, Boletín Mensual y Boletín de Coyuntura</t>
    </r>
  </si>
  <si>
    <r>
      <t>Nota:</t>
    </r>
    <r>
      <rPr>
        <sz val="7.5"/>
        <color indexed="41"/>
        <rFont val="Arial"/>
        <family val="2"/>
      </rPr>
      <t xml:space="preserve"> Incluye bancos nacionales, extranjeros </t>
    </r>
  </si>
  <si>
    <t>TASAS DE INTERES REFERENCIALES NOMINALES</t>
  </si>
  <si>
    <t>TASAS DE INTERES REFERENCIALES REALES</t>
  </si>
  <si>
    <t>TASAS DE INTERES:OPERACIONES PASIVAS</t>
  </si>
  <si>
    <t>CONTENIDO</t>
  </si>
  <si>
    <t>INDICES MACROFINANCIEROS</t>
  </si>
  <si>
    <t>IR</t>
  </si>
  <si>
    <t>NOMINALES</t>
  </si>
  <si>
    <t>EVOLUCIÓN DE:</t>
  </si>
  <si>
    <t>Ene</t>
  </si>
  <si>
    <t>Ab</t>
  </si>
  <si>
    <t>Sep</t>
  </si>
  <si>
    <t>INFLACIÓN ACUMULADA</t>
  </si>
  <si>
    <t>RIESGO PAÍS</t>
  </si>
  <si>
    <t>EMBI</t>
  </si>
  <si>
    <t>Enero</t>
  </si>
  <si>
    <t>Febrero</t>
  </si>
  <si>
    <t>Marzo</t>
  </si>
  <si>
    <t>Mayo</t>
  </si>
  <si>
    <t>Junio</t>
  </si>
  <si>
    <t>Julio</t>
  </si>
  <si>
    <t>Agosto</t>
  </si>
  <si>
    <t>Septiembre</t>
  </si>
  <si>
    <t>Octubre</t>
  </si>
  <si>
    <t>Noviembre</t>
  </si>
  <si>
    <t>Diciembre</t>
  </si>
  <si>
    <t>FUENTE:Página web del Banco Central del Ecuador</t>
  </si>
  <si>
    <t>FLUJO DE EFECTIVO DESCONTADO</t>
  </si>
  <si>
    <t>*Porcentaje a partir de 2006</t>
  </si>
  <si>
    <t>Cuentas Contingentes:</t>
  </si>
  <si>
    <t>Avales</t>
  </si>
  <si>
    <t>Fianzas y Garantías</t>
  </si>
  <si>
    <t>Créditos aprobados no desembolsados</t>
  </si>
  <si>
    <t>Tasa de interés</t>
  </si>
  <si>
    <t>COMISIONES CAUSADAS:</t>
  </si>
  <si>
    <t>Utilidad del Ejercicio</t>
  </si>
  <si>
    <t>Cargos que no siginfican movimientos de efectivo:</t>
  </si>
  <si>
    <t xml:space="preserve"> </t>
  </si>
  <si>
    <t>Intereses por cobrar de inversiones</t>
  </si>
  <si>
    <t>Pagos por cuentas de clientes</t>
  </si>
  <si>
    <t>Cuentas por cobrar varias</t>
  </si>
  <si>
    <t>Intereses por cobrar - cartera de crédito</t>
  </si>
  <si>
    <t>El banco realiza inversiones con la finalidad de obtener rendimientos y servi-</t>
  </si>
  <si>
    <t>FLUJO</t>
  </si>
  <si>
    <t>(+)DEPRECIACIONES</t>
  </si>
  <si>
    <t>(+)AMORTIZACIONES</t>
  </si>
  <si>
    <t>(+)PROVISIONES</t>
  </si>
  <si>
    <t xml:space="preserve">    INTERESES POR COBRAR DE INVERSIONES</t>
  </si>
  <si>
    <t xml:space="preserve">    INTERESES POR COBRAR DE CARTERA DE CRÉDITOS</t>
  </si>
  <si>
    <t xml:space="preserve">    PAGOS POR CUENTA DE CLIENTES</t>
  </si>
  <si>
    <t xml:space="preserve">    CUENTAS POR COBRAR VARIAS</t>
  </si>
  <si>
    <t>Basados en datos</t>
  </si>
  <si>
    <t xml:space="preserve">les son basados en situaciones o experiencias pasadas del banco, es decir datos de los años precedentes a los que se proyectará. La columna </t>
  </si>
  <si>
    <t>de las tasas y de color verde son datos modificables.</t>
  </si>
  <si>
    <t xml:space="preserve"> Para el desarrollo de este modelo se realizaron primisas los cuales serán utilizados para proyectar los estados financieros  y flujos de efectivo</t>
  </si>
  <si>
    <t>TASA CRECIMIENTO</t>
  </si>
  <si>
    <t xml:space="preserve">El banco seguirá invertiendo en titulos valores, pero en los siguientes años sus utilidades en valuación de inversiones aumentarán y disminuirán  </t>
  </si>
  <si>
    <t>ligeramente debido a las constantes variaciones de  los precios de  títulos valores en el mercado financiero por el índice riesgo-país.</t>
  </si>
  <si>
    <t>Saldo Inicial</t>
  </si>
  <si>
    <t>Intereses proyectados</t>
  </si>
  <si>
    <t>% estimado de cobro</t>
  </si>
  <si>
    <t>Monto estimado de cobro</t>
  </si>
  <si>
    <t>Saldo Final</t>
  </si>
  <si>
    <t>Tasa promedio de rendimiento anual de las inversiones</t>
  </si>
  <si>
    <t>% de Depreciación</t>
  </si>
  <si>
    <t>Muebles, enseres y eq de ocicina</t>
  </si>
  <si>
    <t>Equipos de computacióm</t>
  </si>
  <si>
    <t>Depreciación</t>
  </si>
  <si>
    <t>Edificio</t>
  </si>
  <si>
    <t>M,E, y E OF</t>
  </si>
  <si>
    <t>Dep</t>
  </si>
  <si>
    <t>Amortización</t>
  </si>
  <si>
    <t>Anticipos a terceros</t>
  </si>
  <si>
    <t>Amortz</t>
  </si>
  <si>
    <t>% Amortz.</t>
  </si>
  <si>
    <t>Total Depreciación</t>
  </si>
  <si>
    <t>ACTIVO FIJO</t>
  </si>
  <si>
    <t xml:space="preserve">PROYECCIÓN CUENTAS POR COBRAR </t>
  </si>
  <si>
    <t>INTERESES  POR INVERSIONES</t>
  </si>
  <si>
    <t>INT. CARTERA DE CRÉDITO</t>
  </si>
  <si>
    <t>Total amortización</t>
  </si>
  <si>
    <t>Caja</t>
  </si>
  <si>
    <t>Depósitos para encaje</t>
  </si>
  <si>
    <t>Bancos y Otras Instituciones Financier.</t>
  </si>
  <si>
    <t>Efectos de cobro inmediato</t>
  </si>
  <si>
    <t>Remesas en tránsito</t>
  </si>
  <si>
    <t>Los depósitos en otros bancos, refleja la perspectiva positiva o negativa del</t>
  </si>
  <si>
    <t>un eventual retiro masivo de depositantes.</t>
  </si>
  <si>
    <t>precedentes del banco.</t>
  </si>
  <si>
    <t>Efectos de cobro inmediato y remesas en tránsito aumentan según datos</t>
  </si>
  <si>
    <t>BIENES ADJUDICADOS POR PAGO Y NO UTILIZADOS POR LA INST.</t>
  </si>
  <si>
    <t>Porción no cobrada</t>
  </si>
  <si>
    <t xml:space="preserve">Provisiones de Aceptaciones bancarias  </t>
  </si>
  <si>
    <t>El dinero en efectivo y de caja chica se estima aumente:</t>
  </si>
  <si>
    <t xml:space="preserve">banco en cuanto a la situación del país. Lo cual aumenta para responder ante </t>
  </si>
  <si>
    <t>Las inversiones en el sector público cada año crecerá</t>
  </si>
  <si>
    <t>Es la cartera que mejor ha evolucionado en estos últimos años,considerando</t>
  </si>
  <si>
    <t>EDIFICIO</t>
  </si>
  <si>
    <t xml:space="preserve">Promedio de Comisión </t>
  </si>
  <si>
    <t>e ha venido creciendo este fondo se estima:</t>
  </si>
  <si>
    <t>Se estima un ritmo de crecimiento   para  las inversiones del sector privado</t>
  </si>
  <si>
    <t>por cada año, en base a datos históricos,la mayor concentración de in-</t>
  </si>
  <si>
    <t xml:space="preserve">Depreciaciones </t>
  </si>
  <si>
    <t>Amortizaciones</t>
  </si>
  <si>
    <t>TERRENOS</t>
  </si>
  <si>
    <t>VARIACIÓN</t>
  </si>
  <si>
    <t>Los depósitos para encaje, se estima un porcentaje sobre los depósitos:</t>
  </si>
  <si>
    <t>por los bancos privados, se presume lo siguiente:</t>
  </si>
  <si>
    <t>Históricos</t>
  </si>
  <si>
    <t>tas pendientes de cobro en los últimos años:</t>
  </si>
  <si>
    <t>que estos últimos años el banco ha ido adoptando mecanismos más riguro</t>
  </si>
  <si>
    <t>sos y efectivos para otorgar créditos.</t>
  </si>
  <si>
    <t>tal comportamiento, se estima que aumentará:</t>
  </si>
  <si>
    <t xml:space="preserve"> o sucursales, adicionalmente de realizar construcciones y mejoras.</t>
  </si>
  <si>
    <t>Bienes recibidos</t>
  </si>
  <si>
    <t>proyectos, por adecuaciones, por gastos de organización, constitución.</t>
  </si>
  <si>
    <t>Las provisiones estimadas sobre otros activos:</t>
  </si>
  <si>
    <t>Otros</t>
  </si>
  <si>
    <t>Las cuentas de ahorro y corriente se estima que seguirán aumentando,</t>
  </si>
  <si>
    <t>tes prefieran los de menores plazos según la Superintendencia de Bancos</t>
  </si>
  <si>
    <t>al año anterior, el sector público seguirá requeriendo del banco como medio</t>
  </si>
  <si>
    <t>miento requerido por el banco, recurriendo al Banco Ecuatoriano de la Vivienda</t>
  </si>
  <si>
    <t>cios de apoyo complementarios a su gestión principal</t>
  </si>
  <si>
    <t>Según datos Históricos:</t>
  </si>
  <si>
    <t xml:space="preserve">Se estima que cada año parte de los intereses generados por la cartera </t>
  </si>
  <si>
    <t>Obligaciones convertibles en acciones</t>
  </si>
  <si>
    <t>VALOR DE PERPETUIDAD</t>
  </si>
  <si>
    <t>VALORACION DEL BANCO</t>
  </si>
  <si>
    <t>Ke:</t>
  </si>
  <si>
    <t>FE:</t>
  </si>
  <si>
    <t>g:</t>
  </si>
  <si>
    <t>VPA perp.</t>
  </si>
  <si>
    <t>Flujo de Efectivo</t>
  </si>
  <si>
    <t>Tasa de Crecimiento</t>
  </si>
  <si>
    <t>Tasa de descuento</t>
  </si>
  <si>
    <t>FLUJOS DE EFECTIVO</t>
  </si>
  <si>
    <t>"Discount Cash Flow"</t>
  </si>
  <si>
    <t xml:space="preserve">Modelo de valoración financiera para valorar un Banco en funcionamiento en función  </t>
  </si>
  <si>
    <t>de los flujos de efectivo futuros que previsiblemente generará</t>
  </si>
  <si>
    <t>Cartas de crédito:% sobre cuentas de cartas de crédito</t>
  </si>
  <si>
    <t>Otras comisiones:Promedio de las demás comisiones</t>
  </si>
  <si>
    <t>Intereses por Inversiones:Tasa de rendimiento</t>
  </si>
  <si>
    <t>Cartera de crédito:Promedio de crecimiento de cartera</t>
  </si>
  <si>
    <t>El supuesto es que en tres ocasiones dentro del periodo de proyección las utilidades financieras sufrirán variaciones  positivas o negativas.</t>
  </si>
  <si>
    <t>O desde el inicio del año:</t>
  </si>
  <si>
    <t>Supuesto en el 2007:</t>
  </si>
  <si>
    <t>Decidir:</t>
  </si>
  <si>
    <t>Se puede amortizar a partir de la mitad del año:</t>
  </si>
  <si>
    <t>% estimado de anticipo sobre intereses</t>
  </si>
  <si>
    <t>% estimado de pago sobre los gastos</t>
  </si>
  <si>
    <t>% estimado de pago sobre intereses</t>
  </si>
  <si>
    <t xml:space="preserve">IR </t>
  </si>
  <si>
    <t>Basado en comportamiento de años anteriores</t>
  </si>
  <si>
    <t>Sus supuestos se aplican en la hoja de proyección de balance, para mejor</t>
  </si>
  <si>
    <t>demostración.</t>
  </si>
  <si>
    <t xml:space="preserve">Los supuestos se aplican en la hoja de proyección del balance, para mejor </t>
  </si>
  <si>
    <t>Los supuestos se aplican en la hoja de proyección del balance</t>
  </si>
  <si>
    <t>Los supuestos se aplican en la hoja de proyección del balance.</t>
  </si>
  <si>
    <t>Basados en el crecimiento de los depósitos de clientes y tasas pasivas*</t>
  </si>
  <si>
    <t>otras en lo cuales el banco incurre*</t>
  </si>
  <si>
    <t>(*) Los supuestos se aplican en la hoja de proyección del balance</t>
  </si>
  <si>
    <t>% estimado sobre las cuentas de operaciones contingentes de cada año:</t>
  </si>
  <si>
    <t xml:space="preserve"> del período de cinco (5) años del Banco. La columna de tasa de crecimiento es modificable.</t>
  </si>
  <si>
    <t>INSTRUCCIONES:</t>
  </si>
  <si>
    <t>IR a la hoja de proyección de ingresos</t>
  </si>
  <si>
    <t>de crédito serán recibidos por anticipado. Ir a hoja de proyección de balance:</t>
  </si>
  <si>
    <t xml:space="preserve"> Las variaciones depende de las expectativas que </t>
  </si>
  <si>
    <t>Las variaciones están en función de las expectativas que</t>
  </si>
  <si>
    <t>gastos</t>
  </si>
  <si>
    <t>Los supuestos se aplican en la hoja de proyección de los</t>
  </si>
  <si>
    <t>el banco tenga del entorno económico del país.</t>
  </si>
  <si>
    <t>INTRODUCCIÓN</t>
  </si>
  <si>
    <t>El modelo se compone de 10 hojas de cálculo y 2 de Anexos</t>
  </si>
  <si>
    <t>9.</t>
  </si>
  <si>
    <t>10.Cálculo de la valoración</t>
  </si>
  <si>
    <t xml:space="preserve">1.  Instrucciones </t>
  </si>
  <si>
    <t>2.  Los supuestos utilizados para la proyección del Balance General</t>
  </si>
  <si>
    <t>5.  Aplicación y demostración de los supuestos para ingresos</t>
  </si>
  <si>
    <t>6.  Aplicación y demostración de los supuestos para egresos</t>
  </si>
  <si>
    <t>7.  El Balance General proyectado</t>
  </si>
  <si>
    <t>8.  El Estado de Resultados Proyectado</t>
  </si>
  <si>
    <t>9.  Flujo de Efectivo Proyectado</t>
  </si>
  <si>
    <t>3.  Los supuestos utilizados para la proyección de Estado de Resultados</t>
  </si>
  <si>
    <t>4.  Aplicación y demostración de los supuestos para el Balance General</t>
  </si>
  <si>
    <t xml:space="preserve">MODELO FINANCIERO PARA VALORAR UN BANCO POR DESCUENTO DE SUS FLUJOS </t>
  </si>
  <si>
    <t>1.</t>
  </si>
  <si>
    <t>Las celdas en color verde deben ser llenados por el usuario</t>
  </si>
  <si>
    <t>2.</t>
  </si>
  <si>
    <t>Explicaciones para el entendimiento y manejo del modelo</t>
  </si>
  <si>
    <t>3.</t>
  </si>
  <si>
    <t>1)</t>
  </si>
  <si>
    <t>2)</t>
  </si>
  <si>
    <t>3)</t>
  </si>
  <si>
    <t xml:space="preserve">que se desarrollaron y aplicaron otros supuestos en las hojas continuas para lo cual el usuario </t>
  </si>
  <si>
    <t>podrá ir a la correspondiente hoja mediante un hipervínculo</t>
  </si>
</sst>
</file>

<file path=xl/styles.xml><?xml version="1.0" encoding="utf-8"?>
<styleSheet xmlns="http://schemas.openxmlformats.org/spreadsheetml/2006/main">
  <numFmts count="10">
    <numFmt numFmtId="165" formatCode="&quot;$&quot;\ #,##0;[Red]&quot;$&quot;\ \-#,##0"/>
    <numFmt numFmtId="171" formatCode="_ * #,##0.00_ ;_ * \-#,##0.00_ ;_ * &quot;-&quot;??_ ;_ @_ "/>
    <numFmt numFmtId="186" formatCode="_(* #,##0_);_(* \(#,##0\);_(* &quot;-&quot;??_);_(@_)"/>
    <numFmt numFmtId="187" formatCode="_(* #,##0.00_);_(* \(#,##0.00\);_(* &quot;-&quot;??_);_(@_)"/>
    <numFmt numFmtId="188" formatCode="0.0%"/>
    <numFmt numFmtId="193" formatCode="#,##0.0"/>
    <numFmt numFmtId="194" formatCode="_ * #,##0.0_ ;_ * \-#,##0.0_ ;_ * &quot;-&quot;??_ ;_ @_ "/>
    <numFmt numFmtId="195" formatCode="0.0"/>
    <numFmt numFmtId="201" formatCode="0.0000"/>
    <numFmt numFmtId="205" formatCode="_ * #,##0_ ;_ * \-#,##0_ ;_ * &quot;-&quot;??_ ;_ @_ "/>
  </numFmts>
  <fonts count="101">
    <font>
      <sz val="10"/>
      <name val="Arial"/>
    </font>
    <font>
      <sz val="10"/>
      <name val="Arial"/>
    </font>
    <font>
      <b/>
      <sz val="9"/>
      <name val="Arial"/>
      <family val="2"/>
    </font>
    <font>
      <sz val="9"/>
      <name val="Arial"/>
      <family val="2"/>
    </font>
    <font>
      <b/>
      <sz val="10"/>
      <name val="Arial"/>
      <family val="2"/>
    </font>
    <font>
      <sz val="10"/>
      <name val="Arial"/>
      <family val="2"/>
    </font>
    <font>
      <b/>
      <sz val="9"/>
      <name val="Arial"/>
    </font>
    <font>
      <b/>
      <sz val="7"/>
      <name val="Arial"/>
      <family val="2"/>
    </font>
    <font>
      <sz val="8"/>
      <name val="Arial"/>
    </font>
    <font>
      <b/>
      <sz val="10"/>
      <color indexed="9"/>
      <name val="Arial"/>
      <family val="2"/>
    </font>
    <font>
      <b/>
      <sz val="11"/>
      <color indexed="9"/>
      <name val="Arial"/>
      <family val="2"/>
    </font>
    <font>
      <sz val="10"/>
      <color indexed="9"/>
      <name val="Arial"/>
    </font>
    <font>
      <b/>
      <i/>
      <sz val="10"/>
      <name val="Arial"/>
      <family val="2"/>
    </font>
    <font>
      <b/>
      <sz val="11"/>
      <color indexed="17"/>
      <name val="Arial"/>
      <family val="2"/>
    </font>
    <font>
      <b/>
      <sz val="10"/>
      <color indexed="57"/>
      <name val="Arial"/>
      <family val="2"/>
    </font>
    <font>
      <b/>
      <sz val="8"/>
      <name val="Arial"/>
    </font>
    <font>
      <sz val="10"/>
      <color indexed="9"/>
      <name val="Arial"/>
      <family val="2"/>
    </font>
    <font>
      <b/>
      <sz val="10"/>
      <color indexed="17"/>
      <name val="Arial"/>
      <family val="2"/>
    </font>
    <font>
      <b/>
      <sz val="9"/>
      <color indexed="9"/>
      <name val="Arial"/>
      <family val="2"/>
    </font>
    <font>
      <u/>
      <sz val="10"/>
      <color indexed="12"/>
      <name val="Arial"/>
    </font>
    <font>
      <sz val="9"/>
      <color indexed="9"/>
      <name val="Arial"/>
    </font>
    <font>
      <sz val="10"/>
      <color indexed="10"/>
      <name val="Arial"/>
      <family val="2"/>
    </font>
    <font>
      <sz val="9"/>
      <name val="Arial"/>
    </font>
    <font>
      <b/>
      <i/>
      <sz val="9"/>
      <name val="Arial"/>
      <family val="2"/>
    </font>
    <font>
      <sz val="9"/>
      <color indexed="10"/>
      <name val="Arial"/>
      <family val="2"/>
    </font>
    <font>
      <sz val="8"/>
      <name val="Arial"/>
      <family val="2"/>
    </font>
    <font>
      <b/>
      <sz val="10"/>
      <color indexed="43"/>
      <name val="Arial"/>
      <family val="2"/>
    </font>
    <font>
      <b/>
      <sz val="11"/>
      <color indexed="43"/>
      <name val="Arial"/>
      <family val="2"/>
    </font>
    <font>
      <sz val="10"/>
      <color indexed="43"/>
      <name val="Arial"/>
    </font>
    <font>
      <sz val="10"/>
      <color indexed="23"/>
      <name val="Arial"/>
    </font>
    <font>
      <u/>
      <sz val="10"/>
      <name val="Arial"/>
    </font>
    <font>
      <i/>
      <u/>
      <sz val="10"/>
      <name val="Arial"/>
      <family val="2"/>
    </font>
    <font>
      <b/>
      <i/>
      <u/>
      <sz val="10"/>
      <name val="Arial"/>
      <family val="2"/>
    </font>
    <font>
      <b/>
      <sz val="10"/>
      <color indexed="12"/>
      <name val="Arial"/>
      <family val="2"/>
    </font>
    <font>
      <sz val="7.5"/>
      <color indexed="9"/>
      <name val="Arial"/>
      <family val="2"/>
    </font>
    <font>
      <b/>
      <sz val="10"/>
      <color indexed="41"/>
      <name val="Arial"/>
      <family val="2"/>
    </font>
    <font>
      <b/>
      <sz val="8"/>
      <color indexed="9"/>
      <name val="Arial"/>
      <family val="2"/>
    </font>
    <font>
      <sz val="8"/>
      <color indexed="9"/>
      <name val="Arial"/>
      <family val="2"/>
    </font>
    <font>
      <sz val="9"/>
      <color indexed="41"/>
      <name val="Arial"/>
      <family val="2"/>
    </font>
    <font>
      <sz val="10"/>
      <color indexed="41"/>
      <name val="Arial"/>
    </font>
    <font>
      <b/>
      <sz val="6"/>
      <color indexed="9"/>
      <name val="Arial"/>
      <family val="2"/>
    </font>
    <font>
      <b/>
      <sz val="7.5"/>
      <color indexed="41"/>
      <name val="Arial"/>
      <family val="2"/>
    </font>
    <font>
      <sz val="7.5"/>
      <color indexed="41"/>
      <name val="Arial"/>
      <family val="2"/>
    </font>
    <font>
      <sz val="7.5"/>
      <name val="Arial"/>
      <family val="2"/>
    </font>
    <font>
      <b/>
      <u/>
      <sz val="12"/>
      <color indexed="41"/>
      <name val="Arial"/>
      <family val="2"/>
    </font>
    <font>
      <sz val="11"/>
      <color indexed="43"/>
      <name val="Arial"/>
      <family val="2"/>
    </font>
    <font>
      <b/>
      <sz val="7.5"/>
      <color indexed="9"/>
      <name val="Arial"/>
      <family val="2"/>
    </font>
    <font>
      <b/>
      <sz val="12"/>
      <color indexed="9"/>
      <name val="Arial"/>
      <family val="2"/>
    </font>
    <font>
      <b/>
      <sz val="16"/>
      <color indexed="9"/>
      <name val="Arial"/>
      <family val="2"/>
    </font>
    <font>
      <b/>
      <sz val="10"/>
      <color indexed="26"/>
      <name val="Arial"/>
      <family val="2"/>
    </font>
    <font>
      <b/>
      <sz val="10"/>
      <color indexed="56"/>
      <name val="Arial"/>
      <family val="2"/>
    </font>
    <font>
      <sz val="10"/>
      <color indexed="56"/>
      <name val="Arial"/>
      <family val="2"/>
    </font>
    <font>
      <sz val="10"/>
      <color indexed="56"/>
      <name val="Arial"/>
    </font>
    <font>
      <b/>
      <i/>
      <sz val="10"/>
      <color indexed="26"/>
      <name val="Arial"/>
      <family val="2"/>
    </font>
    <font>
      <i/>
      <sz val="10"/>
      <color indexed="26"/>
      <name val="Arial"/>
      <family val="2"/>
    </font>
    <font>
      <b/>
      <i/>
      <sz val="10"/>
      <color indexed="9"/>
      <name val="Arial"/>
      <family val="2"/>
    </font>
    <font>
      <i/>
      <sz val="10"/>
      <color indexed="9"/>
      <name val="Arial"/>
      <family val="2"/>
    </font>
    <font>
      <i/>
      <sz val="10"/>
      <name val="Arial"/>
      <family val="2"/>
    </font>
    <font>
      <b/>
      <sz val="6"/>
      <name val="Arial"/>
      <family val="2"/>
    </font>
    <font>
      <b/>
      <i/>
      <sz val="9"/>
      <color indexed="9"/>
      <name val="Arial"/>
      <family val="2"/>
    </font>
    <font>
      <b/>
      <sz val="14"/>
      <color indexed="9"/>
      <name val="Arial"/>
      <family val="2"/>
    </font>
    <font>
      <b/>
      <sz val="8.5"/>
      <color indexed="9"/>
      <name val="Arial"/>
      <family val="2"/>
    </font>
    <font>
      <sz val="16"/>
      <color indexed="9"/>
      <name val="Arial"/>
      <family val="2"/>
    </font>
    <font>
      <i/>
      <sz val="11"/>
      <color indexed="17"/>
      <name val="Arial"/>
      <family val="2"/>
    </font>
    <font>
      <b/>
      <i/>
      <sz val="11"/>
      <color indexed="9"/>
      <name val="Arial"/>
      <family val="2"/>
    </font>
    <font>
      <b/>
      <i/>
      <sz val="12"/>
      <color indexed="9"/>
      <name val="Arial"/>
      <family val="2"/>
    </font>
    <font>
      <b/>
      <sz val="10"/>
      <color indexed="9"/>
      <name val="Arial"/>
    </font>
    <font>
      <b/>
      <sz val="11"/>
      <color indexed="56"/>
      <name val="Arial"/>
      <family val="2"/>
    </font>
    <font>
      <b/>
      <sz val="10"/>
      <color indexed="60"/>
      <name val="Arial"/>
      <family val="2"/>
    </font>
    <font>
      <b/>
      <sz val="10"/>
      <color indexed="56"/>
      <name val="Arial"/>
    </font>
    <font>
      <b/>
      <sz val="10"/>
      <color indexed="48"/>
      <name val="Arial"/>
      <family val="2"/>
    </font>
    <font>
      <b/>
      <sz val="10"/>
      <color indexed="30"/>
      <name val="Arial"/>
      <family val="2"/>
    </font>
    <font>
      <b/>
      <sz val="11"/>
      <color indexed="30"/>
      <name val="Arial"/>
      <family val="2"/>
    </font>
    <font>
      <b/>
      <sz val="11"/>
      <name val="Arial"/>
      <family val="2"/>
    </font>
    <font>
      <b/>
      <sz val="11"/>
      <color indexed="12"/>
      <name val="Arial"/>
      <family val="2"/>
    </font>
    <font>
      <b/>
      <sz val="12"/>
      <color indexed="12"/>
      <name val="Arial"/>
      <family val="2"/>
    </font>
    <font>
      <b/>
      <u/>
      <sz val="10"/>
      <color indexed="12"/>
      <name val="Arial"/>
      <family val="2"/>
    </font>
    <font>
      <sz val="10"/>
      <name val="Arial"/>
    </font>
    <font>
      <sz val="11.5"/>
      <name val="Arial"/>
    </font>
    <font>
      <b/>
      <i/>
      <sz val="11"/>
      <name val="Arial"/>
      <family val="2"/>
    </font>
    <font>
      <b/>
      <sz val="18"/>
      <color indexed="12"/>
      <name val="Arial"/>
      <family val="2"/>
    </font>
    <font>
      <b/>
      <sz val="14"/>
      <name val="Arial"/>
      <family val="2"/>
    </font>
    <font>
      <sz val="14"/>
      <color indexed="9"/>
      <name val="Arial"/>
      <family val="2"/>
    </font>
    <font>
      <b/>
      <sz val="10"/>
      <color indexed="11"/>
      <name val="Arial"/>
      <family val="2"/>
    </font>
    <font>
      <b/>
      <sz val="11"/>
      <color indexed="11"/>
      <name val="Arial"/>
      <family val="2"/>
    </font>
    <font>
      <sz val="9"/>
      <color indexed="9"/>
      <name val="Arial"/>
      <family val="2"/>
    </font>
    <font>
      <b/>
      <sz val="11"/>
      <color indexed="11"/>
      <name val="Arial Unicode MS"/>
      <family val="2"/>
    </font>
    <font>
      <sz val="9"/>
      <color indexed="56"/>
      <name val="Arial"/>
      <family val="2"/>
    </font>
    <font>
      <b/>
      <sz val="14"/>
      <color indexed="9"/>
      <name val="Century Gothic"/>
      <family val="2"/>
    </font>
    <font>
      <b/>
      <sz val="12"/>
      <color indexed="56"/>
      <name val="Arial"/>
      <family val="2"/>
    </font>
    <font>
      <sz val="11"/>
      <color indexed="56"/>
      <name val="Arial"/>
    </font>
    <font>
      <sz val="10"/>
      <color indexed="50"/>
      <name val="Arial"/>
    </font>
    <font>
      <b/>
      <sz val="12"/>
      <color indexed="11"/>
      <name val="Arial"/>
      <family val="2"/>
    </font>
    <font>
      <sz val="10"/>
      <color indexed="18"/>
      <name val="Arial"/>
    </font>
    <font>
      <b/>
      <sz val="10"/>
      <color indexed="53"/>
      <name val="Arial"/>
      <family val="2"/>
    </font>
    <font>
      <sz val="10"/>
      <color indexed="53"/>
      <name val="Arial"/>
      <family val="2"/>
    </font>
    <font>
      <b/>
      <sz val="11"/>
      <color indexed="12"/>
      <name val="Batang"/>
      <family val="1"/>
    </font>
    <font>
      <sz val="11"/>
      <name val="Arial"/>
    </font>
    <font>
      <b/>
      <sz val="11"/>
      <color indexed="9"/>
      <name val="Arial"/>
    </font>
    <font>
      <b/>
      <sz val="11"/>
      <name val="Arial"/>
    </font>
    <font>
      <i/>
      <sz val="11"/>
      <name val="Arial"/>
    </font>
  </fonts>
  <fills count="21">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indexed="56"/>
        <bgColor indexed="64"/>
      </patternFill>
    </fill>
    <fill>
      <patternFill patternType="solid">
        <fgColor indexed="1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
      <patternFill patternType="solid">
        <fgColor indexed="48"/>
        <bgColor indexed="64"/>
      </patternFill>
    </fill>
    <fill>
      <patternFill patternType="solid">
        <fgColor indexed="18"/>
        <bgColor indexed="64"/>
      </patternFill>
    </fill>
    <fill>
      <patternFill patternType="solid">
        <fgColor indexed="55"/>
        <bgColor indexed="64"/>
      </patternFill>
    </fill>
    <fill>
      <patternFill patternType="solid">
        <fgColor indexed="49"/>
        <bgColor indexed="64"/>
      </patternFill>
    </fill>
    <fill>
      <patternFill patternType="solid">
        <fgColor indexed="40"/>
        <bgColor indexed="64"/>
      </patternFill>
    </fill>
    <fill>
      <patternFill patternType="solid">
        <fgColor indexed="15"/>
        <bgColor indexed="64"/>
      </patternFill>
    </fill>
  </fills>
  <borders count="177">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55"/>
      </right>
      <top/>
      <bottom/>
      <diagonal/>
    </border>
    <border>
      <left style="thin">
        <color indexed="64"/>
      </left>
      <right style="thin">
        <color indexed="64"/>
      </right>
      <top/>
      <bottom style="thin">
        <color indexed="55"/>
      </bottom>
      <diagonal/>
    </border>
    <border>
      <left style="thin">
        <color indexed="60"/>
      </left>
      <right/>
      <top style="thin">
        <color indexed="60"/>
      </top>
      <bottom/>
      <diagonal/>
    </border>
    <border>
      <left/>
      <right/>
      <top style="thin">
        <color indexed="60"/>
      </top>
      <bottom/>
      <diagonal/>
    </border>
    <border>
      <left/>
      <right style="thin">
        <color indexed="60"/>
      </right>
      <top style="thin">
        <color indexed="60"/>
      </top>
      <bottom/>
      <diagonal/>
    </border>
    <border>
      <left style="thin">
        <color indexed="60"/>
      </left>
      <right/>
      <top/>
      <bottom/>
      <diagonal/>
    </border>
    <border>
      <left/>
      <right style="thin">
        <color indexed="60"/>
      </right>
      <top/>
      <bottom/>
      <diagonal/>
    </border>
    <border>
      <left style="thin">
        <color indexed="64"/>
      </left>
      <right style="thin">
        <color indexed="64"/>
      </right>
      <top/>
      <bottom style="thin">
        <color indexed="22"/>
      </bottom>
      <diagonal/>
    </border>
    <border>
      <left style="thin">
        <color indexed="64"/>
      </left>
      <right/>
      <top/>
      <bottom style="thin">
        <color indexed="22"/>
      </bottom>
      <diagonal/>
    </border>
    <border>
      <left style="thin">
        <color indexed="64"/>
      </left>
      <right style="thin">
        <color indexed="22"/>
      </right>
      <top/>
      <bottom/>
      <diagonal/>
    </border>
    <border>
      <left style="thin">
        <color indexed="64"/>
      </left>
      <right style="thin">
        <color indexed="22"/>
      </right>
      <top/>
      <bottom style="thin">
        <color indexed="22"/>
      </bottom>
      <diagonal/>
    </border>
    <border>
      <left style="thin">
        <color indexed="64"/>
      </left>
      <right style="thin">
        <color indexed="22"/>
      </right>
      <top style="thin">
        <color indexed="22"/>
      </top>
      <bottom/>
      <diagonal/>
    </border>
    <border>
      <left style="medium">
        <color indexed="64"/>
      </left>
      <right/>
      <top/>
      <bottom/>
      <diagonal/>
    </border>
    <border>
      <left style="medium">
        <color indexed="64"/>
      </left>
      <right style="thin">
        <color indexed="64"/>
      </right>
      <top/>
      <bottom/>
      <diagonal/>
    </border>
    <border>
      <left/>
      <right style="medium">
        <color indexed="60"/>
      </right>
      <top/>
      <bottom/>
      <diagonal/>
    </border>
    <border>
      <left style="medium">
        <color indexed="64"/>
      </left>
      <right/>
      <top/>
      <bottom style="medium">
        <color indexed="60"/>
      </bottom>
      <diagonal/>
    </border>
    <border>
      <left style="thin">
        <color indexed="64"/>
      </left>
      <right style="thin">
        <color indexed="64"/>
      </right>
      <top/>
      <bottom style="medium">
        <color indexed="60"/>
      </bottom>
      <diagonal/>
    </border>
    <border>
      <left style="medium">
        <color indexed="60"/>
      </left>
      <right/>
      <top/>
      <bottom/>
      <diagonal/>
    </border>
    <border>
      <left style="medium">
        <color indexed="60"/>
      </left>
      <right/>
      <top/>
      <bottom style="thin">
        <color indexed="22"/>
      </bottom>
      <diagonal/>
    </border>
    <border>
      <left/>
      <right style="medium">
        <color indexed="60"/>
      </right>
      <top/>
      <bottom style="thin">
        <color indexed="22"/>
      </bottom>
      <diagonal/>
    </border>
    <border>
      <left style="medium">
        <color indexed="60"/>
      </left>
      <right style="thin">
        <color indexed="64"/>
      </right>
      <top/>
      <bottom/>
      <diagonal/>
    </border>
    <border>
      <left style="medium">
        <color indexed="64"/>
      </left>
      <right style="thin">
        <color indexed="64"/>
      </right>
      <top/>
      <bottom style="double">
        <color indexed="22"/>
      </bottom>
      <diagonal/>
    </border>
    <border>
      <left style="thin">
        <color indexed="22"/>
      </left>
      <right style="medium">
        <color indexed="60"/>
      </right>
      <top/>
      <bottom/>
      <diagonal/>
    </border>
    <border>
      <left/>
      <right style="medium">
        <color indexed="60"/>
      </right>
      <top style="thin">
        <color indexed="22"/>
      </top>
      <bottom/>
      <diagonal/>
    </border>
    <border>
      <left style="thin">
        <color indexed="22"/>
      </left>
      <right style="medium">
        <color indexed="60"/>
      </right>
      <top/>
      <bottom style="thin">
        <color indexed="22"/>
      </bottom>
      <diagonal/>
    </border>
    <border>
      <left style="thin">
        <color indexed="64"/>
      </left>
      <right style="thin">
        <color indexed="22"/>
      </right>
      <top/>
      <bottom style="medium">
        <color indexed="60"/>
      </bottom>
      <diagonal/>
    </border>
    <border>
      <left/>
      <right style="medium">
        <color indexed="60"/>
      </right>
      <top/>
      <bottom style="medium">
        <color indexed="60"/>
      </bottom>
      <diagonal/>
    </border>
    <border>
      <left/>
      <right/>
      <top style="thin">
        <color indexed="64"/>
      </top>
      <bottom/>
      <diagonal/>
    </border>
    <border>
      <left/>
      <right/>
      <top/>
      <bottom style="double">
        <color indexed="64"/>
      </bottom>
      <diagonal/>
    </border>
    <border>
      <left style="thin">
        <color indexed="64"/>
      </left>
      <right style="medium">
        <color indexed="60"/>
      </right>
      <top/>
      <bottom/>
      <diagonal/>
    </border>
    <border>
      <left style="thin">
        <color indexed="64"/>
      </left>
      <right style="medium">
        <color indexed="60"/>
      </right>
      <top/>
      <bottom style="thin">
        <color indexed="22"/>
      </bottom>
      <diagonal/>
    </border>
    <border>
      <left style="thin">
        <color indexed="64"/>
      </left>
      <right style="thin">
        <color indexed="64"/>
      </right>
      <top style="thin">
        <color indexed="22"/>
      </top>
      <bottom/>
      <diagonal/>
    </border>
    <border>
      <left style="thin">
        <color indexed="64"/>
      </left>
      <right style="medium">
        <color indexed="60"/>
      </right>
      <top style="thin">
        <color indexed="22"/>
      </top>
      <bottom/>
      <diagonal/>
    </border>
    <border>
      <left style="thin">
        <color indexed="64"/>
      </left>
      <right style="medium">
        <color indexed="60"/>
      </right>
      <top style="thin">
        <color indexed="22"/>
      </top>
      <bottom style="thin">
        <color indexed="22"/>
      </bottom>
      <diagonal/>
    </border>
    <border>
      <left/>
      <right/>
      <top/>
      <bottom style="thick">
        <color indexed="41"/>
      </bottom>
      <diagonal/>
    </border>
    <border>
      <left style="medium">
        <color indexed="41"/>
      </left>
      <right style="medium">
        <color indexed="41"/>
      </right>
      <top style="medium">
        <color indexed="41"/>
      </top>
      <bottom style="medium">
        <color indexed="41"/>
      </bottom>
      <diagonal/>
    </border>
    <border>
      <left/>
      <right/>
      <top/>
      <bottom style="medium">
        <color indexed="41"/>
      </bottom>
      <diagonal/>
    </border>
    <border>
      <left/>
      <right/>
      <top style="medium">
        <color indexed="41"/>
      </top>
      <bottom/>
      <diagonal/>
    </border>
    <border>
      <left/>
      <right/>
      <top style="medium">
        <color indexed="40"/>
      </top>
      <bottom/>
      <diagonal/>
    </border>
    <border>
      <left style="medium">
        <color indexed="41"/>
      </left>
      <right/>
      <top style="medium">
        <color indexed="41"/>
      </top>
      <bottom/>
      <diagonal/>
    </border>
    <border>
      <left style="medium">
        <color indexed="41"/>
      </left>
      <right style="medium">
        <color indexed="41"/>
      </right>
      <top/>
      <bottom style="medium">
        <color indexed="41"/>
      </bottom>
      <diagonal/>
    </border>
    <border>
      <left style="medium">
        <color indexed="41"/>
      </left>
      <right style="medium">
        <color indexed="41"/>
      </right>
      <top style="medium">
        <color indexed="41"/>
      </top>
      <bottom/>
      <diagonal/>
    </border>
    <border>
      <left style="medium">
        <color indexed="41"/>
      </left>
      <right/>
      <top/>
      <bottom/>
      <diagonal/>
    </border>
    <border>
      <left/>
      <right style="medium">
        <color indexed="41"/>
      </right>
      <top style="medium">
        <color indexed="41"/>
      </top>
      <bottom style="medium">
        <color indexed="41"/>
      </bottom>
      <diagonal/>
    </border>
    <border>
      <left/>
      <right style="medium">
        <color indexed="41"/>
      </right>
      <top/>
      <bottom/>
      <diagonal/>
    </border>
    <border>
      <left/>
      <right style="medium">
        <color indexed="41"/>
      </right>
      <top/>
      <bottom style="medium">
        <color indexed="41"/>
      </bottom>
      <diagonal/>
    </border>
    <border>
      <left/>
      <right style="medium">
        <color indexed="41"/>
      </right>
      <top style="medium">
        <color indexed="41"/>
      </top>
      <bottom/>
      <diagonal/>
    </border>
    <border>
      <left/>
      <right style="thin">
        <color indexed="41"/>
      </right>
      <top/>
      <bottom/>
      <diagonal/>
    </border>
    <border>
      <left style="thin">
        <color indexed="41"/>
      </left>
      <right/>
      <top/>
      <bottom style="thin">
        <color indexed="41"/>
      </bottom>
      <diagonal/>
    </border>
    <border>
      <left style="thin">
        <color indexed="41"/>
      </left>
      <right style="thin">
        <color indexed="41"/>
      </right>
      <top/>
      <bottom/>
      <diagonal/>
    </border>
    <border>
      <left style="thin">
        <color indexed="41"/>
      </left>
      <right style="thin">
        <color indexed="41"/>
      </right>
      <top/>
      <bottom style="thin">
        <color indexed="41"/>
      </bottom>
      <diagonal/>
    </border>
    <border>
      <left/>
      <right/>
      <top style="thin">
        <color indexed="41"/>
      </top>
      <bottom/>
      <diagonal/>
    </border>
    <border>
      <left style="thin">
        <color indexed="41"/>
      </left>
      <right style="thin">
        <color indexed="41"/>
      </right>
      <top/>
      <bottom style="double">
        <color indexed="41"/>
      </bottom>
      <diagonal/>
    </border>
    <border>
      <left/>
      <right style="thin">
        <color indexed="41"/>
      </right>
      <top/>
      <bottom style="double">
        <color indexed="41"/>
      </bottom>
      <diagonal/>
    </border>
    <border>
      <left style="thin">
        <color indexed="41"/>
      </left>
      <right style="thin">
        <color indexed="41"/>
      </right>
      <top style="double">
        <color indexed="41"/>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41"/>
      </left>
      <right style="medium">
        <color indexed="41"/>
      </right>
      <top/>
      <bottom/>
      <diagonal/>
    </border>
    <border>
      <left/>
      <right/>
      <top/>
      <bottom style="thin">
        <color indexed="55"/>
      </bottom>
      <diagonal/>
    </border>
    <border>
      <left/>
      <right/>
      <top style="medium">
        <color indexed="60"/>
      </top>
      <bottom/>
      <diagonal/>
    </border>
    <border>
      <left style="medium">
        <color indexed="60"/>
      </left>
      <right style="thin">
        <color indexed="64"/>
      </right>
      <top/>
      <bottom style="medium">
        <color indexed="6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0"/>
      </left>
      <right/>
      <top style="thin">
        <color indexed="64"/>
      </top>
      <bottom/>
      <diagonal/>
    </border>
    <border>
      <left/>
      <right style="medium">
        <color indexed="64"/>
      </right>
      <top style="thin">
        <color indexed="64"/>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0"/>
      </left>
      <right style="thin">
        <color indexed="64"/>
      </right>
      <top/>
      <bottom style="thin">
        <color indexed="22"/>
      </bottom>
      <diagonal/>
    </border>
    <border>
      <left/>
      <right/>
      <top style="medium">
        <color indexed="48"/>
      </top>
      <bottom/>
      <diagonal/>
    </border>
    <border>
      <left/>
      <right/>
      <top/>
      <bottom style="medium">
        <color indexed="60"/>
      </bottom>
      <diagonal/>
    </border>
    <border>
      <left/>
      <right/>
      <top style="thin">
        <color indexed="61"/>
      </top>
      <bottom/>
      <diagonal/>
    </border>
    <border>
      <left style="thin">
        <color indexed="61"/>
      </left>
      <right/>
      <top style="thin">
        <color indexed="64"/>
      </top>
      <bottom/>
      <diagonal/>
    </border>
    <border>
      <left style="thin">
        <color indexed="61"/>
      </left>
      <right/>
      <top/>
      <bottom/>
      <diagonal/>
    </border>
    <border>
      <left style="thin">
        <color indexed="61"/>
      </left>
      <right/>
      <top/>
      <bottom style="thin">
        <color indexed="64"/>
      </bottom>
      <diagonal/>
    </border>
    <border>
      <left style="thick">
        <color indexed="60"/>
      </left>
      <right/>
      <top/>
      <bottom style="thick">
        <color indexed="60"/>
      </bottom>
      <diagonal/>
    </border>
    <border>
      <left/>
      <right/>
      <top/>
      <bottom style="thick">
        <color indexed="60"/>
      </bottom>
      <diagonal/>
    </border>
    <border>
      <left/>
      <right style="thick">
        <color indexed="60"/>
      </right>
      <top/>
      <bottom style="thick">
        <color indexed="60"/>
      </bottom>
      <diagonal/>
    </border>
    <border>
      <left style="thick">
        <color indexed="60"/>
      </left>
      <right/>
      <top style="thick">
        <color indexed="60"/>
      </top>
      <bottom style="double">
        <color indexed="60"/>
      </bottom>
      <diagonal/>
    </border>
    <border>
      <left/>
      <right/>
      <top style="thick">
        <color indexed="60"/>
      </top>
      <bottom style="double">
        <color indexed="60"/>
      </bottom>
      <diagonal/>
    </border>
    <border>
      <left/>
      <right style="thick">
        <color indexed="60"/>
      </right>
      <top style="thick">
        <color indexed="60"/>
      </top>
      <bottom style="double">
        <color indexed="60"/>
      </bottom>
      <diagonal/>
    </border>
    <border>
      <left style="thick">
        <color indexed="60"/>
      </left>
      <right/>
      <top style="double">
        <color indexed="64"/>
      </top>
      <bottom style="thick">
        <color indexed="60"/>
      </bottom>
      <diagonal/>
    </border>
    <border>
      <left style="thick">
        <color indexed="60"/>
      </left>
      <right/>
      <top style="thick">
        <color indexed="60"/>
      </top>
      <bottom/>
      <diagonal/>
    </border>
    <border>
      <left/>
      <right/>
      <top style="thick">
        <color indexed="60"/>
      </top>
      <bottom style="double">
        <color indexed="64"/>
      </bottom>
      <diagonal/>
    </border>
    <border>
      <left/>
      <right style="thick">
        <color indexed="60"/>
      </right>
      <top style="thick">
        <color indexed="60"/>
      </top>
      <bottom style="double">
        <color indexed="64"/>
      </bottom>
      <diagonal/>
    </border>
    <border>
      <left style="thin">
        <color indexed="60"/>
      </left>
      <right style="thin">
        <color indexed="64"/>
      </right>
      <top style="double">
        <color indexed="60"/>
      </top>
      <bottom style="double">
        <color indexed="60"/>
      </bottom>
      <diagonal/>
    </border>
    <border>
      <left style="thin">
        <color indexed="64"/>
      </left>
      <right style="medium">
        <color indexed="60"/>
      </right>
      <top style="thin">
        <color indexed="64"/>
      </top>
      <bottom style="double">
        <color indexed="60"/>
      </bottom>
      <diagonal/>
    </border>
    <border>
      <left style="medium">
        <color indexed="60"/>
      </left>
      <right style="thin">
        <color indexed="60"/>
      </right>
      <top style="double">
        <color indexed="60"/>
      </top>
      <bottom/>
      <diagonal/>
    </border>
    <border>
      <left style="medium">
        <color indexed="60"/>
      </left>
      <right style="thin">
        <color indexed="60"/>
      </right>
      <top/>
      <bottom/>
      <diagonal/>
    </border>
    <border>
      <left style="medium">
        <color indexed="60"/>
      </left>
      <right style="thin">
        <color indexed="60"/>
      </right>
      <top style="medium">
        <color indexed="60"/>
      </top>
      <bottom style="medium">
        <color indexed="60"/>
      </bottom>
      <diagonal/>
    </border>
    <border>
      <left style="medium">
        <color indexed="60"/>
      </left>
      <right style="thin">
        <color indexed="60"/>
      </right>
      <top style="double">
        <color indexed="60"/>
      </top>
      <bottom style="double">
        <color indexed="60"/>
      </bottom>
      <diagonal/>
    </border>
    <border>
      <left/>
      <right style="thin">
        <color indexed="64"/>
      </right>
      <top style="double">
        <color indexed="60"/>
      </top>
      <bottom style="double">
        <color indexed="60"/>
      </bottom>
      <diagonal/>
    </border>
    <border>
      <left style="medium">
        <color indexed="60"/>
      </left>
      <right style="thin">
        <color indexed="60"/>
      </right>
      <top/>
      <bottom style="medium">
        <color indexed="60"/>
      </bottom>
      <diagonal/>
    </border>
    <border>
      <left style="medium">
        <color indexed="60"/>
      </left>
      <right/>
      <top style="double">
        <color indexed="60"/>
      </top>
      <bottom style="double">
        <color indexed="60"/>
      </bottom>
      <diagonal/>
    </border>
    <border>
      <left/>
      <right style="medium">
        <color indexed="60"/>
      </right>
      <top style="double">
        <color indexed="60"/>
      </top>
      <bottom/>
      <diagonal/>
    </border>
    <border>
      <left style="medium">
        <color indexed="60"/>
      </left>
      <right style="thin">
        <color indexed="64"/>
      </right>
      <top style="double">
        <color indexed="60"/>
      </top>
      <bottom style="double">
        <color indexed="60"/>
      </bottom>
      <diagonal/>
    </border>
    <border>
      <left style="thin">
        <color indexed="64"/>
      </left>
      <right style="thin">
        <color indexed="64"/>
      </right>
      <top style="double">
        <color indexed="60"/>
      </top>
      <bottom style="double">
        <color indexed="60"/>
      </bottom>
      <diagonal/>
    </border>
    <border>
      <left/>
      <right style="medium">
        <color indexed="60"/>
      </right>
      <top style="double">
        <color indexed="60"/>
      </top>
      <bottom style="double">
        <color indexed="60"/>
      </bottom>
      <diagonal/>
    </border>
    <border>
      <left style="thin">
        <color indexed="60"/>
      </left>
      <right style="medium">
        <color indexed="60"/>
      </right>
      <top/>
      <bottom/>
      <diagonal/>
    </border>
    <border>
      <left style="medium">
        <color indexed="60"/>
      </left>
      <right/>
      <top style="medium">
        <color indexed="60"/>
      </top>
      <bottom/>
      <diagonal/>
    </border>
    <border>
      <left/>
      <right style="medium">
        <color indexed="60"/>
      </right>
      <top style="medium">
        <color indexed="60"/>
      </top>
      <bottom/>
      <diagonal/>
    </border>
    <border>
      <left style="medium">
        <color indexed="60"/>
      </left>
      <right/>
      <top/>
      <bottom style="medium">
        <color indexed="60"/>
      </bottom>
      <diagonal/>
    </border>
    <border>
      <left style="thick">
        <color indexed="30"/>
      </left>
      <right style="thick">
        <color indexed="30"/>
      </right>
      <top style="thick">
        <color indexed="30"/>
      </top>
      <bottom style="thick">
        <color indexed="30"/>
      </bottom>
      <diagonal/>
    </border>
    <border>
      <left style="thick">
        <color indexed="30"/>
      </left>
      <right/>
      <top/>
      <bottom/>
      <diagonal/>
    </border>
    <border>
      <left/>
      <right style="thick">
        <color indexed="30"/>
      </right>
      <top/>
      <bottom/>
      <diagonal/>
    </border>
    <border>
      <left style="thick">
        <color indexed="30"/>
      </left>
      <right/>
      <top/>
      <bottom style="thick">
        <color indexed="30"/>
      </bottom>
      <diagonal/>
    </border>
    <border>
      <left/>
      <right/>
      <top/>
      <bottom style="thick">
        <color indexed="30"/>
      </bottom>
      <diagonal/>
    </border>
    <border>
      <left/>
      <right style="thick">
        <color indexed="30"/>
      </right>
      <top/>
      <bottom style="thick">
        <color indexed="30"/>
      </bottom>
      <diagonal/>
    </border>
    <border>
      <left/>
      <right style="thick">
        <color indexed="30"/>
      </right>
      <top style="medium">
        <color indexed="12"/>
      </top>
      <bottom/>
      <diagonal/>
    </border>
    <border>
      <left/>
      <right/>
      <top style="medium">
        <color indexed="12"/>
      </top>
      <bottom/>
      <diagonal/>
    </border>
    <border>
      <left style="thick">
        <color indexed="12"/>
      </left>
      <right/>
      <top style="medium">
        <color indexed="12"/>
      </top>
      <bottom/>
      <diagonal/>
    </border>
    <border>
      <left style="thick">
        <color indexed="49"/>
      </left>
      <right style="thick">
        <color indexed="30"/>
      </right>
      <top style="thick">
        <color indexed="49"/>
      </top>
      <bottom style="thick">
        <color indexed="49"/>
      </bottom>
      <diagonal/>
    </border>
    <border>
      <left/>
      <right style="thin">
        <color indexed="60"/>
      </right>
      <top style="double">
        <color indexed="60"/>
      </top>
      <bottom style="double">
        <color indexed="60"/>
      </bottom>
      <diagonal/>
    </border>
    <border>
      <left style="thin">
        <color indexed="60"/>
      </left>
      <right style="medium">
        <color indexed="60"/>
      </right>
      <top style="double">
        <color indexed="60"/>
      </top>
      <bottom style="double">
        <color indexed="60"/>
      </bottom>
      <diagonal/>
    </border>
    <border>
      <left style="thin">
        <color indexed="64"/>
      </left>
      <right style="medium">
        <color indexed="60"/>
      </right>
      <top/>
      <bottom style="medium">
        <color indexed="60"/>
      </bottom>
      <diagonal/>
    </border>
    <border>
      <left style="medium">
        <color indexed="64"/>
      </left>
      <right style="thin">
        <color indexed="60"/>
      </right>
      <top style="double">
        <color indexed="22"/>
      </top>
      <bottom/>
      <diagonal/>
    </border>
    <border>
      <left/>
      <right/>
      <top style="thin">
        <color indexed="64"/>
      </top>
      <bottom style="thin">
        <color indexed="64"/>
      </bottom>
      <diagonal/>
    </border>
    <border>
      <left style="medium">
        <color indexed="60"/>
      </left>
      <right style="thin">
        <color indexed="64"/>
      </right>
      <top style="thin">
        <color indexed="22"/>
      </top>
      <bottom/>
      <diagonal/>
    </border>
    <border>
      <left style="thick">
        <color indexed="30"/>
      </left>
      <right/>
      <top style="thick">
        <color indexed="30"/>
      </top>
      <bottom/>
      <diagonal/>
    </border>
    <border>
      <left/>
      <right style="thick">
        <color indexed="30"/>
      </right>
      <top style="thick">
        <color indexed="30"/>
      </top>
      <bottom/>
      <diagonal/>
    </border>
    <border>
      <left style="medium">
        <color indexed="13"/>
      </left>
      <right/>
      <top style="medium">
        <color indexed="13"/>
      </top>
      <bottom style="medium">
        <color indexed="13"/>
      </bottom>
      <diagonal/>
    </border>
    <border>
      <left/>
      <right/>
      <top style="medium">
        <color indexed="13"/>
      </top>
      <bottom style="medium">
        <color indexed="13"/>
      </bottom>
      <diagonal/>
    </border>
    <border>
      <left/>
      <right style="medium">
        <color indexed="13"/>
      </right>
      <top style="medium">
        <color indexed="13"/>
      </top>
      <bottom style="medium">
        <color indexed="13"/>
      </bottom>
      <diagonal/>
    </border>
    <border>
      <left style="medium">
        <color indexed="48"/>
      </left>
      <right style="medium">
        <color indexed="48"/>
      </right>
      <top style="medium">
        <color indexed="48"/>
      </top>
      <bottom style="medium">
        <color indexed="48"/>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1"/>
      </right>
      <top style="thin">
        <color indexed="64"/>
      </top>
      <bottom/>
      <diagonal/>
    </border>
    <border>
      <left style="thin">
        <color indexed="60"/>
      </left>
      <right style="thin">
        <color indexed="60"/>
      </right>
      <top/>
      <bottom/>
      <diagonal/>
    </border>
    <border>
      <left style="thin">
        <color indexed="60"/>
      </left>
      <right style="thin">
        <color indexed="60"/>
      </right>
      <top/>
      <bottom style="medium">
        <color indexed="60"/>
      </bottom>
      <diagonal/>
    </border>
    <border>
      <left style="thin">
        <color indexed="60"/>
      </left>
      <right style="thin">
        <color indexed="60"/>
      </right>
      <top style="double">
        <color indexed="60"/>
      </top>
      <bottom/>
      <diagonal/>
    </border>
    <border>
      <left style="thin">
        <color indexed="60"/>
      </left>
      <right style="thin">
        <color indexed="64"/>
      </right>
      <top style="double">
        <color indexed="60"/>
      </top>
      <bottom/>
      <diagonal/>
    </border>
    <border>
      <left style="thin">
        <color indexed="60"/>
      </left>
      <right style="thin">
        <color indexed="64"/>
      </right>
      <top/>
      <bottom/>
      <diagonal/>
    </border>
    <border>
      <left style="thick">
        <color indexed="40"/>
      </left>
      <right style="thick">
        <color indexed="30"/>
      </right>
      <top style="thick">
        <color indexed="40"/>
      </top>
      <bottom style="thick">
        <color indexed="40"/>
      </bottom>
      <diagonal/>
    </border>
    <border>
      <left/>
      <right/>
      <top style="thick">
        <color indexed="30"/>
      </top>
      <bottom/>
      <diagonal/>
    </border>
    <border>
      <left/>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bottom/>
      <diagonal/>
    </border>
    <border>
      <left/>
      <right style="thin">
        <color indexed="22"/>
      </right>
      <top/>
      <bottom/>
      <diagonal/>
    </border>
    <border>
      <left/>
      <right style="thick">
        <color indexed="60"/>
      </right>
      <top/>
      <bottom/>
      <diagonal/>
    </border>
    <border>
      <left style="medium">
        <color indexed="60"/>
      </left>
      <right/>
      <top style="medium">
        <color indexed="60"/>
      </top>
      <bottom style="double">
        <color indexed="60"/>
      </bottom>
      <diagonal/>
    </border>
    <border>
      <left/>
      <right/>
      <top style="medium">
        <color indexed="60"/>
      </top>
      <bottom style="double">
        <color indexed="60"/>
      </bottom>
      <diagonal/>
    </border>
    <border>
      <left/>
      <right style="medium">
        <color indexed="60"/>
      </right>
      <top style="medium">
        <color indexed="60"/>
      </top>
      <bottom style="double">
        <color indexed="60"/>
      </bottom>
      <diagonal/>
    </border>
    <border>
      <left style="thin">
        <color indexed="60"/>
      </left>
      <right/>
      <top style="medium">
        <color indexed="60"/>
      </top>
      <bottom style="medium">
        <color indexed="60"/>
      </bottom>
      <diagonal/>
    </border>
    <border>
      <left/>
      <right style="medium">
        <color indexed="60"/>
      </right>
      <top style="medium">
        <color indexed="60"/>
      </top>
      <bottom style="medium">
        <color indexed="60"/>
      </bottom>
      <diagonal/>
    </border>
    <border>
      <left style="thin">
        <color indexed="61"/>
      </left>
      <right/>
      <top style="thin">
        <color indexed="64"/>
      </top>
      <bottom style="thin">
        <color indexed="64"/>
      </bottom>
      <diagonal/>
    </border>
    <border>
      <left/>
      <right style="thin">
        <color indexed="61"/>
      </right>
      <top style="thin">
        <color indexed="64"/>
      </top>
      <bottom style="thin">
        <color indexed="64"/>
      </bottom>
      <diagonal/>
    </border>
    <border>
      <left style="thick">
        <color indexed="13"/>
      </left>
      <right/>
      <top style="thick">
        <color indexed="13"/>
      </top>
      <bottom style="thick">
        <color indexed="13"/>
      </bottom>
      <diagonal/>
    </border>
    <border>
      <left/>
      <right/>
      <top style="thick">
        <color indexed="13"/>
      </top>
      <bottom style="thick">
        <color indexed="13"/>
      </bottom>
      <diagonal/>
    </border>
    <border>
      <left/>
      <right style="thick">
        <color indexed="13"/>
      </right>
      <top style="thick">
        <color indexed="13"/>
      </top>
      <bottom style="thick">
        <color indexed="13"/>
      </bottom>
      <diagonal/>
    </border>
    <border>
      <left/>
      <right/>
      <top/>
      <bottom style="medium">
        <color indexed="56"/>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
      <left style="medium">
        <color indexed="41"/>
      </left>
      <right/>
      <top style="medium">
        <color indexed="41"/>
      </top>
      <bottom style="medium">
        <color indexed="41"/>
      </bottom>
      <diagonal/>
    </border>
    <border>
      <left/>
      <right/>
      <top style="medium">
        <color indexed="41"/>
      </top>
      <bottom style="medium">
        <color indexed="41"/>
      </bottom>
      <diagonal/>
    </border>
    <border>
      <left/>
      <right style="thin">
        <color indexed="41"/>
      </right>
      <top style="medium">
        <color indexed="41"/>
      </top>
      <bottom style="medium">
        <color indexed="41"/>
      </bottom>
      <diagonal/>
    </border>
  </borders>
  <cellStyleXfs count="6">
    <xf numFmtId="0" fontId="0" fillId="0" borderId="0"/>
    <xf numFmtId="0" fontId="19" fillId="0" borderId="0" applyNumberFormat="0" applyFill="0" applyBorder="0" applyAlignment="0" applyProtection="0">
      <alignment vertical="top"/>
      <protection locked="0"/>
    </xf>
    <xf numFmtId="171"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9" fontId="1" fillId="0" borderId="0" applyFont="0" applyFill="0" applyBorder="0" applyAlignment="0" applyProtection="0"/>
  </cellStyleXfs>
  <cellXfs count="920">
    <xf numFmtId="0" fontId="0" fillId="0" borderId="0" xfId="0"/>
    <xf numFmtId="186" fontId="3" fillId="0" borderId="0" xfId="2" applyNumberFormat="1" applyFont="1" applyBorder="1" applyAlignment="1">
      <alignment horizontal="left" indent="1"/>
    </xf>
    <xf numFmtId="0" fontId="4" fillId="0" borderId="0" xfId="0" applyFont="1"/>
    <xf numFmtId="0" fontId="0" fillId="2" borderId="1" xfId="0" applyFill="1" applyBorder="1"/>
    <xf numFmtId="0" fontId="0" fillId="2" borderId="2" xfId="0" applyFill="1" applyBorder="1"/>
    <xf numFmtId="0" fontId="0" fillId="2" borderId="3" xfId="0" applyFill="1" applyBorder="1"/>
    <xf numFmtId="0" fontId="4" fillId="2" borderId="1" xfId="0" applyFont="1" applyFill="1" applyBorder="1" applyAlignment="1">
      <alignment horizontal="center"/>
    </xf>
    <xf numFmtId="0" fontId="4" fillId="2" borderId="0" xfId="0" applyFont="1" applyFill="1" applyAlignment="1">
      <alignment horizontal="center"/>
    </xf>
    <xf numFmtId="0" fontId="0" fillId="2" borderId="0" xfId="0" applyFill="1" applyAlignment="1">
      <alignment horizontal="center"/>
    </xf>
    <xf numFmtId="0" fontId="0" fillId="2" borderId="0" xfId="0" applyFill="1"/>
    <xf numFmtId="3" fontId="5" fillId="0" borderId="0" xfId="3" applyNumberFormat="1" applyFont="1" applyBorder="1" applyAlignment="1">
      <alignment horizontal="right"/>
    </xf>
    <xf numFmtId="0" fontId="4" fillId="0" borderId="0" xfId="0" applyFont="1" applyAlignment="1">
      <alignment horizontal="center"/>
    </xf>
    <xf numFmtId="0" fontId="5" fillId="0" borderId="0" xfId="0" applyFont="1" applyBorder="1"/>
    <xf numFmtId="0" fontId="0" fillId="0" borderId="0" xfId="0" applyBorder="1"/>
    <xf numFmtId="0" fontId="4" fillId="0" borderId="0" xfId="0" applyFont="1" applyBorder="1"/>
    <xf numFmtId="3" fontId="0" fillId="0" borderId="0" xfId="0" applyNumberFormat="1" applyBorder="1"/>
    <xf numFmtId="186" fontId="3" fillId="0" borderId="0" xfId="3" applyNumberFormat="1" applyFont="1" applyBorder="1"/>
    <xf numFmtId="3" fontId="0" fillId="0" borderId="0" xfId="0" applyNumberFormat="1"/>
    <xf numFmtId="188" fontId="14" fillId="0" borderId="0" xfId="0" applyNumberFormat="1" applyFont="1" applyBorder="1" applyAlignment="1">
      <alignment horizontal="center"/>
    </xf>
    <xf numFmtId="9" fontId="14" fillId="0" borderId="0" xfId="0" applyNumberFormat="1" applyFont="1" applyBorder="1" applyAlignment="1">
      <alignment horizontal="center"/>
    </xf>
    <xf numFmtId="3" fontId="5" fillId="0" borderId="0" xfId="3" applyNumberFormat="1" applyFont="1" applyBorder="1" applyAlignment="1"/>
    <xf numFmtId="0" fontId="4" fillId="0" borderId="1" xfId="0" applyFont="1" applyBorder="1" applyAlignment="1">
      <alignment horizontal="center"/>
    </xf>
    <xf numFmtId="0" fontId="0" fillId="0" borderId="1" xfId="0" applyBorder="1"/>
    <xf numFmtId="0" fontId="0" fillId="0" borderId="0" xfId="0" applyAlignment="1"/>
    <xf numFmtId="0" fontId="11" fillId="0" borderId="0" xfId="0" applyFont="1" applyFill="1" applyAlignment="1"/>
    <xf numFmtId="0" fontId="0" fillId="0" borderId="0" xfId="0" applyFill="1" applyAlignment="1"/>
    <xf numFmtId="0" fontId="0" fillId="0" borderId="0" xfId="0" applyFill="1"/>
    <xf numFmtId="0" fontId="0" fillId="0" borderId="4" xfId="0" applyBorder="1"/>
    <xf numFmtId="186" fontId="3" fillId="0" borderId="0" xfId="3" applyNumberFormat="1" applyFont="1" applyFill="1" applyBorder="1" applyAlignment="1">
      <alignment horizontal="center"/>
    </xf>
    <xf numFmtId="0" fontId="4" fillId="0" borderId="0" xfId="0" applyFont="1" applyFill="1" applyBorder="1" applyAlignment="1">
      <alignment horizontal="center"/>
    </xf>
    <xf numFmtId="186" fontId="0" fillId="0" borderId="0" xfId="0" applyNumberFormat="1" applyFill="1" applyBorder="1" applyAlignment="1">
      <alignment vertical="center"/>
    </xf>
    <xf numFmtId="0" fontId="0" fillId="0" borderId="0" xfId="0" applyFill="1" applyBorder="1"/>
    <xf numFmtId="186" fontId="20" fillId="0" borderId="0" xfId="3" applyNumberFormat="1" applyFont="1" applyFill="1" applyBorder="1" applyAlignment="1">
      <alignment horizontal="center"/>
    </xf>
    <xf numFmtId="0" fontId="11" fillId="0" borderId="0" xfId="0" applyFont="1" applyFill="1" applyBorder="1"/>
    <xf numFmtId="0" fontId="9" fillId="0" borderId="0" xfId="0" applyFont="1" applyFill="1" applyBorder="1" applyAlignment="1">
      <alignment horizontal="center"/>
    </xf>
    <xf numFmtId="0" fontId="0" fillId="0" borderId="0" xfId="0" applyFill="1" applyBorder="1" applyAlignment="1">
      <alignment horizontal="center"/>
    </xf>
    <xf numFmtId="9" fontId="14" fillId="0" borderId="0" xfId="0" applyNumberFormat="1" applyFont="1" applyFill="1" applyBorder="1" applyAlignment="1">
      <alignment horizontal="center"/>
    </xf>
    <xf numFmtId="0" fontId="4" fillId="0" borderId="0" xfId="0" applyFont="1" applyFill="1" applyAlignment="1">
      <alignment horizontal="left"/>
    </xf>
    <xf numFmtId="3" fontId="21" fillId="0" borderId="0" xfId="3" applyNumberFormat="1" applyFont="1" applyBorder="1" applyAlignment="1"/>
    <xf numFmtId="188" fontId="14" fillId="0" borderId="0" xfId="0" applyNumberFormat="1" applyFont="1" applyFill="1" applyBorder="1" applyAlignment="1">
      <alignment horizontal="center"/>
    </xf>
    <xf numFmtId="0" fontId="0" fillId="2" borderId="5" xfId="0" applyFill="1" applyBorder="1"/>
    <xf numFmtId="0" fontId="0" fillId="2" borderId="2" xfId="0" applyFill="1" applyBorder="1" applyAlignment="1">
      <alignment horizontal="center"/>
    </xf>
    <xf numFmtId="0" fontId="0" fillId="2" borderId="2" xfId="0" applyFill="1" applyBorder="1" applyAlignment="1">
      <alignment horizontal="left"/>
    </xf>
    <xf numFmtId="0" fontId="5" fillId="2" borderId="2" xfId="0" applyFont="1" applyFill="1" applyBorder="1"/>
    <xf numFmtId="0" fontId="28" fillId="2" borderId="0" xfId="0" applyFont="1" applyFill="1"/>
    <xf numFmtId="0" fontId="0" fillId="2" borderId="0" xfId="0" applyFill="1" applyBorder="1"/>
    <xf numFmtId="0" fontId="0" fillId="2" borderId="6" xfId="0" applyFill="1" applyBorder="1"/>
    <xf numFmtId="0" fontId="4" fillId="2" borderId="5" xfId="0" applyFont="1" applyFill="1" applyBorder="1" applyAlignment="1">
      <alignment horizontal="center"/>
    </xf>
    <xf numFmtId="0" fontId="30" fillId="2" borderId="2" xfId="0" applyFont="1" applyFill="1" applyBorder="1"/>
    <xf numFmtId="0" fontId="1" fillId="2" borderId="2" xfId="0" applyFont="1" applyFill="1" applyBorder="1"/>
    <xf numFmtId="0" fontId="31" fillId="2" borderId="2" xfId="0" applyFont="1" applyFill="1" applyBorder="1"/>
    <xf numFmtId="0" fontId="32" fillId="2" borderId="2" xfId="0" applyFont="1"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4" fillId="2" borderId="14" xfId="0" applyFont="1" applyFill="1" applyBorder="1" applyAlignment="1">
      <alignment horizontal="center"/>
    </xf>
    <xf numFmtId="0" fontId="0" fillId="2" borderId="14" xfId="0" applyFill="1" applyBorder="1"/>
    <xf numFmtId="0" fontId="4" fillId="2" borderId="15" xfId="0" applyFont="1" applyFill="1" applyBorder="1" applyAlignment="1">
      <alignment horizontal="center"/>
    </xf>
    <xf numFmtId="0" fontId="0" fillId="2" borderId="15" xfId="0" applyFill="1" applyBorder="1"/>
    <xf numFmtId="0" fontId="4" fillId="2" borderId="13" xfId="0" applyFont="1" applyFill="1" applyBorder="1" applyAlignment="1">
      <alignment horizontal="center"/>
    </xf>
    <xf numFmtId="0" fontId="4" fillId="2" borderId="16" xfId="0" applyFont="1" applyFill="1" applyBorder="1" applyAlignment="1">
      <alignment horizontal="center"/>
    </xf>
    <xf numFmtId="0" fontId="0" fillId="2" borderId="17" xfId="0" applyFill="1" applyBorder="1"/>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7" xfId="0" applyFont="1" applyFill="1" applyBorder="1"/>
    <xf numFmtId="0" fontId="0" fillId="2" borderId="19" xfId="0" applyFill="1" applyBorder="1"/>
    <xf numFmtId="9" fontId="13" fillId="2" borderId="19" xfId="0" applyNumberFormat="1" applyFont="1" applyFill="1" applyBorder="1" applyAlignment="1">
      <alignment horizontal="center"/>
    </xf>
    <xf numFmtId="0" fontId="13" fillId="2" borderId="19" xfId="0" applyFont="1" applyFill="1" applyBorder="1"/>
    <xf numFmtId="0" fontId="13" fillId="2" borderId="19" xfId="0" applyFont="1" applyFill="1" applyBorder="1" applyAlignment="1">
      <alignment horizontal="center"/>
    </xf>
    <xf numFmtId="10" fontId="13" fillId="2" borderId="19" xfId="0" applyNumberFormat="1" applyFont="1" applyFill="1" applyBorder="1" applyAlignment="1">
      <alignment horizontal="center"/>
    </xf>
    <xf numFmtId="0" fontId="0" fillId="2" borderId="20" xfId="0" applyFill="1" applyBorder="1"/>
    <xf numFmtId="0" fontId="0" fillId="2" borderId="21" xfId="0" applyFill="1" applyBorder="1"/>
    <xf numFmtId="0" fontId="0" fillId="2" borderId="22" xfId="0" applyFill="1" applyBorder="1"/>
    <xf numFmtId="0" fontId="4" fillId="2" borderId="22" xfId="0" applyFont="1" applyFill="1" applyBorder="1" applyAlignment="1">
      <alignment horizontal="center"/>
    </xf>
    <xf numFmtId="0" fontId="0" fillId="2" borderId="22" xfId="0" applyFill="1" applyBorder="1" applyAlignment="1">
      <alignment horizontal="center"/>
    </xf>
    <xf numFmtId="0" fontId="12" fillId="2" borderId="22" xfId="0" applyFont="1" applyFill="1" applyBorder="1" applyAlignment="1">
      <alignment horizontal="center"/>
    </xf>
    <xf numFmtId="0" fontId="0" fillId="2" borderId="23" xfId="0" applyFill="1" applyBorder="1"/>
    <xf numFmtId="0" fontId="13" fillId="2" borderId="24" xfId="0" applyFont="1" applyFill="1" applyBorder="1"/>
    <xf numFmtId="0" fontId="9" fillId="3" borderId="22" xfId="0" applyFont="1" applyFill="1" applyBorder="1" applyAlignment="1">
      <alignment horizontal="center"/>
    </xf>
    <xf numFmtId="0" fontId="9" fillId="3" borderId="25" xfId="0" applyFont="1" applyFill="1" applyBorder="1" applyAlignment="1">
      <alignment horizontal="center"/>
    </xf>
    <xf numFmtId="0" fontId="0" fillId="2" borderId="18" xfId="0" applyFill="1" applyBorder="1"/>
    <xf numFmtId="0" fontId="9" fillId="3" borderId="26" xfId="0" applyFont="1" applyFill="1" applyBorder="1" applyAlignment="1">
      <alignment horizontal="center"/>
    </xf>
    <xf numFmtId="0" fontId="9" fillId="3" borderId="26" xfId="0" applyFont="1" applyFill="1" applyBorder="1"/>
    <xf numFmtId="0" fontId="9" fillId="3" borderId="17" xfId="0" applyFont="1" applyFill="1" applyBorder="1" applyAlignment="1">
      <alignment horizontal="center"/>
    </xf>
    <xf numFmtId="10" fontId="14" fillId="2" borderId="19" xfId="0" applyNumberFormat="1" applyFont="1" applyFill="1" applyBorder="1" applyAlignment="1">
      <alignment horizontal="center"/>
    </xf>
    <xf numFmtId="0" fontId="9" fillId="3" borderId="19" xfId="0" applyFont="1" applyFill="1" applyBorder="1" applyAlignment="1">
      <alignment horizontal="center"/>
    </xf>
    <xf numFmtId="0" fontId="0" fillId="2" borderId="27" xfId="0" applyFill="1" applyBorder="1"/>
    <xf numFmtId="9" fontId="14" fillId="2" borderId="24" xfId="0" applyNumberFormat="1" applyFont="1" applyFill="1" applyBorder="1" applyAlignment="1">
      <alignment horizontal="center"/>
    </xf>
    <xf numFmtId="9" fontId="14" fillId="2" borderId="19" xfId="0" applyNumberFormat="1" applyFont="1" applyFill="1" applyBorder="1" applyAlignment="1">
      <alignment horizontal="center"/>
    </xf>
    <xf numFmtId="0" fontId="0" fillId="2" borderId="24" xfId="0" applyFill="1" applyBorder="1"/>
    <xf numFmtId="0" fontId="0" fillId="2" borderId="28" xfId="0" applyFill="1" applyBorder="1"/>
    <xf numFmtId="9" fontId="14" fillId="2" borderId="29" xfId="0" applyNumberFormat="1" applyFont="1" applyFill="1" applyBorder="1" applyAlignment="1">
      <alignment horizontal="center"/>
    </xf>
    <xf numFmtId="188" fontId="17" fillId="2" borderId="19" xfId="0" applyNumberFormat="1" applyFont="1" applyFill="1" applyBorder="1" applyAlignment="1">
      <alignment horizontal="center"/>
    </xf>
    <xf numFmtId="188" fontId="17" fillId="2" borderId="24" xfId="0" applyNumberFormat="1" applyFont="1" applyFill="1" applyBorder="1" applyAlignment="1">
      <alignment horizontal="center"/>
    </xf>
    <xf numFmtId="9" fontId="17" fillId="2" borderId="19" xfId="0" applyNumberFormat="1" applyFont="1" applyFill="1" applyBorder="1" applyAlignment="1">
      <alignment horizontal="center"/>
    </xf>
    <xf numFmtId="10" fontId="17" fillId="2" borderId="19" xfId="0" applyNumberFormat="1" applyFont="1" applyFill="1" applyBorder="1" applyAlignment="1">
      <alignment horizontal="center"/>
    </xf>
    <xf numFmtId="10" fontId="17" fillId="2" borderId="24" xfId="0" applyNumberFormat="1" applyFont="1" applyFill="1" applyBorder="1" applyAlignment="1">
      <alignment horizontal="center"/>
    </xf>
    <xf numFmtId="10" fontId="4" fillId="2" borderId="19" xfId="0" applyNumberFormat="1" applyFont="1" applyFill="1" applyBorder="1" applyAlignment="1">
      <alignment horizontal="center"/>
    </xf>
    <xf numFmtId="10" fontId="4" fillId="2" borderId="27" xfId="0" applyNumberFormat="1" applyFont="1" applyFill="1" applyBorder="1" applyAlignment="1">
      <alignment horizontal="center"/>
    </xf>
    <xf numFmtId="0" fontId="4" fillId="2" borderId="30" xfId="0" applyFont="1" applyFill="1" applyBorder="1" applyAlignment="1">
      <alignment horizontal="center"/>
    </xf>
    <xf numFmtId="10" fontId="4" fillId="2" borderId="31" xfId="0" applyNumberFormat="1" applyFont="1" applyFill="1" applyBorder="1" applyAlignment="1">
      <alignment horizontal="center"/>
    </xf>
    <xf numFmtId="0" fontId="0" fillId="0" borderId="32" xfId="0" applyBorder="1"/>
    <xf numFmtId="9" fontId="17" fillId="2" borderId="29" xfId="0" applyNumberFormat="1" applyFont="1" applyFill="1" applyBorder="1" applyAlignment="1">
      <alignment horizontal="center"/>
    </xf>
    <xf numFmtId="0" fontId="9" fillId="3" borderId="0" xfId="0" applyFont="1" applyFill="1" applyAlignment="1">
      <alignment horizontal="center"/>
    </xf>
    <xf numFmtId="0" fontId="15" fillId="2" borderId="1" xfId="0" applyFont="1" applyFill="1" applyBorder="1"/>
    <xf numFmtId="0" fontId="8" fillId="2" borderId="1" xfId="2" applyNumberFormat="1" applyFont="1" applyFill="1" applyBorder="1" applyAlignment="1">
      <alignment horizontal="right"/>
    </xf>
    <xf numFmtId="3" fontId="8" fillId="2" borderId="1" xfId="2" applyNumberFormat="1" applyFont="1" applyFill="1" applyBorder="1" applyAlignment="1">
      <alignment horizontal="left" indent="1"/>
    </xf>
    <xf numFmtId="0" fontId="15" fillId="2" borderId="1" xfId="2" applyNumberFormat="1" applyFont="1" applyFill="1" applyBorder="1" applyAlignment="1">
      <alignment horizontal="right"/>
    </xf>
    <xf numFmtId="0" fontId="15" fillId="2" borderId="1" xfId="0" applyFont="1" applyFill="1" applyBorder="1" applyAlignment="1">
      <alignment horizontal="right"/>
    </xf>
    <xf numFmtId="0" fontId="8" fillId="2" borderId="0" xfId="0" applyFont="1" applyFill="1"/>
    <xf numFmtId="186" fontId="2" fillId="2" borderId="0" xfId="2" applyNumberFormat="1" applyFont="1" applyFill="1" applyBorder="1" applyAlignment="1">
      <alignment horizontal="center"/>
    </xf>
    <xf numFmtId="186" fontId="3" fillId="2" borderId="0" xfId="2" applyNumberFormat="1" applyFont="1" applyFill="1" applyBorder="1" applyAlignment="1">
      <alignment horizontal="left" indent="1"/>
    </xf>
    <xf numFmtId="186" fontId="3" fillId="2" borderId="0" xfId="3" applyNumberFormat="1" applyFont="1" applyFill="1" applyBorder="1" applyAlignment="1">
      <alignment horizontal="right"/>
    </xf>
    <xf numFmtId="186" fontId="2" fillId="2" borderId="0" xfId="2" applyNumberFormat="1" applyFont="1" applyFill="1" applyBorder="1"/>
    <xf numFmtId="0" fontId="2" fillId="2" borderId="0" xfId="2" applyNumberFormat="1" applyFont="1" applyFill="1" applyBorder="1"/>
    <xf numFmtId="0" fontId="4" fillId="2" borderId="0" xfId="0" applyFont="1" applyFill="1"/>
    <xf numFmtId="186" fontId="3" fillId="2" borderId="0" xfId="2" applyNumberFormat="1" applyFont="1" applyFill="1" applyBorder="1"/>
    <xf numFmtId="186" fontId="3" fillId="2" borderId="0" xfId="3" applyNumberFormat="1" applyFont="1" applyFill="1" applyBorder="1"/>
    <xf numFmtId="188" fontId="0" fillId="2" borderId="0" xfId="0" applyNumberFormat="1" applyFill="1"/>
    <xf numFmtId="186" fontId="3" fillId="2" borderId="0" xfId="3" applyNumberFormat="1" applyFont="1" applyFill="1" applyBorder="1" applyAlignment="1">
      <alignment horizontal="left"/>
    </xf>
    <xf numFmtId="0" fontId="3" fillId="2" borderId="0" xfId="2" applyNumberFormat="1" applyFont="1" applyFill="1" applyBorder="1" applyAlignment="1">
      <alignment horizontal="left" indent="1"/>
    </xf>
    <xf numFmtId="186" fontId="3" fillId="2" borderId="0" xfId="2" applyNumberFormat="1" applyFont="1" applyFill="1" applyBorder="1" applyAlignment="1">
      <alignment horizontal="left"/>
    </xf>
    <xf numFmtId="186" fontId="24" fillId="2" borderId="0" xfId="2" applyNumberFormat="1" applyFont="1" applyFill="1" applyBorder="1" applyAlignment="1">
      <alignment horizontal="left"/>
    </xf>
    <xf numFmtId="186" fontId="24" fillId="2" borderId="0" xfId="2" applyNumberFormat="1" applyFont="1" applyFill="1" applyBorder="1" applyAlignment="1">
      <alignment horizontal="right"/>
    </xf>
    <xf numFmtId="0" fontId="6" fillId="2" borderId="0" xfId="0" applyFont="1" applyFill="1" applyBorder="1"/>
    <xf numFmtId="0" fontId="7" fillId="2" borderId="0" xfId="0" applyFont="1" applyFill="1" applyBorder="1" applyAlignment="1">
      <alignment horizontal="center" vertical="center" wrapText="1"/>
    </xf>
    <xf numFmtId="186" fontId="2" fillId="2" borderId="0" xfId="2" applyNumberFormat="1" applyFont="1" applyFill="1" applyBorder="1" applyAlignment="1">
      <alignment horizontal="left"/>
    </xf>
    <xf numFmtId="186" fontId="3" fillId="2" borderId="0" xfId="5" applyNumberFormat="1" applyFont="1" applyFill="1" applyBorder="1" applyAlignment="1">
      <alignment horizontal="left"/>
    </xf>
    <xf numFmtId="186" fontId="2" fillId="2" borderId="4" xfId="2" applyNumberFormat="1" applyFont="1" applyFill="1" applyBorder="1" applyAlignment="1">
      <alignment horizontal="left"/>
    </xf>
    <xf numFmtId="0" fontId="9" fillId="3" borderId="33" xfId="0" applyFont="1" applyFill="1" applyBorder="1" applyAlignment="1">
      <alignment horizontal="center"/>
    </xf>
    <xf numFmtId="186" fontId="2" fillId="2" borderId="0" xfId="3" applyNumberFormat="1" applyFont="1" applyFill="1" applyBorder="1"/>
    <xf numFmtId="186" fontId="3" fillId="2" borderId="0" xfId="3" applyNumberFormat="1" applyFont="1" applyFill="1" applyBorder="1" applyAlignment="1">
      <alignment horizontal="left" indent="1"/>
    </xf>
    <xf numFmtId="186" fontId="2" fillId="2" borderId="0" xfId="3" quotePrefix="1" applyNumberFormat="1" applyFont="1" applyFill="1" applyBorder="1"/>
    <xf numFmtId="0" fontId="3" fillId="2" borderId="0" xfId="3" applyNumberFormat="1" applyFont="1" applyFill="1" applyBorder="1" applyAlignment="1">
      <alignment horizontal="left" indent="1"/>
    </xf>
    <xf numFmtId="3" fontId="3" fillId="2" borderId="0" xfId="3" applyNumberFormat="1" applyFont="1" applyFill="1" applyBorder="1"/>
    <xf numFmtId="3" fontId="3" fillId="2" borderId="0" xfId="2" applyNumberFormat="1" applyFont="1" applyFill="1" applyBorder="1" applyAlignment="1">
      <alignment horizontal="right"/>
    </xf>
    <xf numFmtId="3" fontId="3" fillId="2" borderId="0" xfId="3" applyNumberFormat="1" applyFont="1" applyFill="1" applyBorder="1" applyAlignment="1">
      <alignment horizontal="right"/>
    </xf>
    <xf numFmtId="3" fontId="3" fillId="2" borderId="0" xfId="2" applyNumberFormat="1" applyFont="1" applyFill="1" applyBorder="1"/>
    <xf numFmtId="3" fontId="3" fillId="2" borderId="0" xfId="4" applyNumberFormat="1" applyFont="1" applyFill="1" applyBorder="1"/>
    <xf numFmtId="3" fontId="3" fillId="2" borderId="0" xfId="2" applyNumberFormat="1" applyFont="1" applyFill="1" applyBorder="1" applyAlignment="1">
      <alignment horizontal="left"/>
    </xf>
    <xf numFmtId="3" fontId="3" fillId="2" borderId="0" xfId="4" applyNumberFormat="1" applyFont="1" applyFill="1" applyBorder="1" applyAlignment="1">
      <alignment horizontal="left"/>
    </xf>
    <xf numFmtId="0" fontId="4" fillId="2" borderId="0" xfId="0" applyFont="1" applyFill="1" applyBorder="1"/>
    <xf numFmtId="186" fontId="25" fillId="2" borderId="0" xfId="3" applyNumberFormat="1" applyFont="1" applyFill="1" applyBorder="1" applyAlignment="1">
      <alignment horizontal="left" indent="1"/>
    </xf>
    <xf numFmtId="3" fontId="0" fillId="0" borderId="0" xfId="0" applyNumberFormat="1" applyFill="1" applyBorder="1" applyAlignment="1">
      <alignment vertical="center"/>
    </xf>
    <xf numFmtId="3" fontId="4" fillId="0" borderId="0" xfId="0" applyNumberFormat="1" applyFont="1" applyFill="1" applyBorder="1" applyAlignment="1">
      <alignment horizontal="center" vertical="center"/>
    </xf>
    <xf numFmtId="3" fontId="0" fillId="0" borderId="32" xfId="0" applyNumberFormat="1" applyBorder="1" applyAlignment="1">
      <alignment vertical="center"/>
    </xf>
    <xf numFmtId="3" fontId="5" fillId="2" borderId="0" xfId="0" applyNumberFormat="1" applyFont="1" applyFill="1" applyBorder="1"/>
    <xf numFmtId="3" fontId="5" fillId="2" borderId="0" xfId="3" applyNumberFormat="1" applyFont="1" applyFill="1" applyBorder="1" applyAlignment="1">
      <alignment horizontal="right"/>
    </xf>
    <xf numFmtId="3" fontId="4" fillId="2" borderId="0" xfId="0" applyNumberFormat="1" applyFont="1" applyFill="1"/>
    <xf numFmtId="0" fontId="0" fillId="2" borderId="34" xfId="0" applyFill="1" applyBorder="1" applyAlignment="1">
      <alignment horizontal="center"/>
    </xf>
    <xf numFmtId="0" fontId="4" fillId="2" borderId="23" xfId="0" applyFont="1" applyFill="1" applyBorder="1" applyAlignment="1">
      <alignment horizontal="center"/>
    </xf>
    <xf numFmtId="3" fontId="13" fillId="2" borderId="19" xfId="0" applyNumberFormat="1" applyFont="1" applyFill="1" applyBorder="1" applyAlignment="1">
      <alignment horizontal="center"/>
    </xf>
    <xf numFmtId="0" fontId="0" fillId="2" borderId="25" xfId="0" applyFill="1" applyBorder="1"/>
    <xf numFmtId="0" fontId="13" fillId="2" borderId="35" xfId="0" applyFont="1" applyFill="1" applyBorder="1"/>
    <xf numFmtId="188" fontId="13" fillId="2" borderId="19" xfId="0" applyNumberFormat="1" applyFont="1" applyFill="1" applyBorder="1" applyAlignment="1">
      <alignment horizontal="center"/>
    </xf>
    <xf numFmtId="0" fontId="4" fillId="4" borderId="22" xfId="0" applyFont="1" applyFill="1" applyBorder="1" applyAlignment="1">
      <alignment horizontal="center"/>
    </xf>
    <xf numFmtId="0" fontId="4" fillId="5" borderId="22" xfId="0" applyFont="1" applyFill="1" applyBorder="1" applyAlignment="1">
      <alignment horizontal="center"/>
    </xf>
    <xf numFmtId="0" fontId="4" fillId="6" borderId="22" xfId="0" applyFont="1" applyFill="1" applyBorder="1" applyAlignment="1">
      <alignment horizontal="center"/>
    </xf>
    <xf numFmtId="9" fontId="13" fillId="7" borderId="19" xfId="0" applyNumberFormat="1" applyFont="1" applyFill="1" applyBorder="1" applyAlignment="1">
      <alignment horizontal="center"/>
    </xf>
    <xf numFmtId="9" fontId="13" fillId="4" borderId="19" xfId="0" applyNumberFormat="1" applyFont="1" applyFill="1" applyBorder="1" applyAlignment="1">
      <alignment horizontal="center"/>
    </xf>
    <xf numFmtId="0" fontId="13" fillId="2" borderId="34" xfId="0" applyFont="1" applyFill="1" applyBorder="1" applyAlignment="1">
      <alignment horizontal="center"/>
    </xf>
    <xf numFmtId="0" fontId="0" fillId="2" borderId="34" xfId="0" applyFill="1" applyBorder="1"/>
    <xf numFmtId="9" fontId="13" fillId="8" borderId="19" xfId="0" applyNumberFormat="1" applyFont="1" applyFill="1" applyBorder="1" applyAlignment="1">
      <alignment horizontal="center"/>
    </xf>
    <xf numFmtId="9" fontId="13" fillId="4" borderId="24" xfId="0" applyNumberFormat="1" applyFont="1" applyFill="1" applyBorder="1" applyAlignment="1">
      <alignment horizontal="center"/>
    </xf>
    <xf numFmtId="0" fontId="25" fillId="2" borderId="1" xfId="3" applyNumberFormat="1" applyFont="1" applyFill="1" applyBorder="1" applyAlignment="1"/>
    <xf numFmtId="0" fontId="2" fillId="2" borderId="22" xfId="0" applyFont="1" applyFill="1" applyBorder="1"/>
    <xf numFmtId="0" fontId="4" fillId="8" borderId="0" xfId="0" applyFont="1" applyFill="1" applyAlignment="1">
      <alignment horizontal="center"/>
    </xf>
    <xf numFmtId="0" fontId="4" fillId="8" borderId="22" xfId="0" applyFont="1" applyFill="1" applyBorder="1" applyAlignment="1">
      <alignment horizontal="center"/>
    </xf>
    <xf numFmtId="0" fontId="0" fillId="2" borderId="36" xfId="0" applyFill="1" applyBorder="1"/>
    <xf numFmtId="0" fontId="13" fillId="2" borderId="37" xfId="0" applyFont="1" applyFill="1" applyBorder="1"/>
    <xf numFmtId="0" fontId="9" fillId="2" borderId="22" xfId="0" applyFont="1" applyFill="1" applyBorder="1" applyAlignment="1">
      <alignment horizontal="center"/>
    </xf>
    <xf numFmtId="0" fontId="0" fillId="2" borderId="38" xfId="0" applyFill="1" applyBorder="1"/>
    <xf numFmtId="193" fontId="3" fillId="2" borderId="0" xfId="3" applyNumberFormat="1" applyFont="1" applyFill="1" applyBorder="1" applyAlignment="1">
      <alignment horizontal="right" wrapText="1"/>
    </xf>
    <xf numFmtId="3" fontId="5" fillId="2" borderId="0" xfId="0" applyNumberFormat="1" applyFont="1" applyFill="1" applyBorder="1" applyAlignment="1">
      <alignment horizontal="right"/>
    </xf>
    <xf numFmtId="3" fontId="0" fillId="2" borderId="0" xfId="0" applyNumberFormat="1" applyFill="1" applyBorder="1" applyAlignment="1">
      <alignment horizontal="right"/>
    </xf>
    <xf numFmtId="3" fontId="3" fillId="2" borderId="0" xfId="4" applyNumberFormat="1" applyFont="1" applyFill="1" applyBorder="1" applyAlignment="1">
      <alignment horizontal="right"/>
    </xf>
    <xf numFmtId="3" fontId="2" fillId="2" borderId="0" xfId="2" applyNumberFormat="1" applyFont="1" applyFill="1" applyBorder="1" applyAlignment="1">
      <alignment horizontal="right"/>
    </xf>
    <xf numFmtId="3" fontId="2" fillId="2" borderId="0" xfId="3" applyNumberFormat="1" applyFont="1" applyFill="1" applyBorder="1" applyAlignment="1">
      <alignment horizontal="right"/>
    </xf>
    <xf numFmtId="3" fontId="5" fillId="2" borderId="0" xfId="0" applyNumberFormat="1" applyFont="1" applyFill="1" applyBorder="1" applyAlignment="1">
      <alignment horizontal="right" vertical="center"/>
    </xf>
    <xf numFmtId="2" fontId="11" fillId="9" borderId="0" xfId="0" applyNumberFormat="1" applyFont="1" applyFill="1"/>
    <xf numFmtId="0" fontId="16" fillId="9" borderId="0" xfId="0" applyFont="1" applyFill="1" applyBorder="1"/>
    <xf numFmtId="2" fontId="16" fillId="9" borderId="0" xfId="0" applyNumberFormat="1" applyFont="1" applyFill="1" applyBorder="1"/>
    <xf numFmtId="0" fontId="0" fillId="9" borderId="0" xfId="0" applyFill="1"/>
    <xf numFmtId="0" fontId="11" fillId="9" borderId="0" xfId="0" applyFont="1" applyFill="1"/>
    <xf numFmtId="2" fontId="34" fillId="9" borderId="0" xfId="0" applyNumberFormat="1" applyFont="1" applyFill="1" applyBorder="1" applyAlignment="1">
      <alignment horizontal="right" vertical="center" wrapText="1"/>
    </xf>
    <xf numFmtId="2" fontId="16" fillId="9" borderId="0" xfId="0" applyNumberFormat="1" applyFont="1" applyFill="1" applyBorder="1" applyAlignment="1">
      <alignment horizontal="right" vertical="center" wrapText="1"/>
    </xf>
    <xf numFmtId="0" fontId="5" fillId="9" borderId="0" xfId="0" applyFont="1" applyFill="1" applyBorder="1"/>
    <xf numFmtId="0" fontId="9" fillId="9" borderId="0" xfId="0" applyFont="1" applyFill="1" applyBorder="1"/>
    <xf numFmtId="0" fontId="0" fillId="9" borderId="0" xfId="0" applyFill="1" applyBorder="1"/>
    <xf numFmtId="0" fontId="9" fillId="9" borderId="39" xfId="0" applyFont="1" applyFill="1" applyBorder="1" applyAlignment="1">
      <alignment horizontal="center" vertical="center" wrapText="1"/>
    </xf>
    <xf numFmtId="0" fontId="0" fillId="9" borderId="39" xfId="0" applyFill="1" applyBorder="1"/>
    <xf numFmtId="0" fontId="9" fillId="9" borderId="40" xfId="0" applyFont="1" applyFill="1" applyBorder="1" applyAlignment="1">
      <alignment horizontal="center"/>
    </xf>
    <xf numFmtId="0" fontId="0" fillId="9" borderId="41" xfId="0" applyFill="1" applyBorder="1"/>
    <xf numFmtId="0" fontId="9" fillId="9" borderId="41" xfId="0" applyFont="1" applyFill="1" applyBorder="1"/>
    <xf numFmtId="2" fontId="16" fillId="9" borderId="41" xfId="0" applyNumberFormat="1" applyFont="1" applyFill="1" applyBorder="1"/>
    <xf numFmtId="0" fontId="16" fillId="9" borderId="41" xfId="0" applyFont="1" applyFill="1" applyBorder="1"/>
    <xf numFmtId="2" fontId="16" fillId="9" borderId="41" xfId="0" applyNumberFormat="1" applyFont="1" applyFill="1" applyBorder="1" applyAlignment="1">
      <alignment horizontal="right" vertical="center" wrapText="1"/>
    </xf>
    <xf numFmtId="0" fontId="0" fillId="9" borderId="42" xfId="0" applyFill="1" applyBorder="1"/>
    <xf numFmtId="0" fontId="0" fillId="9" borderId="43" xfId="0" applyFill="1" applyBorder="1"/>
    <xf numFmtId="0" fontId="11" fillId="9" borderId="44" xfId="0" applyFont="1" applyFill="1" applyBorder="1"/>
    <xf numFmtId="0" fontId="11" fillId="9" borderId="42" xfId="0" applyFont="1" applyFill="1" applyBorder="1"/>
    <xf numFmtId="194" fontId="11" fillId="9" borderId="0" xfId="0" applyNumberFormat="1" applyFont="1" applyFill="1"/>
    <xf numFmtId="171" fontId="11" fillId="9" borderId="0" xfId="0" applyNumberFormat="1" applyFont="1" applyFill="1"/>
    <xf numFmtId="2" fontId="16" fillId="9" borderId="42" xfId="0" applyNumberFormat="1" applyFont="1" applyFill="1" applyBorder="1" applyAlignment="1">
      <alignment horizontal="right" vertical="center" wrapText="1"/>
    </xf>
    <xf numFmtId="194" fontId="11" fillId="9" borderId="42" xfId="0" applyNumberFormat="1" applyFont="1" applyFill="1" applyBorder="1"/>
    <xf numFmtId="0" fontId="36" fillId="9" borderId="0" xfId="0" applyFont="1" applyFill="1" applyBorder="1"/>
    <xf numFmtId="0" fontId="36" fillId="9" borderId="0" xfId="0" applyFont="1" applyFill="1"/>
    <xf numFmtId="0" fontId="36" fillId="9" borderId="0" xfId="0" applyFont="1" applyFill="1" applyBorder="1" applyAlignment="1">
      <alignment horizontal="center" vertical="center" wrapText="1"/>
    </xf>
    <xf numFmtId="0" fontId="36" fillId="9" borderId="0" xfId="0" applyFont="1" applyFill="1" applyBorder="1" applyAlignment="1">
      <alignment horizontal="left"/>
    </xf>
    <xf numFmtId="2" fontId="37" fillId="9" borderId="0" xfId="0" applyNumberFormat="1" applyFont="1" applyFill="1" applyBorder="1" applyAlignment="1">
      <alignment horizontal="left" vertical="center" wrapText="1"/>
    </xf>
    <xf numFmtId="0" fontId="36" fillId="9" borderId="0" xfId="0" applyFont="1" applyFill="1" applyBorder="1" applyAlignment="1">
      <alignment horizontal="right"/>
    </xf>
    <xf numFmtId="0" fontId="37" fillId="9" borderId="0" xfId="0" applyFont="1" applyFill="1" applyBorder="1" applyAlignment="1">
      <alignment horizontal="left"/>
    </xf>
    <xf numFmtId="171" fontId="11" fillId="9" borderId="42" xfId="0" applyNumberFormat="1" applyFont="1" applyFill="1" applyBorder="1"/>
    <xf numFmtId="171" fontId="38" fillId="9" borderId="0" xfId="2" applyFont="1" applyFill="1" applyBorder="1" applyAlignment="1">
      <alignment horizontal="right" wrapText="1"/>
    </xf>
    <xf numFmtId="0" fontId="39" fillId="9" borderId="0" xfId="0" applyFont="1" applyFill="1"/>
    <xf numFmtId="2" fontId="34" fillId="9" borderId="0" xfId="0" applyNumberFormat="1" applyFont="1" applyFill="1" applyBorder="1" applyAlignment="1">
      <alignment horizontal="center" vertical="center" wrapText="1"/>
    </xf>
    <xf numFmtId="171" fontId="38" fillId="9" borderId="42" xfId="2" applyFont="1" applyFill="1" applyBorder="1" applyAlignment="1">
      <alignment horizontal="right" wrapText="1"/>
    </xf>
    <xf numFmtId="171" fontId="38" fillId="9" borderId="41" xfId="2" applyFont="1" applyFill="1" applyBorder="1" applyAlignment="1">
      <alignment horizontal="right" wrapText="1"/>
    </xf>
    <xf numFmtId="2" fontId="36" fillId="9" borderId="42" xfId="0" applyNumberFormat="1" applyFont="1" applyFill="1" applyBorder="1" applyAlignment="1">
      <alignment horizontal="center" vertical="center" wrapText="1"/>
    </xf>
    <xf numFmtId="2" fontId="36" fillId="9" borderId="45" xfId="0" applyNumberFormat="1" applyFont="1" applyFill="1" applyBorder="1" applyAlignment="1">
      <alignment horizontal="center" vertical="center" wrapText="1"/>
    </xf>
    <xf numFmtId="2" fontId="36" fillId="9" borderId="46" xfId="0" applyNumberFormat="1" applyFont="1" applyFill="1" applyBorder="1" applyAlignment="1">
      <alignment horizontal="center" vertical="center" wrapText="1"/>
    </xf>
    <xf numFmtId="0" fontId="0" fillId="9" borderId="47" xfId="0" applyFill="1" applyBorder="1"/>
    <xf numFmtId="0" fontId="9" fillId="9" borderId="42" xfId="0" applyFont="1" applyFill="1" applyBorder="1"/>
    <xf numFmtId="2" fontId="16" fillId="9" borderId="42" xfId="0" applyNumberFormat="1" applyFont="1" applyFill="1" applyBorder="1"/>
    <xf numFmtId="0" fontId="19" fillId="8" borderId="0" xfId="1" applyFill="1" applyBorder="1" applyAlignment="1" applyProtection="1">
      <alignment horizontal="center"/>
    </xf>
    <xf numFmtId="0" fontId="41" fillId="9" borderId="0" xfId="0" applyFont="1" applyFill="1" applyBorder="1" applyAlignment="1"/>
    <xf numFmtId="0" fontId="42" fillId="9" borderId="0" xfId="0" applyFont="1" applyFill="1" applyBorder="1" applyAlignment="1"/>
    <xf numFmtId="0" fontId="43" fillId="9" borderId="0" xfId="0" applyFont="1" applyFill="1"/>
    <xf numFmtId="0" fontId="10" fillId="9" borderId="39" xfId="0" applyFont="1" applyFill="1" applyBorder="1"/>
    <xf numFmtId="0" fontId="0" fillId="10" borderId="0" xfId="0" applyFill="1"/>
    <xf numFmtId="0" fontId="9" fillId="9" borderId="42" xfId="0" applyFont="1" applyFill="1" applyBorder="1" applyAlignment="1">
      <alignment horizontal="center"/>
    </xf>
    <xf numFmtId="0" fontId="28" fillId="9" borderId="0" xfId="0" applyFont="1" applyFill="1"/>
    <xf numFmtId="194" fontId="28" fillId="9" borderId="0" xfId="0" applyNumberFormat="1" applyFont="1" applyFill="1"/>
    <xf numFmtId="0" fontId="26" fillId="9" borderId="41" xfId="0" applyFont="1" applyFill="1" applyBorder="1"/>
    <xf numFmtId="0" fontId="28" fillId="9" borderId="41" xfId="0" applyFont="1" applyFill="1" applyBorder="1"/>
    <xf numFmtId="194" fontId="28" fillId="9" borderId="41" xfId="0" applyNumberFormat="1" applyFont="1" applyFill="1" applyBorder="1"/>
    <xf numFmtId="0" fontId="26" fillId="9" borderId="48" xfId="0" applyFont="1" applyFill="1" applyBorder="1"/>
    <xf numFmtId="194" fontId="28" fillId="9" borderId="49" xfId="0" applyNumberFormat="1" applyFont="1" applyFill="1" applyBorder="1"/>
    <xf numFmtId="195" fontId="28" fillId="9" borderId="49" xfId="0" applyNumberFormat="1" applyFont="1" applyFill="1" applyBorder="1"/>
    <xf numFmtId="194" fontId="28" fillId="9" borderId="50" xfId="0" applyNumberFormat="1" applyFont="1" applyFill="1" applyBorder="1"/>
    <xf numFmtId="0" fontId="26" fillId="9" borderId="51" xfId="0" applyFont="1" applyFill="1" applyBorder="1"/>
    <xf numFmtId="0" fontId="26" fillId="9" borderId="49" xfId="0" applyFont="1" applyFill="1" applyBorder="1"/>
    <xf numFmtId="0" fontId="26" fillId="9" borderId="50" xfId="0" applyFont="1" applyFill="1" applyBorder="1"/>
    <xf numFmtId="0" fontId="26" fillId="9" borderId="41" xfId="0" applyFont="1" applyFill="1" applyBorder="1" applyAlignment="1">
      <alignment horizontal="center"/>
    </xf>
    <xf numFmtId="0" fontId="27" fillId="9" borderId="0" xfId="0" applyFont="1" applyFill="1" applyBorder="1"/>
    <xf numFmtId="0" fontId="45" fillId="9" borderId="0" xfId="0" applyFont="1" applyFill="1" applyBorder="1"/>
    <xf numFmtId="0" fontId="0" fillId="9" borderId="52" xfId="0" applyFill="1" applyBorder="1"/>
    <xf numFmtId="0" fontId="28" fillId="9" borderId="53" xfId="0" applyFont="1" applyFill="1" applyBorder="1"/>
    <xf numFmtId="0" fontId="28" fillId="9" borderId="52" xfId="0" applyFont="1" applyFill="1" applyBorder="1"/>
    <xf numFmtId="0" fontId="28" fillId="9" borderId="54" xfId="0" applyFont="1" applyFill="1" applyBorder="1"/>
    <xf numFmtId="0" fontId="28" fillId="9" borderId="55" xfId="0" applyFont="1" applyFill="1" applyBorder="1"/>
    <xf numFmtId="0" fontId="9" fillId="9" borderId="0" xfId="0" applyFont="1" applyFill="1" applyBorder="1" applyAlignment="1">
      <alignment horizontal="center"/>
    </xf>
    <xf numFmtId="0" fontId="0" fillId="9" borderId="56" xfId="0" applyFill="1" applyBorder="1"/>
    <xf numFmtId="0" fontId="26" fillId="9" borderId="57" xfId="0" applyFont="1" applyFill="1" applyBorder="1" applyAlignment="1">
      <alignment horizontal="center"/>
    </xf>
    <xf numFmtId="0" fontId="26" fillId="9" borderId="58" xfId="0" applyFont="1" applyFill="1" applyBorder="1" applyAlignment="1">
      <alignment horizontal="center"/>
    </xf>
    <xf numFmtId="0" fontId="26" fillId="9" borderId="54" xfId="0" applyFont="1" applyFill="1" applyBorder="1" applyAlignment="1">
      <alignment horizontal="center"/>
    </xf>
    <xf numFmtId="0" fontId="28" fillId="9" borderId="59" xfId="0" applyFont="1" applyFill="1" applyBorder="1"/>
    <xf numFmtId="0" fontId="0" fillId="0" borderId="0" xfId="0" applyAlignment="1">
      <alignment horizontal="center"/>
    </xf>
    <xf numFmtId="0" fontId="46" fillId="9" borderId="0" xfId="0" applyFont="1" applyFill="1"/>
    <xf numFmtId="0" fontId="9" fillId="3" borderId="0" xfId="0" applyFont="1" applyFill="1" applyAlignment="1">
      <alignment horizontal="center" vertical="center"/>
    </xf>
    <xf numFmtId="0" fontId="9" fillId="2" borderId="0" xfId="0" applyFont="1" applyFill="1" applyAlignment="1">
      <alignment horizontal="center" vertical="center"/>
    </xf>
    <xf numFmtId="0" fontId="9" fillId="3" borderId="60" xfId="0" applyFont="1" applyFill="1" applyBorder="1" applyAlignment="1">
      <alignment horizontal="center"/>
    </xf>
    <xf numFmtId="0" fontId="9" fillId="3" borderId="61" xfId="0" applyFont="1" applyFill="1" applyBorder="1"/>
    <xf numFmtId="0" fontId="9" fillId="3" borderId="62" xfId="0" applyFont="1" applyFill="1" applyBorder="1" applyAlignment="1">
      <alignment horizontal="center"/>
    </xf>
    <xf numFmtId="0" fontId="9" fillId="3" borderId="63" xfId="0" applyFont="1" applyFill="1" applyBorder="1" applyAlignment="1">
      <alignment horizontal="center"/>
    </xf>
    <xf numFmtId="0" fontId="16" fillId="3" borderId="63" xfId="0" applyFont="1" applyFill="1" applyBorder="1"/>
    <xf numFmtId="0" fontId="9" fillId="3" borderId="64" xfId="0" applyFont="1" applyFill="1" applyBorder="1"/>
    <xf numFmtId="0" fontId="49" fillId="3" borderId="60" xfId="0" applyFont="1" applyFill="1" applyBorder="1" applyAlignment="1">
      <alignment horizontal="center"/>
    </xf>
    <xf numFmtId="0" fontId="49" fillId="3" borderId="61" xfId="0" applyFont="1" applyFill="1" applyBorder="1" applyAlignment="1">
      <alignment horizontal="center"/>
    </xf>
    <xf numFmtId="0" fontId="9" fillId="3" borderId="65" xfId="0" applyFont="1" applyFill="1" applyBorder="1" applyAlignment="1">
      <alignment horizontal="center"/>
    </xf>
    <xf numFmtId="0" fontId="52" fillId="0" borderId="0" xfId="0" applyFont="1"/>
    <xf numFmtId="0" fontId="9" fillId="3" borderId="32" xfId="0" applyFont="1" applyFill="1" applyBorder="1" applyAlignment="1">
      <alignment horizontal="center"/>
    </xf>
    <xf numFmtId="0" fontId="0" fillId="9" borderId="66" xfId="0" applyFill="1" applyBorder="1"/>
    <xf numFmtId="2" fontId="10" fillId="9" borderId="42" xfId="0" applyNumberFormat="1" applyFont="1" applyFill="1" applyBorder="1" applyAlignment="1">
      <alignment horizontal="center" vertical="center" wrapText="1"/>
    </xf>
    <xf numFmtId="2" fontId="34" fillId="9" borderId="41" xfId="0" applyNumberFormat="1" applyFont="1" applyFill="1" applyBorder="1" applyAlignment="1">
      <alignment horizontal="right" vertical="center" wrapText="1"/>
    </xf>
    <xf numFmtId="0" fontId="13" fillId="2" borderId="34" xfId="0" applyFont="1" applyFill="1" applyBorder="1"/>
    <xf numFmtId="0" fontId="8" fillId="2" borderId="67" xfId="0" applyFont="1" applyFill="1" applyBorder="1"/>
    <xf numFmtId="0" fontId="0" fillId="2" borderId="67" xfId="0" applyFill="1" applyBorder="1"/>
    <xf numFmtId="0" fontId="8" fillId="2" borderId="0" xfId="0" applyFont="1" applyFill="1" applyBorder="1"/>
    <xf numFmtId="0" fontId="9" fillId="3" borderId="22" xfId="0" applyFont="1" applyFill="1" applyBorder="1"/>
    <xf numFmtId="0" fontId="0" fillId="2" borderId="68" xfId="0" applyFill="1" applyBorder="1"/>
    <xf numFmtId="0" fontId="4" fillId="11" borderId="22" xfId="0" applyFont="1" applyFill="1" applyBorder="1" applyAlignment="1">
      <alignment horizontal="center"/>
    </xf>
    <xf numFmtId="0" fontId="4" fillId="12" borderId="69" xfId="0" applyFont="1" applyFill="1" applyBorder="1" applyAlignment="1">
      <alignment horizontal="center"/>
    </xf>
    <xf numFmtId="9" fontId="13" fillId="12" borderId="19" xfId="0" applyNumberFormat="1" applyFont="1" applyFill="1" applyBorder="1" applyAlignment="1">
      <alignment horizontal="center"/>
    </xf>
    <xf numFmtId="9" fontId="13" fillId="2" borderId="35" xfId="0" applyNumberFormat="1" applyFont="1" applyFill="1" applyBorder="1" applyAlignment="1">
      <alignment horizontal="center"/>
    </xf>
    <xf numFmtId="3" fontId="9" fillId="3" borderId="64" xfId="2" applyNumberFormat="1" applyFont="1" applyFill="1" applyBorder="1" applyAlignment="1">
      <alignment horizontal="left"/>
    </xf>
    <xf numFmtId="0" fontId="9" fillId="3" borderId="62" xfId="0" applyFont="1" applyFill="1" applyBorder="1"/>
    <xf numFmtId="0" fontId="36" fillId="3" borderId="64" xfId="0" applyFont="1" applyFill="1" applyBorder="1"/>
    <xf numFmtId="0" fontId="9" fillId="3" borderId="60" xfId="0" applyFont="1" applyFill="1" applyBorder="1"/>
    <xf numFmtId="0" fontId="9" fillId="3" borderId="64" xfId="0" applyFont="1" applyFill="1" applyBorder="1" applyAlignment="1">
      <alignment horizontal="center"/>
    </xf>
    <xf numFmtId="0" fontId="18" fillId="3" borderId="65" xfId="0" applyFont="1" applyFill="1" applyBorder="1"/>
    <xf numFmtId="0" fontId="18" fillId="3" borderId="0" xfId="0" applyFont="1" applyFill="1"/>
    <xf numFmtId="0" fontId="59" fillId="3" borderId="0" xfId="0" applyFont="1" applyFill="1"/>
    <xf numFmtId="186" fontId="18" fillId="3" borderId="70" xfId="2" applyNumberFormat="1" applyFont="1" applyFill="1" applyBorder="1" applyAlignment="1">
      <alignment horizontal="center"/>
    </xf>
    <xf numFmtId="0" fontId="9" fillId="3" borderId="70" xfId="0" applyFont="1" applyFill="1" applyBorder="1" applyAlignment="1">
      <alignment horizontal="center"/>
    </xf>
    <xf numFmtId="186" fontId="18" fillId="3" borderId="1" xfId="2" applyNumberFormat="1" applyFont="1" applyFill="1" applyBorder="1" applyAlignment="1">
      <alignment horizontal="center"/>
    </xf>
    <xf numFmtId="0" fontId="52" fillId="0" borderId="0" xfId="0" applyFont="1" applyFill="1"/>
    <xf numFmtId="186" fontId="18" fillId="3" borderId="60" xfId="2" applyNumberFormat="1" applyFont="1" applyFill="1" applyBorder="1"/>
    <xf numFmtId="186" fontId="18" fillId="3" borderId="61" xfId="2" applyNumberFormat="1" applyFont="1" applyFill="1" applyBorder="1" applyAlignment="1">
      <alignment horizontal="center"/>
    </xf>
    <xf numFmtId="0" fontId="9" fillId="3" borderId="61" xfId="0" applyFont="1" applyFill="1" applyBorder="1" applyAlignment="1">
      <alignment horizontal="center"/>
    </xf>
    <xf numFmtId="0" fontId="16" fillId="3" borderId="61" xfId="0" applyFont="1" applyFill="1" applyBorder="1"/>
    <xf numFmtId="0" fontId="8" fillId="2" borderId="0" xfId="2" applyNumberFormat="1" applyFont="1" applyFill="1" applyBorder="1" applyAlignment="1">
      <alignment horizontal="right"/>
    </xf>
    <xf numFmtId="9" fontId="13" fillId="2" borderId="37" xfId="0" applyNumberFormat="1" applyFont="1" applyFill="1" applyBorder="1" applyAlignment="1">
      <alignment horizontal="center"/>
    </xf>
    <xf numFmtId="0" fontId="4" fillId="4" borderId="0" xfId="0" applyFont="1" applyFill="1" applyAlignment="1">
      <alignment horizontal="center"/>
    </xf>
    <xf numFmtId="0" fontId="5" fillId="2" borderId="1" xfId="0" applyFont="1" applyFill="1" applyBorder="1"/>
    <xf numFmtId="9" fontId="13" fillId="2" borderId="34" xfId="0" applyNumberFormat="1" applyFont="1" applyFill="1" applyBorder="1" applyAlignment="1">
      <alignment horizontal="center"/>
    </xf>
    <xf numFmtId="0" fontId="13" fillId="2" borderId="28" xfId="0" applyFont="1" applyFill="1" applyBorder="1"/>
    <xf numFmtId="0" fontId="0" fillId="2" borderId="71" xfId="0" applyFill="1" applyBorder="1" applyAlignment="1">
      <alignment horizontal="center" vertical="center" wrapText="1"/>
    </xf>
    <xf numFmtId="0" fontId="4" fillId="7" borderId="22" xfId="0" applyFont="1" applyFill="1" applyBorder="1" applyAlignment="1">
      <alignment horizontal="center"/>
    </xf>
    <xf numFmtId="9" fontId="13" fillId="7" borderId="24" xfId="0" applyNumberFormat="1" applyFont="1" applyFill="1" applyBorder="1" applyAlignment="1">
      <alignment horizontal="center"/>
    </xf>
    <xf numFmtId="0" fontId="4" fillId="7" borderId="2" xfId="0" applyFont="1" applyFill="1" applyBorder="1" applyAlignment="1">
      <alignment horizontal="center"/>
    </xf>
    <xf numFmtId="0" fontId="60" fillId="3" borderId="0" xfId="0" applyFont="1" applyFill="1" applyBorder="1" applyAlignment="1">
      <alignment horizontal="center"/>
    </xf>
    <xf numFmtId="0" fontId="47" fillId="3" borderId="72" xfId="0" applyFont="1" applyFill="1" applyBorder="1" applyAlignment="1">
      <alignment horizontal="center"/>
    </xf>
    <xf numFmtId="0" fontId="47" fillId="3" borderId="73" xfId="0" applyFont="1" applyFill="1" applyBorder="1" applyAlignment="1">
      <alignment horizontal="center"/>
    </xf>
    <xf numFmtId="0" fontId="47" fillId="3" borderId="74" xfId="0" applyFont="1" applyFill="1" applyBorder="1" applyAlignment="1">
      <alignment horizontal="center"/>
    </xf>
    <xf numFmtId="0" fontId="10" fillId="3" borderId="75" xfId="0" applyFont="1" applyFill="1" applyBorder="1" applyAlignment="1">
      <alignment horizontal="center"/>
    </xf>
    <xf numFmtId="0" fontId="10" fillId="3" borderId="61" xfId="0" applyFont="1" applyFill="1" applyBorder="1" applyAlignment="1">
      <alignment horizontal="center"/>
    </xf>
    <xf numFmtId="0" fontId="10" fillId="3" borderId="76" xfId="0" applyFont="1" applyFill="1" applyBorder="1" applyAlignment="1">
      <alignment horizontal="center"/>
    </xf>
    <xf numFmtId="0" fontId="50" fillId="2" borderId="0" xfId="0" applyFont="1" applyFill="1" applyBorder="1"/>
    <xf numFmtId="0" fontId="50" fillId="2" borderId="77" xfId="0" applyFont="1" applyFill="1" applyBorder="1"/>
    <xf numFmtId="0" fontId="52" fillId="2" borderId="78" xfId="0" applyFont="1" applyFill="1" applyBorder="1"/>
    <xf numFmtId="0" fontId="52" fillId="2" borderId="79" xfId="0" applyFont="1" applyFill="1" applyBorder="1"/>
    <xf numFmtId="0" fontId="4" fillId="2" borderId="60" xfId="0" applyFont="1" applyFill="1" applyBorder="1"/>
    <xf numFmtId="0" fontId="0" fillId="2" borderId="61" xfId="0" applyFill="1" applyBorder="1"/>
    <xf numFmtId="0" fontId="4" fillId="2" borderId="1" xfId="0" applyFont="1" applyFill="1" applyBorder="1"/>
    <xf numFmtId="3" fontId="5" fillId="2" borderId="2" xfId="3" applyNumberFormat="1" applyFont="1" applyFill="1" applyBorder="1" applyAlignment="1">
      <alignment horizontal="right"/>
    </xf>
    <xf numFmtId="0" fontId="4" fillId="2" borderId="80" xfId="0" applyFont="1" applyFill="1" applyBorder="1"/>
    <xf numFmtId="3" fontId="5" fillId="2" borderId="71" xfId="3" applyNumberFormat="1" applyFont="1" applyFill="1" applyBorder="1" applyAlignment="1">
      <alignment horizontal="right"/>
    </xf>
    <xf numFmtId="0" fontId="0" fillId="2" borderId="80" xfId="0" applyFill="1" applyBorder="1"/>
    <xf numFmtId="0" fontId="5" fillId="2" borderId="0" xfId="0" applyFont="1" applyFill="1" applyBorder="1"/>
    <xf numFmtId="0" fontId="5" fillId="2" borderId="80" xfId="0" applyFont="1" applyFill="1" applyBorder="1"/>
    <xf numFmtId="0" fontId="5" fillId="2" borderId="4" xfId="0" applyFont="1" applyFill="1" applyBorder="1"/>
    <xf numFmtId="3" fontId="5" fillId="2" borderId="1" xfId="0" applyNumberFormat="1" applyFont="1" applyFill="1" applyBorder="1"/>
    <xf numFmtId="3" fontId="5" fillId="2" borderId="2" xfId="0" applyNumberFormat="1" applyFont="1" applyFill="1" applyBorder="1"/>
    <xf numFmtId="3" fontId="5" fillId="2" borderId="81" xfId="0" applyNumberFormat="1" applyFont="1" applyFill="1" applyBorder="1"/>
    <xf numFmtId="0" fontId="4" fillId="2" borderId="71" xfId="0" applyFont="1" applyFill="1" applyBorder="1"/>
    <xf numFmtId="3" fontId="4" fillId="2" borderId="82" xfId="0" applyNumberFormat="1" applyFont="1" applyFill="1" applyBorder="1"/>
    <xf numFmtId="0" fontId="4" fillId="2" borderId="61" xfId="0" applyFont="1" applyFill="1" applyBorder="1" applyAlignment="1">
      <alignment horizontal="center"/>
    </xf>
    <xf numFmtId="0" fontId="4" fillId="2" borderId="80" xfId="0" applyFont="1" applyFill="1" applyBorder="1" applyAlignment="1">
      <alignment horizontal="center"/>
    </xf>
    <xf numFmtId="3" fontId="4" fillId="2" borderId="1" xfId="0" applyNumberFormat="1" applyFont="1" applyFill="1" applyBorder="1"/>
    <xf numFmtId="3" fontId="4" fillId="2" borderId="2" xfId="0" applyNumberFormat="1" applyFont="1" applyFill="1" applyBorder="1"/>
    <xf numFmtId="0" fontId="4" fillId="2" borderId="2" xfId="0" applyFont="1" applyFill="1" applyBorder="1" applyAlignment="1">
      <alignment horizontal="center"/>
    </xf>
    <xf numFmtId="3" fontId="2" fillId="2" borderId="71" xfId="3" applyNumberFormat="1" applyFont="1" applyFill="1" applyBorder="1" applyAlignment="1">
      <alignment horizontal="center"/>
    </xf>
    <xf numFmtId="0" fontId="4" fillId="2" borderId="71" xfId="0" applyFont="1" applyFill="1" applyBorder="1" applyAlignment="1">
      <alignment horizontal="center" vertical="center" wrapText="1"/>
    </xf>
    <xf numFmtId="3" fontId="4" fillId="2" borderId="2" xfId="0" applyNumberFormat="1" applyFont="1" applyFill="1" applyBorder="1" applyAlignment="1">
      <alignment horizontal="center"/>
    </xf>
    <xf numFmtId="9" fontId="14" fillId="2" borderId="71" xfId="0" applyNumberFormat="1" applyFont="1" applyFill="1" applyBorder="1" applyAlignment="1">
      <alignment horizontal="center"/>
    </xf>
    <xf numFmtId="3" fontId="4" fillId="2" borderId="71" xfId="0" applyNumberFormat="1" applyFont="1" applyFill="1" applyBorder="1" applyAlignment="1">
      <alignment horizontal="center" vertical="center"/>
    </xf>
    <xf numFmtId="3" fontId="4" fillId="2" borderId="71" xfId="0" applyNumberFormat="1" applyFont="1" applyFill="1" applyBorder="1" applyAlignment="1">
      <alignment horizontal="center"/>
    </xf>
    <xf numFmtId="3" fontId="5" fillId="2" borderId="2" xfId="0" applyNumberFormat="1" applyFont="1" applyFill="1" applyBorder="1" applyAlignment="1">
      <alignment horizontal="right"/>
    </xf>
    <xf numFmtId="0" fontId="4" fillId="2" borderId="61" xfId="0" applyFont="1" applyFill="1" applyBorder="1" applyAlignment="1"/>
    <xf numFmtId="3" fontId="0" fillId="2" borderId="2" xfId="0" applyNumberFormat="1" applyFill="1" applyBorder="1"/>
    <xf numFmtId="0" fontId="4" fillId="2" borderId="2" xfId="0" applyFont="1" applyFill="1" applyBorder="1" applyAlignment="1"/>
    <xf numFmtId="0" fontId="4" fillId="2" borderId="71" xfId="0" applyFont="1" applyFill="1" applyBorder="1" applyAlignment="1"/>
    <xf numFmtId="3" fontId="4" fillId="2" borderId="82" xfId="0" applyNumberFormat="1" applyFont="1" applyFill="1" applyBorder="1" applyAlignment="1">
      <alignment horizontal="center"/>
    </xf>
    <xf numFmtId="186" fontId="2" fillId="2" borderId="2" xfId="2" applyNumberFormat="1" applyFont="1" applyFill="1" applyBorder="1" applyAlignment="1">
      <alignment horizontal="left" indent="1"/>
    </xf>
    <xf numFmtId="186" fontId="2" fillId="2" borderId="71" xfId="2" applyNumberFormat="1" applyFont="1" applyFill="1" applyBorder="1" applyAlignment="1">
      <alignment horizontal="left" indent="1"/>
    </xf>
    <xf numFmtId="3" fontId="5" fillId="2" borderId="3" xfId="0" applyNumberFormat="1" applyFont="1" applyFill="1" applyBorder="1"/>
    <xf numFmtId="3" fontId="5" fillId="2" borderId="83" xfId="0" applyNumberFormat="1" applyFont="1" applyFill="1" applyBorder="1"/>
    <xf numFmtId="3" fontId="4" fillId="2" borderId="71" xfId="0" applyNumberFormat="1" applyFont="1" applyFill="1" applyBorder="1"/>
    <xf numFmtId="3" fontId="4" fillId="2" borderId="84" xfId="0" applyNumberFormat="1" applyFont="1" applyFill="1" applyBorder="1"/>
    <xf numFmtId="0" fontId="3" fillId="2" borderId="3" xfId="0" applyFont="1" applyFill="1" applyBorder="1"/>
    <xf numFmtId="0" fontId="4" fillId="2" borderId="0" xfId="0" applyFont="1" applyFill="1" applyBorder="1" applyAlignment="1">
      <alignment horizontal="center" vertical="center" wrapText="1"/>
    </xf>
    <xf numFmtId="0" fontId="0" fillId="0" borderId="0" xfId="0" applyBorder="1" applyAlignment="1">
      <alignment horizontal="right"/>
    </xf>
    <xf numFmtId="9" fontId="0" fillId="0" borderId="0" xfId="0" applyNumberFormat="1" applyBorder="1"/>
    <xf numFmtId="0" fontId="33" fillId="0" borderId="0" xfId="0" applyFont="1"/>
    <xf numFmtId="3" fontId="0" fillId="0" borderId="0" xfId="0" applyNumberFormat="1" applyFill="1"/>
    <xf numFmtId="0" fontId="4" fillId="0" borderId="0" xfId="0" applyNumberFormat="1" applyFont="1"/>
    <xf numFmtId="3" fontId="0" fillId="0" borderId="0" xfId="0" applyNumberFormat="1" applyAlignment="1">
      <alignment horizontal="right"/>
    </xf>
    <xf numFmtId="0" fontId="3" fillId="2" borderId="2" xfId="2" applyNumberFormat="1" applyFont="1" applyFill="1" applyBorder="1" applyAlignment="1">
      <alignment horizontal="left" indent="1"/>
    </xf>
    <xf numFmtId="3" fontId="2" fillId="2" borderId="1" xfId="3" applyNumberFormat="1" applyFont="1" applyFill="1" applyBorder="1" applyAlignment="1">
      <alignment horizontal="center"/>
    </xf>
    <xf numFmtId="3" fontId="0" fillId="2" borderId="3" xfId="0" applyNumberFormat="1" applyFill="1" applyBorder="1"/>
    <xf numFmtId="0" fontId="25" fillId="2" borderId="2" xfId="2" applyNumberFormat="1" applyFont="1" applyFill="1" applyBorder="1" applyAlignment="1">
      <alignment horizontal="left" indent="1"/>
    </xf>
    <xf numFmtId="0" fontId="3" fillId="2" borderId="71" xfId="2" applyNumberFormat="1" applyFont="1" applyFill="1" applyBorder="1" applyAlignment="1">
      <alignment horizontal="left" indent="1"/>
    </xf>
    <xf numFmtId="3" fontId="0" fillId="2" borderId="71" xfId="0" applyNumberFormat="1" applyFill="1" applyBorder="1"/>
    <xf numFmtId="3" fontId="0" fillId="2" borderId="84" xfId="0" applyNumberFormat="1" applyFill="1" applyBorder="1"/>
    <xf numFmtId="0" fontId="3" fillId="2" borderId="1" xfId="2" applyNumberFormat="1" applyFont="1" applyFill="1" applyBorder="1" applyAlignment="1">
      <alignment horizontal="left" indent="1"/>
    </xf>
    <xf numFmtId="0" fontId="5" fillId="2" borderId="1" xfId="2" applyNumberFormat="1" applyFont="1" applyFill="1" applyBorder="1" applyAlignment="1">
      <alignment horizontal="left" indent="1"/>
    </xf>
    <xf numFmtId="0" fontId="3" fillId="2" borderId="80" xfId="2" applyNumberFormat="1" applyFont="1" applyFill="1" applyBorder="1" applyAlignment="1">
      <alignment horizontal="left" indent="1"/>
    </xf>
    <xf numFmtId="186" fontId="3" fillId="2" borderId="1" xfId="2" applyNumberFormat="1" applyFont="1" applyFill="1" applyBorder="1" applyAlignment="1">
      <alignment horizontal="left" indent="1"/>
    </xf>
    <xf numFmtId="9" fontId="4" fillId="2" borderId="2" xfId="0" applyNumberFormat="1" applyFont="1" applyFill="1" applyBorder="1" applyAlignment="1">
      <alignment horizontal="center"/>
    </xf>
    <xf numFmtId="10" fontId="4" fillId="2" borderId="2" xfId="0" applyNumberFormat="1" applyFont="1" applyFill="1" applyBorder="1" applyAlignment="1">
      <alignment horizontal="center"/>
    </xf>
    <xf numFmtId="186" fontId="3" fillId="2" borderId="80" xfId="2" applyNumberFormat="1" applyFont="1" applyFill="1" applyBorder="1" applyAlignment="1">
      <alignment horizontal="left" indent="1"/>
    </xf>
    <xf numFmtId="10" fontId="4" fillId="2" borderId="71" xfId="0" applyNumberFormat="1" applyFont="1" applyFill="1" applyBorder="1" applyAlignment="1">
      <alignment horizontal="center"/>
    </xf>
    <xf numFmtId="186" fontId="25" fillId="2" borderId="62" xfId="2" applyNumberFormat="1" applyFont="1" applyFill="1" applyBorder="1" applyAlignment="1">
      <alignment horizontal="left"/>
    </xf>
    <xf numFmtId="0" fontId="0" fillId="2" borderId="63" xfId="0" applyFill="1" applyBorder="1" applyAlignment="1"/>
    <xf numFmtId="186" fontId="2" fillId="2" borderId="61" xfId="2" applyNumberFormat="1" applyFont="1" applyFill="1" applyBorder="1" applyAlignment="1">
      <alignment horizontal="left" indent="1"/>
    </xf>
    <xf numFmtId="4" fontId="0" fillId="2" borderId="32" xfId="0" applyNumberFormat="1" applyFill="1" applyBorder="1" applyAlignment="1">
      <alignment horizontal="right"/>
    </xf>
    <xf numFmtId="4" fontId="0" fillId="2" borderId="65" xfId="0" applyNumberFormat="1" applyFill="1" applyBorder="1" applyAlignment="1">
      <alignment horizontal="right"/>
    </xf>
    <xf numFmtId="193" fontId="0" fillId="2" borderId="0" xfId="0" applyNumberFormat="1" applyFill="1" applyBorder="1" applyAlignment="1">
      <alignment horizontal="right"/>
    </xf>
    <xf numFmtId="3" fontId="0" fillId="2" borderId="3" xfId="0" applyNumberFormat="1" applyFill="1" applyBorder="1" applyAlignment="1">
      <alignment horizontal="right"/>
    </xf>
    <xf numFmtId="3" fontId="0" fillId="2" borderId="33" xfId="0" applyNumberFormat="1" applyFill="1" applyBorder="1" applyAlignment="1">
      <alignment horizontal="right"/>
    </xf>
    <xf numFmtId="3" fontId="0" fillId="2" borderId="83" xfId="0" applyNumberFormat="1" applyFill="1" applyBorder="1" applyAlignment="1">
      <alignment horizontal="right"/>
    </xf>
    <xf numFmtId="0" fontId="12" fillId="2" borderId="84" xfId="0" applyFont="1" applyFill="1" applyBorder="1"/>
    <xf numFmtId="3" fontId="0" fillId="2" borderId="85" xfId="0" applyNumberFormat="1" applyFill="1" applyBorder="1" applyAlignment="1">
      <alignment horizontal="right"/>
    </xf>
    <xf numFmtId="3" fontId="0" fillId="2" borderId="4" xfId="0" applyNumberFormat="1" applyFill="1" applyBorder="1" applyAlignment="1">
      <alignment horizontal="right"/>
    </xf>
    <xf numFmtId="3" fontId="0" fillId="2" borderId="86" xfId="0" applyNumberFormat="1" applyFill="1" applyBorder="1" applyAlignment="1">
      <alignment horizontal="right"/>
    </xf>
    <xf numFmtId="0" fontId="4" fillId="2" borderId="60" xfId="0" applyFont="1" applyFill="1" applyBorder="1" applyAlignment="1">
      <alignment horizontal="center"/>
    </xf>
    <xf numFmtId="188" fontId="14" fillId="2" borderId="61" xfId="0" applyNumberFormat="1" applyFont="1" applyFill="1" applyBorder="1" applyAlignment="1">
      <alignment horizontal="center"/>
    </xf>
    <xf numFmtId="186" fontId="2" fillId="2" borderId="61" xfId="3" applyNumberFormat="1" applyFont="1" applyFill="1" applyBorder="1" applyAlignment="1">
      <alignment horizontal="left" indent="1"/>
    </xf>
    <xf numFmtId="3" fontId="3" fillId="2" borderId="32" xfId="3" applyNumberFormat="1" applyFont="1" applyFill="1" applyBorder="1" applyAlignment="1">
      <alignment horizontal="right"/>
    </xf>
    <xf numFmtId="193" fontId="0" fillId="2" borderId="32" xfId="0" applyNumberFormat="1" applyFill="1" applyBorder="1" applyAlignment="1">
      <alignment horizontal="right"/>
    </xf>
    <xf numFmtId="193" fontId="0" fillId="2" borderId="65" xfId="0" applyNumberFormat="1" applyFill="1" applyBorder="1" applyAlignment="1">
      <alignment horizontal="right"/>
    </xf>
    <xf numFmtId="186" fontId="2" fillId="2" borderId="2" xfId="3" applyNumberFormat="1" applyFont="1" applyFill="1" applyBorder="1" applyAlignment="1">
      <alignment horizontal="left" indent="1"/>
    </xf>
    <xf numFmtId="193" fontId="3" fillId="2" borderId="0" xfId="3" applyNumberFormat="1" applyFont="1" applyFill="1" applyBorder="1" applyAlignment="1">
      <alignment horizontal="right"/>
    </xf>
    <xf numFmtId="193" fontId="0" fillId="2" borderId="3" xfId="0" applyNumberFormat="1" applyFill="1" applyBorder="1" applyAlignment="1">
      <alignment horizontal="right"/>
    </xf>
    <xf numFmtId="3" fontId="3" fillId="2" borderId="33" xfId="3" applyNumberFormat="1" applyFont="1" applyFill="1" applyBorder="1" applyAlignment="1">
      <alignment horizontal="right"/>
    </xf>
    <xf numFmtId="186" fontId="23" fillId="2" borderId="71" xfId="3" applyNumberFormat="1" applyFont="1" applyFill="1" applyBorder="1" applyAlignment="1">
      <alignment horizontal="left" indent="1"/>
    </xf>
    <xf numFmtId="0" fontId="2" fillId="2" borderId="64" xfId="0" applyFont="1" applyFill="1" applyBorder="1" applyAlignment="1">
      <alignment horizontal="center"/>
    </xf>
    <xf numFmtId="3" fontId="0" fillId="2" borderId="64" xfId="0" applyNumberFormat="1" applyFill="1" applyBorder="1"/>
    <xf numFmtId="3" fontId="5" fillId="2" borderId="80" xfId="3" applyNumberFormat="1" applyFont="1" applyFill="1" applyBorder="1" applyAlignment="1">
      <alignment horizontal="center"/>
    </xf>
    <xf numFmtId="0" fontId="2" fillId="2" borderId="61" xfId="0" applyFont="1" applyFill="1" applyBorder="1" applyAlignment="1">
      <alignment horizontal="left" vertical="center" wrapText="1"/>
    </xf>
    <xf numFmtId="3" fontId="0" fillId="2" borderId="61" xfId="0" applyNumberFormat="1" applyFill="1" applyBorder="1"/>
    <xf numFmtId="3" fontId="0" fillId="2" borderId="65" xfId="0" applyNumberFormat="1" applyFill="1" applyBorder="1"/>
    <xf numFmtId="0" fontId="2" fillId="2" borderId="2" xfId="0" applyFont="1" applyFill="1" applyBorder="1" applyAlignment="1">
      <alignment horizontal="left" vertical="center" wrapText="1"/>
    </xf>
    <xf numFmtId="0" fontId="2" fillId="2" borderId="0" xfId="0" applyFont="1" applyFill="1" applyAlignment="1">
      <alignment horizontal="left"/>
    </xf>
    <xf numFmtId="0" fontId="2" fillId="2" borderId="3" xfId="0" applyFont="1" applyFill="1" applyBorder="1" applyAlignment="1">
      <alignment horizontal="left"/>
    </xf>
    <xf numFmtId="3" fontId="0" fillId="2" borderId="81" xfId="0" applyNumberFormat="1" applyFill="1" applyBorder="1"/>
    <xf numFmtId="0" fontId="23" fillId="2" borderId="71" xfId="0" applyFont="1" applyFill="1" applyBorder="1"/>
    <xf numFmtId="3" fontId="4" fillId="2" borderId="71" xfId="3" applyNumberFormat="1" applyFont="1" applyFill="1" applyBorder="1" applyAlignment="1"/>
    <xf numFmtId="3" fontId="5" fillId="2" borderId="1" xfId="2" applyNumberFormat="1" applyFont="1" applyFill="1" applyBorder="1" applyAlignment="1">
      <alignment horizontal="left" indent="1"/>
    </xf>
    <xf numFmtId="3" fontId="5" fillId="2" borderId="61" xfId="0" applyNumberFormat="1" applyFont="1" applyFill="1" applyBorder="1" applyAlignment="1">
      <alignment horizontal="right"/>
    </xf>
    <xf numFmtId="3" fontId="5" fillId="2" borderId="61" xfId="0" applyNumberFormat="1" applyFont="1" applyFill="1" applyBorder="1"/>
    <xf numFmtId="3" fontId="5" fillId="2" borderId="65" xfId="0" applyNumberFormat="1" applyFont="1" applyFill="1" applyBorder="1"/>
    <xf numFmtId="3" fontId="5" fillId="2" borderId="80" xfId="2" applyNumberFormat="1" applyFont="1" applyFill="1" applyBorder="1" applyAlignment="1">
      <alignment horizontal="left" indent="1"/>
    </xf>
    <xf numFmtId="3" fontId="5" fillId="2" borderId="71" xfId="0" applyNumberFormat="1" applyFont="1" applyFill="1" applyBorder="1"/>
    <xf numFmtId="3" fontId="0" fillId="2" borderId="60" xfId="0" applyNumberFormat="1" applyFill="1" applyBorder="1" applyAlignment="1">
      <alignment horizontal="center"/>
    </xf>
    <xf numFmtId="3" fontId="5" fillId="2" borderId="1" xfId="3" applyNumberFormat="1" applyFont="1" applyFill="1" applyBorder="1" applyAlignment="1">
      <alignment horizontal="center"/>
    </xf>
    <xf numFmtId="0" fontId="61" fillId="3" borderId="61" xfId="0" applyFont="1" applyFill="1" applyBorder="1" applyAlignment="1">
      <alignment horizontal="center" vertical="center"/>
    </xf>
    <xf numFmtId="0" fontId="36" fillId="3" borderId="61" xfId="0" applyFont="1" applyFill="1" applyBorder="1"/>
    <xf numFmtId="186" fontId="18" fillId="3" borderId="64" xfId="2" applyNumberFormat="1" applyFont="1" applyFill="1" applyBorder="1" applyAlignment="1">
      <alignment horizontal="center"/>
    </xf>
    <xf numFmtId="0" fontId="9" fillId="3" borderId="0" xfId="0" applyFont="1" applyFill="1" applyBorder="1" applyAlignment="1">
      <alignment horizontal="center"/>
    </xf>
    <xf numFmtId="186" fontId="18" fillId="3" borderId="61" xfId="3" applyNumberFormat="1" applyFont="1" applyFill="1" applyBorder="1" applyAlignment="1">
      <alignment horizontal="center"/>
    </xf>
    <xf numFmtId="0" fontId="36" fillId="3" borderId="65" xfId="0" applyFont="1" applyFill="1" applyBorder="1"/>
    <xf numFmtId="9" fontId="17" fillId="6" borderId="34" xfId="0" applyNumberFormat="1" applyFont="1" applyFill="1" applyBorder="1" applyAlignment="1">
      <alignment horizontal="center"/>
    </xf>
    <xf numFmtId="9" fontId="17" fillId="8" borderId="34" xfId="0" applyNumberFormat="1" applyFont="1" applyFill="1" applyBorder="1" applyAlignment="1">
      <alignment horizontal="center"/>
    </xf>
    <xf numFmtId="9" fontId="17" fillId="4" borderId="34" xfId="0" applyNumberFormat="1" applyFont="1" applyFill="1" applyBorder="1" applyAlignment="1">
      <alignment horizontal="center"/>
    </xf>
    <xf numFmtId="9" fontId="17" fillId="11" borderId="34" xfId="0" applyNumberFormat="1" applyFont="1" applyFill="1" applyBorder="1" applyAlignment="1">
      <alignment horizontal="center"/>
    </xf>
    <xf numFmtId="9" fontId="17" fillId="5" borderId="34" xfId="0" applyNumberFormat="1" applyFont="1" applyFill="1" applyBorder="1" applyAlignment="1">
      <alignment horizontal="center"/>
    </xf>
    <xf numFmtId="0" fontId="0" fillId="4" borderId="0" xfId="0" applyFill="1"/>
    <xf numFmtId="0" fontId="4" fillId="4" borderId="34" xfId="0" applyNumberFormat="1" applyFont="1" applyFill="1" applyBorder="1" applyAlignment="1">
      <alignment horizontal="center"/>
    </xf>
    <xf numFmtId="0" fontId="9" fillId="3" borderId="65" xfId="0" applyFont="1" applyFill="1" applyBorder="1" applyAlignment="1">
      <alignment horizontal="center" vertical="center"/>
    </xf>
    <xf numFmtId="9" fontId="17" fillId="0" borderId="0" xfId="0" applyNumberFormat="1" applyFont="1" applyBorder="1" applyAlignment="1">
      <alignment horizontal="center"/>
    </xf>
    <xf numFmtId="9" fontId="63" fillId="2" borderId="19" xfId="0" applyNumberFormat="1" applyFont="1" applyFill="1" applyBorder="1" applyAlignment="1">
      <alignment horizontal="center"/>
    </xf>
    <xf numFmtId="0" fontId="0" fillId="2" borderId="87" xfId="0" applyFill="1" applyBorder="1"/>
    <xf numFmtId="0" fontId="4" fillId="12" borderId="25" xfId="0" applyFont="1" applyFill="1" applyBorder="1" applyAlignment="1">
      <alignment horizontal="center"/>
    </xf>
    <xf numFmtId="3" fontId="4" fillId="2" borderId="0" xfId="0" applyNumberFormat="1" applyFont="1" applyFill="1" applyBorder="1"/>
    <xf numFmtId="10" fontId="4"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xf>
    <xf numFmtId="0" fontId="18" fillId="3" borderId="60"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32" xfId="0" applyFont="1" applyFill="1" applyBorder="1" applyAlignment="1">
      <alignment horizontal="center" vertical="center"/>
    </xf>
    <xf numFmtId="10" fontId="4" fillId="2" borderId="88" xfId="0" applyNumberFormat="1" applyFont="1" applyFill="1" applyBorder="1" applyAlignment="1">
      <alignment horizontal="center" vertical="center" wrapText="1"/>
    </xf>
    <xf numFmtId="186" fontId="5" fillId="2" borderId="0" xfId="2" applyNumberFormat="1" applyFont="1" applyFill="1" applyBorder="1" applyAlignment="1">
      <alignment horizontal="right"/>
    </xf>
    <xf numFmtId="3" fontId="5" fillId="2" borderId="0" xfId="3" applyNumberFormat="1" applyFont="1" applyFill="1" applyBorder="1"/>
    <xf numFmtId="3" fontId="5" fillId="2" borderId="0" xfId="2" applyNumberFormat="1" applyFont="1" applyFill="1" applyBorder="1"/>
    <xf numFmtId="3" fontId="5" fillId="2" borderId="0" xfId="4" applyNumberFormat="1" applyFont="1" applyFill="1" applyBorder="1" applyAlignment="1">
      <alignment horizontal="right"/>
    </xf>
    <xf numFmtId="4" fontId="5" fillId="2" borderId="0" xfId="3" applyNumberFormat="1" applyFont="1" applyFill="1" applyBorder="1" applyAlignment="1">
      <alignment horizontal="right"/>
    </xf>
    <xf numFmtId="4" fontId="5" fillId="2" borderId="0" xfId="0" applyNumberFormat="1" applyFont="1" applyFill="1" applyAlignment="1">
      <alignment horizontal="right"/>
    </xf>
    <xf numFmtId="193" fontId="5" fillId="2" borderId="0" xfId="0" applyNumberFormat="1" applyFont="1" applyFill="1" applyAlignment="1">
      <alignment horizontal="right"/>
    </xf>
    <xf numFmtId="3" fontId="5" fillId="2" borderId="0" xfId="0" applyNumberFormat="1" applyFont="1" applyFill="1" applyAlignment="1">
      <alignment horizontal="right"/>
    </xf>
    <xf numFmtId="3" fontId="4" fillId="2" borderId="0" xfId="2" applyNumberFormat="1" applyFont="1" applyFill="1" applyBorder="1" applyAlignment="1">
      <alignment horizontal="right"/>
    </xf>
    <xf numFmtId="3" fontId="4" fillId="2" borderId="0" xfId="3" applyNumberFormat="1" applyFont="1" applyFill="1" applyBorder="1" applyAlignment="1">
      <alignment horizontal="right"/>
    </xf>
    <xf numFmtId="3" fontId="5" fillId="2" borderId="0" xfId="0" applyNumberFormat="1" applyFont="1" applyFill="1"/>
    <xf numFmtId="3" fontId="5" fillId="2" borderId="0" xfId="4" applyNumberFormat="1" applyFont="1" applyFill="1" applyBorder="1"/>
    <xf numFmtId="0" fontId="16" fillId="3" borderId="32" xfId="0" applyFont="1" applyFill="1" applyBorder="1"/>
    <xf numFmtId="0" fontId="9" fillId="3" borderId="32" xfId="0" applyFont="1" applyFill="1" applyBorder="1"/>
    <xf numFmtId="0" fontId="18" fillId="3" borderId="60" xfId="0" applyFont="1" applyFill="1" applyBorder="1"/>
    <xf numFmtId="0" fontId="0" fillId="2" borderId="4" xfId="0" applyFill="1" applyBorder="1"/>
    <xf numFmtId="3" fontId="0" fillId="0" borderId="0" xfId="0" applyNumberFormat="1" applyFill="1" applyBorder="1"/>
    <xf numFmtId="9" fontId="0" fillId="0" borderId="0" xfId="0" applyNumberFormat="1" applyFill="1" applyBorder="1"/>
    <xf numFmtId="0" fontId="4" fillId="0" borderId="0" xfId="0" applyFont="1" applyFill="1" applyAlignment="1">
      <alignment horizontal="center"/>
    </xf>
    <xf numFmtId="193" fontId="0" fillId="0" borderId="0" xfId="0" applyNumberFormat="1" applyFill="1"/>
    <xf numFmtId="9" fontId="0" fillId="0" borderId="0" xfId="0" applyNumberFormat="1" applyFill="1"/>
    <xf numFmtId="195" fontId="0" fillId="0" borderId="0" xfId="0" applyNumberFormat="1" applyFill="1"/>
    <xf numFmtId="0" fontId="0" fillId="0" borderId="89" xfId="0" applyBorder="1"/>
    <xf numFmtId="0" fontId="0" fillId="0" borderId="90" xfId="0" applyBorder="1"/>
    <xf numFmtId="0" fontId="9" fillId="3" borderId="91" xfId="0" applyFont="1" applyFill="1" applyBorder="1"/>
    <xf numFmtId="0" fontId="18" fillId="3" borderId="91" xfId="0" applyFont="1" applyFill="1" applyBorder="1"/>
    <xf numFmtId="0" fontId="11" fillId="3" borderId="60" xfId="0" applyFont="1" applyFill="1" applyBorder="1"/>
    <xf numFmtId="0" fontId="11" fillId="3" borderId="32" xfId="0" applyFont="1" applyFill="1" applyBorder="1"/>
    <xf numFmtId="0" fontId="66" fillId="3" borderId="32" xfId="0" applyFont="1" applyFill="1" applyBorder="1" applyAlignment="1">
      <alignment horizontal="center"/>
    </xf>
    <xf numFmtId="0" fontId="66" fillId="3" borderId="65" xfId="0" applyFont="1" applyFill="1" applyBorder="1" applyAlignment="1">
      <alignment horizontal="center"/>
    </xf>
    <xf numFmtId="0" fontId="52" fillId="2" borderId="92" xfId="0" applyFont="1" applyFill="1" applyBorder="1"/>
    <xf numFmtId="0" fontId="52" fillId="2" borderId="1" xfId="0" applyFont="1" applyFill="1" applyBorder="1"/>
    <xf numFmtId="0" fontId="52" fillId="2" borderId="0" xfId="0" applyFont="1" applyFill="1" applyBorder="1"/>
    <xf numFmtId="0" fontId="52" fillId="2" borderId="80" xfId="0" applyFont="1" applyFill="1" applyBorder="1"/>
    <xf numFmtId="0" fontId="52" fillId="2" borderId="4" xfId="0" applyFont="1" applyFill="1" applyBorder="1"/>
    <xf numFmtId="3" fontId="52" fillId="2" borderId="0" xfId="0" applyNumberFormat="1" applyFont="1" applyFill="1" applyBorder="1"/>
    <xf numFmtId="3" fontId="52" fillId="2" borderId="3" xfId="0" applyNumberFormat="1" applyFont="1" applyFill="1" applyBorder="1"/>
    <xf numFmtId="3" fontId="52" fillId="2" borderId="33" xfId="0" applyNumberFormat="1" applyFont="1" applyFill="1" applyBorder="1"/>
    <xf numFmtId="3" fontId="52" fillId="2" borderId="83" xfId="0" applyNumberFormat="1" applyFont="1" applyFill="1" applyBorder="1"/>
    <xf numFmtId="0" fontId="52" fillId="2" borderId="93" xfId="0" applyFont="1" applyFill="1" applyBorder="1"/>
    <xf numFmtId="3" fontId="52" fillId="2" borderId="4" xfId="0" applyNumberFormat="1" applyFont="1" applyFill="1" applyBorder="1"/>
    <xf numFmtId="3" fontId="52" fillId="2" borderId="84" xfId="0" applyNumberFormat="1" applyFont="1" applyFill="1" applyBorder="1"/>
    <xf numFmtId="3" fontId="52" fillId="2" borderId="85" xfId="0" applyNumberFormat="1" applyFont="1" applyFill="1" applyBorder="1"/>
    <xf numFmtId="3" fontId="52" fillId="2" borderId="86" xfId="0" applyNumberFormat="1" applyFont="1" applyFill="1" applyBorder="1"/>
    <xf numFmtId="193" fontId="52" fillId="2" borderId="33" xfId="0" applyNumberFormat="1" applyFont="1" applyFill="1" applyBorder="1"/>
    <xf numFmtId="193" fontId="52" fillId="2" borderId="83" xfId="0" applyNumberFormat="1" applyFont="1" applyFill="1" applyBorder="1"/>
    <xf numFmtId="193" fontId="52" fillId="2" borderId="4" xfId="0" applyNumberFormat="1" applyFont="1" applyFill="1" applyBorder="1"/>
    <xf numFmtId="193" fontId="52" fillId="2" borderId="84" xfId="0" applyNumberFormat="1" applyFont="1" applyFill="1" applyBorder="1"/>
    <xf numFmtId="3" fontId="52" fillId="0" borderId="94" xfId="0" applyNumberFormat="1" applyFont="1" applyBorder="1"/>
    <xf numFmtId="3" fontId="52" fillId="0" borderId="95" xfId="0" applyNumberFormat="1" applyFont="1" applyBorder="1"/>
    <xf numFmtId="3" fontId="52" fillId="0" borderId="96" xfId="0" applyNumberFormat="1" applyFont="1" applyBorder="1"/>
    <xf numFmtId="0" fontId="68" fillId="2" borderId="97" xfId="0" applyFont="1" applyFill="1" applyBorder="1" applyAlignment="1">
      <alignment horizontal="center"/>
    </xf>
    <xf numFmtId="0" fontId="68" fillId="2" borderId="98" xfId="0" applyFont="1" applyFill="1" applyBorder="1" applyAlignment="1">
      <alignment horizontal="center"/>
    </xf>
    <xf numFmtId="0" fontId="68" fillId="2" borderId="99" xfId="0" applyFont="1" applyFill="1" applyBorder="1" applyAlignment="1">
      <alignment horizontal="center"/>
    </xf>
    <xf numFmtId="0" fontId="52" fillId="0" borderId="0" xfId="0" applyFont="1" applyFill="1" applyBorder="1"/>
    <xf numFmtId="3" fontId="52" fillId="0" borderId="100" xfId="0" applyNumberFormat="1" applyFont="1" applyBorder="1"/>
    <xf numFmtId="0" fontId="68" fillId="2" borderId="101" xfId="0" applyFont="1" applyFill="1" applyBorder="1" applyAlignment="1">
      <alignment horizontal="center"/>
    </xf>
    <xf numFmtId="0" fontId="68" fillId="2" borderId="102" xfId="0" applyFont="1" applyFill="1" applyBorder="1" applyAlignment="1">
      <alignment horizontal="center"/>
    </xf>
    <xf numFmtId="0" fontId="68" fillId="2" borderId="103" xfId="0" applyFont="1" applyFill="1" applyBorder="1" applyAlignment="1">
      <alignment horizontal="center"/>
    </xf>
    <xf numFmtId="195" fontId="0" fillId="2" borderId="4" xfId="0" applyNumberFormat="1" applyFill="1" applyBorder="1"/>
    <xf numFmtId="195" fontId="0" fillId="2" borderId="85" xfId="0" applyNumberFormat="1" applyFill="1" applyBorder="1"/>
    <xf numFmtId="195" fontId="0" fillId="2" borderId="84" xfId="0" applyNumberFormat="1" applyFill="1" applyBorder="1"/>
    <xf numFmtId="0" fontId="50" fillId="0" borderId="0" xfId="0" applyFont="1" applyBorder="1" applyAlignment="1">
      <alignment horizontal="center"/>
    </xf>
    <xf numFmtId="0" fontId="4" fillId="0" borderId="0" xfId="0" applyFont="1" applyFill="1" applyBorder="1"/>
    <xf numFmtId="0" fontId="50" fillId="0" borderId="22" xfId="0" applyFont="1" applyBorder="1" applyAlignment="1">
      <alignment horizontal="center"/>
    </xf>
    <xf numFmtId="0" fontId="50" fillId="0" borderId="104" xfId="0" applyFont="1" applyBorder="1" applyAlignment="1">
      <alignment horizontal="center"/>
    </xf>
    <xf numFmtId="0" fontId="50" fillId="0" borderId="105" xfId="0" applyFont="1" applyBorder="1" applyAlignment="1">
      <alignment horizontal="center"/>
    </xf>
    <xf numFmtId="0" fontId="51" fillId="0" borderId="106" xfId="0" applyFont="1" applyBorder="1"/>
    <xf numFmtId="0" fontId="51" fillId="0" borderId="34" xfId="0" applyFont="1" applyBorder="1"/>
    <xf numFmtId="0" fontId="51" fillId="0" borderId="107" xfId="0" applyFont="1" applyBorder="1"/>
    <xf numFmtId="0" fontId="51" fillId="0" borderId="108" xfId="0" applyFont="1" applyBorder="1" applyAlignment="1">
      <alignment horizontal="right"/>
    </xf>
    <xf numFmtId="0" fontId="50" fillId="0" borderId="109" xfId="0" applyFont="1" applyBorder="1" applyAlignment="1">
      <alignment horizontal="center"/>
    </xf>
    <xf numFmtId="0" fontId="50" fillId="0" borderId="110" xfId="0" applyFont="1" applyBorder="1" applyAlignment="1">
      <alignment horizontal="center"/>
    </xf>
    <xf numFmtId="0" fontId="51" fillId="0" borderId="19" xfId="0" applyFont="1" applyBorder="1"/>
    <xf numFmtId="0" fontId="51" fillId="0" borderId="111" xfId="0" applyFont="1" applyBorder="1"/>
    <xf numFmtId="0" fontId="51" fillId="0" borderId="31" xfId="0" applyFont="1" applyBorder="1"/>
    <xf numFmtId="0" fontId="51" fillId="0" borderId="111" xfId="0" applyFont="1" applyBorder="1" applyAlignment="1">
      <alignment horizontal="right"/>
    </xf>
    <xf numFmtId="0" fontId="50" fillId="0" borderId="112" xfId="0" applyFont="1" applyBorder="1" applyAlignment="1">
      <alignment horizontal="center"/>
    </xf>
    <xf numFmtId="0" fontId="50" fillId="0" borderId="34" xfId="0" applyFont="1" applyBorder="1" applyAlignment="1">
      <alignment horizontal="center"/>
    </xf>
    <xf numFmtId="0" fontId="51" fillId="0" borderId="113" xfId="0" applyFont="1" applyBorder="1"/>
    <xf numFmtId="4" fontId="51" fillId="0" borderId="19" xfId="0" applyNumberFormat="1" applyFont="1" applyBorder="1"/>
    <xf numFmtId="4" fontId="51" fillId="0" borderId="31" xfId="0" applyNumberFormat="1" applyFont="1" applyBorder="1"/>
    <xf numFmtId="0" fontId="50" fillId="0" borderId="114" xfId="0" applyFont="1" applyBorder="1" applyAlignment="1">
      <alignment horizontal="center"/>
    </xf>
    <xf numFmtId="0" fontId="50" fillId="0" borderId="115" xfId="0" applyFont="1" applyBorder="1" applyAlignment="1">
      <alignment horizontal="center"/>
    </xf>
    <xf numFmtId="0" fontId="50" fillId="0" borderId="116" xfId="0" applyFont="1" applyBorder="1" applyAlignment="1">
      <alignment horizontal="center"/>
    </xf>
    <xf numFmtId="0" fontId="51" fillId="0" borderId="117" xfId="0" applyFont="1" applyBorder="1"/>
    <xf numFmtId="0" fontId="52" fillId="0" borderId="118" xfId="0" applyFont="1" applyBorder="1"/>
    <xf numFmtId="3" fontId="69" fillId="0" borderId="68" xfId="0" applyNumberFormat="1" applyFont="1" applyBorder="1"/>
    <xf numFmtId="0" fontId="52" fillId="0" borderId="119" xfId="0" applyFont="1" applyBorder="1"/>
    <xf numFmtId="0" fontId="52" fillId="0" borderId="120" xfId="0" applyFont="1" applyBorder="1"/>
    <xf numFmtId="0" fontId="65" fillId="0" borderId="0" xfId="0" applyFont="1" applyFill="1" applyAlignment="1">
      <alignment horizontal="center"/>
    </xf>
    <xf numFmtId="3" fontId="2" fillId="0" borderId="0" xfId="3" applyNumberFormat="1" applyFont="1" applyFill="1" applyBorder="1" applyAlignment="1">
      <alignment horizontal="center"/>
    </xf>
    <xf numFmtId="9" fontId="19" fillId="8" borderId="19" xfId="1" applyNumberFormat="1" applyFill="1" applyBorder="1" applyAlignment="1" applyProtection="1">
      <alignment horizontal="center"/>
    </xf>
    <xf numFmtId="0" fontId="19" fillId="2" borderId="19" xfId="1" applyFill="1" applyBorder="1" applyAlignment="1" applyProtection="1">
      <alignment horizontal="center"/>
    </xf>
    <xf numFmtId="9" fontId="19" fillId="2" borderId="19" xfId="1" applyNumberFormat="1" applyFill="1" applyBorder="1" applyAlignment="1" applyProtection="1">
      <alignment horizontal="center"/>
    </xf>
    <xf numFmtId="9" fontId="19" fillId="2" borderId="34" xfId="1" applyNumberFormat="1" applyFill="1" applyBorder="1" applyAlignment="1" applyProtection="1">
      <alignment horizontal="center"/>
    </xf>
    <xf numFmtId="9" fontId="19" fillId="7" borderId="19" xfId="1" applyNumberFormat="1" applyFill="1" applyBorder="1" applyAlignment="1" applyProtection="1">
      <alignment horizontal="center"/>
    </xf>
    <xf numFmtId="0" fontId="4" fillId="0" borderId="0" xfId="0" applyFont="1" applyAlignment="1">
      <alignment horizontal="left"/>
    </xf>
    <xf numFmtId="0" fontId="19" fillId="8" borderId="0" xfId="1" applyFill="1" applyAlignment="1" applyProtection="1">
      <alignment horizontal="center"/>
    </xf>
    <xf numFmtId="0" fontId="19" fillId="0" borderId="0" xfId="1" applyFill="1" applyAlignment="1" applyProtection="1">
      <alignment horizontal="center"/>
    </xf>
    <xf numFmtId="0" fontId="19" fillId="4" borderId="0" xfId="1" applyFill="1" applyBorder="1" applyAlignment="1" applyProtection="1"/>
    <xf numFmtId="0" fontId="71" fillId="13" borderId="0" xfId="0" applyFont="1" applyFill="1" applyAlignment="1">
      <alignment horizontal="center" wrapText="1"/>
    </xf>
    <xf numFmtId="0" fontId="71" fillId="13" borderId="0" xfId="0" applyFont="1" applyFill="1" applyAlignment="1">
      <alignment vertical="center"/>
    </xf>
    <xf numFmtId="9" fontId="73" fillId="0" borderId="121" xfId="0" applyNumberFormat="1" applyFont="1" applyBorder="1" applyAlignment="1">
      <alignment horizontal="center" vertical="center"/>
    </xf>
    <xf numFmtId="0" fontId="75" fillId="14" borderId="0" xfId="0" applyFont="1" applyFill="1" applyAlignment="1">
      <alignment vertical="center"/>
    </xf>
    <xf numFmtId="0" fontId="0" fillId="14" borderId="0" xfId="0" applyFill="1"/>
    <xf numFmtId="0" fontId="72" fillId="0" borderId="0" xfId="0" applyFont="1" applyFill="1" applyBorder="1" applyAlignment="1">
      <alignment horizontal="center" vertical="center"/>
    </xf>
    <xf numFmtId="201" fontId="0" fillId="0" borderId="0" xfId="0" applyNumberFormat="1" applyFill="1" applyBorder="1" applyAlignment="1">
      <alignment vertical="center"/>
    </xf>
    <xf numFmtId="0" fontId="0" fillId="0" borderId="0" xfId="0" applyFill="1" applyBorder="1" applyAlignment="1">
      <alignment horizontal="right" vertical="center"/>
    </xf>
    <xf numFmtId="0" fontId="0" fillId="0" borderId="122" xfId="0" applyBorder="1"/>
    <xf numFmtId="0" fontId="0" fillId="0" borderId="123" xfId="0" applyBorder="1"/>
    <xf numFmtId="0" fontId="0" fillId="0" borderId="124" xfId="0" applyBorder="1"/>
    <xf numFmtId="0" fontId="0" fillId="0" borderId="125" xfId="0" applyBorder="1"/>
    <xf numFmtId="0" fontId="0" fillId="0" borderId="126" xfId="0" applyBorder="1"/>
    <xf numFmtId="0" fontId="0" fillId="0" borderId="127" xfId="0" applyBorder="1"/>
    <xf numFmtId="0" fontId="0" fillId="0" borderId="128" xfId="0" applyBorder="1"/>
    <xf numFmtId="0" fontId="0" fillId="0" borderId="129" xfId="0" applyBorder="1"/>
    <xf numFmtId="0" fontId="70" fillId="0" borderId="0" xfId="0" applyFont="1" applyBorder="1" applyAlignment="1">
      <alignment horizontal="center"/>
    </xf>
    <xf numFmtId="0" fontId="70" fillId="0" borderId="0" xfId="0" applyFont="1" applyBorder="1" applyAlignment="1"/>
    <xf numFmtId="3" fontId="70" fillId="0" borderId="130" xfId="0" applyNumberFormat="1" applyFont="1" applyBorder="1" applyAlignment="1">
      <alignment horizontal="center"/>
    </xf>
    <xf numFmtId="0" fontId="50" fillId="0" borderId="122" xfId="0" applyFont="1" applyBorder="1"/>
    <xf numFmtId="0" fontId="50" fillId="13" borderId="122" xfId="0" applyFont="1" applyFill="1" applyBorder="1" applyAlignment="1">
      <alignment horizontal="center"/>
    </xf>
    <xf numFmtId="0" fontId="50" fillId="13" borderId="0" xfId="0" applyFont="1" applyFill="1" applyAlignment="1">
      <alignment horizontal="center"/>
    </xf>
    <xf numFmtId="0" fontId="76" fillId="0" borderId="0" xfId="0" applyFont="1"/>
    <xf numFmtId="9" fontId="4" fillId="0" borderId="0" xfId="0" applyNumberFormat="1" applyFont="1" applyAlignment="1">
      <alignment horizontal="center"/>
    </xf>
    <xf numFmtId="3" fontId="67" fillId="0" borderId="0" xfId="0" applyNumberFormat="1" applyFont="1"/>
    <xf numFmtId="3" fontId="67" fillId="0" borderId="0" xfId="0" applyNumberFormat="1" applyFont="1" applyAlignment="1">
      <alignment horizontal="center"/>
    </xf>
    <xf numFmtId="0" fontId="1" fillId="2" borderId="0" xfId="0" applyFont="1" applyFill="1"/>
    <xf numFmtId="2" fontId="0" fillId="9" borderId="0" xfId="0" applyNumberFormat="1" applyFill="1"/>
    <xf numFmtId="0" fontId="0" fillId="2" borderId="2" xfId="0" applyFill="1" applyBorder="1" applyAlignment="1">
      <alignment horizontal="left" wrapText="1"/>
    </xf>
    <xf numFmtId="0" fontId="67" fillId="0" borderId="0" xfId="0" applyFont="1" applyFill="1" applyBorder="1" applyAlignment="1">
      <alignment horizontal="center" vertical="center"/>
    </xf>
    <xf numFmtId="193" fontId="0" fillId="0" borderId="34" xfId="0" applyNumberFormat="1" applyFill="1" applyBorder="1"/>
    <xf numFmtId="0" fontId="0" fillId="0" borderId="11" xfId="0" applyBorder="1"/>
    <xf numFmtId="0" fontId="0" fillId="0" borderId="117" xfId="0" applyBorder="1"/>
    <xf numFmtId="0" fontId="69" fillId="0" borderId="109" xfId="0" applyFont="1" applyBorder="1" applyAlignment="1">
      <alignment horizontal="center"/>
    </xf>
    <xf numFmtId="0" fontId="69" fillId="0" borderId="131" xfId="0" applyFont="1" applyBorder="1" applyAlignment="1">
      <alignment horizontal="center"/>
    </xf>
    <xf numFmtId="0" fontId="69" fillId="0" borderId="132" xfId="0" applyFont="1" applyBorder="1" applyAlignment="1">
      <alignment horizontal="center"/>
    </xf>
    <xf numFmtId="0" fontId="0" fillId="0" borderId="19" xfId="0" applyFill="1" applyBorder="1"/>
    <xf numFmtId="0" fontId="0" fillId="0" borderId="113" xfId="0" applyBorder="1"/>
    <xf numFmtId="3" fontId="52" fillId="0" borderId="133" xfId="0" applyNumberFormat="1" applyFont="1" applyBorder="1"/>
    <xf numFmtId="3" fontId="77" fillId="2" borderId="0" xfId="0" applyNumberFormat="1" applyFont="1" applyFill="1"/>
    <xf numFmtId="0" fontId="77" fillId="2" borderId="0" xfId="0" applyFont="1" applyFill="1"/>
    <xf numFmtId="0" fontId="10" fillId="3" borderId="0" xfId="0" applyFont="1" applyFill="1" applyAlignment="1">
      <alignment horizontal="center" vertical="center"/>
    </xf>
    <xf numFmtId="0" fontId="0" fillId="2" borderId="16" xfId="0" applyFill="1" applyBorder="1"/>
    <xf numFmtId="0" fontId="0" fillId="2" borderId="29" xfId="0" applyFill="1" applyBorder="1"/>
    <xf numFmtId="0" fontId="0" fillId="2" borderId="134" xfId="0" applyFill="1" applyBorder="1"/>
    <xf numFmtId="0" fontId="64" fillId="15" borderId="0" xfId="0" applyFont="1" applyFill="1" applyBorder="1" applyAlignment="1"/>
    <xf numFmtId="0" fontId="78" fillId="0" borderId="0" xfId="0" applyFont="1" applyBorder="1"/>
    <xf numFmtId="0" fontId="64" fillId="15" borderId="0" xfId="0" applyFont="1" applyFill="1"/>
    <xf numFmtId="3" fontId="64" fillId="15" borderId="0" xfId="0" applyNumberFormat="1" applyFont="1" applyFill="1"/>
    <xf numFmtId="205" fontId="0" fillId="2" borderId="0" xfId="2" applyNumberFormat="1" applyFont="1" applyFill="1" applyBorder="1"/>
    <xf numFmtId="205" fontId="0" fillId="2" borderId="3" xfId="2" applyNumberFormat="1" applyFont="1" applyFill="1" applyBorder="1"/>
    <xf numFmtId="9" fontId="17" fillId="0" borderId="0" xfId="0" applyNumberFormat="1" applyFont="1" applyBorder="1" applyAlignment="1">
      <alignment horizontal="center" vertical="center"/>
    </xf>
    <xf numFmtId="0" fontId="64" fillId="0" borderId="0" xfId="0" applyFont="1" applyFill="1"/>
    <xf numFmtId="3" fontId="64" fillId="0" borderId="0" xfId="0" applyNumberFormat="1" applyFont="1" applyFill="1"/>
    <xf numFmtId="0" fontId="52" fillId="2" borderId="62" xfId="0" applyFont="1" applyFill="1" applyBorder="1"/>
    <xf numFmtId="0" fontId="0" fillId="0" borderId="135" xfId="0" applyBorder="1"/>
    <xf numFmtId="3" fontId="0" fillId="0" borderId="135" xfId="0" applyNumberFormat="1" applyBorder="1"/>
    <xf numFmtId="3" fontId="0" fillId="0" borderId="63" xfId="0" applyNumberFormat="1" applyBorder="1"/>
    <xf numFmtId="3" fontId="52" fillId="0" borderId="62" xfId="0" applyNumberFormat="1" applyFont="1" applyBorder="1"/>
    <xf numFmtId="3" fontId="52" fillId="0" borderId="135" xfId="0" applyNumberFormat="1" applyFont="1" applyBorder="1"/>
    <xf numFmtId="3" fontId="52" fillId="0" borderId="63" xfId="0" applyNumberFormat="1" applyFont="1" applyBorder="1"/>
    <xf numFmtId="0" fontId="79" fillId="2" borderId="22" xfId="0" applyFont="1" applyFill="1" applyBorder="1" applyAlignment="1">
      <alignment horizontal="center"/>
    </xf>
    <xf numFmtId="0" fontId="57" fillId="0" borderId="0" xfId="0" applyFont="1"/>
    <xf numFmtId="1" fontId="52" fillId="2" borderId="33" xfId="0" applyNumberFormat="1" applyFont="1" applyFill="1" applyBorder="1"/>
    <xf numFmtId="1" fontId="52" fillId="2" borderId="83" xfId="0" applyNumberFormat="1" applyFont="1" applyFill="1" applyBorder="1"/>
    <xf numFmtId="0" fontId="0" fillId="2" borderId="12" xfId="0" applyFill="1" applyBorder="1" applyAlignment="1">
      <alignment horizontal="left"/>
    </xf>
    <xf numFmtId="0" fontId="13" fillId="2" borderId="35" xfId="0" applyFont="1" applyFill="1" applyBorder="1" applyAlignment="1">
      <alignment horizontal="center"/>
    </xf>
    <xf numFmtId="0" fontId="13" fillId="2" borderId="37" xfId="0" applyFont="1" applyFill="1" applyBorder="1" applyAlignment="1">
      <alignment horizontal="center"/>
    </xf>
    <xf numFmtId="0" fontId="0" fillId="2" borderId="136" xfId="0" applyFill="1" applyBorder="1" applyAlignment="1">
      <alignment horizontal="center"/>
    </xf>
    <xf numFmtId="0" fontId="0" fillId="2" borderId="87" xfId="0" applyFill="1" applyBorder="1" applyAlignment="1">
      <alignment horizontal="center"/>
    </xf>
    <xf numFmtId="0" fontId="0" fillId="2" borderId="136" xfId="0" applyFill="1" applyBorder="1"/>
    <xf numFmtId="0" fontId="0" fillId="2" borderId="37" xfId="0" applyFill="1" applyBorder="1"/>
    <xf numFmtId="0" fontId="4" fillId="2" borderId="22" xfId="0" applyFont="1" applyFill="1" applyBorder="1" applyAlignment="1">
      <alignment horizontal="left"/>
    </xf>
    <xf numFmtId="0" fontId="11" fillId="16" borderId="0" xfId="0" applyFont="1" applyFill="1"/>
    <xf numFmtId="0" fontId="0" fillId="0" borderId="137" xfId="0" applyBorder="1"/>
    <xf numFmtId="0" fontId="0" fillId="0" borderId="138" xfId="0" applyBorder="1"/>
    <xf numFmtId="0" fontId="33" fillId="0" borderId="123" xfId="0" applyFont="1" applyBorder="1" applyAlignment="1">
      <alignment horizontal="center"/>
    </xf>
    <xf numFmtId="9" fontId="33" fillId="0" borderId="123" xfId="0" applyNumberFormat="1" applyFont="1" applyBorder="1" applyAlignment="1">
      <alignment horizontal="center"/>
    </xf>
    <xf numFmtId="0" fontId="60" fillId="10" borderId="139" xfId="0" applyFont="1" applyFill="1" applyBorder="1"/>
    <xf numFmtId="0" fontId="82" fillId="10" borderId="140" xfId="0" applyFont="1" applyFill="1" applyBorder="1"/>
    <xf numFmtId="0" fontId="16" fillId="10" borderId="141" xfId="0" applyFont="1" applyFill="1" applyBorder="1"/>
    <xf numFmtId="165" fontId="73" fillId="14" borderId="0" xfId="0" applyNumberFormat="1" applyFont="1" applyFill="1" applyAlignment="1">
      <alignment horizontal="center"/>
    </xf>
    <xf numFmtId="0" fontId="4" fillId="7" borderId="0" xfId="0" applyFont="1" applyFill="1" applyAlignment="1">
      <alignment horizontal="center"/>
    </xf>
    <xf numFmtId="3" fontId="73" fillId="0" borderId="121" xfId="0" applyNumberFormat="1" applyFont="1" applyBorder="1"/>
    <xf numFmtId="10" fontId="4" fillId="2" borderId="142" xfId="0" applyNumberFormat="1" applyFont="1" applyFill="1" applyBorder="1" applyAlignment="1">
      <alignment horizontal="center" vertical="center" wrapText="1"/>
    </xf>
    <xf numFmtId="9" fontId="4" fillId="2" borderId="3" xfId="0" applyNumberFormat="1" applyFont="1" applyFill="1" applyBorder="1" applyAlignment="1">
      <alignment horizontal="left"/>
    </xf>
    <xf numFmtId="9" fontId="4" fillId="2" borderId="84" xfId="0" applyNumberFormat="1" applyFont="1" applyFill="1" applyBorder="1" applyAlignment="1">
      <alignment horizontal="left"/>
    </xf>
    <xf numFmtId="3" fontId="17" fillId="2" borderId="71" xfId="0" applyNumberFormat="1" applyFont="1" applyFill="1" applyBorder="1"/>
    <xf numFmtId="0" fontId="17" fillId="2" borderId="1" xfId="0" applyFont="1" applyFill="1" applyBorder="1"/>
    <xf numFmtId="0" fontId="4" fillId="0" borderId="0" xfId="0" applyFont="1" applyFill="1" applyBorder="1" applyAlignment="1">
      <alignment horizontal="center" vertical="center" wrapText="1"/>
    </xf>
    <xf numFmtId="9" fontId="4" fillId="0" borderId="143" xfId="0" applyNumberFormat="1" applyFont="1" applyFill="1" applyBorder="1" applyAlignment="1">
      <alignment horizontal="center" vertical="center"/>
    </xf>
    <xf numFmtId="9" fontId="4" fillId="2" borderId="71" xfId="0" applyNumberFormat="1" applyFont="1" applyFill="1" applyBorder="1" applyAlignment="1">
      <alignment horizontal="center" vertical="center"/>
    </xf>
    <xf numFmtId="9" fontId="4" fillId="2" borderId="71" xfId="0" applyNumberFormat="1" applyFont="1" applyFill="1" applyBorder="1" applyAlignment="1">
      <alignment horizontal="center"/>
    </xf>
    <xf numFmtId="3" fontId="84" fillId="17" borderId="2" xfId="0" applyNumberFormat="1" applyFont="1" applyFill="1" applyBorder="1" applyAlignment="1">
      <alignment horizontal="center"/>
    </xf>
    <xf numFmtId="3" fontId="84" fillId="17" borderId="0" xfId="0" applyNumberFormat="1" applyFont="1" applyFill="1" applyBorder="1" applyAlignment="1">
      <alignment horizontal="center"/>
    </xf>
    <xf numFmtId="3" fontId="84" fillId="17" borderId="2" xfId="0" applyNumberFormat="1" applyFont="1" applyFill="1" applyBorder="1" applyAlignment="1">
      <alignment horizontal="center" vertical="center"/>
    </xf>
    <xf numFmtId="3" fontId="84" fillId="17" borderId="71" xfId="0" applyNumberFormat="1" applyFont="1" applyFill="1" applyBorder="1" applyAlignment="1">
      <alignment horizontal="center" vertical="center"/>
    </xf>
    <xf numFmtId="0" fontId="50" fillId="0" borderId="0" xfId="0" applyFont="1"/>
    <xf numFmtId="3" fontId="84" fillId="17" borderId="61" xfId="0" applyNumberFormat="1" applyFont="1" applyFill="1" applyBorder="1"/>
    <xf numFmtId="3" fontId="84" fillId="17" borderId="1" xfId="3" applyNumberFormat="1" applyFont="1" applyFill="1" applyBorder="1" applyAlignment="1">
      <alignment horizontal="right"/>
    </xf>
    <xf numFmtId="3" fontId="84" fillId="17" borderId="80" xfId="3" applyNumberFormat="1" applyFont="1" applyFill="1" applyBorder="1" applyAlignment="1">
      <alignment horizontal="right"/>
    </xf>
    <xf numFmtId="9" fontId="5" fillId="2" borderId="61" xfId="0" applyNumberFormat="1" applyFont="1" applyFill="1" applyBorder="1" applyAlignment="1">
      <alignment horizontal="center"/>
    </xf>
    <xf numFmtId="9" fontId="5" fillId="2" borderId="2" xfId="0" applyNumberFormat="1" applyFont="1" applyFill="1" applyBorder="1" applyAlignment="1">
      <alignment horizontal="center"/>
    </xf>
    <xf numFmtId="9" fontId="5" fillId="2" borderId="71" xfId="0" applyNumberFormat="1" applyFont="1" applyFill="1" applyBorder="1" applyAlignment="1">
      <alignment horizontal="center"/>
    </xf>
    <xf numFmtId="10" fontId="4" fillId="2" borderId="1" xfId="0" applyNumberFormat="1" applyFont="1" applyFill="1" applyBorder="1" applyAlignment="1">
      <alignment horizontal="center"/>
    </xf>
    <xf numFmtId="10" fontId="4" fillId="2" borderId="1" xfId="0" applyNumberFormat="1" applyFont="1" applyFill="1" applyBorder="1" applyAlignment="1">
      <alignment horizontal="right"/>
    </xf>
    <xf numFmtId="10" fontId="4" fillId="2" borderId="80" xfId="0" applyNumberFormat="1" applyFont="1" applyFill="1" applyBorder="1" applyAlignment="1">
      <alignment horizontal="center"/>
    </xf>
    <xf numFmtId="10" fontId="4" fillId="2" borderId="80" xfId="0" applyNumberFormat="1" applyFont="1" applyFill="1" applyBorder="1" applyAlignment="1">
      <alignment horizontal="right"/>
    </xf>
    <xf numFmtId="0" fontId="0" fillId="2" borderId="84" xfId="0" applyFill="1" applyBorder="1"/>
    <xf numFmtId="10" fontId="5" fillId="2" borderId="2" xfId="0" applyNumberFormat="1" applyFont="1" applyFill="1" applyBorder="1" applyAlignment="1">
      <alignment horizontal="center"/>
    </xf>
    <xf numFmtId="10" fontId="5" fillId="2" borderId="71" xfId="0" applyNumberFormat="1" applyFont="1" applyFill="1" applyBorder="1" applyAlignment="1">
      <alignment horizontal="center"/>
    </xf>
    <xf numFmtId="3" fontId="84" fillId="17" borderId="80" xfId="3" applyNumberFormat="1" applyFont="1" applyFill="1" applyBorder="1" applyAlignment="1">
      <alignment horizontal="center"/>
    </xf>
    <xf numFmtId="3" fontId="84" fillId="17" borderId="80" xfId="3" applyNumberFormat="1" applyFont="1" applyFill="1" applyBorder="1" applyAlignment="1">
      <alignment horizontal="center" vertical="center"/>
    </xf>
    <xf numFmtId="3" fontId="0" fillId="2" borderId="64" xfId="0" applyNumberFormat="1" applyFill="1" applyBorder="1" applyAlignment="1">
      <alignment vertical="center"/>
    </xf>
    <xf numFmtId="3" fontId="84" fillId="17" borderId="32" xfId="3" applyNumberFormat="1" applyFont="1" applyFill="1" applyBorder="1" applyAlignment="1">
      <alignment horizontal="center"/>
    </xf>
    <xf numFmtId="3" fontId="84" fillId="17" borderId="0" xfId="3" applyNumberFormat="1" applyFont="1" applyFill="1" applyBorder="1" applyAlignment="1">
      <alignment horizontal="center"/>
    </xf>
    <xf numFmtId="3" fontId="84" fillId="17" borderId="144" xfId="3" applyNumberFormat="1" applyFont="1" applyFill="1" applyBorder="1" applyAlignment="1">
      <alignment horizontal="center"/>
    </xf>
    <xf numFmtId="188" fontId="5" fillId="2" borderId="61" xfId="0" applyNumberFormat="1" applyFont="1" applyFill="1" applyBorder="1" applyAlignment="1">
      <alignment horizontal="center"/>
    </xf>
    <xf numFmtId="188" fontId="5" fillId="2" borderId="2" xfId="0" applyNumberFormat="1" applyFont="1" applyFill="1" applyBorder="1" applyAlignment="1">
      <alignment horizontal="center"/>
    </xf>
    <xf numFmtId="188" fontId="5" fillId="2" borderId="71" xfId="0" applyNumberFormat="1" applyFont="1" applyFill="1" applyBorder="1" applyAlignment="1">
      <alignment horizontal="center"/>
    </xf>
    <xf numFmtId="3" fontId="84" fillId="17" borderId="145" xfId="3" applyNumberFormat="1" applyFont="1" applyFill="1" applyBorder="1" applyAlignment="1">
      <alignment horizontal="center"/>
    </xf>
    <xf numFmtId="3" fontId="84" fillId="17" borderId="60" xfId="3" applyNumberFormat="1" applyFont="1" applyFill="1" applyBorder="1" applyAlignment="1">
      <alignment horizontal="center"/>
    </xf>
    <xf numFmtId="3" fontId="84" fillId="17" borderId="1" xfId="3" applyNumberFormat="1" applyFont="1" applyFill="1" applyBorder="1" applyAlignment="1">
      <alignment horizontal="center"/>
    </xf>
    <xf numFmtId="0" fontId="84" fillId="17" borderId="80" xfId="0" applyFont="1" applyFill="1" applyBorder="1" applyAlignment="1">
      <alignment horizontal="center" vertical="center"/>
    </xf>
    <xf numFmtId="0" fontId="0" fillId="2" borderId="4" xfId="0" applyFill="1" applyBorder="1" applyAlignment="1">
      <alignment horizontal="center" vertical="center"/>
    </xf>
    <xf numFmtId="3" fontId="0" fillId="2" borderId="4" xfId="0" applyNumberFormat="1" applyFill="1" applyBorder="1" applyAlignment="1">
      <alignment horizontal="center" vertical="center"/>
    </xf>
    <xf numFmtId="3" fontId="0" fillId="2" borderId="84" xfId="0" applyNumberFormat="1" applyFill="1" applyBorder="1" applyAlignment="1">
      <alignment horizontal="center" vertical="center"/>
    </xf>
    <xf numFmtId="9" fontId="84" fillId="17" borderId="0" xfId="0" applyNumberFormat="1" applyFont="1" applyFill="1" applyBorder="1"/>
    <xf numFmtId="9" fontId="84" fillId="17" borderId="3" xfId="0" applyNumberFormat="1" applyFont="1" applyFill="1" applyBorder="1"/>
    <xf numFmtId="9" fontId="86" fillId="17" borderId="0" xfId="0" applyNumberFormat="1" applyFont="1" applyFill="1" applyBorder="1"/>
    <xf numFmtId="9" fontId="86" fillId="17" borderId="3" xfId="0" applyNumberFormat="1" applyFont="1" applyFill="1" applyBorder="1"/>
    <xf numFmtId="9" fontId="86" fillId="17" borderId="33" xfId="5" applyFont="1" applyFill="1" applyBorder="1"/>
    <xf numFmtId="9" fontId="86" fillId="17" borderId="0" xfId="5" applyFont="1" applyFill="1" applyBorder="1"/>
    <xf numFmtId="9" fontId="86" fillId="17" borderId="83" xfId="5" applyFont="1" applyFill="1" applyBorder="1"/>
    <xf numFmtId="9" fontId="84" fillId="17" borderId="146" xfId="0" applyNumberFormat="1" applyFont="1" applyFill="1" applyBorder="1" applyAlignment="1">
      <alignment horizontal="center"/>
    </xf>
    <xf numFmtId="9" fontId="84" fillId="17" borderId="3" xfId="0" applyNumberFormat="1" applyFont="1" applyFill="1" applyBorder="1" applyAlignment="1">
      <alignment horizontal="center"/>
    </xf>
    <xf numFmtId="10" fontId="84" fillId="17" borderId="84" xfId="0" applyNumberFormat="1" applyFont="1" applyFill="1" applyBorder="1" applyAlignment="1">
      <alignment horizontal="center"/>
    </xf>
    <xf numFmtId="0" fontId="84" fillId="2" borderId="32" xfId="0" applyFont="1" applyFill="1" applyBorder="1" applyAlignment="1">
      <alignment horizontal="center"/>
    </xf>
    <xf numFmtId="0" fontId="84" fillId="2" borderId="0" xfId="0" applyFont="1" applyFill="1" applyBorder="1" applyAlignment="1">
      <alignment horizontal="center"/>
    </xf>
    <xf numFmtId="0" fontId="84" fillId="2" borderId="4" xfId="0" applyFont="1" applyFill="1" applyBorder="1" applyAlignment="1">
      <alignment horizontal="center"/>
    </xf>
    <xf numFmtId="0" fontId="52" fillId="2" borderId="32" xfId="0" applyFont="1" applyFill="1" applyBorder="1"/>
    <xf numFmtId="0" fontId="84" fillId="17" borderId="11" xfId="0" applyFont="1" applyFill="1" applyBorder="1" applyAlignment="1">
      <alignment horizontal="center"/>
    </xf>
    <xf numFmtId="3" fontId="84" fillId="17" borderId="21" xfId="0" applyNumberFormat="1" applyFont="1" applyFill="1" applyBorder="1" applyAlignment="1">
      <alignment horizontal="center"/>
    </xf>
    <xf numFmtId="0" fontId="84" fillId="17" borderId="147" xfId="0" applyFont="1" applyFill="1" applyBorder="1" applyAlignment="1">
      <alignment horizontal="center"/>
    </xf>
    <xf numFmtId="0" fontId="84" fillId="17" borderId="148" xfId="0" applyFont="1" applyFill="1" applyBorder="1" applyAlignment="1">
      <alignment horizontal="center"/>
    </xf>
    <xf numFmtId="0" fontId="83" fillId="17" borderId="149" xfId="0" applyFont="1" applyFill="1" applyBorder="1" applyAlignment="1">
      <alignment horizontal="center"/>
    </xf>
    <xf numFmtId="0" fontId="83" fillId="17" borderId="147" xfId="0" applyFont="1" applyFill="1" applyBorder="1" applyAlignment="1">
      <alignment horizontal="center"/>
    </xf>
    <xf numFmtId="0" fontId="83" fillId="17" borderId="148" xfId="0" applyFont="1" applyFill="1" applyBorder="1" applyAlignment="1">
      <alignment horizontal="center"/>
    </xf>
    <xf numFmtId="0" fontId="84" fillId="17" borderId="150" xfId="0" applyFont="1" applyFill="1" applyBorder="1" applyAlignment="1">
      <alignment horizontal="center"/>
    </xf>
    <xf numFmtId="0" fontId="84" fillId="17" borderId="0" xfId="0" applyFont="1" applyFill="1" applyBorder="1" applyAlignment="1">
      <alignment horizontal="center"/>
    </xf>
    <xf numFmtId="0" fontId="30" fillId="0" borderId="0" xfId="0" applyFont="1"/>
    <xf numFmtId="0" fontId="84" fillId="17" borderId="64" xfId="0" applyFont="1" applyFill="1" applyBorder="1" applyAlignment="1">
      <alignment horizontal="center"/>
    </xf>
    <xf numFmtId="0" fontId="51" fillId="0" borderId="0" xfId="0" applyFont="1" applyBorder="1" applyAlignment="1">
      <alignment horizontal="right"/>
    </xf>
    <xf numFmtId="3" fontId="83" fillId="17" borderId="0" xfId="0" applyNumberFormat="1" applyFont="1" applyFill="1" applyBorder="1"/>
    <xf numFmtId="3" fontId="84" fillId="17" borderId="0" xfId="0" applyNumberFormat="1" applyFont="1" applyFill="1" applyBorder="1" applyAlignment="1">
      <alignment horizontal="right"/>
    </xf>
    <xf numFmtId="3" fontId="84" fillId="17" borderId="0" xfId="0" applyNumberFormat="1" applyFont="1" applyFill="1" applyBorder="1"/>
    <xf numFmtId="188" fontId="84" fillId="17" borderId="0" xfId="0" applyNumberFormat="1" applyFont="1" applyFill="1" applyBorder="1"/>
    <xf numFmtId="188" fontId="84" fillId="17" borderId="3" xfId="0" applyNumberFormat="1" applyFont="1" applyFill="1" applyBorder="1"/>
    <xf numFmtId="0" fontId="0" fillId="2" borderId="151" xfId="0" applyFill="1" applyBorder="1"/>
    <xf numFmtId="0" fontId="87" fillId="2" borderId="0" xfId="0" applyFont="1" applyFill="1" applyBorder="1"/>
    <xf numFmtId="0" fontId="87" fillId="2" borderId="11" xfId="0" applyFont="1" applyFill="1" applyBorder="1"/>
    <xf numFmtId="0" fontId="50" fillId="2" borderId="10" xfId="0" applyFont="1" applyFill="1" applyBorder="1"/>
    <xf numFmtId="1" fontId="5" fillId="2" borderId="0" xfId="0" applyNumberFormat="1" applyFont="1" applyFill="1" applyAlignment="1">
      <alignment horizontal="right"/>
    </xf>
    <xf numFmtId="3" fontId="4" fillId="2" borderId="0" xfId="0" applyNumberFormat="1" applyFont="1" applyFill="1" applyAlignment="1">
      <alignment horizontal="right"/>
    </xf>
    <xf numFmtId="3" fontId="5" fillId="2" borderId="0" xfId="2" applyNumberFormat="1" applyFont="1" applyFill="1" applyBorder="1" applyAlignment="1">
      <alignment horizontal="right"/>
    </xf>
    <xf numFmtId="3" fontId="3" fillId="2" borderId="0" xfId="3" applyNumberFormat="1" applyFont="1" applyFill="1" applyBorder="1" applyAlignment="1">
      <alignment horizontal="left"/>
    </xf>
    <xf numFmtId="0" fontId="77" fillId="2" borderId="0" xfId="0" applyFont="1" applyFill="1" applyBorder="1"/>
    <xf numFmtId="3" fontId="83" fillId="17" borderId="0" xfId="0" applyNumberFormat="1" applyFont="1" applyFill="1"/>
    <xf numFmtId="10" fontId="84" fillId="0" borderId="130" xfId="0" applyNumberFormat="1" applyFont="1" applyBorder="1" applyAlignment="1">
      <alignment horizontal="center"/>
    </xf>
    <xf numFmtId="9" fontId="84" fillId="0" borderId="130" xfId="0" applyNumberFormat="1" applyFont="1" applyBorder="1" applyAlignment="1">
      <alignment horizontal="center"/>
    </xf>
    <xf numFmtId="10" fontId="84" fillId="0" borderId="121" xfId="5" applyNumberFormat="1" applyFont="1" applyBorder="1" applyAlignment="1">
      <alignment horizontal="center" vertical="center"/>
    </xf>
    <xf numFmtId="188" fontId="84" fillId="0" borderId="121" xfId="5" applyNumberFormat="1" applyFont="1" applyBorder="1" applyAlignment="1">
      <alignment horizontal="center" vertical="center"/>
    </xf>
    <xf numFmtId="3" fontId="84" fillId="0" borderId="152" xfId="0" applyNumberFormat="1" applyFont="1" applyBorder="1" applyAlignment="1">
      <alignment horizontal="center"/>
    </xf>
    <xf numFmtId="9" fontId="84" fillId="0" borderId="152" xfId="0" applyNumberFormat="1" applyFont="1" applyBorder="1" applyAlignment="1">
      <alignment horizontal="center"/>
    </xf>
    <xf numFmtId="9" fontId="92" fillId="0" borderId="130" xfId="0" applyNumberFormat="1" applyFont="1" applyBorder="1" applyAlignment="1">
      <alignment horizontal="center"/>
    </xf>
    <xf numFmtId="0" fontId="91" fillId="0" borderId="60" xfId="0" applyFont="1" applyBorder="1"/>
    <xf numFmtId="0" fontId="91" fillId="0" borderId="32" xfId="0" applyFont="1" applyBorder="1"/>
    <xf numFmtId="0" fontId="91" fillId="0" borderId="65" xfId="0" applyFont="1" applyBorder="1"/>
    <xf numFmtId="0" fontId="91" fillId="0" borderId="80" xfId="0" applyFont="1" applyBorder="1"/>
    <xf numFmtId="0" fontId="91" fillId="0" borderId="4" xfId="0" applyFont="1" applyBorder="1"/>
    <xf numFmtId="0" fontId="91" fillId="0" borderId="84" xfId="0" applyFont="1" applyBorder="1"/>
    <xf numFmtId="3" fontId="84" fillId="17" borderId="2" xfId="3" applyNumberFormat="1" applyFont="1" applyFill="1" applyBorder="1" applyAlignment="1">
      <alignment horizontal="right"/>
    </xf>
    <xf numFmtId="0" fontId="58" fillId="0" borderId="32" xfId="0" applyFont="1" applyBorder="1"/>
    <xf numFmtId="0" fontId="16" fillId="3" borderId="32" xfId="0" applyFont="1" applyFill="1" applyBorder="1" applyAlignment="1">
      <alignment horizontal="center"/>
    </xf>
    <xf numFmtId="0" fontId="0" fillId="18" borderId="0" xfId="0" applyFill="1"/>
    <xf numFmtId="0" fontId="0" fillId="18" borderId="4" xfId="0" applyFill="1" applyBorder="1"/>
    <xf numFmtId="0" fontId="94" fillId="18" borderId="0" xfId="0" applyFont="1" applyFill="1" applyAlignment="1">
      <alignment horizontal="right"/>
    </xf>
    <xf numFmtId="0" fontId="0" fillId="18" borderId="0" xfId="0" applyFill="1" applyAlignment="1">
      <alignment horizontal="right"/>
    </xf>
    <xf numFmtId="0" fontId="0" fillId="18" borderId="0" xfId="0" applyFill="1" applyAlignment="1">
      <alignment horizontal="left"/>
    </xf>
    <xf numFmtId="0" fontId="94" fillId="18" borderId="0" xfId="0" applyFont="1" applyFill="1" applyAlignment="1">
      <alignment horizontal="left"/>
    </xf>
    <xf numFmtId="0" fontId="94" fillId="18" borderId="0" xfId="0" applyFont="1" applyFill="1"/>
    <xf numFmtId="0" fontId="94" fillId="18" borderId="0" xfId="0" applyFont="1" applyFill="1" applyAlignment="1">
      <alignment vertical="top"/>
    </xf>
    <xf numFmtId="0" fontId="0" fillId="18" borderId="0" xfId="0" applyFill="1" applyAlignment="1">
      <alignment horizontal="left" vertical="justify" wrapText="1"/>
    </xf>
    <xf numFmtId="0" fontId="95" fillId="18" borderId="0" xfId="0" applyFont="1" applyFill="1"/>
    <xf numFmtId="0" fontId="96" fillId="18" borderId="0" xfId="0" applyFont="1" applyFill="1"/>
    <xf numFmtId="0" fontId="0" fillId="0" borderId="153" xfId="0" applyBorder="1"/>
    <xf numFmtId="0" fontId="75" fillId="0" borderId="0" xfId="0" applyFont="1" applyBorder="1" applyAlignment="1"/>
    <xf numFmtId="0" fontId="75" fillId="0" borderId="0" xfId="0" applyFont="1" applyBorder="1"/>
    <xf numFmtId="0" fontId="89" fillId="0" borderId="0" xfId="0" applyFont="1" applyBorder="1"/>
    <xf numFmtId="0" fontId="90" fillId="0" borderId="0" xfId="0" applyFont="1" applyBorder="1"/>
    <xf numFmtId="0" fontId="52" fillId="0" borderId="0" xfId="0" applyFont="1" applyBorder="1"/>
    <xf numFmtId="0" fontId="93" fillId="0" borderId="0" xfId="0" applyFont="1" applyBorder="1"/>
    <xf numFmtId="0" fontId="94" fillId="18" borderId="0" xfId="0" applyFont="1" applyFill="1" applyAlignment="1">
      <alignment horizontal="right" vertical="top"/>
    </xf>
    <xf numFmtId="0" fontId="97" fillId="2" borderId="0" xfId="0" applyFont="1" applyFill="1"/>
    <xf numFmtId="0" fontId="98" fillId="3" borderId="0" xfId="0" applyFont="1" applyFill="1" applyAlignment="1">
      <alignment horizontal="center"/>
    </xf>
    <xf numFmtId="0" fontId="99" fillId="2" borderId="0" xfId="0" applyFont="1" applyFill="1" applyBorder="1"/>
    <xf numFmtId="3" fontId="97" fillId="2" borderId="0" xfId="2" applyNumberFormat="1" applyFont="1" applyFill="1" applyBorder="1" applyAlignment="1">
      <alignment horizontal="left"/>
    </xf>
    <xf numFmtId="3" fontId="97" fillId="2" borderId="0" xfId="0" applyNumberFormat="1" applyFont="1" applyFill="1"/>
    <xf numFmtId="186" fontId="97" fillId="2" borderId="0" xfId="0" applyNumberFormat="1" applyFont="1" applyFill="1"/>
    <xf numFmtId="3" fontId="97" fillId="2" borderId="0" xfId="2" applyNumberFormat="1" applyFont="1" applyFill="1" applyBorder="1" applyAlignment="1">
      <alignment horizontal="left" indent="1"/>
    </xf>
    <xf numFmtId="0" fontId="97" fillId="2" borderId="0" xfId="2" applyNumberFormat="1" applyFont="1" applyFill="1" applyBorder="1" applyAlignment="1">
      <alignment horizontal="left" indent="1"/>
    </xf>
    <xf numFmtId="3" fontId="97" fillId="2" borderId="0" xfId="3" applyNumberFormat="1" applyFont="1" applyFill="1" applyBorder="1" applyAlignment="1">
      <alignment horizontal="left" indent="1"/>
    </xf>
    <xf numFmtId="3" fontId="97" fillId="2" borderId="0" xfId="4" applyNumberFormat="1" applyFont="1" applyFill="1" applyBorder="1" applyAlignment="1"/>
    <xf numFmtId="3" fontId="99" fillId="2" borderId="0" xfId="2" applyNumberFormat="1" applyFont="1" applyFill="1" applyBorder="1" applyAlignment="1">
      <alignment horizontal="left"/>
    </xf>
    <xf numFmtId="3" fontId="99" fillId="2" borderId="0" xfId="0" applyNumberFormat="1" applyFont="1" applyFill="1"/>
    <xf numFmtId="3" fontId="97" fillId="2" borderId="0" xfId="0" applyNumberFormat="1" applyFont="1" applyFill="1" applyAlignment="1">
      <alignment horizontal="right"/>
    </xf>
    <xf numFmtId="3" fontId="97" fillId="2" borderId="0" xfId="3" applyNumberFormat="1" applyFont="1" applyFill="1" applyBorder="1" applyAlignment="1">
      <alignment horizontal="right"/>
    </xf>
    <xf numFmtId="0" fontId="97" fillId="2" borderId="67" xfId="0" applyFont="1" applyFill="1" applyBorder="1"/>
    <xf numFmtId="186" fontId="97" fillId="2" borderId="0" xfId="3" applyNumberFormat="1" applyFont="1" applyFill="1" applyBorder="1" applyAlignment="1">
      <alignment horizontal="left" indent="1"/>
    </xf>
    <xf numFmtId="0" fontId="97" fillId="2" borderId="0" xfId="0" applyFont="1" applyFill="1" applyAlignment="1">
      <alignment horizontal="justify" vertical="top" wrapText="1"/>
    </xf>
    <xf numFmtId="3" fontId="97" fillId="2" borderId="0" xfId="0" applyNumberFormat="1" applyFont="1" applyFill="1" applyAlignment="1">
      <alignment horizontal="right" vertical="top" wrapText="1"/>
    </xf>
    <xf numFmtId="0" fontId="97" fillId="2" borderId="0" xfId="0" applyFont="1" applyFill="1" applyAlignment="1">
      <alignment horizontal="right" vertical="top" wrapText="1"/>
    </xf>
    <xf numFmtId="3" fontId="99" fillId="2" borderId="0" xfId="0" applyNumberFormat="1" applyFont="1" applyFill="1" applyAlignment="1">
      <alignment horizontal="right" vertical="top" wrapText="1"/>
    </xf>
    <xf numFmtId="0" fontId="100" fillId="2" borderId="0" xfId="0" applyFont="1" applyFill="1"/>
    <xf numFmtId="193" fontId="97" fillId="2" borderId="0" xfId="0" applyNumberFormat="1" applyFont="1" applyFill="1" applyAlignment="1">
      <alignment horizontal="right" vertical="top" wrapText="1"/>
    </xf>
    <xf numFmtId="0" fontId="97" fillId="2" borderId="154" xfId="0" applyFont="1" applyFill="1" applyBorder="1"/>
    <xf numFmtId="0" fontId="99" fillId="2" borderId="0" xfId="0" applyFont="1" applyFill="1"/>
    <xf numFmtId="10" fontId="4" fillId="0" borderId="121" xfId="5" applyNumberFormat="1" applyFont="1" applyBorder="1" applyAlignment="1">
      <alignment horizontal="center"/>
    </xf>
    <xf numFmtId="0" fontId="35" fillId="9" borderId="0" xfId="0" applyFont="1" applyFill="1" applyAlignment="1">
      <alignment horizontal="center"/>
    </xf>
    <xf numFmtId="0" fontId="19" fillId="0" borderId="0" xfId="1" applyAlignment="1" applyProtection="1"/>
    <xf numFmtId="0" fontId="88" fillId="15" borderId="0" xfId="0" applyFont="1" applyFill="1" applyBorder="1" applyAlignment="1">
      <alignment horizontal="center"/>
    </xf>
    <xf numFmtId="0" fontId="0" fillId="18" borderId="0" xfId="0" applyFill="1" applyAlignment="1">
      <alignment horizontal="left"/>
    </xf>
    <xf numFmtId="0" fontId="0" fillId="18" borderId="0" xfId="0" applyFill="1" applyAlignment="1">
      <alignment horizontal="left" vertical="top" wrapText="1"/>
    </xf>
    <xf numFmtId="0" fontId="0" fillId="18" borderId="0" xfId="0" applyFill="1" applyAlignment="1">
      <alignment horizontal="left" vertical="justify" wrapText="1"/>
    </xf>
    <xf numFmtId="0" fontId="74" fillId="19" borderId="60" xfId="0" applyFont="1" applyFill="1" applyBorder="1" applyAlignment="1">
      <alignment horizontal="center"/>
    </xf>
    <xf numFmtId="0" fontId="74" fillId="19" borderId="32" xfId="0" applyFont="1" applyFill="1" applyBorder="1" applyAlignment="1">
      <alignment horizontal="center"/>
    </xf>
    <xf numFmtId="0" fontId="74" fillId="19" borderId="65" xfId="0" applyFont="1" applyFill="1" applyBorder="1" applyAlignment="1">
      <alignment horizontal="center"/>
    </xf>
    <xf numFmtId="0" fontId="74" fillId="19" borderId="80" xfId="0" applyFont="1" applyFill="1" applyBorder="1" applyAlignment="1">
      <alignment horizontal="left"/>
    </xf>
    <xf numFmtId="0" fontId="74" fillId="19" borderId="4" xfId="0" applyFont="1" applyFill="1" applyBorder="1" applyAlignment="1">
      <alignment horizontal="left"/>
    </xf>
    <xf numFmtId="0" fontId="74" fillId="19" borderId="84" xfId="0" applyFont="1" applyFill="1" applyBorder="1" applyAlignment="1">
      <alignment horizontal="left"/>
    </xf>
    <xf numFmtId="0" fontId="29" fillId="2" borderId="1" xfId="0" applyFont="1" applyFill="1" applyBorder="1" applyAlignment="1">
      <alignment horizontal="center"/>
    </xf>
    <xf numFmtId="0" fontId="29" fillId="0" borderId="19" xfId="0" applyFont="1" applyBorder="1" applyAlignment="1">
      <alignment horizontal="center"/>
    </xf>
    <xf numFmtId="0" fontId="0" fillId="0" borderId="19" xfId="0" applyBorder="1" applyAlignment="1">
      <alignment horizontal="center"/>
    </xf>
    <xf numFmtId="0" fontId="87" fillId="2" borderId="10" xfId="0" applyFont="1" applyFill="1" applyBorder="1" applyAlignment="1"/>
    <xf numFmtId="0" fontId="87" fillId="2" borderId="0" xfId="0" applyFont="1" applyFill="1" applyBorder="1" applyAlignment="1"/>
    <xf numFmtId="0" fontId="87" fillId="2" borderId="11" xfId="0" applyFont="1" applyFill="1" applyBorder="1" applyAlignment="1"/>
    <xf numFmtId="0" fontId="4" fillId="11" borderId="25" xfId="0" applyFont="1" applyFill="1" applyBorder="1" applyAlignment="1">
      <alignment horizontal="center" vertical="center"/>
    </xf>
    <xf numFmtId="9" fontId="13" fillId="11" borderId="34" xfId="0" applyNumberFormat="1" applyFont="1" applyFill="1" applyBorder="1" applyAlignment="1">
      <alignment horizontal="center" vertical="center"/>
    </xf>
    <xf numFmtId="0" fontId="47" fillId="3" borderId="135" xfId="0" applyFont="1" applyFill="1" applyBorder="1" applyAlignment="1">
      <alignment horizontal="center"/>
    </xf>
    <xf numFmtId="10" fontId="13" fillId="4" borderId="34" xfId="0" applyNumberFormat="1" applyFont="1" applyFill="1" applyBorder="1" applyAlignment="1">
      <alignment horizontal="center" vertical="center"/>
    </xf>
    <xf numFmtId="10" fontId="0" fillId="0" borderId="34" xfId="0" applyNumberFormat="1" applyBorder="1" applyAlignment="1">
      <alignment vertical="center"/>
    </xf>
    <xf numFmtId="0" fontId="52" fillId="2" borderId="157" xfId="0" applyFont="1" applyFill="1" applyBorder="1" applyAlignment="1"/>
    <xf numFmtId="0" fontId="52" fillId="2" borderId="0" xfId="0" applyFont="1" applyFill="1" applyBorder="1" applyAlignment="1"/>
    <xf numFmtId="0" fontId="52" fillId="2" borderId="158" xfId="0" applyFont="1" applyFill="1" applyBorder="1" applyAlignment="1"/>
    <xf numFmtId="0" fontId="52" fillId="2" borderId="155" xfId="0" applyFont="1" applyFill="1" applyBorder="1" applyAlignment="1">
      <alignment horizontal="left"/>
    </xf>
    <xf numFmtId="0" fontId="52" fillId="2" borderId="154" xfId="0" applyFont="1" applyFill="1" applyBorder="1" applyAlignment="1">
      <alignment horizontal="left"/>
    </xf>
    <xf numFmtId="0" fontId="52" fillId="2" borderId="156" xfId="0" applyFont="1" applyFill="1" applyBorder="1" applyAlignment="1">
      <alignment horizontal="left"/>
    </xf>
    <xf numFmtId="0" fontId="19" fillId="7" borderId="34" xfId="1" applyFill="1" applyBorder="1" applyAlignment="1" applyProtection="1">
      <alignment horizontal="center" vertical="center"/>
    </xf>
    <xf numFmtId="0" fontId="9" fillId="3" borderId="165" xfId="0" applyFont="1" applyFill="1" applyBorder="1" applyAlignment="1">
      <alignment horizontal="center"/>
    </xf>
    <xf numFmtId="0" fontId="9" fillId="3" borderId="135" xfId="0" applyFont="1" applyFill="1" applyBorder="1" applyAlignment="1">
      <alignment horizontal="center"/>
    </xf>
    <xf numFmtId="0" fontId="9" fillId="3" borderId="166" xfId="0" applyFont="1" applyFill="1" applyBorder="1" applyAlignment="1">
      <alignment horizontal="center"/>
    </xf>
    <xf numFmtId="0" fontId="50" fillId="0" borderId="160" xfId="0" applyFont="1" applyBorder="1" applyAlignment="1">
      <alignment horizontal="center"/>
    </xf>
    <xf numFmtId="0" fontId="50" fillId="0" borderId="161" xfId="0" applyFont="1" applyBorder="1" applyAlignment="1">
      <alignment horizontal="center"/>
    </xf>
    <xf numFmtId="0" fontId="50" fillId="0" borderId="162" xfId="0" applyFont="1" applyBorder="1" applyAlignment="1">
      <alignment horizontal="center"/>
    </xf>
    <xf numFmtId="0" fontId="64" fillId="15" borderId="0" xfId="0" applyFont="1" applyFill="1" applyBorder="1" applyAlignment="1">
      <alignment horizontal="center"/>
    </xf>
    <xf numFmtId="9" fontId="84" fillId="17" borderId="163" xfId="0" applyNumberFormat="1" applyFont="1" applyFill="1" applyBorder="1" applyAlignment="1">
      <alignment horizontal="center"/>
    </xf>
    <xf numFmtId="9" fontId="84" fillId="17" borderId="164" xfId="0" applyNumberFormat="1" applyFont="1" applyFill="1" applyBorder="1" applyAlignment="1">
      <alignment horizontal="center"/>
    </xf>
    <xf numFmtId="0" fontId="73" fillId="0" borderId="159" xfId="0" applyFont="1" applyFill="1" applyBorder="1" applyAlignment="1">
      <alignment horizontal="center" vertical="center"/>
    </xf>
    <xf numFmtId="0" fontId="64" fillId="15" borderId="0" xfId="0" applyFont="1" applyFill="1" applyAlignment="1">
      <alignment horizontal="center"/>
    </xf>
    <xf numFmtId="0" fontId="4" fillId="0" borderId="0" xfId="0" applyFont="1" applyAlignment="1">
      <alignment horizontal="center" vertical="center" wrapText="1"/>
    </xf>
    <xf numFmtId="0" fontId="65" fillId="15" borderId="0" xfId="0" applyFont="1" applyFill="1" applyAlignment="1">
      <alignment horizontal="center"/>
    </xf>
    <xf numFmtId="0" fontId="10" fillId="3" borderId="159" xfId="0" applyFont="1" applyFill="1" applyBorder="1" applyAlignment="1">
      <alignment horizontal="center" vertical="center"/>
    </xf>
    <xf numFmtId="0" fontId="18" fillId="3" borderId="60" xfId="2" applyNumberFormat="1" applyFont="1" applyFill="1" applyBorder="1" applyAlignment="1">
      <alignment horizontal="center" vertical="center"/>
    </xf>
    <xf numFmtId="0" fontId="18" fillId="3" borderId="1" xfId="2" applyNumberFormat="1" applyFont="1" applyFill="1" applyBorder="1" applyAlignment="1">
      <alignment horizontal="center" vertical="center"/>
    </xf>
    <xf numFmtId="0" fontId="18" fillId="3" borderId="61" xfId="2" applyNumberFormat="1" applyFont="1" applyFill="1" applyBorder="1" applyAlignment="1">
      <alignment horizontal="center" vertical="center"/>
    </xf>
    <xf numFmtId="0" fontId="18" fillId="3" borderId="2" xfId="2" applyNumberFormat="1" applyFont="1" applyFill="1" applyBorder="1" applyAlignment="1">
      <alignment horizontal="center" vertical="center"/>
    </xf>
    <xf numFmtId="0" fontId="0" fillId="2" borderId="3" xfId="0" applyFill="1" applyBorder="1" applyAlignment="1">
      <alignment horizontal="left" vertical="center" wrapText="1"/>
    </xf>
    <xf numFmtId="0" fontId="0" fillId="2" borderId="84" xfId="0" applyFill="1" applyBorder="1" applyAlignment="1">
      <alignment horizontal="left" vertical="center" wrapText="1"/>
    </xf>
    <xf numFmtId="0" fontId="11" fillId="0" borderId="0" xfId="0" applyFont="1" applyFill="1" applyAlignment="1"/>
    <xf numFmtId="0" fontId="2" fillId="2" borderId="3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3" fillId="3" borderId="0" xfId="0" applyFont="1" applyFill="1" applyBorder="1" applyAlignment="1">
      <alignment horizontal="center"/>
    </xf>
    <xf numFmtId="0" fontId="54" fillId="3" borderId="0" xfId="0" applyFont="1" applyFill="1" applyBorder="1" applyAlignment="1">
      <alignment horizontal="center"/>
    </xf>
    <xf numFmtId="0" fontId="48" fillId="3" borderId="0" xfId="0" applyFont="1" applyFill="1" applyAlignment="1">
      <alignment horizontal="center"/>
    </xf>
    <xf numFmtId="0" fontId="62" fillId="3" borderId="0" xfId="0" applyFont="1" applyFill="1" applyAlignment="1">
      <alignment horizontal="center"/>
    </xf>
    <xf numFmtId="0" fontId="16" fillId="3" borderId="0" xfId="0" applyFont="1" applyFill="1" applyAlignment="1">
      <alignment horizontal="center"/>
    </xf>
    <xf numFmtId="0" fontId="9" fillId="3" borderId="60"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65" xfId="0" applyFont="1" applyFill="1" applyBorder="1" applyAlignment="1">
      <alignment horizontal="center" vertical="center"/>
    </xf>
    <xf numFmtId="0" fontId="9" fillId="3" borderId="61" xfId="0" applyFont="1" applyFill="1" applyBorder="1" applyAlignment="1">
      <alignment horizontal="center" vertical="center"/>
    </xf>
    <xf numFmtId="0" fontId="16" fillId="3" borderId="2" xfId="0" applyFont="1" applyFill="1" applyBorder="1" applyAlignment="1">
      <alignment horizontal="center" vertical="center"/>
    </xf>
    <xf numFmtId="186" fontId="18" fillId="3" borderId="61" xfId="2" applyNumberFormat="1" applyFont="1" applyFill="1" applyBorder="1" applyAlignment="1">
      <alignment horizontal="center" vertical="center"/>
    </xf>
    <xf numFmtId="186" fontId="18" fillId="3" borderId="60" xfId="2" applyNumberFormat="1" applyFont="1" applyFill="1" applyBorder="1" applyAlignment="1">
      <alignment horizontal="center" vertical="center"/>
    </xf>
    <xf numFmtId="186" fontId="18" fillId="3" borderId="80" xfId="2" applyNumberFormat="1" applyFont="1" applyFill="1" applyBorder="1" applyAlignment="1">
      <alignment horizontal="center" vertical="center"/>
    </xf>
    <xf numFmtId="0" fontId="55" fillId="3" borderId="0" xfId="0" applyFont="1" applyFill="1" applyBorder="1" applyAlignment="1">
      <alignment horizontal="center"/>
    </xf>
    <xf numFmtId="0" fontId="56" fillId="3" borderId="0" xfId="0" applyFont="1" applyFill="1" applyBorder="1" applyAlignment="1">
      <alignment horizontal="center"/>
    </xf>
    <xf numFmtId="186" fontId="18" fillId="3" borderId="2" xfId="2" applyNumberFormat="1" applyFont="1" applyFill="1" applyBorder="1" applyAlignment="1">
      <alignment horizontal="center" vertical="center"/>
    </xf>
    <xf numFmtId="0" fontId="2" fillId="2" borderId="60"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9" fillId="3" borderId="62" xfId="0" applyFont="1" applyFill="1" applyBorder="1" applyAlignment="1">
      <alignment horizontal="center"/>
    </xf>
    <xf numFmtId="0" fontId="16" fillId="3" borderId="63" xfId="0" applyFont="1" applyFill="1" applyBorder="1" applyAlignment="1">
      <alignment horizontal="center"/>
    </xf>
    <xf numFmtId="0" fontId="9" fillId="3" borderId="6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36" fillId="3" borderId="61"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56" fillId="3" borderId="3" xfId="0" applyFont="1" applyFill="1" applyBorder="1" applyAlignment="1">
      <alignment horizontal="center"/>
    </xf>
    <xf numFmtId="0" fontId="18" fillId="3" borderId="61" xfId="0" applyFont="1" applyFill="1" applyBorder="1" applyAlignment="1">
      <alignment horizontal="center" vertical="center"/>
    </xf>
    <xf numFmtId="0" fontId="85" fillId="3" borderId="2" xfId="0" applyFont="1" applyFill="1" applyBorder="1" applyAlignment="1">
      <alignment horizontal="center" vertical="center"/>
    </xf>
    <xf numFmtId="0" fontId="4" fillId="2" borderId="6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71" xfId="0" applyFill="1" applyBorder="1" applyAlignment="1">
      <alignment horizontal="center" vertical="center" wrapText="1"/>
    </xf>
    <xf numFmtId="0" fontId="9" fillId="3" borderId="60" xfId="0" applyFont="1" applyFill="1" applyBorder="1" applyAlignment="1">
      <alignment horizontal="center"/>
    </xf>
    <xf numFmtId="0" fontId="9" fillId="3" borderId="32" xfId="0" applyFont="1" applyFill="1" applyBorder="1" applyAlignment="1">
      <alignment horizontal="center"/>
    </xf>
    <xf numFmtId="0" fontId="4" fillId="2" borderId="1" xfId="0" applyFont="1" applyFill="1" applyBorder="1" applyAlignment="1">
      <alignment horizontal="center"/>
    </xf>
    <xf numFmtId="0" fontId="0" fillId="2" borderId="3" xfId="0" applyFill="1" applyBorder="1" applyAlignment="1"/>
    <xf numFmtId="0" fontId="56" fillId="3" borderId="0" xfId="0" applyFont="1" applyFill="1" applyAlignment="1">
      <alignment horizontal="center"/>
    </xf>
    <xf numFmtId="0" fontId="9" fillId="3" borderId="1" xfId="0" applyFont="1" applyFill="1" applyBorder="1" applyAlignment="1">
      <alignment horizontal="center"/>
    </xf>
    <xf numFmtId="0" fontId="9" fillId="3" borderId="3" xfId="0" applyFont="1" applyFill="1" applyBorder="1" applyAlignment="1">
      <alignment horizontal="center"/>
    </xf>
    <xf numFmtId="0" fontId="55" fillId="3" borderId="0" xfId="0" applyFont="1" applyFill="1" applyAlignment="1">
      <alignment horizontal="center"/>
    </xf>
    <xf numFmtId="0" fontId="22" fillId="2" borderId="62" xfId="0" applyFont="1" applyFill="1" applyBorder="1" applyAlignment="1"/>
    <xf numFmtId="0" fontId="22" fillId="2" borderId="135" xfId="0" applyFont="1" applyFill="1" applyBorder="1" applyAlignment="1"/>
    <xf numFmtId="0" fontId="0" fillId="2" borderId="63" xfId="0" applyFill="1" applyBorder="1" applyAlignment="1"/>
    <xf numFmtId="0" fontId="16" fillId="3" borderId="65" xfId="0" applyFont="1" applyFill="1" applyBorder="1" applyAlignment="1">
      <alignment horizontal="center"/>
    </xf>
    <xf numFmtId="0" fontId="4" fillId="2" borderId="80" xfId="0" applyFont="1" applyFill="1" applyBorder="1" applyAlignment="1">
      <alignment horizontal="center"/>
    </xf>
    <xf numFmtId="0" fontId="0" fillId="2" borderId="84" xfId="0" applyFill="1" applyBorder="1" applyAlignment="1"/>
    <xf numFmtId="186" fontId="2" fillId="2" borderId="65" xfId="3" applyNumberFormat="1" applyFont="1" applyFill="1" applyBorder="1" applyAlignment="1">
      <alignment horizontal="center" vertical="center"/>
    </xf>
    <xf numFmtId="186" fontId="2" fillId="2" borderId="84" xfId="3" applyNumberFormat="1" applyFont="1" applyFill="1" applyBorder="1" applyAlignment="1">
      <alignment horizontal="center" vertical="center"/>
    </xf>
    <xf numFmtId="0" fontId="4" fillId="2" borderId="61" xfId="0" applyFont="1" applyFill="1" applyBorder="1" applyAlignment="1">
      <alignment horizontal="center" vertical="center"/>
    </xf>
    <xf numFmtId="0" fontId="5" fillId="2" borderId="71" xfId="0" applyFont="1" applyFill="1" applyBorder="1" applyAlignment="1">
      <alignment horizontal="center" vertical="center"/>
    </xf>
    <xf numFmtId="0" fontId="57" fillId="0" borderId="0" xfId="0" applyFont="1" applyAlignment="1">
      <alignment horizontal="center"/>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80" fillId="20" borderId="0" xfId="0" applyFont="1" applyFill="1" applyAlignment="1">
      <alignment horizontal="center"/>
    </xf>
    <xf numFmtId="0" fontId="81" fillId="7" borderId="0" xfId="0" applyFont="1" applyFill="1" applyAlignment="1">
      <alignment horizontal="center"/>
    </xf>
    <xf numFmtId="0" fontId="73" fillId="7" borderId="0" xfId="0" applyFont="1" applyFill="1" applyAlignment="1">
      <alignment horizontal="center"/>
    </xf>
    <xf numFmtId="0" fontId="10" fillId="10" borderId="167" xfId="0" applyFont="1" applyFill="1" applyBorder="1" applyAlignment="1">
      <alignment horizontal="center"/>
    </xf>
    <xf numFmtId="0" fontId="10" fillId="10" borderId="168" xfId="0" applyFont="1" applyFill="1" applyBorder="1" applyAlignment="1">
      <alignment horizontal="center"/>
    </xf>
    <xf numFmtId="0" fontId="10" fillId="10" borderId="169" xfId="0" applyFont="1" applyFill="1" applyBorder="1" applyAlignment="1">
      <alignment horizontal="center"/>
    </xf>
    <xf numFmtId="201" fontId="0" fillId="0" borderId="0" xfId="0" applyNumberFormat="1" applyFill="1" applyBorder="1" applyAlignment="1">
      <alignment horizontal="center" vertical="center"/>
    </xf>
    <xf numFmtId="0" fontId="74" fillId="0" borderId="0" xfId="0" applyFont="1" applyAlignment="1">
      <alignment horizontal="center"/>
    </xf>
    <xf numFmtId="0" fontId="74" fillId="14" borderId="122" xfId="0" applyFont="1" applyFill="1" applyBorder="1" applyAlignment="1">
      <alignment horizontal="center"/>
    </xf>
    <xf numFmtId="0" fontId="74" fillId="14" borderId="0" xfId="0" applyFont="1" applyFill="1" applyBorder="1" applyAlignment="1">
      <alignment horizontal="center"/>
    </xf>
    <xf numFmtId="0" fontId="74" fillId="14" borderId="123" xfId="0" applyFont="1" applyFill="1" applyBorder="1" applyAlignment="1">
      <alignment horizontal="center"/>
    </xf>
    <xf numFmtId="0" fontId="33" fillId="0" borderId="62" xfId="0" applyFont="1" applyBorder="1" applyAlignment="1">
      <alignment horizontal="center"/>
    </xf>
    <xf numFmtId="0" fontId="33" fillId="0" borderId="135" xfId="0" applyFont="1" applyBorder="1" applyAlignment="1">
      <alignment horizontal="center"/>
    </xf>
    <xf numFmtId="0" fontId="33" fillId="0" borderId="63" xfId="0" applyFont="1" applyBorder="1" applyAlignment="1">
      <alignment horizontal="center"/>
    </xf>
    <xf numFmtId="0" fontId="10" fillId="9" borderId="41" xfId="0" applyFont="1" applyFill="1" applyBorder="1" applyAlignment="1">
      <alignment horizontal="center" vertical="center" wrapText="1"/>
    </xf>
    <xf numFmtId="2" fontId="34" fillId="9" borderId="0" xfId="0" applyNumberFormat="1" applyFont="1" applyFill="1" applyBorder="1" applyAlignment="1">
      <alignment horizontal="center" vertical="center" wrapText="1"/>
    </xf>
    <xf numFmtId="2" fontId="47" fillId="9" borderId="0" xfId="0" applyNumberFormat="1" applyFont="1" applyFill="1" applyBorder="1" applyAlignment="1">
      <alignment horizontal="center" vertical="center" wrapText="1"/>
    </xf>
    <xf numFmtId="0" fontId="9" fillId="9" borderId="46" xfId="0" applyFont="1" applyFill="1" applyBorder="1" applyAlignment="1">
      <alignment horizontal="center" vertical="center"/>
    </xf>
    <xf numFmtId="0" fontId="9" fillId="9" borderId="45" xfId="0" applyFont="1" applyFill="1" applyBorder="1" applyAlignment="1">
      <alignment horizontal="center" vertical="center"/>
    </xf>
    <xf numFmtId="0" fontId="10" fillId="9" borderId="0" xfId="0" applyFont="1" applyFill="1" applyBorder="1" applyAlignment="1">
      <alignment horizontal="center" vertical="center"/>
    </xf>
    <xf numFmtId="0" fontId="10" fillId="9" borderId="42" xfId="0" applyFont="1" applyFill="1" applyBorder="1" applyAlignment="1">
      <alignment horizontal="center" vertical="center"/>
    </xf>
    <xf numFmtId="0" fontId="35" fillId="10" borderId="170" xfId="0" applyFont="1" applyFill="1" applyBorder="1" applyAlignment="1">
      <alignment horizontal="center"/>
    </xf>
    <xf numFmtId="0" fontId="44" fillId="9" borderId="0" xfId="0" applyFont="1" applyFill="1" applyAlignment="1">
      <alignment horizontal="center"/>
    </xf>
    <xf numFmtId="0" fontId="35" fillId="10" borderId="170" xfId="0" applyFont="1" applyFill="1" applyBorder="1" applyAlignment="1">
      <alignment horizontal="left"/>
    </xf>
    <xf numFmtId="0" fontId="41" fillId="10" borderId="171" xfId="0" applyFont="1" applyFill="1" applyBorder="1" applyAlignment="1">
      <alignment horizontal="center"/>
    </xf>
    <xf numFmtId="0" fontId="41" fillId="10" borderId="172" xfId="0" applyFont="1" applyFill="1" applyBorder="1" applyAlignment="1">
      <alignment horizontal="center"/>
    </xf>
    <xf numFmtId="0" fontId="41" fillId="10" borderId="173" xfId="0" applyFont="1" applyFill="1" applyBorder="1" applyAlignment="1">
      <alignment horizontal="center"/>
    </xf>
    <xf numFmtId="0" fontId="9" fillId="9" borderId="174" xfId="0" applyFont="1" applyFill="1" applyBorder="1" applyAlignment="1">
      <alignment horizontal="center"/>
    </xf>
    <xf numFmtId="0" fontId="9" fillId="9" borderId="175" xfId="0" applyFont="1" applyFill="1" applyBorder="1" applyAlignment="1">
      <alignment horizontal="center"/>
    </xf>
    <xf numFmtId="0" fontId="9" fillId="9" borderId="176" xfId="0" applyFont="1" applyFill="1" applyBorder="1" applyAlignment="1">
      <alignment horizontal="center"/>
    </xf>
    <xf numFmtId="0" fontId="9" fillId="9" borderId="0" xfId="0" applyFont="1" applyFill="1" applyBorder="1" applyAlignment="1">
      <alignment horizontal="center"/>
    </xf>
  </cellXfs>
  <cellStyles count="6">
    <cellStyle name="Hipervínculo" xfId="1" builtinId="8"/>
    <cellStyle name="Millares" xfId="2" builtinId="3"/>
    <cellStyle name="Millares_BOL200412B PEER DIC 2004" xfId="3"/>
    <cellStyle name="Millares_Libro8" xfId="4"/>
    <cellStyle name="Normal" xfId="0" builtinId="0"/>
    <cellStyle name="Porcentual"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t>EVOLUCION  TASAS DE INTERES REFERENCIALES</a:t>
            </a:r>
          </a:p>
        </c:rich>
      </c:tx>
      <c:layout>
        <c:manualLayout>
          <c:xMode val="edge"/>
          <c:yMode val="edge"/>
          <c:x val="0.22767881957879157"/>
          <c:y val="3.3149171270718231E-2"/>
        </c:manualLayout>
      </c:layout>
      <c:spPr>
        <a:noFill/>
        <a:ln w="25400">
          <a:noFill/>
        </a:ln>
      </c:spPr>
    </c:title>
    <c:plotArea>
      <c:layout>
        <c:manualLayout>
          <c:layoutTarget val="inner"/>
          <c:xMode val="edge"/>
          <c:yMode val="edge"/>
          <c:x val="0.18080376848904037"/>
          <c:y val="0.24309392265193369"/>
          <c:w val="0.78794728736581787"/>
          <c:h val="0.46961325966850831"/>
        </c:manualLayout>
      </c:layout>
      <c:lineChart>
        <c:grouping val="standard"/>
        <c:ser>
          <c:idx val="0"/>
          <c:order val="0"/>
          <c:tx>
            <c:strRef>
              <c:f>'11.Anexo _Macrofinancieros'!$D$13</c:f>
              <c:strCache>
                <c:ptCount val="1"/>
                <c:pt idx="0">
                  <c:v>Pasiva (1)</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multiLvlStrRef>
              <c:f>'11.Anexo _Macrofinancieros'!$A$14:$C$37</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_Macrofinancieros'!$D$14:$D$37</c:f>
              <c:numCache>
                <c:formatCode>0.00</c:formatCode>
                <c:ptCount val="24"/>
                <c:pt idx="0">
                  <c:v>5.62</c:v>
                </c:pt>
                <c:pt idx="1">
                  <c:v>5.59</c:v>
                </c:pt>
                <c:pt idx="2">
                  <c:v>5.2</c:v>
                </c:pt>
                <c:pt idx="3">
                  <c:v>5.16</c:v>
                </c:pt>
                <c:pt idx="4">
                  <c:v>5.37</c:v>
                </c:pt>
                <c:pt idx="5">
                  <c:v>4.83</c:v>
                </c:pt>
                <c:pt idx="6">
                  <c:v>5.63</c:v>
                </c:pt>
                <c:pt idx="7">
                  <c:v>5.0599999999999996</c:v>
                </c:pt>
                <c:pt idx="8">
                  <c:v>5.22</c:v>
                </c:pt>
                <c:pt idx="9">
                  <c:v>5.4</c:v>
                </c:pt>
                <c:pt idx="10">
                  <c:v>5.44</c:v>
                </c:pt>
                <c:pt idx="11">
                  <c:v>5.51</c:v>
                </c:pt>
                <c:pt idx="12">
                  <c:v>4.42</c:v>
                </c:pt>
                <c:pt idx="13">
                  <c:v>4.8899999999999997</c:v>
                </c:pt>
                <c:pt idx="14">
                  <c:v>4.4400000000000004</c:v>
                </c:pt>
                <c:pt idx="15">
                  <c:v>4.29</c:v>
                </c:pt>
                <c:pt idx="16">
                  <c:v>3.93</c:v>
                </c:pt>
                <c:pt idx="17">
                  <c:v>4.07</c:v>
                </c:pt>
                <c:pt idx="18">
                  <c:v>3.61</c:v>
                </c:pt>
                <c:pt idx="19">
                  <c:v>3.53</c:v>
                </c:pt>
                <c:pt idx="20">
                  <c:v>3.78</c:v>
                </c:pt>
                <c:pt idx="21">
                  <c:v>3.6</c:v>
                </c:pt>
                <c:pt idx="22">
                  <c:v>3.7</c:v>
                </c:pt>
                <c:pt idx="23">
                  <c:v>3.97</c:v>
                </c:pt>
              </c:numCache>
            </c:numRef>
          </c:val>
        </c:ser>
        <c:ser>
          <c:idx val="1"/>
          <c:order val="1"/>
          <c:tx>
            <c:strRef>
              <c:f>'11.Anexo _Macrofinancieros'!$E$13</c:f>
              <c:strCache>
                <c:ptCount val="1"/>
                <c:pt idx="0">
                  <c:v>Activa (2)</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multiLvlStrRef>
              <c:f>'11.Anexo _Macrofinancieros'!$A$14:$C$37</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_Macrofinancieros'!$E$14:$E$37</c:f>
              <c:numCache>
                <c:formatCode>General</c:formatCode>
                <c:ptCount val="24"/>
                <c:pt idx="0">
                  <c:v>13.58</c:v>
                </c:pt>
                <c:pt idx="1">
                  <c:v>13.02</c:v>
                </c:pt>
                <c:pt idx="2">
                  <c:v>11.88</c:v>
                </c:pt>
                <c:pt idx="3" formatCode="0.00">
                  <c:v>12.6</c:v>
                </c:pt>
                <c:pt idx="4" formatCode="0.00">
                  <c:v>11.82</c:v>
                </c:pt>
                <c:pt idx="5" formatCode="0.00">
                  <c:v>12.16</c:v>
                </c:pt>
                <c:pt idx="6" formatCode="0.00">
                  <c:v>13.83</c:v>
                </c:pt>
                <c:pt idx="7" formatCode="0.00">
                  <c:v>12.42</c:v>
                </c:pt>
                <c:pt idx="8" formatCode="0.00">
                  <c:v>11.29</c:v>
                </c:pt>
                <c:pt idx="9" formatCode="0.00">
                  <c:v>11.55</c:v>
                </c:pt>
                <c:pt idx="10" formatCode="0.00">
                  <c:v>11.8</c:v>
                </c:pt>
                <c:pt idx="11" formatCode="0.00">
                  <c:v>11.19</c:v>
                </c:pt>
                <c:pt idx="12" formatCode="0.00">
                  <c:v>11.31</c:v>
                </c:pt>
                <c:pt idx="13" formatCode="0.00">
                  <c:v>13.18</c:v>
                </c:pt>
                <c:pt idx="14" formatCode="0.00">
                  <c:v>10.84</c:v>
                </c:pt>
                <c:pt idx="15" formatCode="0.00">
                  <c:v>10.44</c:v>
                </c:pt>
                <c:pt idx="16" formatCode="0.00">
                  <c:v>9.77</c:v>
                </c:pt>
                <c:pt idx="17" formatCode="0.00">
                  <c:v>10.16</c:v>
                </c:pt>
                <c:pt idx="18" formatCode="0.00">
                  <c:v>10.69</c:v>
                </c:pt>
                <c:pt idx="19" formatCode="0.00">
                  <c:v>10.76</c:v>
                </c:pt>
                <c:pt idx="20" formatCode="0.00">
                  <c:v>9.65</c:v>
                </c:pt>
                <c:pt idx="21" formatCode="0.00">
                  <c:v>9.93</c:v>
                </c:pt>
                <c:pt idx="22" formatCode="0.00">
                  <c:v>9.86</c:v>
                </c:pt>
                <c:pt idx="23" formatCode="0.00">
                  <c:v>8.0299999999999994</c:v>
                </c:pt>
              </c:numCache>
            </c:numRef>
          </c:val>
        </c:ser>
        <c:ser>
          <c:idx val="2"/>
          <c:order val="2"/>
          <c:tx>
            <c:v>SPREAD</c:v>
          </c:tx>
          <c:spPr>
            <a:ln w="12700">
              <a:solidFill>
                <a:srgbClr val="FFFF00"/>
              </a:solidFill>
              <a:prstDash val="solid"/>
            </a:ln>
          </c:spPr>
          <c:marker>
            <c:symbol val="triangle"/>
            <c:size val="5"/>
            <c:spPr>
              <a:solidFill>
                <a:srgbClr val="FFFF00"/>
              </a:solidFill>
              <a:ln>
                <a:solidFill>
                  <a:srgbClr val="FFFF00"/>
                </a:solidFill>
                <a:prstDash val="solid"/>
              </a:ln>
            </c:spPr>
          </c:marker>
          <c:cat>
            <c:multiLvlStrRef>
              <c:f>'11.Anexo _Macrofinancieros'!$A$14:$C$37</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_Macrofinancieros'!$F$14:$F$37</c:f>
              <c:numCache>
                <c:formatCode>0.00</c:formatCode>
                <c:ptCount val="24"/>
                <c:pt idx="0">
                  <c:v>7.96</c:v>
                </c:pt>
                <c:pt idx="1">
                  <c:v>7.43</c:v>
                </c:pt>
                <c:pt idx="2">
                  <c:v>6.6800000000000006</c:v>
                </c:pt>
                <c:pt idx="3">
                  <c:v>7.4399999999999995</c:v>
                </c:pt>
                <c:pt idx="4">
                  <c:v>6.45</c:v>
                </c:pt>
                <c:pt idx="5">
                  <c:v>7.33</c:v>
                </c:pt>
                <c:pt idx="6">
                  <c:v>8.1999999999999993</c:v>
                </c:pt>
                <c:pt idx="7">
                  <c:v>7.36</c:v>
                </c:pt>
                <c:pt idx="8">
                  <c:v>6.0699999999999994</c:v>
                </c:pt>
                <c:pt idx="9">
                  <c:v>6.15</c:v>
                </c:pt>
                <c:pt idx="10">
                  <c:v>6.36</c:v>
                </c:pt>
                <c:pt idx="11">
                  <c:v>5.68</c:v>
                </c:pt>
                <c:pt idx="12">
                  <c:v>6.8900000000000006</c:v>
                </c:pt>
                <c:pt idx="13">
                  <c:v>8.2899999999999991</c:v>
                </c:pt>
                <c:pt idx="14">
                  <c:v>6.3999999999999995</c:v>
                </c:pt>
                <c:pt idx="15">
                  <c:v>6.1499999999999995</c:v>
                </c:pt>
                <c:pt idx="16">
                  <c:v>5.84</c:v>
                </c:pt>
                <c:pt idx="17">
                  <c:v>6.09</c:v>
                </c:pt>
                <c:pt idx="18">
                  <c:v>7.08</c:v>
                </c:pt>
                <c:pt idx="19">
                  <c:v>7.23</c:v>
                </c:pt>
                <c:pt idx="20">
                  <c:v>5.870000000000001</c:v>
                </c:pt>
                <c:pt idx="21">
                  <c:v>6.33</c:v>
                </c:pt>
                <c:pt idx="22">
                  <c:v>6.1599999999999993</c:v>
                </c:pt>
                <c:pt idx="23">
                  <c:v>4.0599999999999987</c:v>
                </c:pt>
              </c:numCache>
            </c:numRef>
          </c:val>
        </c:ser>
        <c:marker val="1"/>
        <c:axId val="80974592"/>
        <c:axId val="80976512"/>
      </c:lineChart>
      <c:catAx>
        <c:axId val="80974592"/>
        <c:scaling>
          <c:orientation val="minMax"/>
        </c:scaling>
        <c:axPos val="b"/>
        <c:numFmt formatCode="General" sourceLinked="1"/>
        <c:tickLblPos val="nextTo"/>
        <c:spPr>
          <a:ln w="3175">
            <a:solidFill>
              <a:srgbClr val="000000"/>
            </a:solidFill>
            <a:prstDash val="solid"/>
          </a:ln>
        </c:spPr>
        <c:txPr>
          <a:bodyPr rot="-5400000" vert="horz"/>
          <a:lstStyle/>
          <a:p>
            <a:pPr>
              <a:defRPr sz="925" b="0" i="0" u="none" strike="noStrike" baseline="0">
                <a:solidFill>
                  <a:srgbClr val="003366"/>
                </a:solidFill>
                <a:latin typeface="Arial"/>
                <a:ea typeface="Arial"/>
                <a:cs typeface="Arial"/>
              </a:defRPr>
            </a:pPr>
            <a:endParaRPr lang="es-ES"/>
          </a:p>
        </c:txPr>
        <c:crossAx val="80976512"/>
        <c:crosses val="autoZero"/>
        <c:auto val="1"/>
        <c:lblAlgn val="ctr"/>
        <c:lblOffset val="100"/>
        <c:tickLblSkip val="2"/>
        <c:tickMarkSkip val="1"/>
      </c:catAx>
      <c:valAx>
        <c:axId val="80976512"/>
        <c:scaling>
          <c:orientation val="minMax"/>
        </c:scaling>
        <c:axPos val="l"/>
        <c:majorGridlines>
          <c:spPr>
            <a:ln w="3175">
              <a:solidFill>
                <a:srgbClr val="C0C0C0"/>
              </a:solidFill>
              <a:prstDash val="solid"/>
            </a:ln>
          </c:spPr>
        </c:majorGridlines>
        <c:title>
          <c:tx>
            <c:rich>
              <a:bodyPr/>
              <a:lstStyle/>
              <a:p>
                <a:pPr>
                  <a:defRPr sz="925" b="1" i="0" u="none" strike="noStrike" baseline="0">
                    <a:solidFill>
                      <a:srgbClr val="000000"/>
                    </a:solidFill>
                    <a:latin typeface="Arial"/>
                    <a:ea typeface="Arial"/>
                    <a:cs typeface="Arial"/>
                  </a:defRPr>
                </a:pPr>
                <a:r>
                  <a:t>Tasas</a:t>
                </a:r>
              </a:p>
            </c:rich>
          </c:tx>
          <c:layout>
            <c:manualLayout>
              <c:xMode val="edge"/>
              <c:yMode val="edge"/>
              <c:x val="3.5714324639810439E-2"/>
              <c:y val="0.425414364640884"/>
            </c:manualLayout>
          </c:layout>
          <c:spPr>
            <a:noFill/>
            <a:ln w="25400">
              <a:noFill/>
            </a:ln>
          </c:spPr>
        </c:title>
        <c:numFmt formatCode="0.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80974592"/>
        <c:crosses val="autoZero"/>
        <c:crossBetween val="between"/>
      </c:valAx>
      <c:spPr>
        <a:gradFill rotWithShape="0">
          <a:gsLst>
            <a:gs pos="0">
              <a:srgbClr val="99CCFF">
                <a:gamma/>
                <a:shade val="46275"/>
                <a:invGamma/>
              </a:srgbClr>
            </a:gs>
            <a:gs pos="100000">
              <a:srgbClr val="99CCFF"/>
            </a:gs>
          </a:gsLst>
          <a:path path="rect">
            <a:fillToRect l="50000" t="50000" r="50000" b="50000"/>
          </a:path>
        </a:gradFill>
        <a:ln w="25400">
          <a:noFill/>
        </a:ln>
      </c:spPr>
    </c:plotArea>
    <c:legend>
      <c:legendPos val="b"/>
      <c:layout>
        <c:manualLayout>
          <c:xMode val="edge"/>
          <c:yMode val="edge"/>
          <c:x val="0.27678601595853092"/>
          <c:y val="0.91712707182320441"/>
          <c:w val="0.59375064713684855"/>
          <c:h val="6.3535911602209949E-2"/>
        </c:manualLayout>
      </c:layout>
      <c:spPr>
        <a:solidFill>
          <a:srgbClr val="FFFFCC"/>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s-ES"/>
        </a:p>
      </c:txPr>
    </c:legend>
    <c:plotVisOnly val="1"/>
    <c:dispBlanksAs val="gap"/>
  </c:chart>
  <c:spPr>
    <a:gradFill rotWithShape="0">
      <a:gsLst>
        <a:gs pos="0">
          <a:srgbClr val="99CCFF">
            <a:gamma/>
            <a:shade val="46275"/>
            <a:invGamma/>
          </a:srgbClr>
        </a:gs>
        <a:gs pos="100000">
          <a:srgbClr val="99CCFF"/>
        </a:gs>
      </a:gsLst>
      <a:path path="rect">
        <a:fillToRect l="50000" t="50000" r="50000" b="50000"/>
      </a:path>
    </a:gradFill>
    <a:ln w="3175">
      <a:solidFill>
        <a:srgbClr val="000000"/>
      </a:solidFill>
      <a:prstDash val="solid"/>
    </a:ln>
    <a:effectLst>
      <a:outerShdw dist="35921" dir="2700000" algn="br">
        <a:srgbClr val="000000"/>
      </a:outerShdw>
    </a:effectLst>
  </c:spPr>
  <c:txPr>
    <a:bodyPr/>
    <a:lstStyle/>
    <a:p>
      <a:pPr>
        <a:defRPr sz="9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i="0" u="none" strike="noStrike" baseline="0">
                <a:solidFill>
                  <a:srgbClr val="000000"/>
                </a:solidFill>
                <a:latin typeface="Arial"/>
                <a:ea typeface="Arial"/>
                <a:cs typeface="Arial"/>
              </a:defRPr>
            </a:pPr>
            <a:r>
              <a:t>EVOLUCION TASAS REFERENCIALES REALES</a:t>
            </a:r>
          </a:p>
        </c:rich>
      </c:tx>
      <c:layout>
        <c:manualLayout>
          <c:xMode val="edge"/>
          <c:yMode val="edge"/>
          <c:x val="0.14395393474088292"/>
          <c:y val="3.793103448275862E-2"/>
        </c:manualLayout>
      </c:layout>
      <c:spPr>
        <a:noFill/>
        <a:ln w="25400">
          <a:noFill/>
        </a:ln>
      </c:spPr>
    </c:title>
    <c:plotArea>
      <c:layout>
        <c:manualLayout>
          <c:layoutTarget val="inner"/>
          <c:xMode val="edge"/>
          <c:yMode val="edge"/>
          <c:x val="0.2034548944337812"/>
          <c:y val="0.23103448275862068"/>
          <c:w val="0.76967370441458738"/>
          <c:h val="0.57931034482758625"/>
        </c:manualLayout>
      </c:layout>
      <c:barChart>
        <c:barDir val="col"/>
        <c:grouping val="clustered"/>
        <c:ser>
          <c:idx val="0"/>
          <c:order val="0"/>
          <c:tx>
            <c:strRef>
              <c:f>'11.Anexo _Macrofinancieros'!$D$45</c:f>
              <c:strCache>
                <c:ptCount val="1"/>
                <c:pt idx="0">
                  <c:v>Pasiva (1)</c:v>
                </c:pt>
              </c:strCache>
            </c:strRef>
          </c:tx>
          <c:spPr>
            <a:solidFill>
              <a:srgbClr val="00FFFF"/>
            </a:solidFill>
            <a:ln w="12700">
              <a:solidFill>
                <a:srgbClr val="00CCFF"/>
              </a:solidFill>
              <a:prstDash val="solid"/>
            </a:ln>
          </c:spPr>
          <c:cat>
            <c:multiLvlStrRef>
              <c:f>'11.Anexo _Macrofinancieros'!$A$46:$C$69</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_Macrofinancieros'!$D$46:$D$69</c:f>
              <c:numCache>
                <c:formatCode>0.00</c:formatCode>
                <c:ptCount val="24"/>
                <c:pt idx="0">
                  <c:v>-4.0603142883095629</c:v>
                </c:pt>
                <c:pt idx="1">
                  <c:v>-3.7991982507288524</c:v>
                </c:pt>
                <c:pt idx="2">
                  <c:v>-3.6188731103985239</c:v>
                </c:pt>
                <c:pt idx="3">
                  <c:v>-3.1586702274610912</c:v>
                </c:pt>
                <c:pt idx="4">
                  <c:v>-2.7054478301015594</c:v>
                </c:pt>
                <c:pt idx="5">
                  <c:v>-2.5834030294582311</c:v>
                </c:pt>
                <c:pt idx="6">
                  <c:v>-1.9493177387914118</c:v>
                </c:pt>
                <c:pt idx="7">
                  <c:v>-2.1058516585911291</c:v>
                </c:pt>
                <c:pt idx="8">
                  <c:v>-2.157336804909793</c:v>
                </c:pt>
                <c:pt idx="9">
                  <c:v>-1.3662736290473432</c:v>
                </c:pt>
                <c:pt idx="10">
                  <c:v>-0.97670924117204683</c:v>
                </c:pt>
                <c:pt idx="11">
                  <c:v>-0.52795323842745878</c:v>
                </c:pt>
                <c:pt idx="12">
                  <c:v>0.48113933795228547</c:v>
                </c:pt>
                <c:pt idx="13">
                  <c:v>1.0111710323574608</c:v>
                </c:pt>
                <c:pt idx="14">
                  <c:v>0.44239276783997195</c:v>
                </c:pt>
                <c:pt idx="15">
                  <c:v>0.6174626145682538</c:v>
                </c:pt>
                <c:pt idx="16">
                  <c:v>0.93231038166454727</c:v>
                </c:pt>
                <c:pt idx="17">
                  <c:v>1.1665208515602155</c:v>
                </c:pt>
                <c:pt idx="18">
                  <c:v>1.3796477495107595</c:v>
                </c:pt>
                <c:pt idx="19">
                  <c:v>1.3350057718884534</c:v>
                </c:pt>
                <c:pt idx="20">
                  <c:v>2.135616573171939</c:v>
                </c:pt>
                <c:pt idx="21">
                  <c:v>1.6882606988614102</c:v>
                </c:pt>
                <c:pt idx="22">
                  <c:v>1.7065515888583516</c:v>
                </c:pt>
                <c:pt idx="23">
                  <c:v>1.9813634134379532</c:v>
                </c:pt>
              </c:numCache>
            </c:numRef>
          </c:val>
        </c:ser>
        <c:ser>
          <c:idx val="1"/>
          <c:order val="1"/>
          <c:tx>
            <c:strRef>
              <c:f>'11.Anexo _Macrofinancieros'!$E$45</c:f>
              <c:strCache>
                <c:ptCount val="1"/>
                <c:pt idx="0">
                  <c:v>Activa (2)</c:v>
                </c:pt>
              </c:strCache>
            </c:strRef>
          </c:tx>
          <c:spPr>
            <a:solidFill>
              <a:srgbClr val="0000FF"/>
            </a:solidFill>
            <a:ln w="12700">
              <a:solidFill>
                <a:srgbClr val="000000"/>
              </a:solidFill>
              <a:prstDash val="solid"/>
            </a:ln>
          </c:spPr>
          <c:cat>
            <c:multiLvlStrRef>
              <c:f>'11.Anexo _Macrofinancieros'!$A$46:$C$69</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_Macrofinancieros'!$E$46:$E$69</c:f>
              <c:numCache>
                <c:formatCode>0.00</c:formatCode>
                <c:ptCount val="24"/>
                <c:pt idx="0">
                  <c:v>3.1701335271141717</c:v>
                </c:pt>
                <c:pt idx="1">
                  <c:v>2.9701166180758021</c:v>
                </c:pt>
                <c:pt idx="2">
                  <c:v>2.5011452130096368</c:v>
                </c:pt>
                <c:pt idx="3">
                  <c:v>3.6927893912883203</c:v>
                </c:pt>
                <c:pt idx="4">
                  <c:v>3.25023084025855</c:v>
                </c:pt>
                <c:pt idx="5">
                  <c:v>4.2282315769909706</c:v>
                </c:pt>
                <c:pt idx="6">
                  <c:v>5.6623039079179538</c:v>
                </c:pt>
                <c:pt idx="7">
                  <c:v>4.7521431233693789</c:v>
                </c:pt>
                <c:pt idx="8">
                  <c:v>3.4870745769016276</c:v>
                </c:pt>
                <c:pt idx="9">
                  <c:v>4.3889200823507446</c:v>
                </c:pt>
                <c:pt idx="10">
                  <c:v>4.9962434259954946</c:v>
                </c:pt>
                <c:pt idx="11">
                  <c:v>4.8270010370510041</c:v>
                </c:pt>
                <c:pt idx="12">
                  <c:v>7.111239414934567</c:v>
                </c:pt>
                <c:pt idx="13">
                  <c:v>8.994607087827422</c:v>
                </c:pt>
                <c:pt idx="14">
                  <c:v>6.5974225812656329</c:v>
                </c:pt>
                <c:pt idx="15">
                  <c:v>6.5508924264351176</c:v>
                </c:pt>
                <c:pt idx="16">
                  <c:v>6.6038652034573042</c:v>
                </c:pt>
                <c:pt idx="17">
                  <c:v>7.0866141732283339</c:v>
                </c:pt>
                <c:pt idx="18">
                  <c:v>8.3072407045009733</c:v>
                </c:pt>
                <c:pt idx="19">
                  <c:v>8.4117187220551273</c:v>
                </c:pt>
                <c:pt idx="20">
                  <c:v>7.9126070268674464</c:v>
                </c:pt>
                <c:pt idx="21">
                  <c:v>7.9014526894385595</c:v>
                </c:pt>
                <c:pt idx="22">
                  <c:v>7.7481365241271138</c:v>
                </c:pt>
                <c:pt idx="23">
                  <c:v>5.9637076998528604</c:v>
                </c:pt>
              </c:numCache>
            </c:numRef>
          </c:val>
        </c:ser>
        <c:axId val="81486592"/>
        <c:axId val="81488512"/>
      </c:barChart>
      <c:lineChart>
        <c:grouping val="standard"/>
        <c:ser>
          <c:idx val="2"/>
          <c:order val="2"/>
          <c:tx>
            <c:v>SPREAD</c:v>
          </c:tx>
          <c:spPr>
            <a:ln w="12700">
              <a:solidFill>
                <a:srgbClr val="FFFF00"/>
              </a:solidFill>
              <a:prstDash val="solid"/>
            </a:ln>
          </c:spPr>
          <c:marker>
            <c:symbol val="triangle"/>
            <c:size val="5"/>
            <c:spPr>
              <a:solidFill>
                <a:srgbClr val="FFFF00"/>
              </a:solidFill>
              <a:ln>
                <a:solidFill>
                  <a:srgbClr val="FFFF00"/>
                </a:solidFill>
                <a:prstDash val="solid"/>
              </a:ln>
            </c:spPr>
          </c:marker>
          <c:cat>
            <c:multiLvlStrRef>
              <c:f>'11.Anexo _Macrofinancieros'!$A$46:$C$69</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_Macrofinancieros'!$F$46:$F$69</c:f>
              <c:numCache>
                <c:formatCode>0.00</c:formatCode>
                <c:ptCount val="24"/>
                <c:pt idx="0">
                  <c:v>-0.89018076119539113</c:v>
                </c:pt>
                <c:pt idx="1">
                  <c:v>-0.82908163265305035</c:v>
                </c:pt>
                <c:pt idx="2">
                  <c:v>-1.1177278973888871</c:v>
                </c:pt>
                <c:pt idx="3">
                  <c:v>0.53411916382722913</c:v>
                </c:pt>
                <c:pt idx="4">
                  <c:v>0.5447830101569906</c:v>
                </c:pt>
                <c:pt idx="5">
                  <c:v>1.6448285475327395</c:v>
                </c:pt>
                <c:pt idx="6">
                  <c:v>3.712986169126542</c:v>
                </c:pt>
                <c:pt idx="7">
                  <c:v>2.6462914647782498</c:v>
                </c:pt>
                <c:pt idx="8">
                  <c:v>1.3297377719918346</c:v>
                </c:pt>
                <c:pt idx="9">
                  <c:v>3.0226464533034014</c:v>
                </c:pt>
                <c:pt idx="10">
                  <c:v>4.0195341848234474</c:v>
                </c:pt>
                <c:pt idx="11">
                  <c:v>4.2990477986235458</c:v>
                </c:pt>
                <c:pt idx="12">
                  <c:v>6.6301000769822815</c:v>
                </c:pt>
                <c:pt idx="13">
                  <c:v>7.9834360554699613</c:v>
                </c:pt>
                <c:pt idx="14">
                  <c:v>6.1550298134256609</c:v>
                </c:pt>
                <c:pt idx="15">
                  <c:v>5.9334298118668638</c:v>
                </c:pt>
                <c:pt idx="16">
                  <c:v>5.6715548217927569</c:v>
                </c:pt>
                <c:pt idx="17">
                  <c:v>5.9200933216681184</c:v>
                </c:pt>
                <c:pt idx="18">
                  <c:v>6.9275929549902138</c:v>
                </c:pt>
                <c:pt idx="19">
                  <c:v>7.0767129501666739</c:v>
                </c:pt>
                <c:pt idx="20">
                  <c:v>5.7769904536955075</c:v>
                </c:pt>
                <c:pt idx="21">
                  <c:v>6.2131919905771493</c:v>
                </c:pt>
                <c:pt idx="22">
                  <c:v>6.0415849352687623</c:v>
                </c:pt>
                <c:pt idx="23">
                  <c:v>3.9823442864149072</c:v>
                </c:pt>
              </c:numCache>
            </c:numRef>
          </c:val>
        </c:ser>
        <c:marker val="1"/>
        <c:axId val="81486592"/>
        <c:axId val="81488512"/>
      </c:lineChart>
      <c:catAx>
        <c:axId val="81486592"/>
        <c:scaling>
          <c:orientation val="minMax"/>
        </c:scaling>
        <c:axPos val="b"/>
        <c:numFmt formatCode="General" sourceLinked="1"/>
        <c:tickLblPos val="nextTo"/>
        <c:spPr>
          <a:ln w="3175">
            <a:solidFill>
              <a:srgbClr val="3366FF"/>
            </a:solidFill>
            <a:prstDash val="solid"/>
          </a:ln>
        </c:spPr>
        <c:txPr>
          <a:bodyPr rot="-5400000" vert="horz"/>
          <a:lstStyle/>
          <a:p>
            <a:pPr>
              <a:defRPr sz="750" b="0" i="0" u="none" strike="noStrike" baseline="0">
                <a:solidFill>
                  <a:srgbClr val="000000"/>
                </a:solidFill>
                <a:latin typeface="Arial"/>
                <a:ea typeface="Arial"/>
                <a:cs typeface="Arial"/>
              </a:defRPr>
            </a:pPr>
            <a:endParaRPr lang="es-ES"/>
          </a:p>
        </c:txPr>
        <c:crossAx val="81488512"/>
        <c:crosses val="autoZero"/>
        <c:auto val="1"/>
        <c:lblAlgn val="ctr"/>
        <c:lblOffset val="100"/>
        <c:tickLblSkip val="1"/>
        <c:tickMarkSkip val="1"/>
      </c:catAx>
      <c:valAx>
        <c:axId val="81488512"/>
        <c:scaling>
          <c:orientation val="minMax"/>
        </c:scaling>
        <c:axPos val="l"/>
        <c:title>
          <c:tx>
            <c:rich>
              <a:bodyPr/>
              <a:lstStyle/>
              <a:p>
                <a:pPr>
                  <a:defRPr sz="1075" b="1" i="0" u="none" strike="noStrike" baseline="0">
                    <a:solidFill>
                      <a:srgbClr val="000000"/>
                    </a:solidFill>
                    <a:latin typeface="Arial"/>
                    <a:ea typeface="Arial"/>
                    <a:cs typeface="Arial"/>
                  </a:defRPr>
                </a:pPr>
                <a:r>
                  <a:t>Tasas
</a:t>
                </a:r>
              </a:p>
            </c:rich>
          </c:tx>
          <c:layout>
            <c:manualLayout>
              <c:xMode val="edge"/>
              <c:yMode val="edge"/>
              <c:x val="3.0710172744721688E-2"/>
              <c:y val="0.44482758620689655"/>
            </c:manualLayout>
          </c:layout>
          <c:spPr>
            <a:noFill/>
            <a:ln w="25400">
              <a:noFill/>
            </a:ln>
          </c:spPr>
        </c:title>
        <c:numFmt formatCode="0.00" sourceLinked="1"/>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s-ES"/>
          </a:p>
        </c:txPr>
        <c:crossAx val="81486592"/>
        <c:crosses val="autoZero"/>
        <c:crossBetween val="between"/>
      </c:valAx>
      <c:spPr>
        <a:gradFill rotWithShape="0">
          <a:gsLst>
            <a:gs pos="0">
              <a:srgbClr val="99CCFF">
                <a:gamma/>
                <a:shade val="46275"/>
                <a:invGamma/>
              </a:srgbClr>
            </a:gs>
            <a:gs pos="100000">
              <a:srgbClr val="99CCFF"/>
            </a:gs>
          </a:gsLst>
          <a:path path="rect">
            <a:fillToRect l="50000" t="50000" r="50000" b="50000"/>
          </a:path>
        </a:gradFill>
        <a:ln w="12700">
          <a:solidFill>
            <a:srgbClr val="99CCFF"/>
          </a:solidFill>
          <a:prstDash val="solid"/>
        </a:ln>
      </c:spPr>
    </c:plotArea>
    <c:legend>
      <c:legendPos val="b"/>
      <c:layout>
        <c:manualLayout>
          <c:xMode val="edge"/>
          <c:yMode val="edge"/>
          <c:x val="0.30326295585412666"/>
          <c:y val="0.8896551724137931"/>
          <c:w val="0.56813819577735125"/>
          <c:h val="8.6206896551724144E-2"/>
        </c:manualLayout>
      </c:layout>
      <c:spPr>
        <a:solidFill>
          <a:srgbClr val="FFFFFF"/>
        </a:solidFill>
        <a:ln w="3175">
          <a:solidFill>
            <a:srgbClr val="000000"/>
          </a:solidFill>
          <a:prstDash val="solid"/>
        </a:ln>
      </c:spPr>
      <c:txPr>
        <a:bodyPr/>
        <a:lstStyle/>
        <a:p>
          <a:pPr>
            <a:defRPr sz="985" b="0" i="0" u="none" strike="noStrike" baseline="0">
              <a:solidFill>
                <a:srgbClr val="000000"/>
              </a:solidFill>
              <a:latin typeface="Arial"/>
              <a:ea typeface="Arial"/>
              <a:cs typeface="Arial"/>
            </a:defRPr>
          </a:pPr>
          <a:endParaRPr lang="es-ES"/>
        </a:p>
      </c:txPr>
    </c:legend>
    <c:plotVisOnly val="1"/>
    <c:dispBlanksAs val="gap"/>
  </c:chart>
  <c:spPr>
    <a:gradFill rotWithShape="0">
      <a:gsLst>
        <a:gs pos="0">
          <a:srgbClr val="99CCFF">
            <a:gamma/>
            <a:shade val="54118"/>
            <a:invGamma/>
          </a:srgbClr>
        </a:gs>
        <a:gs pos="100000">
          <a:srgbClr val="99CCFF"/>
        </a:gs>
      </a:gsLst>
      <a:path path="rect">
        <a:fillToRect l="50000" t="50000" r="50000" b="50000"/>
      </a:path>
    </a:gra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i="0" u="none" strike="noStrike" baseline="0">
                <a:solidFill>
                  <a:srgbClr val="000000"/>
                </a:solidFill>
                <a:latin typeface="Arial"/>
                <a:ea typeface="Arial"/>
                <a:cs typeface="Arial"/>
              </a:defRPr>
            </a:pPr>
            <a:r>
              <a:t>TASAS DE INTERES:OPERACIONES PASIVAS</a:t>
            </a:r>
          </a:p>
        </c:rich>
      </c:tx>
      <c:layout>
        <c:manualLayout>
          <c:xMode val="edge"/>
          <c:yMode val="edge"/>
          <c:x val="0.13265319341238183"/>
          <c:y val="3.8194573956210516E-2"/>
        </c:manualLayout>
      </c:layout>
      <c:spPr>
        <a:noFill/>
        <a:ln w="25400">
          <a:noFill/>
        </a:ln>
      </c:spPr>
    </c:title>
    <c:plotArea>
      <c:layout>
        <c:manualLayout>
          <c:layoutTarget val="inner"/>
          <c:xMode val="edge"/>
          <c:yMode val="edge"/>
          <c:x val="0.17142874225600113"/>
          <c:y val="0.22916744373726311"/>
          <c:w val="0.80000079719467199"/>
          <c:h val="0.42361254751433486"/>
        </c:manualLayout>
      </c:layout>
      <c:lineChart>
        <c:grouping val="standard"/>
        <c:ser>
          <c:idx val="1"/>
          <c:order val="0"/>
          <c:tx>
            <c:v>Dep. de Ahorro</c:v>
          </c:tx>
          <c:spPr>
            <a:ln w="12700">
              <a:solidFill>
                <a:srgbClr val="FF00FF"/>
              </a:solidFill>
              <a:prstDash val="solid"/>
            </a:ln>
          </c:spPr>
          <c:marker>
            <c:symbol val="square"/>
            <c:size val="5"/>
            <c:spPr>
              <a:solidFill>
                <a:srgbClr val="FF00FF"/>
              </a:solidFill>
              <a:ln>
                <a:solidFill>
                  <a:srgbClr val="FF00FF"/>
                </a:solidFill>
                <a:prstDash val="solid"/>
              </a:ln>
            </c:spPr>
          </c:marker>
          <c:cat>
            <c:multiLvlStrRef>
              <c:f>'11.Anexo _Macrofinancieros'!$A$82:$B$105</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_Macrofinancieros'!$D$82:$D$105</c:f>
              <c:numCache>
                <c:formatCode>_ * #,##0.00_ ;_ * \-#,##0.00_ ;_ * "-"??_ ;_ @_ </c:formatCode>
                <c:ptCount val="24"/>
                <c:pt idx="0">
                  <c:v>2.2200000000000002</c:v>
                </c:pt>
                <c:pt idx="1">
                  <c:v>2.25</c:v>
                </c:pt>
                <c:pt idx="2">
                  <c:v>2.2000000000000002</c:v>
                </c:pt>
                <c:pt idx="3">
                  <c:v>2.25</c:v>
                </c:pt>
                <c:pt idx="4">
                  <c:v>2.27</c:v>
                </c:pt>
                <c:pt idx="5">
                  <c:v>2.25</c:v>
                </c:pt>
                <c:pt idx="6">
                  <c:v>2.2999999999999998</c:v>
                </c:pt>
                <c:pt idx="7">
                  <c:v>2.2799999999999998</c:v>
                </c:pt>
                <c:pt idx="8">
                  <c:v>2.2400000000000002</c:v>
                </c:pt>
                <c:pt idx="9">
                  <c:v>2.2000000000000002</c:v>
                </c:pt>
                <c:pt idx="10">
                  <c:v>2.19</c:v>
                </c:pt>
                <c:pt idx="11">
                  <c:v>2.21</c:v>
                </c:pt>
                <c:pt idx="12">
                  <c:v>2.17</c:v>
                </c:pt>
                <c:pt idx="13">
                  <c:v>2.12</c:v>
                </c:pt>
                <c:pt idx="14">
                  <c:v>2.06</c:v>
                </c:pt>
                <c:pt idx="15">
                  <c:v>2.08</c:v>
                </c:pt>
                <c:pt idx="16">
                  <c:v>2</c:v>
                </c:pt>
                <c:pt idx="17">
                  <c:v>2</c:v>
                </c:pt>
                <c:pt idx="18">
                  <c:v>1.47</c:v>
                </c:pt>
                <c:pt idx="19">
                  <c:v>1.97</c:v>
                </c:pt>
                <c:pt idx="20">
                  <c:v>2.0299999999999998</c:v>
                </c:pt>
                <c:pt idx="21">
                  <c:v>2.0299999999999998</c:v>
                </c:pt>
                <c:pt idx="22">
                  <c:v>2.02</c:v>
                </c:pt>
                <c:pt idx="23">
                  <c:v>1.89</c:v>
                </c:pt>
              </c:numCache>
            </c:numRef>
          </c:val>
        </c:ser>
        <c:ser>
          <c:idx val="2"/>
          <c:order val="1"/>
          <c:tx>
            <c:v>Dep. a plazo</c:v>
          </c:tx>
          <c:spPr>
            <a:ln w="12700">
              <a:solidFill>
                <a:srgbClr val="FFFF00"/>
              </a:solidFill>
              <a:prstDash val="solid"/>
            </a:ln>
          </c:spPr>
          <c:marker>
            <c:symbol val="triangle"/>
            <c:size val="5"/>
            <c:spPr>
              <a:solidFill>
                <a:srgbClr val="FFFF00"/>
              </a:solidFill>
              <a:ln>
                <a:solidFill>
                  <a:srgbClr val="FFFF00"/>
                </a:solidFill>
                <a:prstDash val="solid"/>
              </a:ln>
            </c:spPr>
          </c:marker>
          <c:cat>
            <c:multiLvlStrRef>
              <c:f>'11.Anexo _Macrofinancieros'!$A$82:$B$105</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_Macrofinancieros'!$E$82:$E$105</c:f>
              <c:numCache>
                <c:formatCode>_ * #,##0.00_ ;_ * \-#,##0.00_ ;_ * "-"??_ ;_ @_ </c:formatCode>
                <c:ptCount val="24"/>
                <c:pt idx="0">
                  <c:v>5.73</c:v>
                </c:pt>
                <c:pt idx="1">
                  <c:v>5.59</c:v>
                </c:pt>
                <c:pt idx="2">
                  <c:v>5.57</c:v>
                </c:pt>
                <c:pt idx="3">
                  <c:v>5.49</c:v>
                </c:pt>
                <c:pt idx="4">
                  <c:v>5.51</c:v>
                </c:pt>
                <c:pt idx="5">
                  <c:v>5.48</c:v>
                </c:pt>
                <c:pt idx="6">
                  <c:v>5.52</c:v>
                </c:pt>
                <c:pt idx="7">
                  <c:v>5.62</c:v>
                </c:pt>
                <c:pt idx="8">
                  <c:v>5.64</c:v>
                </c:pt>
                <c:pt idx="9">
                  <c:v>5.48</c:v>
                </c:pt>
                <c:pt idx="10">
                  <c:v>5.43</c:v>
                </c:pt>
                <c:pt idx="11">
                  <c:v>5.25</c:v>
                </c:pt>
                <c:pt idx="12">
                  <c:v>5.34</c:v>
                </c:pt>
                <c:pt idx="13">
                  <c:v>5.0999999999999996</c:v>
                </c:pt>
                <c:pt idx="14">
                  <c:v>4.9800000000000004</c:v>
                </c:pt>
                <c:pt idx="15">
                  <c:v>4.21</c:v>
                </c:pt>
                <c:pt idx="16">
                  <c:v>4.01</c:v>
                </c:pt>
                <c:pt idx="17">
                  <c:v>3.84</c:v>
                </c:pt>
                <c:pt idx="18">
                  <c:v>3.74</c:v>
                </c:pt>
                <c:pt idx="19">
                  <c:v>3.7</c:v>
                </c:pt>
                <c:pt idx="20">
                  <c:v>3.51</c:v>
                </c:pt>
                <c:pt idx="21">
                  <c:v>3.43</c:v>
                </c:pt>
                <c:pt idx="22">
                  <c:v>3.46</c:v>
                </c:pt>
                <c:pt idx="23">
                  <c:v>3.47</c:v>
                </c:pt>
              </c:numCache>
            </c:numRef>
          </c:val>
        </c:ser>
        <c:ser>
          <c:idx val="3"/>
          <c:order val="2"/>
          <c:tx>
            <c:v>Operaciones de reporto</c:v>
          </c:tx>
          <c:spPr>
            <a:ln w="12700">
              <a:solidFill>
                <a:srgbClr val="00FFFF"/>
              </a:solidFill>
              <a:prstDash val="solid"/>
            </a:ln>
          </c:spPr>
          <c:marker>
            <c:symbol val="x"/>
            <c:size val="5"/>
            <c:spPr>
              <a:noFill/>
              <a:ln>
                <a:solidFill>
                  <a:srgbClr val="00FFFF"/>
                </a:solidFill>
                <a:prstDash val="solid"/>
              </a:ln>
            </c:spPr>
          </c:marker>
          <c:cat>
            <c:multiLvlStrRef>
              <c:f>'11.Anexo _Macrofinancieros'!$A$82:$B$105</c:f>
              <c:multiLvlStrCache>
                <c:ptCount val="24"/>
                <c:lvl>
                  <c:pt idx="0">
                    <c:v>En</c:v>
                  </c:pt>
                  <c:pt idx="1">
                    <c:v>Feb</c:v>
                  </c:pt>
                  <c:pt idx="2">
                    <c:v>Marz</c:v>
                  </c:pt>
                  <c:pt idx="3">
                    <c:v>Abril</c:v>
                  </c:pt>
                  <c:pt idx="4">
                    <c:v>May</c:v>
                  </c:pt>
                  <c:pt idx="5">
                    <c:v>Jun</c:v>
                  </c:pt>
                  <c:pt idx="6">
                    <c:v>Jul</c:v>
                  </c:pt>
                  <c:pt idx="7">
                    <c:v>Ag</c:v>
                  </c:pt>
                  <c:pt idx="8">
                    <c:v>Sept</c:v>
                  </c:pt>
                  <c:pt idx="9">
                    <c:v>Oct</c:v>
                  </c:pt>
                  <c:pt idx="10">
                    <c:v>Nov</c:v>
                  </c:pt>
                  <c:pt idx="11">
                    <c:v>Dic</c:v>
                  </c:pt>
                  <c:pt idx="12">
                    <c:v>En</c:v>
                  </c:pt>
                  <c:pt idx="13">
                    <c:v>Feb</c:v>
                  </c:pt>
                  <c:pt idx="14">
                    <c:v>Marz</c:v>
                  </c:pt>
                  <c:pt idx="15">
                    <c:v>Abril</c:v>
                  </c:pt>
                  <c:pt idx="16">
                    <c:v>May</c:v>
                  </c:pt>
                  <c:pt idx="17">
                    <c:v>Jun</c:v>
                  </c:pt>
                  <c:pt idx="18">
                    <c:v>Jul</c:v>
                  </c:pt>
                  <c:pt idx="19">
                    <c:v>Ag</c:v>
                  </c:pt>
                  <c:pt idx="20">
                    <c:v>Sept</c:v>
                  </c:pt>
                  <c:pt idx="21">
                    <c:v>Oct</c:v>
                  </c:pt>
                  <c:pt idx="22">
                    <c:v>Nov</c:v>
                  </c:pt>
                  <c:pt idx="23">
                    <c:v>Dic</c:v>
                  </c:pt>
                </c:lvl>
                <c:lvl>
                  <c:pt idx="0">
                    <c:v>2003</c:v>
                  </c:pt>
                  <c:pt idx="12">
                    <c:v>2004</c:v>
                  </c:pt>
                </c:lvl>
              </c:multiLvlStrCache>
            </c:multiLvlStrRef>
          </c:cat>
          <c:val>
            <c:numRef>
              <c:f>'11.Anexo _Macrofinancieros'!$F$82:$F$105</c:f>
              <c:numCache>
                <c:formatCode>_ * #,##0.00_ ;_ * \-#,##0.00_ ;_ * "-"??_ ;_ @_ </c:formatCode>
                <c:ptCount val="24"/>
                <c:pt idx="0">
                  <c:v>0.85</c:v>
                </c:pt>
                <c:pt idx="1">
                  <c:v>1.21</c:v>
                </c:pt>
                <c:pt idx="2">
                  <c:v>0.51</c:v>
                </c:pt>
                <c:pt idx="3">
                  <c:v>1.0900000000000001</c:v>
                </c:pt>
                <c:pt idx="4">
                  <c:v>0.82</c:v>
                </c:pt>
                <c:pt idx="5">
                  <c:v>0.2</c:v>
                </c:pt>
                <c:pt idx="6">
                  <c:v>0.5</c:v>
                </c:pt>
                <c:pt idx="7">
                  <c:v>0.67</c:v>
                </c:pt>
                <c:pt idx="8">
                  <c:v>0.72</c:v>
                </c:pt>
                <c:pt idx="9">
                  <c:v>0.93</c:v>
                </c:pt>
                <c:pt idx="10">
                  <c:v>1.02</c:v>
                </c:pt>
                <c:pt idx="11">
                  <c:v>0.48</c:v>
                </c:pt>
                <c:pt idx="12">
                  <c:v>0.55000000000000004</c:v>
                </c:pt>
                <c:pt idx="13">
                  <c:v>0.62</c:v>
                </c:pt>
                <c:pt idx="14">
                  <c:v>0.55000000000000004</c:v>
                </c:pt>
                <c:pt idx="15">
                  <c:v>0.55000000000000004</c:v>
                </c:pt>
                <c:pt idx="16">
                  <c:v>0.56000000000000005</c:v>
                </c:pt>
                <c:pt idx="17">
                  <c:v>0.54</c:v>
                </c:pt>
                <c:pt idx="18">
                  <c:v>0.57999999999999996</c:v>
                </c:pt>
                <c:pt idx="19">
                  <c:v>0.59</c:v>
                </c:pt>
                <c:pt idx="20">
                  <c:v>0.56999999999999995</c:v>
                </c:pt>
                <c:pt idx="21">
                  <c:v>0.67</c:v>
                </c:pt>
                <c:pt idx="22">
                  <c:v>0.6</c:v>
                </c:pt>
                <c:pt idx="23">
                  <c:v>0.56000000000000005</c:v>
                </c:pt>
              </c:numCache>
            </c:numRef>
          </c:val>
        </c:ser>
        <c:marker val="1"/>
        <c:axId val="81526784"/>
        <c:axId val="81528704"/>
      </c:lineChart>
      <c:catAx>
        <c:axId val="81526784"/>
        <c:scaling>
          <c:orientation val="minMax"/>
        </c:scaling>
        <c:axPos val="b"/>
        <c:numFmt formatCode="General" sourceLinked="1"/>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s-ES"/>
          </a:p>
        </c:txPr>
        <c:crossAx val="81528704"/>
        <c:crosses val="autoZero"/>
        <c:auto val="1"/>
        <c:lblAlgn val="ctr"/>
        <c:lblOffset val="100"/>
        <c:tickLblSkip val="2"/>
        <c:tickMarkSkip val="1"/>
      </c:catAx>
      <c:valAx>
        <c:axId val="81528704"/>
        <c:scaling>
          <c:orientation val="minMax"/>
        </c:scaling>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t>Tasas</a:t>
                </a:r>
              </a:p>
            </c:rich>
          </c:tx>
          <c:layout>
            <c:manualLayout>
              <c:xMode val="edge"/>
              <c:yMode val="edge"/>
              <c:x val="3.2653093763047834E-2"/>
              <c:y val="0.37152903757404776"/>
            </c:manualLayout>
          </c:layout>
          <c:spPr>
            <a:noFill/>
            <a:ln w="25400">
              <a:noFill/>
            </a:ln>
          </c:spPr>
        </c:title>
        <c:numFmt formatCode="_ * #,##0.00_ ;_ * \-#,##0.00_ ;_ * &quot;-&quot;??_ ;_ @_ "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1526784"/>
        <c:crosses val="autoZero"/>
        <c:crossBetween val="between"/>
      </c:valAx>
      <c:spPr>
        <a:solidFill>
          <a:srgbClr val="FFFFCC"/>
        </a:solidFill>
        <a:ln w="25400">
          <a:noFill/>
        </a:ln>
      </c:spPr>
    </c:plotArea>
    <c:legend>
      <c:legendPos val="b"/>
      <c:layout>
        <c:manualLayout>
          <c:xMode val="edge"/>
          <c:yMode val="edge"/>
          <c:x val="8.3673552767810078E-2"/>
          <c:y val="0.89236413697691841"/>
          <c:w val="0.8326538909577198"/>
          <c:h val="8.3333615904459313E-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gradFill rotWithShape="0">
      <a:gsLst>
        <a:gs pos="0">
          <a:srgbClr val="FFFFFF">
            <a:gamma/>
            <a:shade val="46275"/>
            <a:invGamma/>
          </a:srgbClr>
        </a:gs>
        <a:gs pos="100000">
          <a:srgbClr val="FFFFFF"/>
        </a:gs>
      </a:gsLst>
      <a:path path="rect">
        <a:fillToRect l="50000" t="50000" r="50000" b="50000"/>
      </a:path>
    </a:gra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i="0" u="none" strike="noStrike" baseline="0">
                <a:solidFill>
                  <a:srgbClr val="000000"/>
                </a:solidFill>
                <a:latin typeface="Arial"/>
                <a:ea typeface="Arial"/>
                <a:cs typeface="Arial"/>
              </a:defRPr>
            </a:pPr>
            <a:r>
              <a:rPr lang="es-ES"/>
              <a:t>INFLACIÓN ACUMULADA
2000-2004</a:t>
            </a:r>
          </a:p>
        </c:rich>
      </c:tx>
      <c:layout>
        <c:manualLayout>
          <c:xMode val="edge"/>
          <c:yMode val="edge"/>
          <c:x val="0.30374811958387188"/>
          <c:y val="3.7800814140403982E-2"/>
        </c:manualLayout>
      </c:layout>
      <c:spPr>
        <a:noFill/>
        <a:ln w="25400">
          <a:noFill/>
        </a:ln>
      </c:spPr>
    </c:title>
    <c:plotArea>
      <c:layout>
        <c:manualLayout>
          <c:layoutTarget val="inner"/>
          <c:xMode val="edge"/>
          <c:yMode val="edge"/>
          <c:x val="0.18934947714319283"/>
          <c:y val="0.30240651312323186"/>
          <c:w val="0.78303898360257873"/>
          <c:h val="0.38831745435142273"/>
        </c:manualLayout>
      </c:layout>
      <c:lineChart>
        <c:grouping val="standard"/>
        <c:ser>
          <c:idx val="0"/>
          <c:order val="0"/>
          <c:tx>
            <c:v>2000</c:v>
          </c:tx>
          <c:spPr>
            <a:ln w="25400">
              <a:solidFill>
                <a:srgbClr val="0000FF"/>
              </a:solidFill>
              <a:prstDash val="solid"/>
            </a:ln>
          </c:spPr>
          <c:marker>
            <c:symbol val="none"/>
          </c:marker>
          <c:cat>
            <c:strRef>
              <c:f>'12.Anexo_Macroeconómicos'!$A$12:$A$23</c:f>
              <c:strCache>
                <c:ptCount val="12"/>
                <c:pt idx="0">
                  <c:v>Ene</c:v>
                </c:pt>
                <c:pt idx="1">
                  <c:v>Feb</c:v>
                </c:pt>
                <c:pt idx="2">
                  <c:v>Marz</c:v>
                </c:pt>
                <c:pt idx="3">
                  <c:v>Ab</c:v>
                </c:pt>
                <c:pt idx="4">
                  <c:v>May</c:v>
                </c:pt>
                <c:pt idx="5">
                  <c:v>Jun</c:v>
                </c:pt>
                <c:pt idx="6">
                  <c:v>Jul</c:v>
                </c:pt>
                <c:pt idx="7">
                  <c:v>Ag</c:v>
                </c:pt>
                <c:pt idx="8">
                  <c:v>Sep</c:v>
                </c:pt>
                <c:pt idx="9">
                  <c:v>Oct</c:v>
                </c:pt>
                <c:pt idx="10">
                  <c:v>Nov</c:v>
                </c:pt>
                <c:pt idx="11">
                  <c:v>Dic</c:v>
                </c:pt>
              </c:strCache>
            </c:strRef>
          </c:cat>
          <c:val>
            <c:numRef>
              <c:f>'12.Anexo_Macroeconómicos'!$B$12:$B$23</c:f>
              <c:numCache>
                <c:formatCode>_ * #,##0.0_ ;_ * \-#,##0.0_ ;_ * "-"??_ ;_ @_ </c:formatCode>
                <c:ptCount val="12"/>
                <c:pt idx="0">
                  <c:v>14.3</c:v>
                </c:pt>
                <c:pt idx="1">
                  <c:v>25.8</c:v>
                </c:pt>
                <c:pt idx="2">
                  <c:v>35.299999999999997</c:v>
                </c:pt>
                <c:pt idx="3">
                  <c:v>49.1</c:v>
                </c:pt>
                <c:pt idx="4">
                  <c:v>56.8</c:v>
                </c:pt>
                <c:pt idx="5">
                  <c:v>65.099999999999994</c:v>
                </c:pt>
                <c:pt idx="6">
                  <c:v>69.099999999999994</c:v>
                </c:pt>
                <c:pt idx="7">
                  <c:v>71.400000000000006</c:v>
                </c:pt>
                <c:pt idx="8">
                  <c:v>77.7</c:v>
                </c:pt>
                <c:pt idx="9">
                  <c:v>82.5</c:v>
                </c:pt>
                <c:pt idx="10">
                  <c:v>86.4</c:v>
                </c:pt>
                <c:pt idx="11">
                  <c:v>91</c:v>
                </c:pt>
              </c:numCache>
            </c:numRef>
          </c:val>
        </c:ser>
        <c:ser>
          <c:idx val="2"/>
          <c:order val="1"/>
          <c:tx>
            <c:v>2001</c:v>
          </c:tx>
          <c:spPr>
            <a:ln w="25400">
              <a:solidFill>
                <a:srgbClr val="FFFF00"/>
              </a:solidFill>
              <a:prstDash val="solid"/>
            </a:ln>
          </c:spPr>
          <c:marker>
            <c:symbol val="none"/>
          </c:marker>
          <c:cat>
            <c:strRef>
              <c:f>'12.Anexo_Macroeconómicos'!$A$12:$A$23</c:f>
              <c:strCache>
                <c:ptCount val="12"/>
                <c:pt idx="0">
                  <c:v>Ene</c:v>
                </c:pt>
                <c:pt idx="1">
                  <c:v>Feb</c:v>
                </c:pt>
                <c:pt idx="2">
                  <c:v>Marz</c:v>
                </c:pt>
                <c:pt idx="3">
                  <c:v>Ab</c:v>
                </c:pt>
                <c:pt idx="4">
                  <c:v>May</c:v>
                </c:pt>
                <c:pt idx="5">
                  <c:v>Jun</c:v>
                </c:pt>
                <c:pt idx="6">
                  <c:v>Jul</c:v>
                </c:pt>
                <c:pt idx="7">
                  <c:v>Ag</c:v>
                </c:pt>
                <c:pt idx="8">
                  <c:v>Sep</c:v>
                </c:pt>
                <c:pt idx="9">
                  <c:v>Oct</c:v>
                </c:pt>
                <c:pt idx="10">
                  <c:v>Nov</c:v>
                </c:pt>
                <c:pt idx="11">
                  <c:v>Dic</c:v>
                </c:pt>
              </c:strCache>
            </c:strRef>
          </c:cat>
          <c:val>
            <c:numRef>
              <c:f>'12.Anexo_Macroeconómicos'!$C$12:$C$23</c:f>
              <c:numCache>
                <c:formatCode>_ * #,##0.0_ ;_ * \-#,##0.0_ ;_ * "-"??_ ;_ @_ </c:formatCode>
                <c:ptCount val="12"/>
                <c:pt idx="0">
                  <c:v>7</c:v>
                </c:pt>
                <c:pt idx="1">
                  <c:v>9.9</c:v>
                </c:pt>
                <c:pt idx="2">
                  <c:v>12.1</c:v>
                </c:pt>
                <c:pt idx="3">
                  <c:v>13.8</c:v>
                </c:pt>
                <c:pt idx="4">
                  <c:v>14</c:v>
                </c:pt>
                <c:pt idx="5">
                  <c:v>14.5</c:v>
                </c:pt>
                <c:pt idx="6">
                  <c:v>14.7</c:v>
                </c:pt>
                <c:pt idx="7">
                  <c:v>15.1</c:v>
                </c:pt>
                <c:pt idx="8">
                  <c:v>17.100000000000001</c:v>
                </c:pt>
                <c:pt idx="9">
                  <c:v>18.3</c:v>
                </c:pt>
                <c:pt idx="10">
                  <c:v>19.899999999999999</c:v>
                </c:pt>
                <c:pt idx="11">
                  <c:v>20.6</c:v>
                </c:pt>
              </c:numCache>
            </c:numRef>
          </c:val>
        </c:ser>
        <c:ser>
          <c:idx val="4"/>
          <c:order val="2"/>
          <c:tx>
            <c:v>2002</c:v>
          </c:tx>
          <c:spPr>
            <a:ln w="25400">
              <a:solidFill>
                <a:srgbClr val="00CCFF"/>
              </a:solidFill>
              <a:prstDash val="solid"/>
            </a:ln>
          </c:spPr>
          <c:marker>
            <c:symbol val="none"/>
          </c:marker>
          <c:cat>
            <c:strRef>
              <c:f>'12.Anexo_Macroeconómicos'!$A$12:$A$23</c:f>
              <c:strCache>
                <c:ptCount val="12"/>
                <c:pt idx="0">
                  <c:v>Ene</c:v>
                </c:pt>
                <c:pt idx="1">
                  <c:v>Feb</c:v>
                </c:pt>
                <c:pt idx="2">
                  <c:v>Marz</c:v>
                </c:pt>
                <c:pt idx="3">
                  <c:v>Ab</c:v>
                </c:pt>
                <c:pt idx="4">
                  <c:v>May</c:v>
                </c:pt>
                <c:pt idx="5">
                  <c:v>Jun</c:v>
                </c:pt>
                <c:pt idx="6">
                  <c:v>Jul</c:v>
                </c:pt>
                <c:pt idx="7">
                  <c:v>Ag</c:v>
                </c:pt>
                <c:pt idx="8">
                  <c:v>Sep</c:v>
                </c:pt>
                <c:pt idx="9">
                  <c:v>Oct</c:v>
                </c:pt>
                <c:pt idx="10">
                  <c:v>Nov</c:v>
                </c:pt>
                <c:pt idx="11">
                  <c:v>Dic</c:v>
                </c:pt>
              </c:strCache>
            </c:strRef>
          </c:cat>
          <c:val>
            <c:numRef>
              <c:f>'12.Anexo_Macroeconómicos'!$D$12:$D$23</c:f>
              <c:numCache>
                <c:formatCode>_ * #,##0.0_ ;_ * \-#,##0.0_ ;_ * "-"??_ ;_ @_ </c:formatCode>
                <c:ptCount val="12"/>
                <c:pt idx="0">
                  <c:v>1.8</c:v>
                </c:pt>
                <c:pt idx="1">
                  <c:v>2.9</c:v>
                </c:pt>
                <c:pt idx="2">
                  <c:v>4</c:v>
                </c:pt>
                <c:pt idx="3">
                  <c:v>5.49</c:v>
                </c:pt>
                <c:pt idx="4">
                  <c:v>5.98</c:v>
                </c:pt>
                <c:pt idx="5">
                  <c:v>6.37</c:v>
                </c:pt>
                <c:pt idx="6">
                  <c:v>6.3</c:v>
                </c:pt>
                <c:pt idx="7">
                  <c:v>6.74</c:v>
                </c:pt>
                <c:pt idx="8">
                  <c:v>7.32</c:v>
                </c:pt>
                <c:pt idx="9">
                  <c:v>7.97</c:v>
                </c:pt>
                <c:pt idx="10">
                  <c:v>8.98</c:v>
                </c:pt>
                <c:pt idx="11">
                  <c:v>9.36</c:v>
                </c:pt>
              </c:numCache>
            </c:numRef>
          </c:val>
        </c:ser>
        <c:ser>
          <c:idx val="6"/>
          <c:order val="3"/>
          <c:tx>
            <c:v>2003</c:v>
          </c:tx>
          <c:spPr>
            <a:ln w="25400">
              <a:solidFill>
                <a:srgbClr val="99CC00"/>
              </a:solidFill>
              <a:prstDash val="solid"/>
            </a:ln>
          </c:spPr>
          <c:marker>
            <c:symbol val="none"/>
          </c:marker>
          <c:cat>
            <c:strRef>
              <c:f>'12.Anexo_Macroeconómicos'!$A$12:$A$23</c:f>
              <c:strCache>
                <c:ptCount val="12"/>
                <c:pt idx="0">
                  <c:v>Ene</c:v>
                </c:pt>
                <c:pt idx="1">
                  <c:v>Feb</c:v>
                </c:pt>
                <c:pt idx="2">
                  <c:v>Marz</c:v>
                </c:pt>
                <c:pt idx="3">
                  <c:v>Ab</c:v>
                </c:pt>
                <c:pt idx="4">
                  <c:v>May</c:v>
                </c:pt>
                <c:pt idx="5">
                  <c:v>Jun</c:v>
                </c:pt>
                <c:pt idx="6">
                  <c:v>Jul</c:v>
                </c:pt>
                <c:pt idx="7">
                  <c:v>Ag</c:v>
                </c:pt>
                <c:pt idx="8">
                  <c:v>Sep</c:v>
                </c:pt>
                <c:pt idx="9">
                  <c:v>Oct</c:v>
                </c:pt>
                <c:pt idx="10">
                  <c:v>Nov</c:v>
                </c:pt>
                <c:pt idx="11">
                  <c:v>Dic</c:v>
                </c:pt>
              </c:strCache>
            </c:strRef>
          </c:cat>
          <c:val>
            <c:numRef>
              <c:f>'12.Anexo_Macroeconómicos'!$E$12:$E$23</c:f>
              <c:numCache>
                <c:formatCode>_ * #,##0.0_ ;_ * \-#,##0.0_ ;_ * "-"??_ ;_ @_ </c:formatCode>
                <c:ptCount val="12"/>
                <c:pt idx="0">
                  <c:v>2.48</c:v>
                </c:pt>
                <c:pt idx="1">
                  <c:v>3.25</c:v>
                </c:pt>
                <c:pt idx="2">
                  <c:v>3.82</c:v>
                </c:pt>
                <c:pt idx="3">
                  <c:v>4.8600000000000003</c:v>
                </c:pt>
                <c:pt idx="4">
                  <c:v>5.05</c:v>
                </c:pt>
                <c:pt idx="5">
                  <c:v>4.83</c:v>
                </c:pt>
                <c:pt idx="6">
                  <c:v>4.8600000000000003</c:v>
                </c:pt>
                <c:pt idx="7">
                  <c:v>4.92</c:v>
                </c:pt>
                <c:pt idx="8">
                  <c:v>5.75</c:v>
                </c:pt>
                <c:pt idx="9">
                  <c:v>5.76</c:v>
                </c:pt>
                <c:pt idx="10">
                  <c:v>6.11</c:v>
                </c:pt>
                <c:pt idx="11">
                  <c:v>6.11</c:v>
                </c:pt>
              </c:numCache>
            </c:numRef>
          </c:val>
        </c:ser>
        <c:ser>
          <c:idx val="1"/>
          <c:order val="4"/>
          <c:tx>
            <c:v>2004</c:v>
          </c:tx>
          <c:spPr>
            <a:ln w="25400">
              <a:solidFill>
                <a:srgbClr val="FF00FF"/>
              </a:solidFill>
              <a:prstDash val="solid"/>
            </a:ln>
          </c:spPr>
          <c:marker>
            <c:symbol val="none"/>
          </c:marker>
          <c:val>
            <c:numRef>
              <c:f>'12.Anexo_Macroeconómicos'!$F$12:$F$23</c:f>
              <c:numCache>
                <c:formatCode>_ * #,##0.0_ ;_ * \-#,##0.0_ ;_ * "-"??_ ;_ @_ </c:formatCode>
                <c:ptCount val="12"/>
                <c:pt idx="0">
                  <c:v>0.41</c:v>
                </c:pt>
                <c:pt idx="1">
                  <c:v>1.1000000000000001</c:v>
                </c:pt>
                <c:pt idx="2">
                  <c:v>1.81</c:v>
                </c:pt>
                <c:pt idx="3">
                  <c:v>2.4700000000000002</c:v>
                </c:pt>
                <c:pt idx="4">
                  <c:v>2</c:v>
                </c:pt>
                <c:pt idx="5" formatCode="0.0">
                  <c:v>1.67</c:v>
                </c:pt>
                <c:pt idx="6">
                  <c:v>1.04</c:v>
                </c:pt>
                <c:pt idx="7">
                  <c:v>1.0681127269739576</c:v>
                </c:pt>
                <c:pt idx="8">
                  <c:v>1.31</c:v>
                </c:pt>
                <c:pt idx="9">
                  <c:v>1.59</c:v>
                </c:pt>
                <c:pt idx="10">
                  <c:v>2</c:v>
                </c:pt>
                <c:pt idx="11">
                  <c:v>1.95</c:v>
                </c:pt>
              </c:numCache>
            </c:numRef>
          </c:val>
        </c:ser>
        <c:marker val="1"/>
        <c:axId val="81577472"/>
        <c:axId val="81579008"/>
      </c:lineChart>
      <c:catAx>
        <c:axId val="81577472"/>
        <c:scaling>
          <c:orientation val="minMax"/>
        </c:scaling>
        <c:axPos val="b"/>
        <c:numFmt formatCode="General" sourceLinked="1"/>
        <c:tickLblPos val="nextTo"/>
        <c:spPr>
          <a:ln w="3175">
            <a:solidFill>
              <a:srgbClr val="000000"/>
            </a:solidFill>
            <a:prstDash val="solid"/>
          </a:ln>
        </c:spPr>
        <c:txPr>
          <a:bodyPr rot="-2700000" vert="horz"/>
          <a:lstStyle/>
          <a:p>
            <a:pPr>
              <a:defRPr sz="1025" b="0" i="0" u="none" strike="noStrike" baseline="0">
                <a:solidFill>
                  <a:srgbClr val="000000"/>
                </a:solidFill>
                <a:latin typeface="Arial"/>
                <a:ea typeface="Arial"/>
                <a:cs typeface="Arial"/>
              </a:defRPr>
            </a:pPr>
            <a:endParaRPr lang="es-ES"/>
          </a:p>
        </c:txPr>
        <c:crossAx val="81579008"/>
        <c:crosses val="autoZero"/>
        <c:auto val="1"/>
        <c:lblAlgn val="ctr"/>
        <c:lblOffset val="100"/>
        <c:tickLblSkip val="1"/>
        <c:tickMarkSkip val="1"/>
      </c:catAx>
      <c:valAx>
        <c:axId val="81579008"/>
        <c:scaling>
          <c:orientation val="minMax"/>
        </c:scaling>
        <c:axPos val="l"/>
        <c:majorGridlines>
          <c:spPr>
            <a:ln w="3175">
              <a:solidFill>
                <a:srgbClr val="969696"/>
              </a:solidFill>
              <a:prstDash val="solid"/>
            </a:ln>
          </c:spPr>
        </c:majorGridlines>
        <c:title>
          <c:tx>
            <c:rich>
              <a:bodyPr/>
              <a:lstStyle/>
              <a:p>
                <a:pPr>
                  <a:defRPr sz="1025" b="1" i="0" u="none" strike="noStrike" baseline="0">
                    <a:solidFill>
                      <a:srgbClr val="000000"/>
                    </a:solidFill>
                    <a:latin typeface="Arial"/>
                    <a:ea typeface="Arial"/>
                    <a:cs typeface="Arial"/>
                  </a:defRPr>
                </a:pPr>
                <a:r>
                  <a:rPr lang="es-ES"/>
                  <a:t>Porcentajes</a:t>
                </a:r>
              </a:p>
            </c:rich>
          </c:tx>
          <c:layout>
            <c:manualLayout>
              <c:xMode val="edge"/>
              <c:yMode val="edge"/>
              <c:x val="3.1558246190532144E-2"/>
              <c:y val="0.34364376491276349"/>
            </c:manualLayout>
          </c:layout>
          <c:spPr>
            <a:noFill/>
            <a:ln w="25400">
              <a:noFill/>
            </a:ln>
          </c:spPr>
        </c:title>
        <c:numFmt formatCode="_ * #,##0.0_ ;_ * \-#,##0.0_ ;_ * &quot;-&quot;??_ ;_ @_ " sourceLinked="1"/>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81577472"/>
        <c:crosses val="autoZero"/>
        <c:crossBetween val="between"/>
      </c:valAx>
      <c:spPr>
        <a:solidFill>
          <a:srgbClr val="CCCCFF"/>
        </a:solidFill>
        <a:ln w="25400">
          <a:noFill/>
        </a:ln>
      </c:spPr>
    </c:plotArea>
    <c:legend>
      <c:legendPos val="b"/>
      <c:layout>
        <c:manualLayout>
          <c:xMode val="edge"/>
          <c:yMode val="edge"/>
          <c:x val="0.27416226378024799"/>
          <c:y val="0.89347378877318506"/>
          <c:w val="0.61144101994156019"/>
          <c:h val="8.2474503579063232E-2"/>
        </c:manualLayout>
      </c:layout>
      <c:spPr>
        <a:solidFill>
          <a:srgbClr val="FFFFFF"/>
        </a:solidFill>
        <a:ln w="3175">
          <a:solidFill>
            <a:srgbClr val="000000"/>
          </a:solidFill>
          <a:prstDash val="solid"/>
        </a:ln>
      </c:spPr>
      <c:txPr>
        <a:bodyPr/>
        <a:lstStyle/>
        <a:p>
          <a:pPr>
            <a:defRPr sz="920" b="1" i="0" u="none" strike="noStrike" baseline="0">
              <a:solidFill>
                <a:srgbClr val="000000"/>
              </a:solidFill>
              <a:latin typeface="Arial"/>
              <a:ea typeface="Arial"/>
              <a:cs typeface="Arial"/>
            </a:defRPr>
          </a:pPr>
          <a:endParaRPr lang="es-ES"/>
        </a:p>
      </c:txPr>
    </c:legend>
    <c:plotVisOnly val="1"/>
    <c:dispBlanksAs val="gap"/>
  </c:chart>
  <c:spPr>
    <a:gradFill rotWithShape="0">
      <a:gsLst>
        <a:gs pos="0">
          <a:srgbClr val="FFFFCC">
            <a:gamma/>
            <a:shade val="69804"/>
            <a:invGamma/>
          </a:srgbClr>
        </a:gs>
        <a:gs pos="100000">
          <a:srgbClr val="FFFFCC"/>
        </a:gs>
      </a:gsLst>
      <a:path path="rect">
        <a:fillToRect l="50000" t="50000" r="50000" b="50000"/>
      </a:path>
    </a:gradFill>
    <a:ln w="3175">
      <a:solidFill>
        <a:srgbClr val="99CCFF"/>
      </a:solidFill>
      <a:prstDash val="solid"/>
    </a:ln>
    <a:effectLst>
      <a:outerShdw dist="35921" dir="2700000" algn="br">
        <a:srgbClr val="000000"/>
      </a:outerShdw>
    </a:effectLst>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i="0" u="none" strike="noStrike" baseline="0">
                <a:solidFill>
                  <a:srgbClr val="000000"/>
                </a:solidFill>
                <a:latin typeface="Arial"/>
                <a:ea typeface="Arial"/>
                <a:cs typeface="Arial"/>
              </a:defRPr>
            </a:pPr>
            <a:r>
              <a:rPr lang="es-ES"/>
              <a:t>RIESGO PAIS
2003-2004</a:t>
            </a:r>
          </a:p>
        </c:rich>
      </c:tx>
      <c:layout>
        <c:manualLayout>
          <c:xMode val="edge"/>
          <c:yMode val="edge"/>
          <c:x val="0.38979630679638355"/>
          <c:y val="3.678929765886288E-2"/>
        </c:manualLayout>
      </c:layout>
      <c:spPr>
        <a:noFill/>
        <a:ln w="25400">
          <a:noFill/>
        </a:ln>
      </c:spPr>
    </c:title>
    <c:plotArea>
      <c:layout>
        <c:manualLayout>
          <c:layoutTarget val="inner"/>
          <c:xMode val="edge"/>
          <c:yMode val="edge"/>
          <c:x val="0.16122465045504869"/>
          <c:y val="0.29431438127090304"/>
          <c:w val="0.66938842214248062"/>
          <c:h val="0.33444816053511706"/>
        </c:manualLayout>
      </c:layout>
      <c:lineChart>
        <c:grouping val="standard"/>
        <c:ser>
          <c:idx val="0"/>
          <c:order val="0"/>
          <c:tx>
            <c:v>2003</c:v>
          </c:tx>
          <c:spPr>
            <a:ln w="25400">
              <a:solidFill>
                <a:srgbClr val="0000FF"/>
              </a:solidFill>
              <a:prstDash val="solid"/>
            </a:ln>
          </c:spPr>
          <c:marker>
            <c:symbol val="none"/>
          </c:marker>
          <c:cat>
            <c:strRef>
              <c:f>'12.Anexo_Macroeconómicos'!$B$53:$B$64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'12.Anexo_Macroeconómicos'!$C$53:$C$64</c:f>
              <c:numCache>
                <c:formatCode>General</c:formatCode>
                <c:ptCount val="12"/>
                <c:pt idx="0">
                  <c:v>1524</c:v>
                </c:pt>
                <c:pt idx="1">
                  <c:v>1522</c:v>
                </c:pt>
                <c:pt idx="2">
                  <c:v>1372</c:v>
                </c:pt>
                <c:pt idx="3">
                  <c:v>1099</c:v>
                </c:pt>
                <c:pt idx="4">
                  <c:v>1107</c:v>
                </c:pt>
                <c:pt idx="5">
                  <c:v>1161</c:v>
                </c:pt>
                <c:pt idx="6">
                  <c:v>1147</c:v>
                </c:pt>
                <c:pt idx="7">
                  <c:v>1153</c:v>
                </c:pt>
                <c:pt idx="8">
                  <c:v>1116</c:v>
                </c:pt>
                <c:pt idx="9">
                  <c:v>961</c:v>
                </c:pt>
                <c:pt idx="10">
                  <c:v>910</c:v>
                </c:pt>
                <c:pt idx="11">
                  <c:v>809</c:v>
                </c:pt>
              </c:numCache>
            </c:numRef>
          </c:val>
        </c:ser>
        <c:ser>
          <c:idx val="1"/>
          <c:order val="1"/>
          <c:tx>
            <c:v>2004</c:v>
          </c:tx>
          <c:spPr>
            <a:ln w="25400">
              <a:solidFill>
                <a:srgbClr val="FF00FF"/>
              </a:solidFill>
              <a:prstDash val="solid"/>
            </a:ln>
          </c:spPr>
          <c:marker>
            <c:symbol val="none"/>
          </c:marker>
          <c:cat>
            <c:strRef>
              <c:f>'12.Anexo_Macroeconómicos'!$B$53:$B$64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'12.Anexo_Macroeconómicos'!$D$53:$D$64</c:f>
              <c:numCache>
                <c:formatCode>General</c:formatCode>
                <c:ptCount val="12"/>
                <c:pt idx="0">
                  <c:v>714</c:v>
                </c:pt>
                <c:pt idx="1">
                  <c:v>760</c:v>
                </c:pt>
                <c:pt idx="2">
                  <c:v>701</c:v>
                </c:pt>
                <c:pt idx="3">
                  <c:v>925</c:v>
                </c:pt>
                <c:pt idx="4">
                  <c:v>909</c:v>
                </c:pt>
                <c:pt idx="5">
                  <c:v>852</c:v>
                </c:pt>
                <c:pt idx="6">
                  <c:v>852</c:v>
                </c:pt>
                <c:pt idx="7">
                  <c:v>813</c:v>
                </c:pt>
                <c:pt idx="8">
                  <c:v>778</c:v>
                </c:pt>
                <c:pt idx="9">
                  <c:v>745</c:v>
                </c:pt>
                <c:pt idx="10">
                  <c:v>696</c:v>
                </c:pt>
                <c:pt idx="11">
                  <c:v>690</c:v>
                </c:pt>
              </c:numCache>
            </c:numRef>
          </c:val>
        </c:ser>
        <c:marker val="1"/>
        <c:axId val="81620992"/>
        <c:axId val="81622912"/>
      </c:lineChart>
      <c:catAx>
        <c:axId val="81620992"/>
        <c:scaling>
          <c:orientation val="minMax"/>
        </c:scaling>
        <c:axPos val="b"/>
        <c:title>
          <c:tx>
            <c:rich>
              <a:bodyPr/>
              <a:lstStyle/>
              <a:p>
                <a:pPr>
                  <a:defRPr sz="1000" b="1" i="0" u="none" strike="noStrike" baseline="0">
                    <a:solidFill>
                      <a:srgbClr val="000000"/>
                    </a:solidFill>
                    <a:latin typeface="Arial"/>
                    <a:ea typeface="Arial"/>
                    <a:cs typeface="Arial"/>
                  </a:defRPr>
                </a:pPr>
                <a:r>
                  <a:rPr lang="es-ES"/>
                  <a:t>MESES</a:t>
                </a:r>
              </a:p>
            </c:rich>
          </c:tx>
          <c:layout>
            <c:manualLayout>
              <c:xMode val="edge"/>
              <c:yMode val="edge"/>
              <c:x val="0.44693922088171723"/>
              <c:y val="0.87290969899665549"/>
            </c:manualLayout>
          </c:layout>
          <c:spPr>
            <a:noFill/>
            <a:ln w="25400">
              <a:noFill/>
            </a:ln>
          </c:spPr>
        </c:title>
        <c:numFmt formatCode="General"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81622912"/>
        <c:crosses val="autoZero"/>
        <c:auto val="1"/>
        <c:lblAlgn val="ctr"/>
        <c:lblOffset val="100"/>
        <c:tickLblSkip val="1"/>
        <c:tickMarkSkip val="1"/>
      </c:catAx>
      <c:valAx>
        <c:axId val="81622912"/>
        <c:scaling>
          <c:orientation val="minMax"/>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PUNTOS</a:t>
                </a:r>
              </a:p>
            </c:rich>
          </c:tx>
          <c:layout>
            <c:manualLayout>
              <c:xMode val="edge"/>
              <c:yMode val="edge"/>
              <c:x val="3.2653093763047834E-2"/>
              <c:y val="0.3645484949832775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1620992"/>
        <c:crosses val="autoZero"/>
        <c:crossBetween val="between"/>
      </c:valAx>
      <c:spPr>
        <a:solidFill>
          <a:srgbClr val="CCCCFF"/>
        </a:solidFill>
        <a:ln w="25400">
          <a:solidFill>
            <a:srgbClr val="808080"/>
          </a:solidFill>
          <a:prstDash val="solid"/>
        </a:ln>
      </c:spPr>
    </c:plotArea>
    <c:legend>
      <c:legendPos val="r"/>
      <c:layout>
        <c:manualLayout>
          <c:xMode val="edge"/>
          <c:yMode val="edge"/>
          <c:x val="0.85306207455962468"/>
          <c:y val="0.39464882943143814"/>
          <c:w val="0.13061237505219134"/>
          <c:h val="0.13712374581939799"/>
        </c:manualLayout>
      </c:layout>
      <c:spPr>
        <a:solidFill>
          <a:srgbClr val="FFFFFF"/>
        </a:solidFill>
        <a:ln w="3175">
          <a:solidFill>
            <a:srgbClr val="000000"/>
          </a:solidFill>
          <a:prstDash val="solid"/>
        </a:ln>
      </c:spPr>
      <c:txPr>
        <a:bodyPr/>
        <a:lstStyle/>
        <a:p>
          <a:pPr>
            <a:defRPr sz="825" b="1" i="0" u="none" strike="noStrike" baseline="0">
              <a:solidFill>
                <a:srgbClr val="000000"/>
              </a:solidFill>
              <a:latin typeface="Arial"/>
              <a:ea typeface="Arial"/>
              <a:cs typeface="Arial"/>
            </a:defRPr>
          </a:pPr>
          <a:endParaRPr lang="es-ES"/>
        </a:p>
      </c:txPr>
    </c:legend>
    <c:plotVisOnly val="1"/>
    <c:dispBlanksAs val="gap"/>
  </c:chart>
  <c:spPr>
    <a:gradFill rotWithShape="0">
      <a:gsLst>
        <a:gs pos="0">
          <a:srgbClr val="CCFFFF"/>
        </a:gs>
        <a:gs pos="100000">
          <a:srgbClr val="CCFFFF">
            <a:gamma/>
            <a:shade val="46275"/>
            <a:invGamma/>
          </a:srgbClr>
        </a:gs>
      </a:gsLst>
      <a:path path="rect">
        <a:fillToRect l="50000" t="50000" r="50000" b="50000"/>
      </a:path>
    </a:gradFill>
    <a:ln w="3175">
      <a:solidFill>
        <a:srgbClr val="99CCFF"/>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9525</xdr:colOff>
      <xdr:row>12</xdr:row>
      <xdr:rowOff>266700</xdr:rowOff>
    </xdr:from>
    <xdr:to>
      <xdr:col>12</xdr:col>
      <xdr:colOff>466725</xdr:colOff>
      <xdr:row>33</xdr:row>
      <xdr:rowOff>104775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161925</xdr:colOff>
      <xdr:row>45</xdr:row>
      <xdr:rowOff>114300</xdr:rowOff>
    </xdr:from>
    <xdr:to>
      <xdr:col>14</xdr:col>
      <xdr:colOff>552450</xdr:colOff>
      <xdr:row>62</xdr:row>
      <xdr:rowOff>95250</xdr:rowOff>
    </xdr:to>
    <xdr:graphicFrame macro="">
      <xdr:nvGraphicFramePr>
        <xdr:cNvPr id="205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295275</xdr:colOff>
      <xdr:row>82</xdr:row>
      <xdr:rowOff>57150</xdr:rowOff>
    </xdr:from>
    <xdr:to>
      <xdr:col>13</xdr:col>
      <xdr:colOff>28575</xdr:colOff>
      <xdr:row>99</xdr:row>
      <xdr:rowOff>28575</xdr:rowOff>
    </xdr:to>
    <xdr:graphicFrame macro="">
      <xdr:nvGraphicFramePr>
        <xdr:cNvPr id="205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26</xdr:row>
      <xdr:rowOff>9525</xdr:rowOff>
    </xdr:from>
    <xdr:to>
      <xdr:col>6</xdr:col>
      <xdr:colOff>438150</xdr:colOff>
      <xdr:row>43</xdr:row>
      <xdr:rowOff>28575</xdr:rowOff>
    </xdr:to>
    <xdr:graphicFrame macro="">
      <xdr:nvGraphicFramePr>
        <xdr:cNvPr id="10241"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247650</xdr:colOff>
      <xdr:row>47</xdr:row>
      <xdr:rowOff>133350</xdr:rowOff>
    </xdr:from>
    <xdr:to>
      <xdr:col>11</xdr:col>
      <xdr:colOff>342900</xdr:colOff>
      <xdr:row>65</xdr:row>
      <xdr:rowOff>28575</xdr:rowOff>
    </xdr:to>
    <xdr:graphicFrame macro="">
      <xdr:nvGraphicFramePr>
        <xdr:cNvPr id="10242"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RIACION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COND"/>
      <sheetName val="EPyG (2)"/>
      <sheetName val="2005"/>
      <sheetName val="Hoja2"/>
      <sheetName val="Hoja1"/>
      <sheetName val="INCREMENTO 2005"/>
      <sheetName val="INDIC"/>
      <sheetName val="EPyG"/>
      <sheetName val="RK "/>
      <sheetName val="2003"/>
      <sheetName val="Hoja4"/>
      <sheetName val="CAPCOLxPLAZ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9.bin"/><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3:J34"/>
  <sheetViews>
    <sheetView showGridLines="0" workbookViewId="0"/>
  </sheetViews>
  <sheetFormatPr baseColWidth="10" defaultRowHeight="12.75"/>
  <cols>
    <col min="2" max="2" width="11.7109375" customWidth="1"/>
    <col min="8" max="8" width="12.42578125" customWidth="1"/>
  </cols>
  <sheetData>
    <row r="3" spans="1:10" ht="13.5" thickBot="1"/>
    <row r="4" spans="1:10" ht="13.5" thickTop="1">
      <c r="A4" s="631"/>
      <c r="B4" s="752"/>
      <c r="C4" s="752"/>
      <c r="D4" s="752"/>
      <c r="E4" s="752"/>
      <c r="F4" s="752"/>
      <c r="G4" s="752"/>
      <c r="H4" s="752"/>
      <c r="I4" s="752"/>
      <c r="J4" s="632"/>
    </row>
    <row r="5" spans="1:10" ht="18">
      <c r="A5" s="565"/>
      <c r="B5" s="787" t="s">
        <v>645</v>
      </c>
      <c r="C5" s="787"/>
      <c r="D5" s="13"/>
      <c r="E5" s="13"/>
      <c r="F5" s="13"/>
      <c r="G5" s="13"/>
      <c r="H5" s="13"/>
      <c r="I5" s="13"/>
      <c r="J5" s="566"/>
    </row>
    <row r="6" spans="1:10">
      <c r="A6" s="565"/>
      <c r="B6" s="13"/>
      <c r="C6" s="13"/>
      <c r="D6" s="13"/>
      <c r="E6" s="13"/>
      <c r="F6" s="13"/>
      <c r="G6" s="13"/>
      <c r="H6" s="13"/>
      <c r="I6" s="13"/>
      <c r="J6" s="566"/>
    </row>
    <row r="7" spans="1:10">
      <c r="A7" s="565"/>
      <c r="B7" s="13"/>
      <c r="C7" s="13"/>
      <c r="D7" s="13"/>
      <c r="E7" s="13"/>
      <c r="F7" s="13"/>
      <c r="G7" s="13"/>
      <c r="H7" s="13"/>
      <c r="I7" s="13"/>
      <c r="J7" s="566"/>
    </row>
    <row r="8" spans="1:10">
      <c r="A8" s="565"/>
      <c r="B8" s="13"/>
      <c r="C8" s="13"/>
      <c r="D8" s="13"/>
      <c r="E8" s="13"/>
      <c r="F8" s="13"/>
      <c r="G8" s="13"/>
      <c r="H8" s="13"/>
      <c r="I8" s="13"/>
      <c r="J8" s="566"/>
    </row>
    <row r="9" spans="1:10" ht="15.75">
      <c r="A9" s="565"/>
      <c r="B9" s="753" t="s">
        <v>611</v>
      </c>
      <c r="C9" s="754"/>
      <c r="D9" s="754"/>
      <c r="E9" s="754"/>
      <c r="F9" s="754"/>
      <c r="G9" s="754"/>
      <c r="H9" s="754"/>
      <c r="I9" s="754"/>
      <c r="J9" s="566"/>
    </row>
    <row r="10" spans="1:10" ht="15.75">
      <c r="A10" s="565"/>
      <c r="B10" s="754" t="s">
        <v>612</v>
      </c>
      <c r="C10" s="754"/>
      <c r="D10" s="754"/>
      <c r="E10" s="754"/>
      <c r="F10" s="754"/>
      <c r="G10" s="754"/>
      <c r="H10" s="754"/>
      <c r="I10" s="754"/>
      <c r="J10" s="566"/>
    </row>
    <row r="11" spans="1:10" ht="15.75">
      <c r="A11" s="565"/>
      <c r="B11" s="754" t="s">
        <v>610</v>
      </c>
      <c r="C11" s="754"/>
      <c r="D11" s="754"/>
      <c r="E11" s="754"/>
      <c r="F11" s="754"/>
      <c r="G11" s="754"/>
      <c r="H11" s="754"/>
      <c r="I11" s="754"/>
      <c r="J11" s="566"/>
    </row>
    <row r="12" spans="1:10">
      <c r="A12" s="565"/>
      <c r="B12" s="13"/>
      <c r="C12" s="13"/>
      <c r="D12" s="13"/>
      <c r="E12" s="13"/>
      <c r="F12" s="13"/>
      <c r="G12" s="13"/>
      <c r="H12" s="13"/>
      <c r="I12" s="13"/>
      <c r="J12" s="566"/>
    </row>
    <row r="13" spans="1:10">
      <c r="A13" s="565"/>
      <c r="B13" s="13"/>
      <c r="C13" s="13"/>
      <c r="D13" s="13"/>
      <c r="E13" s="13"/>
      <c r="F13" s="13"/>
      <c r="G13" s="13"/>
      <c r="H13" s="13"/>
      <c r="I13" s="13"/>
      <c r="J13" s="566"/>
    </row>
    <row r="14" spans="1:10" ht="15.75">
      <c r="A14" s="565"/>
      <c r="B14" s="755" t="s">
        <v>646</v>
      </c>
      <c r="C14" s="13"/>
      <c r="D14" s="13"/>
      <c r="E14" s="13"/>
      <c r="F14" s="13"/>
      <c r="G14" s="13"/>
      <c r="H14" s="13"/>
      <c r="I14" s="13"/>
      <c r="J14" s="566"/>
    </row>
    <row r="15" spans="1:10">
      <c r="A15" s="565"/>
      <c r="B15" s="13"/>
      <c r="C15" s="13"/>
      <c r="D15" s="13"/>
      <c r="E15" s="13"/>
      <c r="F15" s="13"/>
      <c r="G15" s="13"/>
      <c r="H15" s="13"/>
      <c r="I15" s="13"/>
      <c r="J15" s="566"/>
    </row>
    <row r="16" spans="1:10" ht="18.75" customHeight="1">
      <c r="A16" s="565"/>
      <c r="B16" s="13"/>
      <c r="C16" s="756" t="s">
        <v>649</v>
      </c>
      <c r="D16" s="757"/>
      <c r="E16" s="757"/>
      <c r="F16" s="757"/>
      <c r="G16" s="757"/>
      <c r="H16" s="13"/>
      <c r="I16" s="13"/>
      <c r="J16" s="566"/>
    </row>
    <row r="17" spans="1:10" ht="18" customHeight="1">
      <c r="A17" s="565"/>
      <c r="B17" s="13"/>
      <c r="C17" s="756" t="s">
        <v>650</v>
      </c>
      <c r="D17" s="757"/>
      <c r="E17" s="757"/>
      <c r="F17" s="757"/>
      <c r="G17" s="757"/>
      <c r="H17" s="13"/>
      <c r="I17" s="13"/>
      <c r="J17" s="566"/>
    </row>
    <row r="18" spans="1:10" ht="19.5" customHeight="1">
      <c r="A18" s="565"/>
      <c r="B18" s="13"/>
      <c r="C18" s="756" t="s">
        <v>656</v>
      </c>
      <c r="D18" s="757"/>
      <c r="E18" s="757"/>
      <c r="F18" s="757"/>
      <c r="G18" s="757"/>
      <c r="H18" s="13"/>
      <c r="I18" s="13"/>
      <c r="J18" s="566"/>
    </row>
    <row r="19" spans="1:10" ht="20.25" customHeight="1">
      <c r="A19" s="565"/>
      <c r="B19" s="13"/>
      <c r="C19" s="756" t="s">
        <v>657</v>
      </c>
      <c r="D19" s="757"/>
      <c r="E19" s="757"/>
      <c r="F19" s="757"/>
      <c r="G19" s="757"/>
      <c r="H19" s="13"/>
      <c r="I19" s="13"/>
      <c r="J19" s="566"/>
    </row>
    <row r="20" spans="1:10" ht="18" customHeight="1">
      <c r="A20" s="565"/>
      <c r="B20" s="13"/>
      <c r="C20" s="756" t="s">
        <v>651</v>
      </c>
      <c r="D20" s="757"/>
      <c r="E20" s="757"/>
      <c r="F20" s="757"/>
      <c r="G20" s="757"/>
      <c r="H20" s="13"/>
      <c r="I20" s="13"/>
      <c r="J20" s="566"/>
    </row>
    <row r="21" spans="1:10" ht="17.25" customHeight="1">
      <c r="A21" s="565"/>
      <c r="B21" s="13"/>
      <c r="C21" s="756" t="s">
        <v>652</v>
      </c>
      <c r="D21" s="757"/>
      <c r="E21" s="757"/>
      <c r="F21" s="757"/>
      <c r="G21" s="757"/>
      <c r="H21" s="13"/>
      <c r="I21" s="13"/>
      <c r="J21" s="566"/>
    </row>
    <row r="22" spans="1:10" ht="18" customHeight="1">
      <c r="A22" s="565"/>
      <c r="B22" s="13"/>
      <c r="C22" s="756" t="s">
        <v>653</v>
      </c>
      <c r="D22" s="757"/>
      <c r="E22" s="757"/>
      <c r="F22" s="757"/>
      <c r="G22" s="757"/>
      <c r="H22" s="13"/>
      <c r="I22" s="13"/>
      <c r="J22" s="566"/>
    </row>
    <row r="23" spans="1:10" ht="17.25" customHeight="1">
      <c r="A23" s="565"/>
      <c r="B23" s="13"/>
      <c r="C23" s="756" t="s">
        <v>654</v>
      </c>
      <c r="D23" s="757"/>
      <c r="E23" s="757"/>
      <c r="F23" s="757"/>
      <c r="G23" s="757"/>
      <c r="H23" s="13"/>
      <c r="I23" s="13"/>
      <c r="J23" s="566"/>
    </row>
    <row r="24" spans="1:10" ht="17.25" customHeight="1">
      <c r="A24" s="565"/>
      <c r="B24" s="13"/>
      <c r="C24" s="756" t="s">
        <v>655</v>
      </c>
      <c r="D24" s="757"/>
      <c r="E24" s="757"/>
      <c r="F24" s="757"/>
      <c r="G24" s="757"/>
      <c r="H24" s="13"/>
      <c r="I24" s="13"/>
      <c r="J24" s="566"/>
    </row>
    <row r="25" spans="1:10" ht="18" customHeight="1">
      <c r="A25" s="565"/>
      <c r="B25" s="13"/>
      <c r="C25" s="756" t="s">
        <v>648</v>
      </c>
      <c r="D25" s="757"/>
      <c r="E25" s="757"/>
      <c r="F25" s="757"/>
      <c r="G25" s="757"/>
      <c r="H25" s="13"/>
      <c r="I25" s="13"/>
      <c r="J25" s="566"/>
    </row>
    <row r="26" spans="1:10">
      <c r="A26" s="565"/>
      <c r="B26" s="13"/>
      <c r="C26" s="13"/>
      <c r="D26" s="13"/>
      <c r="E26" s="13"/>
      <c r="F26" s="13"/>
      <c r="G26" s="13"/>
      <c r="H26" s="13"/>
      <c r="I26" s="13"/>
      <c r="J26" s="566"/>
    </row>
    <row r="27" spans="1:10">
      <c r="A27" s="565"/>
      <c r="B27" s="758" t="s">
        <v>2</v>
      </c>
      <c r="C27" s="13"/>
      <c r="D27" s="13"/>
      <c r="E27" s="13"/>
      <c r="F27" s="13"/>
      <c r="G27" s="13"/>
      <c r="H27" s="13"/>
      <c r="I27" s="13"/>
      <c r="J27" s="566"/>
    </row>
    <row r="28" spans="1:10" ht="19.5" customHeight="1">
      <c r="A28" s="565"/>
      <c r="B28" s="732" t="s">
        <v>0</v>
      </c>
      <c r="C28" s="733"/>
      <c r="D28" s="733"/>
      <c r="E28" s="733"/>
      <c r="F28" s="733"/>
      <c r="G28" s="733"/>
      <c r="H28" s="734"/>
      <c r="I28" s="13"/>
      <c r="J28" s="566"/>
    </row>
    <row r="29" spans="1:10">
      <c r="A29" s="565"/>
      <c r="B29" s="735" t="s">
        <v>1</v>
      </c>
      <c r="C29" s="736"/>
      <c r="D29" s="736"/>
      <c r="E29" s="736"/>
      <c r="F29" s="736"/>
      <c r="G29" s="736"/>
      <c r="H29" s="737"/>
      <c r="I29" s="13"/>
      <c r="J29" s="566"/>
    </row>
    <row r="30" spans="1:10">
      <c r="A30" s="565"/>
      <c r="B30" s="13"/>
      <c r="C30" s="13"/>
      <c r="D30" s="13"/>
      <c r="E30" s="13"/>
      <c r="F30" s="13"/>
      <c r="G30" s="13"/>
      <c r="H30" s="13"/>
      <c r="I30" s="13"/>
      <c r="J30" s="566"/>
    </row>
    <row r="31" spans="1:10">
      <c r="A31" s="565"/>
      <c r="B31" s="13"/>
      <c r="C31" s="13"/>
      <c r="D31" s="13"/>
      <c r="E31" s="13"/>
      <c r="F31" s="13"/>
      <c r="G31" s="13"/>
      <c r="H31" s="13"/>
      <c r="I31" s="13"/>
      <c r="J31" s="566"/>
    </row>
    <row r="32" spans="1:10">
      <c r="A32" s="565"/>
      <c r="B32" s="13"/>
      <c r="C32" s="13"/>
      <c r="D32" s="13"/>
      <c r="E32" s="13"/>
      <c r="F32" s="13"/>
      <c r="G32" s="13"/>
      <c r="H32" s="13"/>
      <c r="I32" s="13"/>
      <c r="J32" s="566"/>
    </row>
    <row r="33" spans="1:10" ht="13.5" thickBot="1">
      <c r="A33" s="567"/>
      <c r="B33" s="568"/>
      <c r="C33" s="568"/>
      <c r="D33" s="568"/>
      <c r="E33" s="568"/>
      <c r="F33" s="568"/>
      <c r="G33" s="568"/>
      <c r="H33" s="568"/>
      <c r="I33" s="568"/>
      <c r="J33" s="569"/>
    </row>
    <row r="34" spans="1:10" ht="13.5" thickTop="1"/>
  </sheetData>
  <mergeCells count="1">
    <mergeCell ref="B5:C5"/>
  </mergeCells>
  <phoneticPr fontId="8" type="noConversion"/>
  <pageMargins left="0.75" right="0.75" top="1" bottom="1" header="0" footer="0"/>
  <headerFooter alignWithMargins="0"/>
</worksheet>
</file>

<file path=xl/worksheets/sheet10.xml><?xml version="1.0" encoding="utf-8"?>
<worksheet xmlns="http://schemas.openxmlformats.org/spreadsheetml/2006/main" xmlns:r="http://schemas.openxmlformats.org/officeDocument/2006/relationships">
  <sheetPr codeName="Hoja9"/>
  <dimension ref="A7:P196"/>
  <sheetViews>
    <sheetView showGridLines="0" topLeftCell="A55" workbookViewId="0">
      <selection activeCell="E35" sqref="E35"/>
    </sheetView>
  </sheetViews>
  <sheetFormatPr baseColWidth="10" defaultRowHeight="12.75"/>
  <cols>
    <col min="1" max="1" width="47.7109375" style="9" customWidth="1"/>
    <col min="2" max="2" width="14" style="9" customWidth="1"/>
    <col min="3" max="3" width="8.85546875" style="9" customWidth="1"/>
    <col min="4" max="4" width="12.28515625" style="9" bestFit="1" customWidth="1"/>
    <col min="5" max="9" width="11.42578125" style="9"/>
    <col min="10" max="16" width="11.42578125" style="26"/>
    <col min="17" max="16384" width="11.42578125" style="9"/>
  </cols>
  <sheetData>
    <row r="7" spans="1:8" ht="18.75" customHeight="1">
      <c r="A7" s="598" t="s">
        <v>501</v>
      </c>
      <c r="B7" s="263"/>
    </row>
    <row r="8" spans="1:8" ht="18.75" customHeight="1">
      <c r="A8" s="264"/>
      <c r="B8" s="264"/>
      <c r="D8" s="121"/>
    </row>
    <row r="9" spans="1:8">
      <c r="D9" s="135"/>
    </row>
    <row r="10" spans="1:8" ht="15">
      <c r="A10" s="760"/>
      <c r="B10" s="760"/>
      <c r="C10" s="760"/>
      <c r="D10" s="761" t="s">
        <v>201</v>
      </c>
      <c r="E10" s="761" t="s">
        <v>208</v>
      </c>
      <c r="F10" s="761" t="s">
        <v>209</v>
      </c>
      <c r="G10" s="761" t="s">
        <v>210</v>
      </c>
      <c r="H10" s="761" t="s">
        <v>211</v>
      </c>
    </row>
    <row r="11" spans="1:8" ht="14.25">
      <c r="A11" s="760"/>
      <c r="B11" s="760"/>
      <c r="C11" s="760"/>
      <c r="D11" s="775"/>
      <c r="E11" s="760"/>
      <c r="F11" s="760"/>
      <c r="G11" s="760"/>
      <c r="H11" s="760"/>
    </row>
    <row r="12" spans="1:8" ht="13.5" customHeight="1">
      <c r="A12" s="760"/>
      <c r="B12" s="760"/>
      <c r="C12" s="776" t="s">
        <v>430</v>
      </c>
      <c r="D12" s="776"/>
      <c r="E12" s="760"/>
      <c r="F12" s="760"/>
      <c r="G12" s="760"/>
      <c r="H12" s="760"/>
    </row>
    <row r="13" spans="1:8" ht="14.25">
      <c r="A13" s="760" t="s">
        <v>509</v>
      </c>
      <c r="B13" s="760"/>
      <c r="C13" s="777"/>
      <c r="D13" s="777">
        <f>+'8.Estado de Resultado proyectad'!D74</f>
        <v>10999.448252163053</v>
      </c>
      <c r="E13" s="764">
        <f>+'8.Estado de Resultado proyectad'!E74</f>
        <v>11947.701477062557</v>
      </c>
      <c r="F13" s="764">
        <f>+'8.Estado de Resultado proyectad'!F74</f>
        <v>12153.090058001397</v>
      </c>
      <c r="G13" s="764">
        <f>+'8.Estado de Resultado proyectad'!G74</f>
        <v>13126.506351034091</v>
      </c>
      <c r="H13" s="764">
        <f>+'8.Estado de Resultado proyectad'!H74</f>
        <v>13927.23794525893</v>
      </c>
    </row>
    <row r="14" spans="1:8" ht="14.25">
      <c r="A14" s="760"/>
      <c r="B14" s="760"/>
      <c r="C14" s="777"/>
      <c r="D14" s="778" t="s">
        <v>430</v>
      </c>
      <c r="E14" s="760"/>
      <c r="F14" s="760"/>
      <c r="G14" s="760"/>
      <c r="H14" s="760"/>
    </row>
    <row r="15" spans="1:8" ht="14.25">
      <c r="A15" s="760" t="s">
        <v>510</v>
      </c>
      <c r="B15" s="760"/>
      <c r="C15" s="777"/>
      <c r="D15" s="778" t="s">
        <v>430</v>
      </c>
      <c r="E15" s="760"/>
      <c r="F15" s="760"/>
      <c r="G15" s="760"/>
      <c r="H15" s="760"/>
    </row>
    <row r="16" spans="1:8" ht="14.25">
      <c r="A16" s="760" t="s">
        <v>511</v>
      </c>
      <c r="B16" s="760"/>
      <c r="C16" s="777"/>
      <c r="D16" s="778" t="s">
        <v>430</v>
      </c>
      <c r="E16" s="760"/>
      <c r="F16" s="760"/>
      <c r="G16" s="760"/>
      <c r="H16" s="760"/>
    </row>
    <row r="17" spans="1:8" ht="14.25">
      <c r="A17" s="760" t="s">
        <v>518</v>
      </c>
      <c r="B17" s="760"/>
      <c r="C17" s="777"/>
      <c r="D17" s="764">
        <f>+'8.Estado de Resultado proyectad'!D60</f>
        <v>2839.8000999999999</v>
      </c>
      <c r="E17" s="764">
        <f>+'8.Estado de Resultado proyectad'!E60</f>
        <v>2884.8000999999999</v>
      </c>
      <c r="F17" s="764">
        <f>+'8.Estado de Resultado proyectad'!F60</f>
        <v>3205.4400999999998</v>
      </c>
      <c r="G17" s="764">
        <f>+'8.Estado de Resultado proyectad'!G60</f>
        <v>1694.2299999999998</v>
      </c>
      <c r="H17" s="764">
        <f>+'8.Estado de Resultado proyectad'!H60</f>
        <v>1970.1699999999996</v>
      </c>
    </row>
    <row r="18" spans="1:8" ht="14.25">
      <c r="A18" s="760" t="s">
        <v>519</v>
      </c>
      <c r="B18" s="760"/>
      <c r="C18" s="777"/>
      <c r="D18" s="764">
        <f>+'8.Estado de Resultado proyectad'!D61</f>
        <v>941.14742000000001</v>
      </c>
      <c r="E18" s="764">
        <f>+'8.Estado de Resultado proyectad'!E61</f>
        <v>941.14742000000001</v>
      </c>
      <c r="F18" s="764">
        <f>+'8.Estado de Resultado proyectad'!F61</f>
        <v>1146.14742</v>
      </c>
      <c r="G18" s="764">
        <f>+'8.Estado de Resultado proyectad'!G61</f>
        <v>1497.14742</v>
      </c>
      <c r="H18" s="764">
        <f>+'8.Estado de Resultado proyectad'!H61</f>
        <v>1698.14742</v>
      </c>
    </row>
    <row r="19" spans="1:8" ht="15">
      <c r="A19" s="760" t="s">
        <v>520</v>
      </c>
      <c r="B19" s="760"/>
      <c r="C19" s="779"/>
      <c r="D19" s="777">
        <f>+'8.Estado de Resultado proyectad'!D46</f>
        <v>4379.2104995175596</v>
      </c>
      <c r="E19" s="764">
        <f>+'8.Estado de Resultado proyectad'!E46</f>
        <v>4779.8695973736812</v>
      </c>
      <c r="F19" s="764">
        <f>+'8.Estado de Resultado proyectad'!F46-'8.Estado de Resultado proyectad'!F52</f>
        <v>4934.036400704581</v>
      </c>
      <c r="G19" s="764">
        <f>+'8.Estado de Resultado proyectad'!G46-'8.Estado de Resultado proyectad'!G52</f>
        <v>5333.4141524821862</v>
      </c>
      <c r="H19" s="764">
        <f>+'8.Estado de Resultado proyectad'!H46-'8.Estado de Resultado proyectad'!H52</f>
        <v>5723.0903421191415</v>
      </c>
    </row>
    <row r="20" spans="1:8" ht="14.25">
      <c r="A20" s="780" t="s">
        <v>251</v>
      </c>
      <c r="B20" s="760"/>
      <c r="C20" s="778"/>
      <c r="D20" s="777">
        <f>D17+D18+D19</f>
        <v>8160.1580195175593</v>
      </c>
      <c r="E20" s="764">
        <f>E17+E18+E19</f>
        <v>8605.817117373681</v>
      </c>
      <c r="F20" s="764">
        <f>F17+F18+F19</f>
        <v>9285.6239207045801</v>
      </c>
      <c r="G20" s="764">
        <f>G17+G18+G19</f>
        <v>8524.7915724821869</v>
      </c>
      <c r="H20" s="764">
        <f>H17+H18+H19</f>
        <v>9391.4077621191409</v>
      </c>
    </row>
    <row r="21" spans="1:8" ht="14.25">
      <c r="A21" s="760"/>
      <c r="B21" s="760"/>
      <c r="C21" s="778"/>
      <c r="D21" s="778"/>
      <c r="E21" s="760"/>
      <c r="F21" s="760"/>
      <c r="G21" s="760"/>
      <c r="H21" s="760"/>
    </row>
    <row r="22" spans="1:8" ht="14.25">
      <c r="A22" s="763" t="s">
        <v>133</v>
      </c>
      <c r="B22" s="760"/>
      <c r="C22" s="778"/>
      <c r="D22" s="764">
        <f>'7.Balance Proyectado'!D14-'7.Balance Proyectado'!E14-'8.Estado de Resultado proyectad'!D47</f>
        <v>-611.30835353170153</v>
      </c>
      <c r="E22" s="764">
        <f>'7.Balance Proyectado'!E14-'7.Balance Proyectado'!F14-'8.Estado de Resultado proyectad'!E47</f>
        <v>-622.32111686392568</v>
      </c>
      <c r="F22" s="764">
        <f>'7.Balance Proyectado'!F14-'7.Balance Proyectado'!G14-'8.Estado de Resultado proyectad'!F47</f>
        <v>-4872.9610524043292</v>
      </c>
      <c r="G22" s="764">
        <f>'7.Balance Proyectado'!G14-'7.Balance Proyectado'!H14-'8.Estado de Resultado proyectad'!G47</f>
        <v>-5330.5094747229859</v>
      </c>
      <c r="H22" s="764">
        <f>'7.Balance Proyectado'!H14-'7.Balance Proyectado'!I14-'8.Estado de Resultado proyectad'!H47</f>
        <v>-5832.8574667517596</v>
      </c>
    </row>
    <row r="23" spans="1:8" ht="14.25">
      <c r="A23" s="766" t="s">
        <v>153</v>
      </c>
      <c r="B23" s="760"/>
      <c r="C23" s="778"/>
      <c r="D23" s="777">
        <f>'7.Balance Proyectado'!E15-'7.Balance Proyectado'!D15</f>
        <v>0</v>
      </c>
      <c r="E23" s="764">
        <f>'7.Balance Proyectado'!F15-'7.Balance Proyectado'!E15</f>
        <v>0</v>
      </c>
      <c r="F23" s="764">
        <f>-('7.Balance Proyectado'!G15-'7.Balance Proyectado'!F15)</f>
        <v>-4243.9695599999977</v>
      </c>
      <c r="G23" s="764">
        <f>-('7.Balance Proyectado'!H15-'7.Balance Proyectado'!G15)</f>
        <v>-4668.3665160000019</v>
      </c>
      <c r="H23" s="764">
        <f>-('7.Balance Proyectado'!I15-'7.Balance Proyectado'!H15)</f>
        <v>-5135.2031676000042</v>
      </c>
    </row>
    <row r="24" spans="1:8" ht="14.25">
      <c r="A24" s="766" t="s">
        <v>154</v>
      </c>
      <c r="B24" s="760"/>
      <c r="C24" s="778"/>
      <c r="D24" s="777">
        <f>-('7.Balance Proyectado'!E16-'7.Balance Proyectado'!D16)</f>
        <v>-250.10183479999978</v>
      </c>
      <c r="E24" s="764">
        <f>-('7.Balance Proyectado'!F16-'7.Balance Proyectado'!E16)</f>
        <v>-260.10590819200024</v>
      </c>
      <c r="F24" s="764">
        <f>-('7.Balance Proyectado'!G16-'7.Balance Proyectado'!F16)</f>
        <v>-270.51014451967967</v>
      </c>
      <c r="G24" s="764">
        <f>-('7.Balance Proyectado'!H16-'7.Balance Proyectado'!G16)</f>
        <v>-281.33055030046671</v>
      </c>
      <c r="H24" s="764">
        <f>-('7.Balance Proyectado'!I16-'7.Balance Proyectado'!H16)</f>
        <v>-292.58377231248596</v>
      </c>
    </row>
    <row r="25" spans="1:8" ht="14.25">
      <c r="A25" s="766" t="s">
        <v>155</v>
      </c>
      <c r="B25" s="760"/>
      <c r="C25" s="778"/>
      <c r="D25" s="777">
        <f>-('7.Balance Proyectado'!E17-'7.Balance Proyectado'!D17)</f>
        <v>-115.36227020000024</v>
      </c>
      <c r="E25" s="764">
        <f>-('7.Balance Proyectado'!F17-'7.Balance Proyectado'!E17)</f>
        <v>-117.66951560399957</v>
      </c>
      <c r="F25" s="764">
        <f>-('7.Balance Proyectado'!G17-'7.Balance Proyectado'!F17)</f>
        <v>-120.02290591608016</v>
      </c>
      <c r="G25" s="764">
        <f>-('7.Balance Proyectado'!H17-'7.Balance Proyectado'!G17)</f>
        <v>-122.42336403440186</v>
      </c>
      <c r="H25" s="764">
        <f>-('7.Balance Proyectado'!I17-'7.Balance Proyectado'!H17)</f>
        <v>-124.87183131508937</v>
      </c>
    </row>
    <row r="26" spans="1:8" ht="14.25">
      <c r="A26" s="763" t="s">
        <v>157</v>
      </c>
      <c r="B26" s="760"/>
      <c r="C26" s="778"/>
      <c r="D26" s="777">
        <f>'7.Balance Proyectado'!D19-'7.Balance Proyectado'!E19-'8.Estado de Resultado proyectad'!D48</f>
        <v>-29224.562459935165</v>
      </c>
      <c r="E26" s="764">
        <f>'7.Balance Proyectado'!E19-'7.Balance Proyectado'!F19-'8.Estado de Resultado proyectad'!E48</f>
        <v>-37322.401208320414</v>
      </c>
      <c r="F26" s="764">
        <f>'7.Balance Proyectado'!F19-'7.Balance Proyectado'!G19-'8.Estado de Resultado proyectad'!F48</f>
        <v>-36472.736492617449</v>
      </c>
      <c r="G26" s="764">
        <f>'7.Balance Proyectado'!G19-'7.Balance Proyectado'!H19-'8.Estado de Resultado proyectad'!G48</f>
        <v>-39667.187570235845</v>
      </c>
      <c r="H26" s="764">
        <f>'7.Balance Proyectado'!H19-'7.Balance Proyectado'!I19-'8.Estado de Resultado proyectad'!H48</f>
        <v>-43171.638179360241</v>
      </c>
    </row>
    <row r="27" spans="1:8" ht="15">
      <c r="A27" s="766" t="s">
        <v>158</v>
      </c>
      <c r="B27" s="760"/>
      <c r="C27" s="779"/>
      <c r="D27" s="777">
        <f>-('7.Balance Proyectado'!E20-'7.Balance Proyectado'!D20)</f>
        <v>-23453.99546559999</v>
      </c>
      <c r="E27" s="764">
        <f>-('7.Balance Proyectado'!F20-'7.Balance Proyectado'!E20)</f>
        <v>-25330.315102847992</v>
      </c>
      <c r="F27" s="764">
        <f>-('7.Balance Proyectado'!G20-'7.Balance Proyectado'!F20)</f>
        <v>-27356.740311075817</v>
      </c>
      <c r="G27" s="764">
        <f>-('7.Balance Proyectado'!H20-'7.Balance Proyectado'!G20)</f>
        <v>-29545.279535961919</v>
      </c>
      <c r="H27" s="764">
        <f>-('7.Balance Proyectado'!I20-'7.Balance Proyectado'!H20)</f>
        <v>-31908.901898838871</v>
      </c>
    </row>
    <row r="28" spans="1:8" ht="14.25">
      <c r="A28" s="766" t="s">
        <v>159</v>
      </c>
      <c r="B28" s="760"/>
      <c r="C28" s="778"/>
      <c r="D28" s="777">
        <f>-('7.Balance Proyectado'!E21-'7.Balance Proyectado'!D21)</f>
        <v>-2301.7606331999996</v>
      </c>
      <c r="E28" s="764">
        <f>-('7.Balance Proyectado'!F21-'7.Balance Proyectado'!E21)</f>
        <v>-2439.8662711919969</v>
      </c>
      <c r="F28" s="764">
        <f>-('7.Balance Proyectado'!G21-'7.Balance Proyectado'!F21)</f>
        <v>-2586.2582474635201</v>
      </c>
      <c r="G28" s="764">
        <f>-('7.Balance Proyectado'!H21-'7.Balance Proyectado'!G21)</f>
        <v>-2741.433742311332</v>
      </c>
      <c r="H28" s="764">
        <f>-('7.Balance Proyectado'!I21-'7.Balance Proyectado'!H21)</f>
        <v>-2905.9197668500128</v>
      </c>
    </row>
    <row r="29" spans="1:8" ht="14.25">
      <c r="A29" s="766" t="s">
        <v>160</v>
      </c>
      <c r="B29" s="760"/>
      <c r="C29" s="778"/>
      <c r="D29" s="777">
        <f>-('7.Balance Proyectado'!E22-'7.Balance Proyectado'!D22)</f>
        <v>-2709.1723685000015</v>
      </c>
      <c r="E29" s="764">
        <f>-('7.Balance Proyectado'!F22-'7.Balance Proyectado'!E22)</f>
        <v>-3169.7316711450003</v>
      </c>
      <c r="F29" s="764">
        <f>-('7.Balance Proyectado'!G22-'7.Balance Proyectado'!F22)</f>
        <v>-3708.5860552396516</v>
      </c>
      <c r="G29" s="764">
        <f>-('7.Balance Proyectado'!H22-'7.Balance Proyectado'!G22)</f>
        <v>-4339.0456846303932</v>
      </c>
      <c r="H29" s="764">
        <f>-('7.Balance Proyectado'!I22-'7.Balance Proyectado'!H22)</f>
        <v>-5076.6834510175613</v>
      </c>
    </row>
    <row r="30" spans="1:8" ht="15">
      <c r="A30" s="766" t="s">
        <v>161</v>
      </c>
      <c r="B30" s="760"/>
      <c r="C30" s="778"/>
      <c r="D30" s="779"/>
      <c r="E30" s="764">
        <f>-'7.Balance Proyectado'!F23-'7.Balance Proyectado'!E23</f>
        <v>-4000</v>
      </c>
      <c r="F30" s="764">
        <f>-('7.Balance Proyectado'!G23-'7.Balance Proyectado'!F23)</f>
        <v>-80</v>
      </c>
      <c r="G30" s="764">
        <f>-('7.Balance Proyectado'!H23-'7.Balance Proyectado'!G23)</f>
        <v>-81.600000000000364</v>
      </c>
      <c r="H30" s="764">
        <f>-('7.Balance Proyectado'!I23-'7.Balance Proyectado'!H23)</f>
        <v>-83.231999999999971</v>
      </c>
    </row>
    <row r="31" spans="1:8" ht="14.25">
      <c r="A31" s="763" t="s">
        <v>134</v>
      </c>
      <c r="B31" s="760"/>
      <c r="C31" s="778"/>
      <c r="D31" s="781">
        <f>'7.Balance Proyectado'!D25-'7.Balance Proyectado'!E25-'8.Estado de Resultado proyectad'!D49</f>
        <v>-784.29817741101397</v>
      </c>
      <c r="E31" s="764">
        <f>'7.Balance Proyectado'!E25-'7.Balance Proyectado'!F25-'8.Estado de Resultado proyectad'!E49</f>
        <v>-1499.2039708696514</v>
      </c>
      <c r="F31" s="764">
        <f>'7.Balance Proyectado'!F25-'7.Balance Proyectado'!G25-'8.Estado de Resultado proyectad'!F49</f>
        <v>-597.09101856914685</v>
      </c>
      <c r="G31" s="764">
        <f>'7.Balance Proyectado'!G25-'7.Balance Proyectado'!H25-'8.Estado de Resultado proyectad'!G49</f>
        <v>-893.69811792786368</v>
      </c>
      <c r="H31" s="764">
        <f>'7.Balance Proyectado'!H25-'7.Balance Proyectado'!I25-'8.Estado de Resultado proyectad'!H49</f>
        <v>-477.2243944696404</v>
      </c>
    </row>
    <row r="32" spans="1:8" ht="14.25">
      <c r="A32" s="763" t="s">
        <v>521</v>
      </c>
      <c r="B32" s="760"/>
      <c r="C32" s="778"/>
      <c r="D32" s="777">
        <f>-('7.Balance Proyectado'!E26-'7.Balance Proyectado'!D26)</f>
        <v>-53.367781765000245</v>
      </c>
      <c r="E32" s="764">
        <f>-('7.Balance Proyectado'!F26-'7.Balance Proyectado'!E26)</f>
        <v>-11.369834578913924</v>
      </c>
      <c r="F32" s="764">
        <f>-('7.Balance Proyectado'!G26-'7.Balance Proyectado'!F26)</f>
        <v>-43.415998680759003</v>
      </c>
      <c r="G32" s="764">
        <f>-('7.Balance Proyectado'!H26-'7.Balance Proyectado'!G26)</f>
        <v>-52.161483675127783</v>
      </c>
      <c r="H32" s="764">
        <f>-('7.Balance Proyectado'!I26-'7.Balance Proyectado'!H26)</f>
        <v>-57.798151492317174</v>
      </c>
    </row>
    <row r="33" spans="1:8" ht="14.25">
      <c r="A33" s="763" t="s">
        <v>522</v>
      </c>
      <c r="B33" s="760"/>
      <c r="C33" s="778"/>
      <c r="D33" s="777">
        <f>-('7.Balance Proyectado'!E27-'7.Balance Proyectado'!D27)</f>
        <v>-362.57124204434604</v>
      </c>
      <c r="E33" s="764">
        <f>-('7.Balance Proyectado'!F27-'7.Balance Proyectado'!E27)</f>
        <v>-980.92187210781412</v>
      </c>
      <c r="F33" s="764">
        <f>-('7.Balance Proyectado'!G27-'7.Balance Proyectado'!F27)</f>
        <v>-482.01173848174949</v>
      </c>
      <c r="G33" s="764">
        <f>-('7.Balance Proyectado'!H27-'7.Balance Proyectado'!G27)</f>
        <v>-454.28088541716716</v>
      </c>
      <c r="H33" s="764">
        <f>-('7.Balance Proyectado'!I27-'7.Balance Proyectado'!H27)</f>
        <v>41.373674986309197</v>
      </c>
    </row>
    <row r="34" spans="1:8" ht="14.25">
      <c r="A34" s="763" t="s">
        <v>523</v>
      </c>
      <c r="B34" s="760"/>
      <c r="C34" s="778"/>
      <c r="D34" s="777">
        <f>-('7.Balance Proyectado'!E28-'7.Balance Proyectado'!D28)</f>
        <v>-391.79187200000001</v>
      </c>
      <c r="E34" s="764">
        <f>-('7.Balance Proyectado'!F28-'7.Balance Proyectado'!E28)</f>
        <v>-90.832128960000091</v>
      </c>
      <c r="F34" s="764">
        <f>-('7.Balance Proyectado'!G28-'7.Balance Proyectado'!F28)</f>
        <v>419.99225190400011</v>
      </c>
      <c r="G34" s="764">
        <f>-('7.Balance Proyectado'!H28-'7.Balance Proyectado'!G28)</f>
        <v>124.15011215360005</v>
      </c>
      <c r="H34" s="764">
        <f>-('7.Balance Proyectado'!I28-'7.Balance Proyectado'!H28)</f>
        <v>100.66247311231996</v>
      </c>
    </row>
    <row r="35" spans="1:8" ht="14.25">
      <c r="A35" s="763" t="s">
        <v>524</v>
      </c>
      <c r="B35" s="760"/>
      <c r="C35" s="778"/>
      <c r="D35" s="777">
        <f>-('7.Balance Proyectado'!E29-'7.Balance Proyectado'!D29)</f>
        <v>-267.13835120000022</v>
      </c>
      <c r="E35" s="764">
        <f>-('7.Balance Proyectado'!F29-'7.Balance Proyectado'!E29)</f>
        <v>-285.83803578399966</v>
      </c>
      <c r="F35" s="764">
        <f>-('7.Balance Proyectado'!G29-'7.Balance Proyectado'!F29)</f>
        <v>-305.84669828888036</v>
      </c>
      <c r="G35" s="764">
        <f>-('7.Balance Proyectado'!H29-'7.Balance Proyectado'!G29)</f>
        <v>-327.2559671691015</v>
      </c>
      <c r="H35" s="764">
        <f>-('7.Balance Proyectado'!I29-'7.Balance Proyectado'!H29)</f>
        <v>-350.163884870939</v>
      </c>
    </row>
    <row r="36" spans="1:8" ht="14.25">
      <c r="A36" s="768" t="s">
        <v>408</v>
      </c>
      <c r="B36" s="760"/>
      <c r="C36" s="778"/>
      <c r="D36" s="777">
        <f>'7.Balance Proyectado'!D31-'7.Balance Proyectado'!E31-'8.Estado de Resultado proyectad'!D50</f>
        <v>605.22532841528573</v>
      </c>
      <c r="E36" s="764">
        <f>'7.Balance Proyectado'!E31-'7.Balance Proyectado'!F31-'8.Estado de Resultado proyectad'!E50</f>
        <v>-480.11173868012366</v>
      </c>
      <c r="F36" s="764">
        <f>'7.Balance Proyectado'!F31-'7.Balance Proyectado'!G31-'8.Estado de Resultado proyectad'!F50</f>
        <v>-408.20927090869515</v>
      </c>
      <c r="G36" s="764">
        <f>'7.Balance Proyectado'!G31-'7.Balance Proyectado'!H31-'8.Estado de Resultado proyectad'!G50</f>
        <v>-428.93870670830779</v>
      </c>
      <c r="H36" s="764">
        <f>'7.Balance Proyectado'!H31-'7.Balance Proyectado'!I31-'8.Estado de Resultado proyectad'!H50</f>
        <v>-327.41474126640423</v>
      </c>
    </row>
    <row r="37" spans="1:8" ht="14.25">
      <c r="A37" s="763" t="s">
        <v>163</v>
      </c>
      <c r="B37" s="760"/>
      <c r="C37" s="777"/>
      <c r="D37" s="777">
        <f>-'4.Proyección Balance'!D93</f>
        <v>-900</v>
      </c>
      <c r="E37" s="764">
        <f>-(+'4.Proyección Balance'!E93)</f>
        <v>-1700</v>
      </c>
      <c r="F37" s="764">
        <f>-(+'4.Proyección Balance'!F93)</f>
        <v>-1790</v>
      </c>
      <c r="G37" s="764">
        <f>-(+'4.Proyección Balance'!G93)</f>
        <v>-1793</v>
      </c>
      <c r="H37" s="764">
        <f>-(+'4.Proyección Balance'!H93)</f>
        <v>-893</v>
      </c>
    </row>
    <row r="38" spans="1:8" ht="14.25">
      <c r="A38" s="763" t="s">
        <v>135</v>
      </c>
      <c r="B38" s="760"/>
      <c r="C38" s="778"/>
      <c r="D38" s="777">
        <f>'7.Balance Proyectado'!E39-'7.Balance Proyectado'!D39-'8.Estado de Resultado proyectad'!D51</f>
        <v>-907.7415754331721</v>
      </c>
      <c r="E38" s="764">
        <f>'7.Balance Proyectado'!E39-'7.Balance Proyectado'!F39-'8.Estado de Resultado proyectad'!E61</f>
        <v>-78.465243728071755</v>
      </c>
      <c r="F38" s="764">
        <f>'7.Balance Proyectado'!F39-'7.Balance Proyectado'!G39-'8.Estado de Resultado proyectad'!F61</f>
        <v>-1422.6425568779521</v>
      </c>
      <c r="G38" s="764">
        <f>'7.Balance Proyectado'!G39-'7.Balance Proyectado'!H39-'8.Estado de Resultado proyectad'!G61</f>
        <v>-1420.4252931593344</v>
      </c>
      <c r="H38" s="764">
        <f>'7.Balance Proyectado'!H39-'7.Balance Proyectado'!I39-'8.Estado de Resultado proyectad'!H61</f>
        <v>-927.03748680352669</v>
      </c>
    </row>
    <row r="39" spans="1:8" ht="14.25">
      <c r="A39" s="768" t="s">
        <v>244</v>
      </c>
      <c r="B39" s="760"/>
      <c r="C39" s="778"/>
      <c r="D39" s="777">
        <f>'7.Balance Proyectado'!E40-'7.Balance Proyectado'!D40</f>
        <v>0</v>
      </c>
      <c r="E39" s="764">
        <f>'7.Balance Proyectado'!F40-'7.Balance Proyectado'!E40</f>
        <v>0</v>
      </c>
      <c r="F39" s="764">
        <f>'7.Balance Proyectado'!G40-'7.Balance Proyectado'!F40</f>
        <v>0</v>
      </c>
      <c r="G39" s="764">
        <f>'7.Balance Proyectado'!H40-'7.Balance Proyectado'!G40</f>
        <v>0</v>
      </c>
      <c r="H39" s="764">
        <f>'7.Balance Proyectado'!I40-'7.Balance Proyectado'!H40</f>
        <v>0</v>
      </c>
    </row>
    <row r="40" spans="1:8" ht="14.25">
      <c r="A40" s="768" t="s">
        <v>245</v>
      </c>
      <c r="B40" s="760"/>
      <c r="C40" s="778"/>
      <c r="D40" s="777">
        <f>-('7.Balance Proyectado'!E41-'7.Balance Proyectado'!D41)</f>
        <v>467.74231800000007</v>
      </c>
      <c r="E40" s="764">
        <f>-('7.Balance Proyectado'!F41-'7.Balance Proyectado'!E41)</f>
        <v>467.74231800000007</v>
      </c>
      <c r="F40" s="764">
        <f>-('7.Balance Proyectado'!G41-'7.Balance Proyectado'!F41)</f>
        <v>-207.25768199999993</v>
      </c>
      <c r="G40" s="764">
        <f>-('7.Balance Proyectado'!H41-'7.Balance Proyectado'!G41)</f>
        <v>41.742318000000068</v>
      </c>
      <c r="H40" s="764">
        <f>-('7.Balance Proyectado'!I41-'7.Balance Proyectado'!H41)</f>
        <v>110.74231800000007</v>
      </c>
    </row>
    <row r="41" spans="1:8" ht="14.25">
      <c r="A41" s="768" t="s">
        <v>246</v>
      </c>
      <c r="B41" s="760"/>
      <c r="C41" s="778"/>
      <c r="D41" s="777">
        <f>-('7.Balance Proyectado'!E42-'7.Balance Proyectado'!D42)</f>
        <v>473.40510199999994</v>
      </c>
      <c r="E41" s="764">
        <f>-('7.Balance Proyectado'!F42-'7.Balance Proyectado'!E42)</f>
        <v>473.40510199999994</v>
      </c>
      <c r="F41" s="764">
        <f>-('7.Balance Proyectado'!G42-'7.Balance Proyectado'!F42)</f>
        <v>-46.594898000000057</v>
      </c>
      <c r="G41" s="764">
        <f>-('7.Balance Proyectado'!H42-'7.Balance Proyectado'!G42)</f>
        <v>75.405101999999715</v>
      </c>
      <c r="H41" s="764">
        <f>-('7.Balance Proyectado'!I42-'7.Balance Proyectado'!H42)</f>
        <v>735.40510199999994</v>
      </c>
    </row>
    <row r="42" spans="1:8" ht="14.25">
      <c r="A42" s="768" t="s">
        <v>145</v>
      </c>
      <c r="B42" s="760"/>
      <c r="C42" s="778"/>
      <c r="D42" s="777">
        <f>-('7.Balance Proyectado'!E43-'7.Balance Proyectado'!D43)</f>
        <v>-35.563894100000198</v>
      </c>
      <c r="E42" s="764">
        <f>-('7.Balance Proyectado'!F43-'7.Balance Proyectado'!E43)</f>
        <v>-35.919533040999795</v>
      </c>
      <c r="F42" s="764">
        <f>-('7.Balance Proyectado'!G43-'7.Balance Proyectado'!F43)</f>
        <v>-36.278728371410125</v>
      </c>
      <c r="G42" s="764">
        <f>-('7.Balance Proyectado'!H43-'7.Balance Proyectado'!G43)</f>
        <v>-36.641515655124294</v>
      </c>
      <c r="H42" s="764">
        <f>-('7.Balance Proyectado'!I43-'7.Balance Proyectado'!H43)</f>
        <v>-37.007930811675124</v>
      </c>
    </row>
    <row r="43" spans="1:8" ht="14.25">
      <c r="A43" s="782"/>
      <c r="B43" s="760"/>
      <c r="C43" s="778"/>
      <c r="D43" s="777"/>
      <c r="E43" s="760"/>
      <c r="F43" s="760"/>
      <c r="G43" s="760"/>
      <c r="H43" s="760"/>
    </row>
    <row r="44" spans="1:8" ht="14.25">
      <c r="A44" s="760"/>
      <c r="B44" s="760"/>
      <c r="C44" s="778"/>
      <c r="D44" s="778"/>
      <c r="E44" s="760"/>
      <c r="F44" s="760"/>
      <c r="G44" s="760"/>
      <c r="H44" s="760"/>
    </row>
    <row r="45" spans="1:8" ht="14.25">
      <c r="A45" s="763" t="s">
        <v>165</v>
      </c>
      <c r="B45" s="760"/>
      <c r="C45" s="778"/>
      <c r="D45" s="777">
        <f>D46+D47+D48+D49</f>
        <v>35228.066872800024</v>
      </c>
      <c r="E45" s="764">
        <f>E46+E47+E48+E49</f>
        <v>39750.949354128039</v>
      </c>
      <c r="F45" s="764">
        <f>F46+F47+F48+F49</f>
        <v>42629.827409311853</v>
      </c>
      <c r="G45" s="764">
        <f>G46+G47+G48+G49</f>
        <v>43503.952655688001</v>
      </c>
      <c r="H45" s="764">
        <f>H46+H47+H48+H49</f>
        <v>46630.459166223853</v>
      </c>
    </row>
    <row r="46" spans="1:8" ht="14.25">
      <c r="A46" s="766" t="s">
        <v>166</v>
      </c>
      <c r="B46" s="760"/>
      <c r="C46" s="760"/>
      <c r="D46" s="764">
        <f>'7.Balance Proyectado'!E51-'7.Balance Proyectado'!D51</f>
        <v>27379.064084000012</v>
      </c>
      <c r="E46" s="764">
        <f>'7.Balance Proyectado'!F51-'7.Balance Proyectado'!E51</f>
        <v>29569.389210720023</v>
      </c>
      <c r="F46" s="764">
        <f>'7.Balance Proyectado'!G51-'7.Balance Proyectado'!F51</f>
        <v>31934.94034757762</v>
      </c>
      <c r="G46" s="764">
        <f>'7.Balance Proyectado'!H51-'7.Balance Proyectado'!G51</f>
        <v>34489.73557538382</v>
      </c>
      <c r="H46" s="764">
        <f>'7.Balance Proyectado'!I51-'7.Balance Proyectado'!H51</f>
        <v>37248.914421414491</v>
      </c>
    </row>
    <row r="47" spans="1:8" ht="14.25">
      <c r="A47" s="766" t="s">
        <v>167</v>
      </c>
      <c r="B47" s="760"/>
      <c r="C47" s="760"/>
      <c r="D47" s="764">
        <f>'7.Balance Proyectado'!E52-'7.Balance Proyectado'!D52</f>
        <v>56.613092000000051</v>
      </c>
      <c r="E47" s="764">
        <f>'7.Balance Proyectado'!F52-'7.Balance Proyectado'!E52</f>
        <v>59.44374659999994</v>
      </c>
      <c r="F47" s="764">
        <f>'7.Balance Proyectado'!G52-'7.Balance Proyectado'!F52</f>
        <v>62.415933929999937</v>
      </c>
      <c r="G47" s="764">
        <f>'7.Balance Proyectado'!H52-'7.Balance Proyectado'!G52</f>
        <v>65.536730626500002</v>
      </c>
      <c r="H47" s="764">
        <f>'7.Balance Proyectado'!I52-'7.Balance Proyectado'!H52</f>
        <v>68.813567157824991</v>
      </c>
    </row>
    <row r="48" spans="1:8" ht="14.25">
      <c r="A48" s="766" t="s">
        <v>168</v>
      </c>
      <c r="B48" s="760"/>
      <c r="C48" s="760"/>
      <c r="D48" s="764">
        <f>'7.Balance Proyectado'!E53-'7.Balance Proyectado'!D53</f>
        <v>7745.3884672000131</v>
      </c>
      <c r="E48" s="764">
        <f>'7.Balance Proyectado'!F53-'7.Balance Proyectado'!E53</f>
        <v>10069.005007360014</v>
      </c>
      <c r="F48" s="764">
        <f>'7.Balance Proyectado'!G53-'7.Balance Proyectado'!F53</f>
        <v>10572.455257727997</v>
      </c>
      <c r="G48" s="764">
        <f>'7.Balance Proyectado'!H53-'7.Balance Proyectado'!G53</f>
        <v>8880.8624164915236</v>
      </c>
      <c r="H48" s="764">
        <f>'7.Balance Proyectado'!I53-'7.Balance Proyectado'!H53</f>
        <v>9236.0969131511811</v>
      </c>
    </row>
    <row r="49" spans="1:8" ht="14.25">
      <c r="A49" s="766" t="s">
        <v>169</v>
      </c>
      <c r="B49" s="760"/>
      <c r="C49" s="760"/>
      <c r="D49" s="764">
        <f>'7.Balance Proyectado'!E54-'7.Balance Proyectado'!D54</f>
        <v>47.001229599999988</v>
      </c>
      <c r="E49" s="764">
        <f>'7.Balance Proyectado'!F54-'7.Balance Proyectado'!E54</f>
        <v>53.111389448000011</v>
      </c>
      <c r="F49" s="764">
        <f>'7.Balance Proyectado'!G54-'7.Balance Proyectado'!F54</f>
        <v>60.015870076239992</v>
      </c>
      <c r="G49" s="764">
        <f>'7.Balance Proyectado'!H54-'7.Balance Proyectado'!G54</f>
        <v>67.817933186151208</v>
      </c>
      <c r="H49" s="764">
        <f>'7.Balance Proyectado'!I54-'7.Balance Proyectado'!H54</f>
        <v>76.63426450035081</v>
      </c>
    </row>
    <row r="50" spans="1:8" ht="14.25">
      <c r="A50" s="763" t="s">
        <v>170</v>
      </c>
      <c r="B50" s="760"/>
      <c r="C50" s="760"/>
      <c r="D50" s="764">
        <f>-'7.Balance Proyectado'!E55+'7.Balance Proyectado'!D55</f>
        <v>-2883.0540684000007</v>
      </c>
      <c r="E50" s="764">
        <f>'7.Balance Proyectado'!F55-'7.Balance Proyectado'!E55</f>
        <v>3834.4619109720006</v>
      </c>
      <c r="F50" s="764">
        <f>'7.Balance Proyectado'!G55-'7.Balance Proyectado'!F55</f>
        <v>5099.8343415927629</v>
      </c>
      <c r="G50" s="764">
        <f>'7.Balance Proyectado'!H55-'7.Balance Proyectado'!G55</f>
        <v>6782.7796743183717</v>
      </c>
      <c r="H50" s="764">
        <f>'7.Balance Proyectado'!I55-'7.Balance Proyectado'!H55</f>
        <v>9021.0969668434336</v>
      </c>
    </row>
    <row r="51" spans="1:8" ht="14.25">
      <c r="A51" s="763" t="s">
        <v>171</v>
      </c>
      <c r="B51" s="760"/>
      <c r="C51" s="760"/>
      <c r="D51" s="764">
        <f>D52+D53+D54</f>
        <v>-390.30123020418569</v>
      </c>
      <c r="E51" s="764">
        <f>E52+E53+E54</f>
        <v>194.05736370747854</v>
      </c>
      <c r="F51" s="764">
        <f>F52+F53+F54</f>
        <v>648.14694309357606</v>
      </c>
      <c r="G51" s="764">
        <f>G52+G53+G54</f>
        <v>1767.1674107900938</v>
      </c>
      <c r="H51" s="764">
        <f>H52+H53+H54</f>
        <v>1070.6341465222745</v>
      </c>
    </row>
    <row r="52" spans="1:8" ht="14.25">
      <c r="A52" s="768" t="s">
        <v>248</v>
      </c>
      <c r="B52" s="760"/>
      <c r="C52" s="760"/>
      <c r="D52" s="764">
        <f>'7.Balance Proyectado'!E57-'7.Balance Proyectado'!D57</f>
        <v>-40.97020298294683</v>
      </c>
      <c r="E52" s="764">
        <f>'7.Balance Proyectado'!F57-'7.Balance Proyectado'!E57</f>
        <v>189.54846150591948</v>
      </c>
      <c r="F52" s="764">
        <f>'7.Balance Proyectado'!G57-'7.Balance Proyectado'!F57</f>
        <v>221.73896917262755</v>
      </c>
      <c r="G52" s="764">
        <f>'7.Balance Proyectado'!H57-'7.Balance Proyectado'!G57</f>
        <v>1118.6814888123954</v>
      </c>
      <c r="H52" s="764">
        <f>'7.Balance Proyectado'!I57-'7.Balance Proyectado'!H57</f>
        <v>578.29961320226357</v>
      </c>
    </row>
    <row r="53" spans="1:8" ht="14.25">
      <c r="A53" s="768" t="s">
        <v>249</v>
      </c>
      <c r="B53" s="760"/>
      <c r="C53" s="760"/>
      <c r="D53" s="764">
        <f>'7.Balance Proyectado'!E58-'7.Balance Proyectado'!D58</f>
        <v>6.8769781867599704</v>
      </c>
      <c r="E53" s="764">
        <f>'7.Balance Proyectado'!F58-'7.Balance Proyectado'!E58</f>
        <v>9.1560418794024372</v>
      </c>
      <c r="F53" s="764">
        <f>'7.Balance Proyectado'!G58-'7.Balance Proyectado'!F58</f>
        <v>9.2540770012349185</v>
      </c>
      <c r="G53" s="764">
        <f>'7.Balance Proyectado'!H58-'7.Balance Proyectado'!G58</f>
        <v>9.3532867153764983</v>
      </c>
      <c r="H53" s="764">
        <f>'7.Balance Proyectado'!I58-'7.Balance Proyectado'!H58</f>
        <v>9.4536885949842144</v>
      </c>
    </row>
    <row r="54" spans="1:8" ht="14.25">
      <c r="A54" s="768" t="s">
        <v>250</v>
      </c>
      <c r="B54" s="760"/>
      <c r="C54" s="760"/>
      <c r="D54" s="764">
        <f>'7.Balance Proyectado'!E59-'7.Balance Proyectado'!D59</f>
        <v>-356.20800540799883</v>
      </c>
      <c r="E54" s="764">
        <f>'7.Balance Proyectado'!F59-'7.Balance Proyectado'!E59</f>
        <v>-4.64713967784337</v>
      </c>
      <c r="F54" s="764">
        <f>'7.Balance Proyectado'!G59-'7.Balance Proyectado'!F59</f>
        <v>417.15389691971359</v>
      </c>
      <c r="G54" s="764">
        <f>'7.Balance Proyectado'!H59-'7.Balance Proyectado'!G59</f>
        <v>639.13263526232186</v>
      </c>
      <c r="H54" s="764">
        <f>'7.Balance Proyectado'!I59-'7.Balance Proyectado'!H59</f>
        <v>482.88084472502669</v>
      </c>
    </row>
    <row r="55" spans="1:8" ht="14.25">
      <c r="A55" s="763" t="s">
        <v>113</v>
      </c>
      <c r="B55" s="760"/>
      <c r="C55" s="760"/>
      <c r="D55" s="764">
        <f>D56+D57+D58</f>
        <v>2832.4946708000007</v>
      </c>
      <c r="E55" s="764">
        <f>E56+E57+E58</f>
        <v>3388.0281102960007</v>
      </c>
      <c r="F55" s="764">
        <f>F56+F57+F58</f>
        <v>4054.4489277979214</v>
      </c>
      <c r="G55" s="764">
        <f>G56+G57+G58</f>
        <v>4853.9302127090796</v>
      </c>
      <c r="H55" s="764">
        <f>H56+H57+H58</f>
        <v>5813.0795845895009</v>
      </c>
    </row>
    <row r="56" spans="1:8" ht="14.25">
      <c r="A56" s="766" t="s">
        <v>172</v>
      </c>
      <c r="B56" s="760"/>
      <c r="C56" s="760"/>
      <c r="D56" s="764">
        <f>'7.Balance Proyectado'!E61-'7.Balance Proyectado'!D61</f>
        <v>113.143778</v>
      </c>
      <c r="E56" s="764">
        <f>'7.Balance Proyectado'!F61-'7.Balance Proyectado'!E61</f>
        <v>135.77253359999997</v>
      </c>
      <c r="F56" s="764">
        <f>'7.Balance Proyectado'!G61-'7.Balance Proyectado'!F61</f>
        <v>162.92704031999995</v>
      </c>
      <c r="G56" s="764">
        <f>'7.Balance Proyectado'!H61-'7.Balance Proyectado'!G61</f>
        <v>195.51244838399998</v>
      </c>
      <c r="H56" s="764">
        <f>'7.Balance Proyectado'!I61-'7.Balance Proyectado'!H61</f>
        <v>234.61493806079989</v>
      </c>
    </row>
    <row r="57" spans="1:8" ht="14.25">
      <c r="A57" s="766" t="s">
        <v>173</v>
      </c>
      <c r="B57" s="760"/>
      <c r="C57" s="760"/>
      <c r="D57" s="764">
        <f>'7.Balance Proyectado'!E62-'7.Balance Proyectado'!D62</f>
        <v>60.919414800000141</v>
      </c>
      <c r="E57" s="764">
        <f>'7.Balance Proyectado'!F62-'7.Balance Proyectado'!E62</f>
        <v>62.137803095999971</v>
      </c>
      <c r="F57" s="764">
        <f>'7.Balance Proyectado'!G62-'7.Balance Proyectado'!F62</f>
        <v>63.380559157919834</v>
      </c>
      <c r="G57" s="764">
        <f>'7.Balance Proyectado'!H62-'7.Balance Proyectado'!G62</f>
        <v>64.648170341078185</v>
      </c>
      <c r="H57" s="764">
        <f>'7.Balance Proyectado'!I62-'7.Balance Proyectado'!H62</f>
        <v>65.941133747900039</v>
      </c>
    </row>
    <row r="58" spans="1:8" ht="14.25">
      <c r="A58" s="766" t="s">
        <v>174</v>
      </c>
      <c r="B58" s="760"/>
      <c r="C58" s="760"/>
      <c r="D58" s="764">
        <f>'7.Balance Proyectado'!E63-'7.Balance Proyectado'!D63</f>
        <v>2658.4314780000004</v>
      </c>
      <c r="E58" s="764">
        <f>'7.Balance Proyectado'!F63-'7.Balance Proyectado'!E63</f>
        <v>3190.1177736000009</v>
      </c>
      <c r="F58" s="764">
        <f>'7.Balance Proyectado'!G63-'7.Balance Proyectado'!F63</f>
        <v>3828.1413283200018</v>
      </c>
      <c r="G58" s="764">
        <f>'7.Balance Proyectado'!H63-'7.Balance Proyectado'!G63</f>
        <v>4593.7695939840014</v>
      </c>
      <c r="H58" s="764">
        <f>'7.Balance Proyectado'!I63-'7.Balance Proyectado'!H63</f>
        <v>5512.523512780801</v>
      </c>
    </row>
    <row r="59" spans="1:8" ht="14.25">
      <c r="A59" s="763" t="s">
        <v>175</v>
      </c>
      <c r="B59" s="760"/>
      <c r="C59" s="760"/>
      <c r="D59" s="764">
        <f>'7.Balance Proyectado'!E64-'7.Balance Proyectado'!D64</f>
        <v>1630</v>
      </c>
      <c r="E59" s="764">
        <f>'7.Balance Proyectado'!F64-'7.Balance Proyectado'!E64</f>
        <v>795.60000000000036</v>
      </c>
      <c r="F59" s="764">
        <f>'7.Balance Proyectado'!G64-'7.Balance Proyectado'!F64</f>
        <v>891.07200000000012</v>
      </c>
      <c r="G59" s="764">
        <f>'7.Balance Proyectado'!H64-'7.Balance Proyectado'!G64</f>
        <v>998.0006400000002</v>
      </c>
      <c r="H59" s="764">
        <f>'7.Balance Proyectado'!I64-'7.Balance Proyectado'!H64</f>
        <v>1117.7607167999995</v>
      </c>
    </row>
    <row r="60" spans="1:8" ht="14.25">
      <c r="A60" s="763" t="s">
        <v>410</v>
      </c>
      <c r="B60" s="760"/>
      <c r="C60" s="760"/>
      <c r="D60" s="764">
        <f>'7.Balance Proyectado'!E65-'7.Balance Proyectado'!D65</f>
        <v>1163</v>
      </c>
      <c r="E60" s="764">
        <f>'7.Balance Proyectado'!F65-'7.Balance Proyectado'!E65</f>
        <v>49.390000000000327</v>
      </c>
      <c r="F60" s="764">
        <f>'7.Balance Proyectado'!G65-'7.Balance Proyectado'!F65</f>
        <v>49.883899999999812</v>
      </c>
      <c r="G60" s="764">
        <f>'7.Balance Proyectado'!H65-'7.Balance Proyectado'!G65</f>
        <v>50.382738999999674</v>
      </c>
      <c r="H60" s="764">
        <f>'7.Balance Proyectado'!I65-'7.Balance Proyectado'!H65</f>
        <v>50.886566389999643</v>
      </c>
    </row>
    <row r="61" spans="1:8" ht="14.25">
      <c r="A61" s="763" t="s">
        <v>176</v>
      </c>
      <c r="B61" s="760"/>
      <c r="C61" s="760"/>
      <c r="D61" s="764">
        <f>-'7.Balance Proyectado'!E66+'7.Balance Proyectado'!D66-167</f>
        <v>-558.52621420443484</v>
      </c>
      <c r="E61" s="764">
        <f>'7.Balance Proyectado'!F66-'7.Balance Proyectado'!E66+436</f>
        <v>844.14671223428059</v>
      </c>
      <c r="F61" s="764">
        <f>'7.Balance Proyectado'!G66-'7.Balance Proyectado'!F66-6</f>
        <v>215.2933027545123</v>
      </c>
      <c r="G61" s="764">
        <f>'7.Balance Proyectado'!H66-'7.Balance Proyectado'!G66-25</f>
        <v>213.91808080159171</v>
      </c>
      <c r="H61" s="764">
        <f>'7.Balance Proyectado'!I66-'7.Balance Proyectado'!H66</f>
        <v>258.10130290811776</v>
      </c>
    </row>
    <row r="62" spans="1:8" ht="14.25">
      <c r="A62" s="760"/>
      <c r="B62" s="760"/>
      <c r="C62" s="760"/>
      <c r="D62" s="760"/>
      <c r="E62" s="760"/>
      <c r="F62" s="760"/>
      <c r="G62" s="760"/>
      <c r="H62" s="760"/>
    </row>
    <row r="63" spans="1:8" ht="14.25">
      <c r="A63" s="760"/>
      <c r="B63" s="760"/>
      <c r="C63" s="760"/>
      <c r="D63" s="764">
        <f>'7.Balance Proyectado'!E70-'7.Balance Proyectado'!D70</f>
        <v>16083.40151162527</v>
      </c>
      <c r="E63" s="764">
        <f>'7.Balance Proyectado'!F70-'7.Balance Proyectado'!E70</f>
        <v>6099.9103776949923</v>
      </c>
      <c r="F63" s="764">
        <f>'7.Balance Proyectado'!G70-'7.Balance Proyectado'!F70</f>
        <v>6381.8223633567104</v>
      </c>
      <c r="G63" s="764">
        <f>'7.Balance Proyectado'!H70-'7.Balance Proyectado'!G70</f>
        <v>9780.6409766672878</v>
      </c>
      <c r="H63" s="764">
        <f>'7.Balance Proyectado'!I70-'7.Balance Proyectado'!H70</f>
        <v>6999.1253390841885</v>
      </c>
    </row>
    <row r="64" spans="1:8" ht="15">
      <c r="A64" s="783" t="s">
        <v>177</v>
      </c>
      <c r="B64" s="760"/>
      <c r="C64" s="760"/>
      <c r="D64" s="764">
        <f>(D13-D63)</f>
        <v>-5083.9532594622178</v>
      </c>
      <c r="E64" s="764">
        <f>E13-E63</f>
        <v>5847.791099367565</v>
      </c>
      <c r="F64" s="764">
        <f>F13-F63</f>
        <v>5771.2676946446863</v>
      </c>
      <c r="G64" s="764">
        <f>G13-G63</f>
        <v>3345.8653743668037</v>
      </c>
      <c r="H64" s="764">
        <f>H13-H63</f>
        <v>6928.1126061747418</v>
      </c>
    </row>
    <row r="65" spans="1:8" ht="15">
      <c r="A65" s="783"/>
      <c r="B65" s="760"/>
      <c r="C65" s="760"/>
      <c r="D65" s="764"/>
      <c r="E65" s="764"/>
      <c r="F65" s="764"/>
      <c r="G65" s="764"/>
      <c r="H65" s="764"/>
    </row>
    <row r="66" spans="1:8" ht="15">
      <c r="A66" s="783"/>
      <c r="B66" s="760"/>
      <c r="C66" s="760"/>
      <c r="D66" s="764"/>
      <c r="E66" s="764"/>
      <c r="F66" s="764"/>
      <c r="G66" s="764"/>
      <c r="H66" s="764"/>
    </row>
    <row r="67" spans="1:8" ht="14.25">
      <c r="A67" s="760"/>
      <c r="B67" s="760"/>
      <c r="C67" s="760"/>
      <c r="D67" s="760"/>
      <c r="E67" s="760"/>
      <c r="F67" s="760"/>
      <c r="G67" s="760"/>
      <c r="H67" s="760"/>
    </row>
    <row r="68" spans="1:8" ht="15">
      <c r="A68" s="783" t="s">
        <v>517</v>
      </c>
      <c r="B68" s="760"/>
      <c r="C68" s="760"/>
      <c r="D68" s="764">
        <f>D13+D17+D18+D19+D22+D26+D31+D36+D37+D38+D45+D50+D51+D55+D59+D60+D61+D64</f>
        <v>19274.647805114029</v>
      </c>
      <c r="E68" s="764">
        <f>E13+E17+E18+E19+E22+E26+E31+E36+E37+E38+E45+E50+E51+E55+E59+E60+E61-E64-900</f>
        <v>20959.857667944289</v>
      </c>
      <c r="F68" s="764">
        <f>F13+F17+F18+F19+F22+F26+F31+F36+F37+F38+F45+F50+F51+F55+F59+F60+F61-F64-700</f>
        <v>22992.312717234345</v>
      </c>
      <c r="G68" s="764">
        <f>G13+G17+G18+G19+G22+G26+G31+G36+G37+G38+G45+G50+G51+G55+G59+G60+G61-G64-1800</f>
        <v>25141.804799702277</v>
      </c>
      <c r="H68" s="764">
        <f>H13+H17+H18+H19+H22+H26+H31+H36+H37+H38+H45+H50+H51+H55+H59+H60+H61-H64</f>
        <v>28723.379282828922</v>
      </c>
    </row>
    <row r="69" spans="1:8" ht="14.25">
      <c r="A69" s="760" t="s">
        <v>65</v>
      </c>
      <c r="B69" s="760"/>
      <c r="C69" s="760"/>
      <c r="D69" s="764">
        <f>+'7.Balance Proyectado'!D8</f>
        <v>218471.11599000002</v>
      </c>
      <c r="E69" s="764">
        <f>+'7.Balance Proyectado'!E8</f>
        <v>237745.974251112</v>
      </c>
      <c r="F69" s="764">
        <f>'7.Balance Proyectado'!F8</f>
        <v>258705.53287842515</v>
      </c>
      <c r="G69" s="764">
        <f>+'7.Balance Proyectado'!G8</f>
        <v>281697.91319107643</v>
      </c>
      <c r="H69" s="764">
        <f>+'7.Balance Proyectado'!H8</f>
        <v>306840.31263110432</v>
      </c>
    </row>
    <row r="70" spans="1:8" ht="14.25">
      <c r="A70" s="760" t="s">
        <v>66</v>
      </c>
      <c r="B70" s="760"/>
      <c r="C70" s="760"/>
      <c r="D70" s="764">
        <f>D68+D69</f>
        <v>237745.76379511406</v>
      </c>
      <c r="E70" s="764">
        <f>E68+E69</f>
        <v>258705.83191905628</v>
      </c>
      <c r="F70" s="764">
        <f>F68+F69</f>
        <v>281697.84559565951</v>
      </c>
      <c r="G70" s="764">
        <f>G68+G69</f>
        <v>306839.71799077868</v>
      </c>
      <c r="H70" s="764">
        <f>H68+H69</f>
        <v>335563.69191393326</v>
      </c>
    </row>
    <row r="71" spans="1:8">
      <c r="A71" s="119"/>
    </row>
    <row r="73" spans="1:8">
      <c r="A73" s="119"/>
    </row>
    <row r="90" spans="1:9">
      <c r="A90" s="26"/>
      <c r="B90" s="26"/>
      <c r="C90" s="26"/>
      <c r="D90" s="26"/>
      <c r="E90" s="26"/>
      <c r="F90" s="26"/>
      <c r="G90" s="26"/>
      <c r="H90" s="26"/>
      <c r="I90" s="26"/>
    </row>
    <row r="91" spans="1:9">
      <c r="A91" s="26"/>
      <c r="B91" s="26"/>
      <c r="C91" s="26"/>
    </row>
    <row r="92" spans="1:9">
      <c r="A92" s="26"/>
      <c r="B92" s="26"/>
      <c r="C92" s="26"/>
    </row>
    <row r="93" spans="1:9">
      <c r="A93" s="26"/>
      <c r="B93" s="26"/>
      <c r="C93" s="26"/>
    </row>
    <row r="94" spans="1:9">
      <c r="A94" s="26"/>
      <c r="B94" s="26"/>
      <c r="C94" s="26"/>
    </row>
    <row r="95" spans="1:9">
      <c r="A95" s="26"/>
      <c r="B95" s="26"/>
      <c r="C95" s="26"/>
      <c r="D95" s="26"/>
      <c r="E95" s="26"/>
      <c r="F95" s="26"/>
      <c r="G95" s="26"/>
      <c r="H95" s="26"/>
      <c r="I95" s="26"/>
    </row>
    <row r="96" spans="1:9">
      <c r="A96" s="26"/>
      <c r="B96" s="26"/>
      <c r="C96" s="26"/>
      <c r="D96" s="26"/>
      <c r="E96" s="26"/>
      <c r="F96" s="26"/>
      <c r="G96" s="26"/>
      <c r="H96" s="26"/>
      <c r="I96" s="26"/>
    </row>
    <row r="97" spans="1:9">
      <c r="A97" s="26"/>
      <c r="B97" s="26"/>
      <c r="C97" s="26"/>
      <c r="D97" s="26"/>
      <c r="E97" s="26"/>
      <c r="F97" s="26"/>
      <c r="G97" s="26"/>
      <c r="H97" s="26"/>
      <c r="I97" s="26"/>
    </row>
    <row r="98" spans="1:9">
      <c r="A98" s="26"/>
      <c r="B98" s="26"/>
      <c r="C98" s="26"/>
      <c r="D98" s="26"/>
      <c r="E98" s="26"/>
      <c r="F98" s="26"/>
      <c r="G98" s="26"/>
      <c r="H98" s="26"/>
      <c r="I98" s="26"/>
    </row>
    <row r="99" spans="1:9">
      <c r="A99" s="26"/>
      <c r="B99" s="26"/>
      <c r="C99" s="26"/>
      <c r="D99" s="26"/>
      <c r="E99" s="26"/>
      <c r="F99" s="26"/>
      <c r="G99" s="26"/>
      <c r="H99" s="26"/>
      <c r="I99" s="26"/>
    </row>
    <row r="100" spans="1:9">
      <c r="A100" s="26"/>
      <c r="B100" s="26"/>
      <c r="C100" s="26"/>
      <c r="D100" s="26"/>
      <c r="E100" s="26"/>
      <c r="F100" s="26"/>
      <c r="G100" s="26"/>
      <c r="H100" s="26"/>
      <c r="I100" s="26"/>
    </row>
    <row r="101" spans="1:9">
      <c r="A101" s="26"/>
      <c r="B101" s="26"/>
      <c r="C101" s="26"/>
      <c r="D101" s="26"/>
      <c r="E101" s="26"/>
      <c r="F101" s="26"/>
      <c r="G101" s="26"/>
      <c r="H101" s="26"/>
      <c r="I101" s="26"/>
    </row>
    <row r="102" spans="1:9">
      <c r="A102" s="26"/>
      <c r="B102" s="26"/>
      <c r="C102" s="26"/>
      <c r="D102" s="26"/>
      <c r="E102" s="26"/>
      <c r="F102" s="26"/>
      <c r="G102" s="26"/>
      <c r="H102" s="26"/>
      <c r="I102" s="26"/>
    </row>
    <row r="103" spans="1:9">
      <c r="A103" s="26"/>
      <c r="B103" s="26"/>
      <c r="C103" s="26"/>
      <c r="D103" s="26"/>
      <c r="E103" s="26"/>
      <c r="F103" s="26"/>
      <c r="G103" s="26"/>
      <c r="H103" s="26"/>
      <c r="I103" s="26"/>
    </row>
    <row r="104" spans="1:9">
      <c r="A104" s="26"/>
      <c r="B104" s="26"/>
      <c r="C104" s="26"/>
      <c r="D104" s="26"/>
      <c r="E104" s="26"/>
      <c r="F104" s="26"/>
      <c r="G104" s="26"/>
      <c r="H104" s="26"/>
      <c r="I104" s="26"/>
    </row>
    <row r="105" spans="1:9">
      <c r="A105" s="26"/>
      <c r="B105" s="26"/>
      <c r="C105" s="26"/>
      <c r="D105" s="26"/>
      <c r="E105" s="26"/>
      <c r="F105" s="26"/>
      <c r="G105" s="26"/>
      <c r="H105" s="26"/>
      <c r="I105" s="26"/>
    </row>
    <row r="106" spans="1:9">
      <c r="A106" s="26"/>
      <c r="B106" s="26"/>
      <c r="C106" s="26"/>
      <c r="D106" s="26"/>
      <c r="E106" s="26"/>
      <c r="F106" s="26"/>
      <c r="G106" s="26"/>
      <c r="H106" s="26"/>
      <c r="I106" s="26"/>
    </row>
    <row r="107" spans="1:9">
      <c r="A107" s="26"/>
      <c r="B107" s="26"/>
      <c r="C107" s="26"/>
      <c r="D107" s="26"/>
      <c r="E107" s="26"/>
      <c r="F107" s="26"/>
      <c r="G107" s="26"/>
      <c r="H107" s="26"/>
      <c r="I107" s="26"/>
    </row>
    <row r="108" spans="1:9">
      <c r="A108" s="26"/>
      <c r="B108" s="26"/>
      <c r="C108" s="26"/>
      <c r="D108" s="26"/>
      <c r="E108" s="26"/>
      <c r="F108" s="26"/>
      <c r="G108" s="26"/>
      <c r="H108" s="26"/>
      <c r="I108" s="26"/>
    </row>
    <row r="109" spans="1:9">
      <c r="A109" s="26"/>
      <c r="B109" s="26"/>
      <c r="C109" s="26"/>
      <c r="D109" s="26"/>
      <c r="E109" s="26"/>
      <c r="F109" s="26"/>
      <c r="G109" s="26"/>
      <c r="H109" s="26"/>
      <c r="I109" s="26"/>
    </row>
    <row r="110" spans="1:9">
      <c r="A110" s="26"/>
      <c r="B110" s="26"/>
      <c r="C110" s="26"/>
      <c r="D110" s="26"/>
      <c r="E110" s="26"/>
      <c r="F110" s="26"/>
      <c r="G110" s="26"/>
      <c r="H110" s="26"/>
      <c r="I110" s="26"/>
    </row>
    <row r="111" spans="1:9">
      <c r="A111" s="26"/>
      <c r="B111" s="26"/>
      <c r="C111" s="26"/>
      <c r="D111" s="26"/>
      <c r="E111" s="26"/>
      <c r="F111" s="26"/>
      <c r="G111" s="26"/>
      <c r="H111" s="26"/>
      <c r="I111" s="26"/>
    </row>
    <row r="112" spans="1:9">
      <c r="A112" s="26"/>
      <c r="B112" s="26"/>
      <c r="C112" s="26"/>
      <c r="D112" s="26"/>
      <c r="E112" s="26"/>
      <c r="F112" s="26"/>
      <c r="G112" s="26"/>
      <c r="H112" s="26"/>
      <c r="I112" s="26"/>
    </row>
    <row r="113" spans="1:9">
      <c r="A113" s="26"/>
      <c r="B113" s="26"/>
      <c r="C113" s="26"/>
      <c r="D113" s="26"/>
      <c r="E113" s="26"/>
      <c r="F113" s="26"/>
      <c r="G113" s="26"/>
      <c r="H113" s="26"/>
      <c r="I113" s="26"/>
    </row>
    <row r="114" spans="1:9">
      <c r="A114" s="26"/>
      <c r="B114" s="26"/>
      <c r="C114" s="26"/>
      <c r="D114" s="26"/>
      <c r="E114" s="26"/>
      <c r="F114" s="26"/>
      <c r="G114" s="26"/>
      <c r="H114" s="26"/>
      <c r="I114" s="26"/>
    </row>
    <row r="115" spans="1:9">
      <c r="A115" s="26"/>
      <c r="B115" s="26"/>
      <c r="C115" s="26"/>
      <c r="D115" s="26"/>
      <c r="E115" s="26"/>
      <c r="F115" s="26"/>
      <c r="G115" s="26"/>
      <c r="H115" s="26"/>
      <c r="I115" s="26"/>
    </row>
    <row r="116" spans="1:9">
      <c r="A116" s="26"/>
      <c r="B116" s="26"/>
      <c r="C116" s="26"/>
      <c r="D116" s="26"/>
      <c r="E116" s="26"/>
      <c r="F116" s="26"/>
      <c r="G116" s="26"/>
      <c r="H116" s="26"/>
      <c r="I116" s="26"/>
    </row>
    <row r="117" spans="1:9">
      <c r="A117" s="26"/>
      <c r="B117" s="26"/>
      <c r="C117" s="26"/>
      <c r="D117" s="26"/>
      <c r="E117" s="26"/>
      <c r="F117" s="26"/>
      <c r="G117" s="26"/>
      <c r="H117" s="26"/>
      <c r="I117" s="26"/>
    </row>
    <row r="118" spans="1:9">
      <c r="A118" s="26"/>
      <c r="B118" s="26"/>
      <c r="C118" s="26"/>
      <c r="D118" s="26"/>
      <c r="E118" s="26"/>
      <c r="F118" s="26"/>
      <c r="G118" s="26"/>
      <c r="H118" s="26"/>
      <c r="I118" s="26"/>
    </row>
    <row r="119" spans="1:9">
      <c r="A119" s="26"/>
      <c r="B119" s="26"/>
      <c r="C119" s="26"/>
      <c r="D119" s="26"/>
      <c r="E119" s="26"/>
      <c r="F119" s="26"/>
      <c r="G119" s="26"/>
      <c r="H119" s="26"/>
      <c r="I119" s="26"/>
    </row>
    <row r="120" spans="1:9">
      <c r="A120" s="26"/>
      <c r="B120" s="26"/>
      <c r="C120" s="26"/>
      <c r="D120" s="26"/>
      <c r="E120" s="26"/>
      <c r="F120" s="26"/>
      <c r="G120" s="26"/>
      <c r="H120" s="26"/>
      <c r="I120" s="26"/>
    </row>
    <row r="121" spans="1:9">
      <c r="A121" s="26"/>
      <c r="B121" s="26"/>
      <c r="C121" s="26"/>
      <c r="D121" s="26"/>
      <c r="E121" s="26"/>
      <c r="F121" s="26"/>
      <c r="G121" s="26"/>
      <c r="H121" s="26"/>
      <c r="I121" s="26"/>
    </row>
    <row r="122" spans="1:9">
      <c r="A122" s="26"/>
      <c r="B122" s="26"/>
      <c r="C122" s="26"/>
      <c r="D122" s="26"/>
      <c r="E122" s="26"/>
      <c r="F122" s="26"/>
      <c r="G122" s="26"/>
      <c r="H122" s="26"/>
      <c r="I122" s="26"/>
    </row>
    <row r="123" spans="1:9">
      <c r="A123" s="26"/>
      <c r="B123" s="26"/>
      <c r="C123" s="26"/>
      <c r="D123" s="26"/>
      <c r="E123" s="26"/>
      <c r="F123" s="26"/>
      <c r="G123" s="26"/>
      <c r="H123" s="26"/>
      <c r="I123" s="26"/>
    </row>
    <row r="124" spans="1:9">
      <c r="A124" s="26"/>
      <c r="B124" s="26"/>
      <c r="C124" s="26"/>
      <c r="D124" s="26"/>
      <c r="E124" s="26"/>
      <c r="F124" s="26"/>
      <c r="G124" s="26"/>
      <c r="H124" s="26"/>
      <c r="I124" s="26"/>
    </row>
    <row r="125" spans="1:9">
      <c r="A125" s="26"/>
      <c r="B125" s="26"/>
      <c r="C125" s="26"/>
      <c r="D125" s="26"/>
      <c r="E125" s="26"/>
      <c r="F125" s="26"/>
      <c r="G125" s="26"/>
      <c r="H125" s="26"/>
      <c r="I125" s="26"/>
    </row>
    <row r="126" spans="1:9">
      <c r="A126" s="26"/>
      <c r="B126" s="26"/>
      <c r="C126" s="26"/>
      <c r="D126" s="26"/>
      <c r="E126" s="26"/>
      <c r="F126" s="26"/>
      <c r="G126" s="26"/>
      <c r="H126" s="26"/>
      <c r="I126" s="26"/>
    </row>
    <row r="127" spans="1:9" ht="19.5" customHeight="1">
      <c r="A127" s="26"/>
      <c r="B127" s="26"/>
      <c r="C127" s="26"/>
      <c r="D127" s="26"/>
      <c r="E127" s="26"/>
      <c r="F127" s="26"/>
      <c r="G127" s="26"/>
      <c r="H127" s="26"/>
      <c r="I127" s="26"/>
    </row>
    <row r="128" spans="1:9">
      <c r="A128" s="26"/>
      <c r="B128" s="26"/>
      <c r="C128" s="26"/>
      <c r="D128" s="26"/>
      <c r="E128" s="26"/>
      <c r="F128" s="26"/>
      <c r="G128" s="26"/>
      <c r="H128" s="26"/>
      <c r="I128" s="26"/>
    </row>
    <row r="129" spans="1:9">
      <c r="A129" s="26"/>
      <c r="B129" s="26"/>
      <c r="C129" s="26"/>
      <c r="D129" s="26"/>
      <c r="E129" s="26"/>
      <c r="F129" s="26"/>
      <c r="G129" s="26"/>
      <c r="H129" s="26"/>
      <c r="I129" s="26"/>
    </row>
    <row r="130" spans="1:9">
      <c r="A130" s="26"/>
      <c r="B130" s="26"/>
      <c r="C130" s="26"/>
      <c r="D130" s="26"/>
      <c r="E130" s="26"/>
      <c r="F130" s="26"/>
      <c r="G130" s="26"/>
      <c r="H130" s="26"/>
      <c r="I130" s="26"/>
    </row>
    <row r="131" spans="1:9">
      <c r="A131" s="26"/>
      <c r="B131" s="26"/>
      <c r="C131" s="26"/>
      <c r="D131" s="26"/>
      <c r="E131" s="26"/>
      <c r="F131" s="26"/>
      <c r="G131" s="26"/>
      <c r="H131" s="26"/>
      <c r="I131" s="26"/>
    </row>
    <row r="132" spans="1:9">
      <c r="A132" s="26"/>
      <c r="B132" s="26"/>
      <c r="C132" s="26"/>
      <c r="D132" s="26"/>
      <c r="E132" s="26"/>
      <c r="F132" s="26"/>
      <c r="G132" s="26"/>
      <c r="H132" s="26"/>
      <c r="I132" s="26"/>
    </row>
    <row r="133" spans="1:9">
      <c r="A133" s="26"/>
      <c r="B133" s="26"/>
      <c r="C133" s="26"/>
      <c r="D133" s="26"/>
      <c r="E133" s="26"/>
      <c r="F133" s="26"/>
      <c r="G133" s="26"/>
      <c r="H133" s="26"/>
      <c r="I133" s="26"/>
    </row>
    <row r="134" spans="1:9">
      <c r="A134" s="26"/>
      <c r="B134" s="26"/>
      <c r="C134" s="26"/>
      <c r="D134" s="26"/>
      <c r="E134" s="26"/>
      <c r="F134" s="26"/>
      <c r="G134" s="26"/>
      <c r="H134" s="26"/>
      <c r="I134" s="26"/>
    </row>
    <row r="135" spans="1:9">
      <c r="A135" s="26"/>
      <c r="B135" s="26"/>
      <c r="C135" s="26"/>
      <c r="D135" s="26"/>
      <c r="E135" s="26"/>
      <c r="F135" s="26"/>
      <c r="G135" s="26"/>
      <c r="H135" s="26"/>
      <c r="I135" s="26"/>
    </row>
    <row r="136" spans="1:9">
      <c r="A136" s="26"/>
      <c r="B136" s="26"/>
      <c r="C136" s="26"/>
      <c r="D136" s="26"/>
      <c r="E136" s="26"/>
      <c r="F136" s="26"/>
      <c r="G136" s="26"/>
      <c r="H136" s="26"/>
      <c r="I136" s="26"/>
    </row>
    <row r="137" spans="1:9">
      <c r="A137" s="26"/>
      <c r="B137" s="26"/>
      <c r="C137" s="26"/>
      <c r="D137" s="26"/>
      <c r="E137" s="26"/>
      <c r="F137" s="26"/>
      <c r="G137" s="26"/>
      <c r="H137" s="26"/>
      <c r="I137" s="26"/>
    </row>
    <row r="138" spans="1:9">
      <c r="A138" s="26"/>
      <c r="B138" s="26"/>
      <c r="C138" s="26"/>
      <c r="D138" s="26"/>
      <c r="E138" s="26"/>
      <c r="F138" s="26"/>
      <c r="G138" s="26"/>
      <c r="H138" s="26"/>
      <c r="I138" s="26"/>
    </row>
    <row r="139" spans="1:9">
      <c r="A139" s="26"/>
      <c r="B139" s="26"/>
      <c r="C139" s="26"/>
      <c r="D139" s="26"/>
      <c r="E139" s="26"/>
      <c r="F139" s="26"/>
      <c r="G139" s="26"/>
      <c r="H139" s="26"/>
      <c r="I139" s="26"/>
    </row>
    <row r="140" spans="1:9">
      <c r="A140" s="26"/>
      <c r="B140" s="26"/>
      <c r="C140" s="26"/>
      <c r="D140" s="26"/>
      <c r="E140" s="26"/>
      <c r="F140" s="26"/>
      <c r="G140" s="26"/>
      <c r="H140" s="26"/>
      <c r="I140" s="26"/>
    </row>
    <row r="141" spans="1:9">
      <c r="A141" s="26"/>
      <c r="B141" s="26"/>
      <c r="C141" s="26"/>
      <c r="D141" s="26"/>
      <c r="E141" s="26"/>
      <c r="F141" s="26"/>
      <c r="G141" s="26"/>
      <c r="H141" s="26"/>
      <c r="I141" s="26"/>
    </row>
    <row r="142" spans="1:9">
      <c r="A142" s="26"/>
      <c r="B142" s="26"/>
      <c r="C142" s="26"/>
      <c r="D142" s="26"/>
      <c r="E142" s="26"/>
      <c r="F142" s="26"/>
      <c r="G142" s="26"/>
      <c r="H142" s="26"/>
      <c r="I142" s="26"/>
    </row>
    <row r="143" spans="1:9">
      <c r="A143" s="26"/>
      <c r="B143" s="26"/>
      <c r="C143" s="26"/>
      <c r="D143" s="26"/>
      <c r="E143" s="26"/>
      <c r="F143" s="26"/>
      <c r="G143" s="26"/>
      <c r="H143" s="26"/>
      <c r="I143" s="26"/>
    </row>
    <row r="144" spans="1:9">
      <c r="A144" s="26"/>
      <c r="B144" s="26"/>
      <c r="C144" s="26"/>
      <c r="D144" s="26"/>
      <c r="E144" s="26"/>
      <c r="F144" s="26"/>
      <c r="G144" s="26"/>
      <c r="H144" s="26"/>
      <c r="I144" s="26"/>
    </row>
    <row r="145" spans="1:9">
      <c r="A145" s="26"/>
      <c r="B145" s="26"/>
      <c r="C145" s="26"/>
      <c r="D145" s="26"/>
      <c r="E145" s="26"/>
      <c r="F145" s="26"/>
      <c r="G145" s="26"/>
      <c r="H145" s="26"/>
      <c r="I145" s="26"/>
    </row>
    <row r="146" spans="1:9">
      <c r="A146" s="26"/>
      <c r="B146" s="26"/>
      <c r="C146" s="26"/>
      <c r="D146" s="26"/>
      <c r="E146" s="26"/>
      <c r="F146" s="26"/>
      <c r="G146" s="26"/>
      <c r="H146" s="26"/>
      <c r="I146" s="26"/>
    </row>
    <row r="147" spans="1:9">
      <c r="A147" s="26"/>
      <c r="B147" s="26"/>
      <c r="C147" s="26"/>
      <c r="D147" s="26"/>
      <c r="E147" s="26"/>
      <c r="F147" s="26"/>
      <c r="G147" s="26"/>
      <c r="H147" s="26"/>
      <c r="I147" s="26"/>
    </row>
    <row r="148" spans="1:9">
      <c r="A148" s="26"/>
      <c r="B148" s="26"/>
      <c r="C148" s="26"/>
      <c r="D148" s="26"/>
      <c r="E148" s="26"/>
      <c r="F148" s="26"/>
      <c r="G148" s="26"/>
      <c r="H148" s="26"/>
      <c r="I148" s="26"/>
    </row>
    <row r="149" spans="1:9">
      <c r="A149" s="26"/>
      <c r="B149" s="26"/>
      <c r="C149" s="26"/>
      <c r="D149" s="26"/>
      <c r="E149" s="26"/>
      <c r="F149" s="26"/>
      <c r="G149" s="26"/>
      <c r="H149" s="26"/>
      <c r="I149" s="26"/>
    </row>
    <row r="150" spans="1:9">
      <c r="A150" s="26"/>
      <c r="B150" s="26"/>
      <c r="C150" s="26"/>
      <c r="D150" s="26"/>
      <c r="E150" s="26"/>
      <c r="F150" s="26"/>
      <c r="G150" s="26"/>
      <c r="H150" s="26"/>
      <c r="I150" s="26"/>
    </row>
    <row r="151" spans="1:9">
      <c r="A151" s="26"/>
      <c r="B151" s="26"/>
      <c r="C151" s="26"/>
      <c r="D151" s="26"/>
      <c r="E151" s="26"/>
      <c r="F151" s="26"/>
      <c r="G151" s="26"/>
      <c r="H151" s="26"/>
      <c r="I151" s="26"/>
    </row>
    <row r="152" spans="1:9">
      <c r="A152" s="26"/>
      <c r="B152" s="26"/>
      <c r="C152" s="26"/>
      <c r="D152" s="26"/>
      <c r="E152" s="26"/>
      <c r="F152" s="26"/>
      <c r="G152" s="26"/>
      <c r="H152" s="26"/>
      <c r="I152" s="26"/>
    </row>
    <row r="153" spans="1:9">
      <c r="A153" s="26"/>
      <c r="B153" s="26"/>
      <c r="C153" s="26"/>
      <c r="D153" s="26"/>
      <c r="E153" s="26"/>
      <c r="F153" s="26"/>
      <c r="G153" s="26"/>
      <c r="H153" s="26"/>
      <c r="I153" s="26"/>
    </row>
    <row r="154" spans="1:9">
      <c r="A154" s="26"/>
      <c r="B154" s="26"/>
      <c r="C154" s="26"/>
      <c r="D154" s="26"/>
      <c r="E154" s="26"/>
      <c r="F154" s="26"/>
      <c r="G154" s="26"/>
      <c r="H154" s="26"/>
      <c r="I154" s="26"/>
    </row>
    <row r="155" spans="1:9">
      <c r="A155" s="26"/>
      <c r="B155" s="26"/>
      <c r="C155" s="26"/>
      <c r="D155" s="26"/>
      <c r="E155" s="26"/>
      <c r="F155" s="26"/>
      <c r="G155" s="26"/>
      <c r="H155" s="26"/>
      <c r="I155" s="26"/>
    </row>
    <row r="156" spans="1:9">
      <c r="A156" s="26"/>
      <c r="B156" s="26"/>
      <c r="C156" s="26"/>
      <c r="D156" s="26"/>
      <c r="E156" s="26"/>
      <c r="F156" s="26"/>
      <c r="G156" s="26"/>
      <c r="H156" s="26"/>
      <c r="I156" s="26"/>
    </row>
    <row r="193" spans="4:9">
      <c r="D193" s="369">
        <v>218471.11599000002</v>
      </c>
      <c r="E193" s="369">
        <v>237745.974251112</v>
      </c>
      <c r="F193" s="369">
        <v>258705.53287842515</v>
      </c>
      <c r="G193" s="369">
        <v>281697.91319107643</v>
      </c>
      <c r="H193" s="369">
        <v>306840.31263110432</v>
      </c>
      <c r="I193" s="369">
        <v>334441.32269527885</v>
      </c>
    </row>
    <row r="194" spans="4:9">
      <c r="D194" s="26"/>
      <c r="E194" s="26"/>
      <c r="F194" s="26"/>
      <c r="G194" s="26"/>
      <c r="H194" s="26"/>
      <c r="I194" s="26"/>
    </row>
    <row r="195" spans="4:9">
      <c r="D195" s="26"/>
      <c r="E195" s="369">
        <f>D70-E193</f>
        <v>-0.21045599793433212</v>
      </c>
      <c r="F195" s="369">
        <f>E70-F193</f>
        <v>0.29904063112917356</v>
      </c>
      <c r="G195" s="369">
        <f>F70-G193</f>
        <v>-6.7595416912809014E-2</v>
      </c>
      <c r="H195" s="369">
        <f>G70-H193</f>
        <v>-0.59464032563846558</v>
      </c>
      <c r="I195" s="369">
        <f>H70-I193</f>
        <v>1122.3692186544067</v>
      </c>
    </row>
    <row r="196" spans="4:9">
      <c r="D196" s="26"/>
      <c r="E196" s="26"/>
      <c r="F196" s="26"/>
      <c r="G196" s="26"/>
      <c r="H196" s="26"/>
      <c r="I196" s="26"/>
    </row>
  </sheetData>
  <phoneticPr fontId="8" type="noConversion"/>
  <pageMargins left="0.75" right="0.75" top="1" bottom="1" header="0" footer="0"/>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dimension ref="A4:M63"/>
  <sheetViews>
    <sheetView showGridLines="0" topLeftCell="A40" workbookViewId="0">
      <selection activeCell="D3" sqref="D3"/>
    </sheetView>
  </sheetViews>
  <sheetFormatPr baseColWidth="10" defaultRowHeight="12.75"/>
  <cols>
    <col min="5" max="5" width="11.7109375" bestFit="1" customWidth="1"/>
    <col min="6" max="6" width="12.5703125" customWidth="1"/>
    <col min="8" max="8" width="12" customWidth="1"/>
    <col min="9" max="9" width="14" customWidth="1"/>
    <col min="10" max="10" width="2.85546875" customWidth="1"/>
  </cols>
  <sheetData>
    <row r="4" spans="4:13" ht="23.25">
      <c r="E4" s="889" t="s">
        <v>601</v>
      </c>
      <c r="F4" s="889"/>
      <c r="G4" s="889"/>
      <c r="H4" s="889"/>
    </row>
    <row r="7" spans="4:13" ht="13.5" thickBot="1"/>
    <row r="8" spans="4:13" ht="16.5" thickTop="1" thickBot="1">
      <c r="D8" s="892" t="s">
        <v>67</v>
      </c>
      <c r="E8" s="893"/>
      <c r="F8" s="893"/>
      <c r="G8" s="894"/>
    </row>
    <row r="9" spans="4:13" ht="13.5" thickTop="1"/>
    <row r="10" spans="4:13">
      <c r="D10" s="900" t="s">
        <v>79</v>
      </c>
      <c r="E10" s="901"/>
      <c r="F10" s="902"/>
    </row>
    <row r="11" spans="4:13" ht="15.75" thickBot="1">
      <c r="D11" s="897" t="s">
        <v>68</v>
      </c>
      <c r="E11" s="898"/>
      <c r="F11" s="899"/>
    </row>
    <row r="12" spans="4:13" ht="13.5" thickBot="1">
      <c r="D12" s="572"/>
      <c r="E12" s="571"/>
      <c r="F12" s="570"/>
      <c r="I12" s="13"/>
    </row>
    <row r="13" spans="4:13" ht="14.25" thickTop="1" thickBot="1">
      <c r="D13" s="576" t="s">
        <v>74</v>
      </c>
      <c r="E13" s="13"/>
      <c r="F13" s="575">
        <f>+'7.Balance Proyectado'!E45</f>
        <v>684014.99051782966</v>
      </c>
      <c r="L13" s="573"/>
    </row>
    <row r="14" spans="4:13" ht="14.25" thickTop="1" thickBot="1">
      <c r="D14" s="576" t="s">
        <v>75</v>
      </c>
      <c r="E14" s="13"/>
      <c r="F14" s="575">
        <f>+'7.Balance Proyectado'!E68</f>
        <v>619355.39451620448</v>
      </c>
      <c r="L14" s="573"/>
    </row>
    <row r="15" spans="4:13" ht="14.25" thickTop="1" thickBot="1">
      <c r="D15" s="576" t="s">
        <v>76</v>
      </c>
      <c r="E15" s="13"/>
      <c r="F15" s="575">
        <f>+'7.Balance Proyectado'!E70</f>
        <v>64659.596001625177</v>
      </c>
      <c r="L15" s="574"/>
      <c r="M15" s="13"/>
    </row>
    <row r="16" spans="4:13" ht="16.5" thickTop="1" thickBot="1">
      <c r="D16" s="576" t="s">
        <v>77</v>
      </c>
      <c r="E16" s="13"/>
      <c r="F16" s="725">
        <v>8.77E-2</v>
      </c>
    </row>
    <row r="17" spans="3:11" ht="16.5" thickTop="1" thickBot="1">
      <c r="D17" s="576" t="s">
        <v>78</v>
      </c>
      <c r="E17" s="13"/>
      <c r="F17" s="726">
        <v>0.04</v>
      </c>
    </row>
    <row r="18" spans="3:11" ht="14.25" thickTop="1" thickBot="1">
      <c r="D18" s="565"/>
      <c r="E18" s="13"/>
      <c r="F18" s="566"/>
    </row>
    <row r="19" spans="3:11" ht="14.25" thickTop="1" thickBot="1">
      <c r="D19" s="577" t="s">
        <v>69</v>
      </c>
      <c r="E19" s="13"/>
      <c r="F19" s="784">
        <f>((F14/F13)*F16)+((F15/F13)*F17)</f>
        <v>8.3190942783369998E-2</v>
      </c>
    </row>
    <row r="20" spans="3:11" ht="13.5" thickTop="1">
      <c r="D20" s="565"/>
      <c r="E20" s="13"/>
      <c r="F20" s="566"/>
    </row>
    <row r="21" spans="3:11" ht="13.5" thickBot="1">
      <c r="D21" s="567"/>
      <c r="E21" s="568"/>
      <c r="F21" s="569"/>
    </row>
    <row r="22" spans="3:11" ht="13.5" thickTop="1"/>
    <row r="24" spans="3:11" ht="13.5" thickBot="1"/>
    <row r="25" spans="3:11" ht="27.75" customHeight="1" thickTop="1" thickBot="1">
      <c r="C25" s="562"/>
      <c r="D25" s="563"/>
      <c r="E25" s="564"/>
      <c r="F25" s="895"/>
      <c r="G25" s="895"/>
      <c r="I25" s="557" t="s">
        <v>70</v>
      </c>
      <c r="K25" s="727">
        <v>9.1000000000000004E-3</v>
      </c>
    </row>
    <row r="26" spans="3:11" ht="15.75" thickTop="1">
      <c r="C26" s="896" t="s">
        <v>73</v>
      </c>
      <c r="D26" s="896"/>
    </row>
    <row r="27" spans="3:11" ht="13.5" thickBot="1"/>
    <row r="28" spans="3:11" ht="27" customHeight="1" thickTop="1" thickBot="1">
      <c r="I28" s="558" t="s">
        <v>71</v>
      </c>
      <c r="K28" s="728">
        <v>0.06</v>
      </c>
    </row>
    <row r="29" spans="3:11" ht="27" customHeight="1" thickTop="1" thickBot="1">
      <c r="D29" s="560" t="s">
        <v>72</v>
      </c>
      <c r="E29" s="561"/>
      <c r="F29" s="559">
        <f>F19+K25+K28</f>
        <v>0.15229094278336999</v>
      </c>
    </row>
    <row r="30" spans="3:11" ht="13.5" thickTop="1"/>
    <row r="34" spans="1:12" ht="24.75" customHeight="1"/>
    <row r="36" spans="1:12">
      <c r="E36" s="578">
        <v>2005</v>
      </c>
      <c r="F36" s="578">
        <v>2006</v>
      </c>
      <c r="G36" s="578">
        <v>2007</v>
      </c>
      <c r="H36" s="578">
        <v>2008</v>
      </c>
      <c r="I36" s="578">
        <v>2009</v>
      </c>
    </row>
    <row r="39" spans="1:12" ht="15">
      <c r="A39" s="891" t="s">
        <v>609</v>
      </c>
      <c r="B39" s="891"/>
      <c r="C39" s="891"/>
      <c r="E39" s="581">
        <f>+'9.Cash Flow'!D70</f>
        <v>237745.76379511406</v>
      </c>
      <c r="F39" s="581">
        <f>+'9.Cash Flow'!E70</f>
        <v>258705.83191905628</v>
      </c>
      <c r="G39" s="582">
        <f>+'9.Cash Flow'!F70</f>
        <v>281697.84559565951</v>
      </c>
      <c r="H39" s="582">
        <f>+'9.Cash Flow'!G70</f>
        <v>306839.71799077868</v>
      </c>
      <c r="I39" s="582">
        <f>+'9.Cash Flow'!H70</f>
        <v>335563.69191393326</v>
      </c>
      <c r="J39" s="553"/>
      <c r="K39" s="553"/>
      <c r="L39" s="11"/>
    </row>
    <row r="41" spans="1:12">
      <c r="B41" s="579" t="s">
        <v>80</v>
      </c>
      <c r="D41" s="580">
        <f>+F29</f>
        <v>0.15229094278336999</v>
      </c>
    </row>
    <row r="44" spans="1:12" ht="18">
      <c r="A44" s="890" t="s">
        <v>81</v>
      </c>
      <c r="B44" s="890"/>
      <c r="C44" s="890"/>
      <c r="E44" s="638">
        <f>NPV(F29,E39:I39)</f>
        <v>924512.62592571741</v>
      </c>
    </row>
    <row r="49" spans="3:11" ht="13.5" thickBot="1"/>
    <row r="50" spans="3:11" ht="18.75" thickBot="1">
      <c r="D50" s="635" t="s">
        <v>600</v>
      </c>
      <c r="E50" s="636"/>
      <c r="F50" s="637"/>
    </row>
    <row r="53" spans="3:11" ht="13.5" thickBot="1">
      <c r="D53" s="13"/>
    </row>
    <row r="54" spans="3:11" ht="14.25" thickTop="1" thickBot="1">
      <c r="C54" s="13"/>
      <c r="D54" s="631"/>
      <c r="E54" s="632"/>
    </row>
    <row r="55" spans="3:11" ht="16.5" thickTop="1" thickBot="1">
      <c r="C55" s="13"/>
      <c r="D55" s="576" t="s">
        <v>603</v>
      </c>
      <c r="E55" s="729">
        <v>335564</v>
      </c>
    </row>
    <row r="56" spans="3:11" ht="14.25" thickTop="1" thickBot="1">
      <c r="C56" s="13"/>
      <c r="D56" s="576"/>
      <c r="E56" s="633"/>
    </row>
    <row r="57" spans="3:11" ht="16.5" thickTop="1" thickBot="1">
      <c r="C57" s="13"/>
      <c r="D57" s="576" t="s">
        <v>602</v>
      </c>
      <c r="E57" s="730">
        <v>0.15</v>
      </c>
    </row>
    <row r="58" spans="3:11" ht="14.25" thickTop="1" thickBot="1">
      <c r="C58" s="13"/>
      <c r="D58" s="576"/>
      <c r="E58" s="634"/>
      <c r="H58" s="274" t="s">
        <v>603</v>
      </c>
      <c r="I58" s="274" t="s">
        <v>606</v>
      </c>
      <c r="J58" s="274"/>
      <c r="K58" s="274"/>
    </row>
    <row r="59" spans="3:11" ht="17.25" thickTop="1" thickBot="1">
      <c r="C59" s="13"/>
      <c r="D59" s="576" t="s">
        <v>604</v>
      </c>
      <c r="E59" s="731">
        <v>0.01</v>
      </c>
      <c r="H59" s="274" t="s">
        <v>602</v>
      </c>
      <c r="I59" s="274" t="s">
        <v>608</v>
      </c>
      <c r="J59" s="274"/>
      <c r="K59" s="274"/>
    </row>
    <row r="60" spans="3:11" ht="14.25" thickTop="1" thickBot="1">
      <c r="C60" s="13"/>
      <c r="D60" s="576"/>
      <c r="E60" s="566"/>
      <c r="H60" s="274" t="s">
        <v>604</v>
      </c>
      <c r="I60" s="274" t="s">
        <v>607</v>
      </c>
      <c r="J60" s="274"/>
      <c r="K60" s="274"/>
    </row>
    <row r="61" spans="3:11" ht="16.5" thickTop="1" thickBot="1">
      <c r="D61" s="576" t="s">
        <v>605</v>
      </c>
      <c r="E61" s="640">
        <f>E55/(E57-E59)</f>
        <v>2396885.7142857146</v>
      </c>
    </row>
    <row r="62" spans="3:11" ht="14.25" thickTop="1" thickBot="1">
      <c r="D62" s="567"/>
      <c r="E62" s="569"/>
    </row>
    <row r="63" spans="3:11" ht="13.5" thickTop="1"/>
  </sheetData>
  <mergeCells count="8">
    <mergeCell ref="E4:H4"/>
    <mergeCell ref="A44:C44"/>
    <mergeCell ref="A39:C39"/>
    <mergeCell ref="D8:G8"/>
    <mergeCell ref="F25:G25"/>
    <mergeCell ref="C26:D26"/>
    <mergeCell ref="D11:F11"/>
    <mergeCell ref="D10:F10"/>
  </mergeCells>
  <phoneticPr fontId="8" type="noConversion"/>
  <pageMargins left="0.75" right="0.75" top="1" bottom="1" header="0" footer="0"/>
  <pageSetup paperSize="9" orientation="portrait" verticalDpi="0" r:id="rId1"/>
  <headerFooter alignWithMargins="0"/>
  <legacyDrawing r:id="rId2"/>
  <oleObjects>
    <oleObject progId="Equation.3" shapeId="14338" r:id="rId3"/>
    <oleObject progId="Equation.3" shapeId="14346" r:id="rId4"/>
    <oleObject progId="Equation.3" shapeId="14347" r:id="rId5"/>
  </oleObjects>
</worksheet>
</file>

<file path=xl/worksheets/sheet12.xml><?xml version="1.0" encoding="utf-8"?>
<worksheet xmlns="http://schemas.openxmlformats.org/spreadsheetml/2006/main" xmlns:r="http://schemas.openxmlformats.org/officeDocument/2006/relationships">
  <sheetPr codeName="Hoja8"/>
  <dimension ref="A1:H224"/>
  <sheetViews>
    <sheetView workbookViewId="0"/>
  </sheetViews>
  <sheetFormatPr baseColWidth="10" defaultRowHeight="12.75"/>
  <cols>
    <col min="1" max="1" width="11.42578125" style="186"/>
    <col min="2" max="2" width="8.140625" style="186" customWidth="1"/>
    <col min="3" max="3" width="2.5703125" style="186" customWidth="1"/>
    <col min="4" max="4" width="13.42578125" style="186" customWidth="1"/>
    <col min="5" max="5" width="11.42578125" style="186"/>
    <col min="6" max="6" width="14.42578125" style="186" customWidth="1"/>
    <col min="7" max="7" width="5.42578125" style="186" customWidth="1"/>
    <col min="8" max="16384" width="11.42578125" style="186"/>
  </cols>
  <sheetData>
    <row r="1" spans="1:8" ht="15.75">
      <c r="E1" s="911" t="s">
        <v>479</v>
      </c>
      <c r="F1" s="911"/>
      <c r="G1" s="911"/>
      <c r="H1" s="911"/>
    </row>
    <row r="3" spans="1:8" ht="13.5" thickBot="1">
      <c r="B3" s="910" t="s">
        <v>478</v>
      </c>
      <c r="C3" s="910"/>
      <c r="D3" s="910"/>
    </row>
    <row r="4" spans="1:8" ht="13.5" thickBot="1">
      <c r="A4" s="912" t="s">
        <v>482</v>
      </c>
      <c r="B4" s="912"/>
      <c r="C4" s="912"/>
      <c r="D4" s="912"/>
      <c r="E4" s="233"/>
    </row>
    <row r="5" spans="1:8" ht="13.5" thickBot="1">
      <c r="A5" s="913" t="s">
        <v>475</v>
      </c>
      <c r="B5" s="914"/>
      <c r="C5" s="914"/>
      <c r="D5" s="914"/>
      <c r="E5" s="915"/>
      <c r="F5" s="785"/>
    </row>
    <row r="6" spans="1:8" ht="13.5" thickBot="1">
      <c r="A6" s="913" t="s">
        <v>476</v>
      </c>
      <c r="B6" s="914"/>
      <c r="C6" s="914"/>
      <c r="D6" s="914"/>
      <c r="E6" s="914"/>
    </row>
    <row r="7" spans="1:8" ht="13.5" thickBot="1">
      <c r="A7" s="913" t="s">
        <v>477</v>
      </c>
      <c r="B7" s="914"/>
      <c r="C7" s="914"/>
      <c r="D7" s="914"/>
      <c r="E7" s="914"/>
    </row>
    <row r="9" spans="1:8">
      <c r="A9" s="218"/>
    </row>
    <row r="10" spans="1:8" ht="13.5" thickBot="1">
      <c r="B10" s="192"/>
      <c r="D10" s="192"/>
      <c r="E10" s="192"/>
    </row>
    <row r="11" spans="1:8" ht="24.75" customHeight="1">
      <c r="B11" s="192"/>
      <c r="D11" s="909" t="s">
        <v>442</v>
      </c>
      <c r="E11" s="909"/>
      <c r="F11" s="909"/>
    </row>
    <row r="12" spans="1:8" ht="15.75" thickBot="1">
      <c r="B12" s="196"/>
      <c r="D12" s="194"/>
      <c r="E12" s="232" t="s">
        <v>481</v>
      </c>
      <c r="F12" s="194"/>
    </row>
    <row r="13" spans="1:8" ht="26.25" customHeight="1" thickBot="1">
      <c r="B13" s="193" t="s">
        <v>455</v>
      </c>
      <c r="D13" s="193" t="s">
        <v>439</v>
      </c>
      <c r="E13" s="193" t="s">
        <v>440</v>
      </c>
      <c r="F13" s="193" t="s">
        <v>441</v>
      </c>
    </row>
    <row r="14" spans="1:8" ht="14.25" thickTop="1" thickBot="1">
      <c r="A14" s="195">
        <v>2003</v>
      </c>
      <c r="B14" s="191" t="s">
        <v>444</v>
      </c>
      <c r="C14" s="191"/>
      <c r="D14" s="185">
        <v>5.62</v>
      </c>
      <c r="E14" s="184">
        <v>13.58</v>
      </c>
      <c r="F14" s="185">
        <f t="shared" ref="F14:F37" si="0">E14-D14</f>
        <v>7.96</v>
      </c>
      <c r="G14" s="192"/>
    </row>
    <row r="15" spans="1:8">
      <c r="A15" s="190"/>
      <c r="B15" s="191" t="s">
        <v>445</v>
      </c>
      <c r="C15" s="191"/>
      <c r="D15" s="185">
        <v>5.59</v>
      </c>
      <c r="E15" s="184">
        <v>13.02</v>
      </c>
      <c r="F15" s="185">
        <f t="shared" si="0"/>
        <v>7.43</v>
      </c>
    </row>
    <row r="16" spans="1:8">
      <c r="A16" s="190"/>
      <c r="B16" s="191" t="s">
        <v>446</v>
      </c>
      <c r="C16" s="191"/>
      <c r="D16" s="185">
        <v>5.2</v>
      </c>
      <c r="E16" s="184">
        <v>11.88</v>
      </c>
      <c r="F16" s="185">
        <f t="shared" si="0"/>
        <v>6.6800000000000006</v>
      </c>
    </row>
    <row r="17" spans="1:6">
      <c r="A17" s="190"/>
      <c r="B17" s="191" t="s">
        <v>443</v>
      </c>
      <c r="C17" s="191"/>
      <c r="D17" s="185">
        <v>5.16</v>
      </c>
      <c r="E17" s="185">
        <v>12.6</v>
      </c>
      <c r="F17" s="185">
        <f t="shared" si="0"/>
        <v>7.4399999999999995</v>
      </c>
    </row>
    <row r="18" spans="1:6">
      <c r="A18" s="190"/>
      <c r="B18" s="191" t="s">
        <v>447</v>
      </c>
      <c r="C18" s="191"/>
      <c r="D18" s="185">
        <v>5.37</v>
      </c>
      <c r="E18" s="185">
        <v>11.82</v>
      </c>
      <c r="F18" s="185">
        <f t="shared" si="0"/>
        <v>6.45</v>
      </c>
    </row>
    <row r="19" spans="1:6">
      <c r="A19" s="190"/>
      <c r="B19" s="191" t="s">
        <v>448</v>
      </c>
      <c r="C19" s="191"/>
      <c r="D19" s="185">
        <v>4.83</v>
      </c>
      <c r="E19" s="185">
        <v>12.16</v>
      </c>
      <c r="F19" s="185">
        <f t="shared" si="0"/>
        <v>7.33</v>
      </c>
    </row>
    <row r="20" spans="1:6">
      <c r="A20" s="190"/>
      <c r="B20" s="191" t="s">
        <v>449</v>
      </c>
      <c r="C20" s="191"/>
      <c r="D20" s="185">
        <v>5.63</v>
      </c>
      <c r="E20" s="185">
        <v>13.83</v>
      </c>
      <c r="F20" s="185">
        <f t="shared" si="0"/>
        <v>8.1999999999999993</v>
      </c>
    </row>
    <row r="21" spans="1:6">
      <c r="A21" s="190"/>
      <c r="B21" s="191" t="s">
        <v>450</v>
      </c>
      <c r="C21" s="191"/>
      <c r="D21" s="185">
        <v>5.0599999999999996</v>
      </c>
      <c r="E21" s="185">
        <v>12.42</v>
      </c>
      <c r="F21" s="185">
        <f t="shared" si="0"/>
        <v>7.36</v>
      </c>
    </row>
    <row r="22" spans="1:6">
      <c r="A22" s="190"/>
      <c r="B22" s="191" t="s">
        <v>451</v>
      </c>
      <c r="C22" s="191"/>
      <c r="D22" s="185">
        <v>5.22</v>
      </c>
      <c r="E22" s="185">
        <v>11.29</v>
      </c>
      <c r="F22" s="185">
        <f t="shared" si="0"/>
        <v>6.0699999999999994</v>
      </c>
    </row>
    <row r="23" spans="1:6">
      <c r="A23" s="190"/>
      <c r="B23" s="191" t="s">
        <v>452</v>
      </c>
      <c r="C23" s="191"/>
      <c r="D23" s="185">
        <v>5.4</v>
      </c>
      <c r="E23" s="185">
        <v>11.55</v>
      </c>
      <c r="F23" s="185">
        <f t="shared" si="0"/>
        <v>6.15</v>
      </c>
    </row>
    <row r="24" spans="1:6">
      <c r="A24" s="190"/>
      <c r="B24" s="191" t="s">
        <v>453</v>
      </c>
      <c r="C24" s="191"/>
      <c r="D24" s="185">
        <v>5.44</v>
      </c>
      <c r="E24" s="185">
        <v>11.8</v>
      </c>
      <c r="F24" s="185">
        <f t="shared" si="0"/>
        <v>6.36</v>
      </c>
    </row>
    <row r="25" spans="1:6" ht="13.5" thickBot="1">
      <c r="A25" s="190"/>
      <c r="B25" s="197" t="s">
        <v>454</v>
      </c>
      <c r="C25" s="191"/>
      <c r="D25" s="198">
        <v>5.51</v>
      </c>
      <c r="E25" s="198">
        <v>11.19</v>
      </c>
      <c r="F25" s="198">
        <f t="shared" si="0"/>
        <v>5.68</v>
      </c>
    </row>
    <row r="26" spans="1:6" ht="13.5" thickBot="1">
      <c r="A26" s="195">
        <v>2004</v>
      </c>
      <c r="B26" s="191" t="s">
        <v>444</v>
      </c>
      <c r="C26" s="184"/>
      <c r="D26" s="185">
        <v>4.42</v>
      </c>
      <c r="E26" s="185">
        <v>11.31</v>
      </c>
      <c r="F26" s="189">
        <f t="shared" si="0"/>
        <v>6.8900000000000006</v>
      </c>
    </row>
    <row r="27" spans="1:6">
      <c r="A27" s="190"/>
      <c r="B27" s="191" t="s">
        <v>445</v>
      </c>
      <c r="C27" s="184"/>
      <c r="D27" s="185">
        <v>4.8899999999999997</v>
      </c>
      <c r="E27" s="185">
        <v>13.18</v>
      </c>
      <c r="F27" s="189">
        <f t="shared" si="0"/>
        <v>8.2899999999999991</v>
      </c>
    </row>
    <row r="28" spans="1:6">
      <c r="A28" s="190"/>
      <c r="B28" s="191" t="s">
        <v>446</v>
      </c>
      <c r="C28" s="184"/>
      <c r="D28" s="185">
        <v>4.4400000000000004</v>
      </c>
      <c r="E28" s="185">
        <v>10.84</v>
      </c>
      <c r="F28" s="189">
        <f t="shared" si="0"/>
        <v>6.3999999999999995</v>
      </c>
    </row>
    <row r="29" spans="1:6">
      <c r="A29" s="190"/>
      <c r="B29" s="191" t="s">
        <v>443</v>
      </c>
      <c r="C29" s="184"/>
      <c r="D29" s="185">
        <v>4.29</v>
      </c>
      <c r="E29" s="185">
        <v>10.44</v>
      </c>
      <c r="F29" s="189">
        <f t="shared" si="0"/>
        <v>6.1499999999999995</v>
      </c>
    </row>
    <row r="30" spans="1:6">
      <c r="A30" s="190"/>
      <c r="B30" s="191" t="s">
        <v>447</v>
      </c>
      <c r="C30" s="184"/>
      <c r="D30" s="185">
        <v>3.93</v>
      </c>
      <c r="E30" s="185">
        <v>9.77</v>
      </c>
      <c r="F30" s="189">
        <f t="shared" si="0"/>
        <v>5.84</v>
      </c>
    </row>
    <row r="31" spans="1:6">
      <c r="A31" s="190"/>
      <c r="B31" s="191" t="s">
        <v>448</v>
      </c>
      <c r="C31" s="184"/>
      <c r="D31" s="185">
        <v>4.07</v>
      </c>
      <c r="E31" s="185">
        <v>10.16</v>
      </c>
      <c r="F31" s="189">
        <f t="shared" si="0"/>
        <v>6.09</v>
      </c>
    </row>
    <row r="32" spans="1:6">
      <c r="A32" s="190"/>
      <c r="B32" s="191" t="s">
        <v>449</v>
      </c>
      <c r="C32" s="184"/>
      <c r="D32" s="185">
        <v>3.61</v>
      </c>
      <c r="E32" s="185">
        <v>10.69</v>
      </c>
      <c r="F32" s="189">
        <f t="shared" si="0"/>
        <v>7.08</v>
      </c>
    </row>
    <row r="33" spans="1:8">
      <c r="A33" s="190"/>
      <c r="B33" s="191" t="s">
        <v>450</v>
      </c>
      <c r="C33" s="184"/>
      <c r="D33" s="185">
        <v>3.53</v>
      </c>
      <c r="E33" s="185">
        <v>10.76</v>
      </c>
      <c r="F33" s="189">
        <f t="shared" si="0"/>
        <v>7.23</v>
      </c>
    </row>
    <row r="34" spans="1:8">
      <c r="A34" s="190"/>
      <c r="B34" s="191" t="s">
        <v>451</v>
      </c>
      <c r="C34" s="184"/>
      <c r="D34" s="185">
        <v>3.78</v>
      </c>
      <c r="E34" s="185">
        <v>9.65</v>
      </c>
      <c r="F34" s="189">
        <f t="shared" si="0"/>
        <v>5.870000000000001</v>
      </c>
    </row>
    <row r="35" spans="1:8">
      <c r="A35" s="190"/>
      <c r="B35" s="191" t="s">
        <v>452</v>
      </c>
      <c r="C35" s="184"/>
      <c r="D35" s="185">
        <v>3.6</v>
      </c>
      <c r="E35" s="185">
        <v>9.93</v>
      </c>
      <c r="F35" s="189">
        <f t="shared" si="0"/>
        <v>6.33</v>
      </c>
    </row>
    <row r="36" spans="1:8">
      <c r="A36" s="190"/>
      <c r="B36" s="191" t="s">
        <v>453</v>
      </c>
      <c r="C36" s="184"/>
      <c r="D36" s="185">
        <v>3.7</v>
      </c>
      <c r="E36" s="185">
        <v>9.86</v>
      </c>
      <c r="F36" s="189">
        <f t="shared" si="0"/>
        <v>6.1599999999999993</v>
      </c>
    </row>
    <row r="37" spans="1:8" ht="13.5" thickBot="1">
      <c r="A37" s="190"/>
      <c r="B37" s="197" t="s">
        <v>454</v>
      </c>
      <c r="C37" s="199"/>
      <c r="D37" s="198">
        <v>3.97</v>
      </c>
      <c r="E37" s="198">
        <v>8.0299999999999994</v>
      </c>
      <c r="F37" s="200">
        <f t="shared" si="0"/>
        <v>4.0599999999999987</v>
      </c>
    </row>
    <row r="38" spans="1:8">
      <c r="A38" s="190"/>
      <c r="B38" s="191"/>
      <c r="C38" s="184"/>
      <c r="D38" s="185"/>
      <c r="E38" s="185"/>
      <c r="F38" s="189"/>
    </row>
    <row r="39" spans="1:8">
      <c r="A39" s="214" t="s">
        <v>460</v>
      </c>
      <c r="B39" s="212" t="s">
        <v>461</v>
      </c>
      <c r="C39" s="212"/>
      <c r="D39" s="212"/>
      <c r="E39" s="212"/>
      <c r="F39" s="213"/>
    </row>
    <row r="40" spans="1:8">
      <c r="A40" s="190"/>
      <c r="B40" s="191"/>
      <c r="C40" s="184"/>
      <c r="D40" s="185"/>
      <c r="E40" s="185"/>
      <c r="F40" s="189"/>
    </row>
    <row r="41" spans="1:8">
      <c r="A41" s="190"/>
      <c r="B41" s="191"/>
      <c r="C41" s="184"/>
      <c r="D41" s="185"/>
      <c r="E41" s="185"/>
      <c r="F41" s="189"/>
    </row>
    <row r="42" spans="1:8" ht="15">
      <c r="A42" s="190"/>
      <c r="B42" s="191"/>
      <c r="C42" s="184"/>
      <c r="D42" s="908"/>
      <c r="E42" s="908"/>
      <c r="F42" s="908"/>
    </row>
    <row r="43" spans="1:8" ht="13.5" thickBot="1">
      <c r="A43" s="190"/>
      <c r="B43" s="197"/>
      <c r="C43" s="199"/>
      <c r="D43" s="198"/>
      <c r="E43" s="198"/>
      <c r="F43" s="200"/>
      <c r="G43" s="192"/>
    </row>
    <row r="44" spans="1:8" ht="26.25" customHeight="1" thickBot="1">
      <c r="A44" s="190"/>
      <c r="B44" s="903" t="s">
        <v>458</v>
      </c>
      <c r="C44" s="903"/>
      <c r="D44" s="903"/>
      <c r="E44" s="903"/>
      <c r="F44" s="903"/>
      <c r="G44" s="192"/>
      <c r="H44" s="196"/>
    </row>
    <row r="45" spans="1:8" ht="13.5" customHeight="1" thickBot="1">
      <c r="A45" s="190"/>
      <c r="D45" s="211" t="s">
        <v>439</v>
      </c>
      <c r="E45" s="211" t="s">
        <v>440</v>
      </c>
      <c r="F45" s="211" t="s">
        <v>441</v>
      </c>
      <c r="H45" s="209" t="s">
        <v>459</v>
      </c>
    </row>
    <row r="46" spans="1:8" ht="13.5" thickBot="1">
      <c r="A46" s="195">
        <v>2003</v>
      </c>
      <c r="B46" s="203" t="s">
        <v>444</v>
      </c>
      <c r="D46" s="207">
        <v>-4.0603142883095629</v>
      </c>
      <c r="E46" s="207">
        <v>3.1701335271141717</v>
      </c>
      <c r="F46" s="207">
        <f>E46+D46</f>
        <v>-0.89018076119539113</v>
      </c>
      <c r="H46" s="208">
        <v>10.09</v>
      </c>
    </row>
    <row r="47" spans="1:8">
      <c r="A47" s="190"/>
      <c r="B47" s="187" t="s">
        <v>445</v>
      </c>
      <c r="D47" s="189">
        <v>-3.7991982507288524</v>
      </c>
      <c r="E47" s="189">
        <v>2.9701166180758021</v>
      </c>
      <c r="F47" s="189">
        <v>-0.82908163265305035</v>
      </c>
      <c r="H47" s="205">
        <v>9.76</v>
      </c>
    </row>
    <row r="48" spans="1:8">
      <c r="A48" s="190"/>
      <c r="B48" s="187" t="s">
        <v>446</v>
      </c>
      <c r="D48" s="189">
        <v>-3.6188731103985239</v>
      </c>
      <c r="E48" s="189">
        <v>2.5011452130096368</v>
      </c>
      <c r="F48" s="189">
        <v>-1.1177278973888871</v>
      </c>
      <c r="H48" s="205">
        <v>9.15</v>
      </c>
    </row>
    <row r="49" spans="1:8">
      <c r="A49" s="190"/>
      <c r="B49" s="187" t="s">
        <v>443</v>
      </c>
      <c r="D49" s="189">
        <v>-3.1586702274610912</v>
      </c>
      <c r="E49" s="189">
        <v>3.6927893912883203</v>
      </c>
      <c r="F49" s="189">
        <v>0.53411916382722913</v>
      </c>
      <c r="H49" s="205">
        <v>8.59</v>
      </c>
    </row>
    <row r="50" spans="1:8">
      <c r="A50" s="190"/>
      <c r="B50" s="187" t="s">
        <v>447</v>
      </c>
      <c r="D50" s="189">
        <v>-2.7054478301015594</v>
      </c>
      <c r="E50" s="189">
        <v>3.25023084025855</v>
      </c>
      <c r="F50" s="189">
        <v>0.5447830101569906</v>
      </c>
      <c r="H50" s="205">
        <v>8.3000000000000007</v>
      </c>
    </row>
    <row r="51" spans="1:8">
      <c r="A51" s="190"/>
      <c r="B51" s="187" t="s">
        <v>448</v>
      </c>
      <c r="D51" s="189">
        <v>-2.5834030294582311</v>
      </c>
      <c r="E51" s="189">
        <v>4.2282315769909706</v>
      </c>
      <c r="F51" s="189">
        <v>1.6448285475327395</v>
      </c>
      <c r="H51" s="205">
        <v>7.61</v>
      </c>
    </row>
    <row r="52" spans="1:8">
      <c r="A52" s="190"/>
      <c r="B52" s="187" t="s">
        <v>449</v>
      </c>
      <c r="D52" s="189">
        <v>-1.9493177387914118</v>
      </c>
      <c r="E52" s="189">
        <v>5.6623039079179538</v>
      </c>
      <c r="F52" s="189">
        <v>3.712986169126542</v>
      </c>
      <c r="H52" s="205">
        <v>7.73</v>
      </c>
    </row>
    <row r="53" spans="1:8">
      <c r="A53" s="190"/>
      <c r="B53" s="187" t="s">
        <v>450</v>
      </c>
      <c r="D53" s="189">
        <v>-2.1058516585911291</v>
      </c>
      <c r="E53" s="189">
        <v>4.7521431233693789</v>
      </c>
      <c r="F53" s="189">
        <v>2.6462914647782498</v>
      </c>
      <c r="H53" s="205">
        <v>7.32</v>
      </c>
    </row>
    <row r="54" spans="1:8">
      <c r="A54" s="190"/>
      <c r="B54" s="187" t="s">
        <v>451</v>
      </c>
      <c r="D54" s="189">
        <v>-2.157336804909793</v>
      </c>
      <c r="E54" s="189">
        <v>3.4870745769016276</v>
      </c>
      <c r="F54" s="189">
        <v>1.3297377719918346</v>
      </c>
      <c r="H54" s="205">
        <v>7.54</v>
      </c>
    </row>
    <row r="55" spans="1:8">
      <c r="A55" s="190"/>
      <c r="B55" s="187" t="s">
        <v>452</v>
      </c>
      <c r="D55" s="189">
        <v>-1.3662736290473432</v>
      </c>
      <c r="E55" s="189">
        <v>4.3889200823507446</v>
      </c>
      <c r="F55" s="189">
        <v>3.0226464533034014</v>
      </c>
      <c r="H55" s="205">
        <v>6.86</v>
      </c>
    </row>
    <row r="56" spans="1:8">
      <c r="A56" s="190"/>
      <c r="B56" s="187" t="s">
        <v>453</v>
      </c>
      <c r="D56" s="189">
        <v>-0.97670924117204683</v>
      </c>
      <c r="E56" s="189">
        <v>4.9962434259954946</v>
      </c>
      <c r="F56" s="189">
        <v>4.0195341848234474</v>
      </c>
      <c r="H56" s="205">
        <v>6.48</v>
      </c>
    </row>
    <row r="57" spans="1:8" ht="13.5" thickBot="1">
      <c r="A57" s="190"/>
      <c r="B57" s="187" t="s">
        <v>454</v>
      </c>
      <c r="C57" s="192"/>
      <c r="D57" s="189">
        <v>-0.52795323842745878</v>
      </c>
      <c r="E57" s="189">
        <v>4.8270010370510041</v>
      </c>
      <c r="F57" s="200">
        <v>4.2990477986235458</v>
      </c>
      <c r="H57" s="205">
        <v>6.07</v>
      </c>
    </row>
    <row r="58" spans="1:8" ht="13.5" thickBot="1">
      <c r="A58" s="195">
        <v>2004</v>
      </c>
      <c r="B58" s="203" t="s">
        <v>444</v>
      </c>
      <c r="C58" s="192"/>
      <c r="D58" s="207">
        <v>0.48113933795228547</v>
      </c>
      <c r="E58" s="207">
        <v>7.111239414934567</v>
      </c>
      <c r="F58" s="189">
        <v>6.6301000769822815</v>
      </c>
      <c r="H58" s="216">
        <v>3.92</v>
      </c>
    </row>
    <row r="59" spans="1:8">
      <c r="A59" s="190"/>
      <c r="B59" s="187" t="s">
        <v>445</v>
      </c>
      <c r="D59" s="189">
        <v>1.0111710323574608</v>
      </c>
      <c r="E59" s="189">
        <v>8.994607087827422</v>
      </c>
      <c r="F59" s="189">
        <v>7.9834360554699613</v>
      </c>
      <c r="H59" s="206">
        <v>3.84</v>
      </c>
    </row>
    <row r="60" spans="1:8">
      <c r="A60" s="190"/>
      <c r="B60" s="187" t="s">
        <v>446</v>
      </c>
      <c r="D60" s="189">
        <v>0.44239276783997195</v>
      </c>
      <c r="E60" s="189">
        <v>6.5974225812656329</v>
      </c>
      <c r="F60" s="189">
        <v>6.1550298134256609</v>
      </c>
      <c r="H60" s="206">
        <v>3.98</v>
      </c>
    </row>
    <row r="61" spans="1:8">
      <c r="A61" s="190"/>
      <c r="B61" s="187" t="s">
        <v>443</v>
      </c>
      <c r="D61" s="189">
        <v>0.6174626145682538</v>
      </c>
      <c r="E61" s="189">
        <v>6.5508924264351176</v>
      </c>
      <c r="F61" s="189">
        <v>5.9334298118668638</v>
      </c>
      <c r="H61" s="206">
        <v>3.65</v>
      </c>
    </row>
    <row r="62" spans="1:8">
      <c r="A62" s="190"/>
      <c r="B62" s="187" t="s">
        <v>447</v>
      </c>
      <c r="D62" s="189">
        <v>0.93231038166454727</v>
      </c>
      <c r="E62" s="189">
        <v>6.6038652034573042</v>
      </c>
      <c r="F62" s="189">
        <v>5.6715548217927569</v>
      </c>
      <c r="H62" s="206">
        <v>2.97</v>
      </c>
    </row>
    <row r="63" spans="1:8">
      <c r="A63" s="190"/>
      <c r="B63" s="187" t="s">
        <v>448</v>
      </c>
      <c r="D63" s="189">
        <v>1.1665208515602155</v>
      </c>
      <c r="E63" s="189">
        <v>7.0866141732283339</v>
      </c>
      <c r="F63" s="189">
        <v>5.9200933216681184</v>
      </c>
      <c r="H63" s="206">
        <v>2.87</v>
      </c>
    </row>
    <row r="64" spans="1:8">
      <c r="A64" s="190"/>
      <c r="B64" s="187" t="s">
        <v>449</v>
      </c>
      <c r="D64" s="189">
        <v>1.3796477495107595</v>
      </c>
      <c r="E64" s="189">
        <v>8.3072407045009733</v>
      </c>
      <c r="F64" s="189">
        <v>6.9275929549902138</v>
      </c>
      <c r="H64" s="206">
        <v>2.2000000000000002</v>
      </c>
    </row>
    <row r="65" spans="1:8">
      <c r="A65" s="190"/>
      <c r="B65" s="187" t="s">
        <v>450</v>
      </c>
      <c r="D65" s="189">
        <v>1.3350057718884534</v>
      </c>
      <c r="E65" s="189">
        <v>8.4117187220551273</v>
      </c>
      <c r="F65" s="189">
        <v>7.0767129501666739</v>
      </c>
      <c r="H65" s="206">
        <v>2.166076975465514</v>
      </c>
    </row>
    <row r="66" spans="1:8">
      <c r="A66" s="190"/>
      <c r="B66" s="187" t="s">
        <v>451</v>
      </c>
      <c r="D66" s="189">
        <v>2.135616573171939</v>
      </c>
      <c r="E66" s="189">
        <v>7.9126070268674464</v>
      </c>
      <c r="F66" s="189">
        <v>5.7769904536955075</v>
      </c>
      <c r="H66" s="206">
        <v>1.61</v>
      </c>
    </row>
    <row r="67" spans="1:8">
      <c r="A67" s="190"/>
      <c r="B67" s="187" t="s">
        <v>452</v>
      </c>
      <c r="D67" s="189">
        <v>1.6882606988614102</v>
      </c>
      <c r="E67" s="189">
        <v>7.9014526894385595</v>
      </c>
      <c r="F67" s="189">
        <v>6.2131919905771493</v>
      </c>
      <c r="H67" s="206">
        <v>1.88</v>
      </c>
    </row>
    <row r="68" spans="1:8">
      <c r="A68" s="190"/>
      <c r="B68" s="187" t="s">
        <v>453</v>
      </c>
      <c r="D68" s="189">
        <v>1.7065515888583516</v>
      </c>
      <c r="E68" s="189">
        <v>7.7481365241271138</v>
      </c>
      <c r="F68" s="189">
        <v>6.0415849352687623</v>
      </c>
      <c r="H68" s="206">
        <v>1.96</v>
      </c>
    </row>
    <row r="69" spans="1:8" ht="13.5" thickBot="1">
      <c r="A69" s="190"/>
      <c r="B69" s="187" t="s">
        <v>454</v>
      </c>
      <c r="D69" s="200">
        <v>1.9813634134379532</v>
      </c>
      <c r="E69" s="200">
        <v>5.9637076998528604</v>
      </c>
      <c r="F69" s="200">
        <v>3.9823442864149072</v>
      </c>
      <c r="H69" s="206">
        <v>1.95</v>
      </c>
    </row>
    <row r="70" spans="1:8">
      <c r="A70" s="190"/>
      <c r="B70" s="204"/>
      <c r="D70" s="189"/>
      <c r="E70" s="189"/>
      <c r="F70" s="189"/>
      <c r="H70" s="216"/>
    </row>
    <row r="71" spans="1:8">
      <c r="A71" s="215"/>
      <c r="B71" s="212" t="s">
        <v>462</v>
      </c>
      <c r="C71" s="215"/>
      <c r="D71" s="215"/>
      <c r="E71" s="215"/>
      <c r="F71" s="213"/>
    </row>
    <row r="72" spans="1:8">
      <c r="A72" s="215"/>
      <c r="B72" s="210" t="s">
        <v>463</v>
      </c>
      <c r="D72" s="188"/>
      <c r="E72" s="188"/>
      <c r="F72" s="188"/>
    </row>
    <row r="73" spans="1:8">
      <c r="A73" s="215"/>
      <c r="B73" s="210"/>
      <c r="D73" s="188"/>
      <c r="E73" s="188"/>
      <c r="F73" s="188"/>
    </row>
    <row r="74" spans="1:8">
      <c r="A74" s="786" t="s">
        <v>456</v>
      </c>
      <c r="B74" s="210"/>
      <c r="D74" s="188"/>
      <c r="E74" s="188"/>
      <c r="F74" s="188"/>
    </row>
    <row r="75" spans="1:8" ht="13.5" thickBot="1">
      <c r="A75" s="215"/>
      <c r="B75" s="210"/>
      <c r="D75" s="278"/>
      <c r="E75" s="278"/>
      <c r="F75" s="278"/>
      <c r="G75" s="196"/>
    </row>
    <row r="76" spans="1:8" ht="21" customHeight="1" thickBot="1">
      <c r="A76" s="190"/>
      <c r="B76" s="187"/>
      <c r="D76" s="905" t="s">
        <v>471</v>
      </c>
      <c r="E76" s="905"/>
      <c r="F76" s="905"/>
      <c r="G76" s="905"/>
    </row>
    <row r="77" spans="1:8" ht="15">
      <c r="A77" s="190"/>
      <c r="B77" s="187"/>
      <c r="D77" s="277"/>
      <c r="E77" s="277"/>
      <c r="F77" s="277"/>
      <c r="G77" s="201"/>
    </row>
    <row r="78" spans="1:8" ht="12" customHeight="1">
      <c r="A78" s="190"/>
      <c r="B78" s="187"/>
      <c r="D78" s="904" t="s">
        <v>472</v>
      </c>
      <c r="E78" s="904"/>
      <c r="F78" s="904"/>
    </row>
    <row r="79" spans="1:8" ht="12" customHeight="1" thickBot="1">
      <c r="A79" s="190"/>
      <c r="B79" s="187"/>
      <c r="D79" s="219"/>
      <c r="E79" s="219"/>
      <c r="F79" s="219"/>
    </row>
    <row r="80" spans="1:8" ht="11.25" customHeight="1">
      <c r="A80" s="190"/>
      <c r="B80" s="906" t="s">
        <v>455</v>
      </c>
      <c r="D80" s="224" t="s">
        <v>464</v>
      </c>
      <c r="E80" s="224" t="s">
        <v>469</v>
      </c>
      <c r="F80" s="222" t="s">
        <v>466</v>
      </c>
      <c r="G80" s="225"/>
    </row>
    <row r="81" spans="1:6" ht="13.5" thickBot="1">
      <c r="A81" s="190"/>
      <c r="B81" s="907"/>
      <c r="C81" s="276"/>
      <c r="D81" s="223" t="s">
        <v>465</v>
      </c>
      <c r="E81" s="223" t="s">
        <v>470</v>
      </c>
      <c r="F81" s="223" t="s">
        <v>467</v>
      </c>
    </row>
    <row r="82" spans="1:6" ht="13.5" thickBot="1">
      <c r="A82" s="195">
        <v>2003</v>
      </c>
      <c r="B82" s="203" t="s">
        <v>444</v>
      </c>
      <c r="D82" s="220">
        <v>2.2200000000000002</v>
      </c>
      <c r="E82" s="217">
        <v>5.73</v>
      </c>
      <c r="F82" s="220">
        <v>0.85</v>
      </c>
    </row>
    <row r="83" spans="1:6">
      <c r="A83" s="190"/>
      <c r="B83" s="187" t="s">
        <v>445</v>
      </c>
      <c r="D83" s="217">
        <v>2.25</v>
      </c>
      <c r="E83" s="217">
        <v>5.59</v>
      </c>
      <c r="F83" s="217">
        <v>1.21</v>
      </c>
    </row>
    <row r="84" spans="1:6">
      <c r="A84" s="190"/>
      <c r="B84" s="187" t="s">
        <v>446</v>
      </c>
      <c r="D84" s="217">
        <v>2.2000000000000002</v>
      </c>
      <c r="E84" s="217">
        <v>5.57</v>
      </c>
      <c r="F84" s="217">
        <v>0.51</v>
      </c>
    </row>
    <row r="85" spans="1:6">
      <c r="A85" s="190"/>
      <c r="B85" s="187" t="s">
        <v>443</v>
      </c>
      <c r="D85" s="217">
        <v>2.25</v>
      </c>
      <c r="E85" s="217">
        <v>5.49</v>
      </c>
      <c r="F85" s="217">
        <v>1.0900000000000001</v>
      </c>
    </row>
    <row r="86" spans="1:6">
      <c r="A86" s="190"/>
      <c r="B86" s="187" t="s">
        <v>447</v>
      </c>
      <c r="D86" s="217">
        <v>2.27</v>
      </c>
      <c r="E86" s="217">
        <v>5.51</v>
      </c>
      <c r="F86" s="217">
        <v>0.82</v>
      </c>
    </row>
    <row r="87" spans="1:6">
      <c r="A87" s="190"/>
      <c r="B87" s="187" t="s">
        <v>448</v>
      </c>
      <c r="D87" s="217">
        <v>2.25</v>
      </c>
      <c r="E87" s="217">
        <v>5.48</v>
      </c>
      <c r="F87" s="217">
        <v>0.2</v>
      </c>
    </row>
    <row r="88" spans="1:6">
      <c r="A88" s="190"/>
      <c r="B88" s="187" t="s">
        <v>449</v>
      </c>
      <c r="D88" s="217">
        <v>2.2999999999999998</v>
      </c>
      <c r="E88" s="217">
        <v>5.52</v>
      </c>
      <c r="F88" s="217">
        <v>0.5</v>
      </c>
    </row>
    <row r="89" spans="1:6">
      <c r="A89" s="190"/>
      <c r="B89" s="187" t="s">
        <v>450</v>
      </c>
      <c r="D89" s="217">
        <v>2.2799999999999998</v>
      </c>
      <c r="E89" s="217">
        <v>5.62</v>
      </c>
      <c r="F89" s="217">
        <v>0.67</v>
      </c>
    </row>
    <row r="90" spans="1:6">
      <c r="A90" s="190"/>
      <c r="B90" s="187" t="s">
        <v>451</v>
      </c>
      <c r="D90" s="217">
        <v>2.2400000000000002</v>
      </c>
      <c r="E90" s="217">
        <v>5.64</v>
      </c>
      <c r="F90" s="217">
        <v>0.72</v>
      </c>
    </row>
    <row r="91" spans="1:6">
      <c r="A91" s="190"/>
      <c r="B91" s="187" t="s">
        <v>452</v>
      </c>
      <c r="D91" s="217">
        <v>2.2000000000000002</v>
      </c>
      <c r="E91" s="217">
        <v>5.48</v>
      </c>
      <c r="F91" s="217">
        <v>0.93</v>
      </c>
    </row>
    <row r="92" spans="1:6">
      <c r="A92" s="190"/>
      <c r="B92" s="187" t="s">
        <v>453</v>
      </c>
      <c r="D92" s="217">
        <v>2.19</v>
      </c>
      <c r="E92" s="217">
        <v>5.43</v>
      </c>
      <c r="F92" s="217">
        <v>1.02</v>
      </c>
    </row>
    <row r="93" spans="1:6" ht="13.5" thickBot="1">
      <c r="A93" s="190"/>
      <c r="B93" s="187" t="s">
        <v>454</v>
      </c>
      <c r="D93" s="221">
        <v>2.21</v>
      </c>
      <c r="E93" s="221">
        <v>5.25</v>
      </c>
      <c r="F93" s="217">
        <v>0.48</v>
      </c>
    </row>
    <row r="94" spans="1:6" ht="13.5" thickBot="1">
      <c r="A94" s="195">
        <v>2004</v>
      </c>
      <c r="B94" s="203" t="s">
        <v>444</v>
      </c>
      <c r="D94" s="220">
        <v>2.17</v>
      </c>
      <c r="E94" s="217">
        <v>5.34</v>
      </c>
      <c r="F94" s="220">
        <v>0.55000000000000004</v>
      </c>
    </row>
    <row r="95" spans="1:6">
      <c r="A95" s="190"/>
      <c r="B95" s="187" t="s">
        <v>445</v>
      </c>
      <c r="D95" s="217">
        <v>2.12</v>
      </c>
      <c r="E95" s="217">
        <v>5.0999999999999996</v>
      </c>
      <c r="F95" s="217">
        <v>0.62</v>
      </c>
    </row>
    <row r="96" spans="1:6">
      <c r="A96" s="190"/>
      <c r="B96" s="187" t="s">
        <v>446</v>
      </c>
      <c r="D96" s="217">
        <v>2.06</v>
      </c>
      <c r="E96" s="217">
        <v>4.9800000000000004</v>
      </c>
      <c r="F96" s="217">
        <v>0.55000000000000004</v>
      </c>
    </row>
    <row r="97" spans="1:8">
      <c r="A97" s="190"/>
      <c r="B97" s="187" t="s">
        <v>443</v>
      </c>
      <c r="D97" s="217">
        <v>2.08</v>
      </c>
      <c r="E97" s="217">
        <v>4.21</v>
      </c>
      <c r="F97" s="217">
        <v>0.55000000000000004</v>
      </c>
    </row>
    <row r="98" spans="1:8">
      <c r="A98" s="190"/>
      <c r="B98" s="187" t="s">
        <v>447</v>
      </c>
      <c r="D98" s="217">
        <v>2</v>
      </c>
      <c r="E98" s="217">
        <v>4.01</v>
      </c>
      <c r="F98" s="217">
        <v>0.56000000000000005</v>
      </c>
    </row>
    <row r="99" spans="1:8">
      <c r="A99" s="190"/>
      <c r="B99" s="187" t="s">
        <v>448</v>
      </c>
      <c r="D99" s="217">
        <v>2</v>
      </c>
      <c r="E99" s="217">
        <v>3.84</v>
      </c>
      <c r="F99" s="217">
        <v>0.54</v>
      </c>
    </row>
    <row r="100" spans="1:8">
      <c r="A100" s="190"/>
      <c r="B100" s="187" t="s">
        <v>449</v>
      </c>
      <c r="D100" s="217">
        <v>1.47</v>
      </c>
      <c r="E100" s="217">
        <v>3.74</v>
      </c>
      <c r="F100" s="217">
        <v>0.57999999999999996</v>
      </c>
    </row>
    <row r="101" spans="1:8">
      <c r="A101" s="190"/>
      <c r="B101" s="187" t="s">
        <v>450</v>
      </c>
      <c r="D101" s="217">
        <v>1.97</v>
      </c>
      <c r="E101" s="217">
        <v>3.7</v>
      </c>
      <c r="F101" s="217">
        <v>0.59</v>
      </c>
    </row>
    <row r="102" spans="1:8">
      <c r="A102" s="190"/>
      <c r="B102" s="187" t="s">
        <v>451</v>
      </c>
      <c r="D102" s="217">
        <v>2.0299999999999998</v>
      </c>
      <c r="E102" s="217">
        <v>3.51</v>
      </c>
      <c r="F102" s="217">
        <v>0.56999999999999995</v>
      </c>
    </row>
    <row r="103" spans="1:8">
      <c r="A103" s="190"/>
      <c r="B103" s="187" t="s">
        <v>452</v>
      </c>
      <c r="D103" s="217">
        <v>2.0299999999999998</v>
      </c>
      <c r="E103" s="217">
        <v>3.43</v>
      </c>
      <c r="F103" s="217">
        <v>0.67</v>
      </c>
    </row>
    <row r="104" spans="1:8">
      <c r="A104" s="190"/>
      <c r="B104" s="187" t="s">
        <v>453</v>
      </c>
      <c r="D104" s="217">
        <v>2.02</v>
      </c>
      <c r="E104" s="217">
        <v>3.46</v>
      </c>
      <c r="F104" s="217">
        <v>0.6</v>
      </c>
    </row>
    <row r="105" spans="1:8" ht="13.5" thickBot="1">
      <c r="A105" s="190"/>
      <c r="B105" s="187" t="s">
        <v>454</v>
      </c>
      <c r="D105" s="217">
        <v>1.89</v>
      </c>
      <c r="E105" s="217">
        <v>3.47</v>
      </c>
      <c r="F105" s="221">
        <v>0.56000000000000005</v>
      </c>
    </row>
    <row r="106" spans="1:8">
      <c r="A106" s="190"/>
      <c r="B106" s="226"/>
      <c r="C106" s="184"/>
      <c r="D106" s="227"/>
      <c r="E106" s="227"/>
      <c r="F106" s="189"/>
    </row>
    <row r="107" spans="1:8">
      <c r="A107" s="190"/>
      <c r="B107" s="229" t="s">
        <v>473</v>
      </c>
      <c r="C107" s="230"/>
      <c r="D107" s="230"/>
      <c r="E107" s="230"/>
      <c r="F107" s="230"/>
      <c r="G107" s="230"/>
      <c r="H107" s="230"/>
    </row>
    <row r="108" spans="1:8">
      <c r="B108" s="229" t="s">
        <v>474</v>
      </c>
      <c r="C108" s="230"/>
      <c r="D108" s="230"/>
      <c r="E108" s="231"/>
      <c r="F108" s="231"/>
      <c r="G108" s="231"/>
    </row>
    <row r="110" spans="1:8" ht="13.5" thickBot="1">
      <c r="A110" s="786" t="s">
        <v>456</v>
      </c>
      <c r="C110" s="192"/>
      <c r="E110" s="192"/>
    </row>
    <row r="111" spans="1:8">
      <c r="A111" s="202"/>
    </row>
    <row r="114" ht="25.5" customHeight="1"/>
    <row r="143" spans="4:6">
      <c r="E143" s="218"/>
    </row>
    <row r="144" spans="4:6">
      <c r="D144" s="184"/>
      <c r="F144" s="185"/>
    </row>
    <row r="145" spans="4:6">
      <c r="D145" s="184"/>
      <c r="E145" s="217"/>
      <c r="F145" s="185"/>
    </row>
    <row r="146" spans="4:6">
      <c r="D146" s="184"/>
      <c r="E146" s="217"/>
      <c r="F146" s="185"/>
    </row>
    <row r="147" spans="4:6">
      <c r="D147" s="185"/>
      <c r="E147" s="217"/>
      <c r="F147" s="185"/>
    </row>
    <row r="148" spans="4:6">
      <c r="D148" s="185"/>
      <c r="E148" s="217"/>
      <c r="F148" s="185"/>
    </row>
    <row r="149" spans="4:6">
      <c r="D149" s="185"/>
      <c r="E149" s="217"/>
      <c r="F149" s="185"/>
    </row>
    <row r="150" spans="4:6">
      <c r="D150" s="185"/>
      <c r="E150" s="217"/>
      <c r="F150" s="185"/>
    </row>
    <row r="151" spans="4:6">
      <c r="D151" s="185"/>
      <c r="E151" s="217"/>
      <c r="F151" s="185"/>
    </row>
    <row r="152" spans="4:6">
      <c r="D152" s="185"/>
      <c r="E152" s="217"/>
      <c r="F152" s="185"/>
    </row>
    <row r="153" spans="4:6">
      <c r="D153" s="185"/>
      <c r="E153" s="217"/>
      <c r="F153" s="185"/>
    </row>
    <row r="154" spans="4:6">
      <c r="D154" s="185"/>
      <c r="E154" s="217"/>
      <c r="F154" s="185"/>
    </row>
    <row r="155" spans="4:6" ht="13.5" thickBot="1">
      <c r="D155" s="198"/>
      <c r="E155" s="217"/>
      <c r="F155" s="198"/>
    </row>
    <row r="156" spans="4:6">
      <c r="D156" s="183"/>
      <c r="E156" s="217"/>
      <c r="F156" s="584"/>
    </row>
    <row r="157" spans="4:6">
      <c r="D157" s="183"/>
      <c r="E157" s="217"/>
    </row>
    <row r="158" spans="4:6">
      <c r="D158" s="183"/>
      <c r="E158" s="217"/>
    </row>
    <row r="159" spans="4:6">
      <c r="D159" s="183"/>
      <c r="E159" s="217"/>
      <c r="F159" s="630"/>
    </row>
    <row r="160" spans="4:6">
      <c r="D160" s="183"/>
      <c r="E160" s="217"/>
    </row>
    <row r="161" spans="4:5">
      <c r="D161" s="183"/>
      <c r="E161" s="217"/>
    </row>
    <row r="162" spans="4:5">
      <c r="D162" s="183"/>
      <c r="E162" s="217"/>
    </row>
    <row r="163" spans="4:5">
      <c r="D163" s="183"/>
      <c r="E163" s="217"/>
    </row>
    <row r="164" spans="4:5">
      <c r="D164" s="183"/>
      <c r="E164" s="217"/>
    </row>
    <row r="165" spans="4:5">
      <c r="D165" s="183"/>
      <c r="E165" s="217"/>
    </row>
    <row r="166" spans="4:5">
      <c r="D166" s="183"/>
      <c r="E166" s="217"/>
    </row>
    <row r="167" spans="4:5">
      <c r="D167" s="183"/>
      <c r="E167" s="217"/>
    </row>
    <row r="168" spans="4:5">
      <c r="D168" s="183"/>
      <c r="E168" s="217"/>
    </row>
    <row r="169" spans="4:5">
      <c r="D169" s="183"/>
    </row>
    <row r="170" spans="4:5">
      <c r="D170" s="183"/>
    </row>
    <row r="171" spans="4:5">
      <c r="D171" s="183"/>
    </row>
    <row r="172" spans="4:5">
      <c r="D172" s="183"/>
    </row>
    <row r="173" spans="4:5">
      <c r="D173" s="183"/>
    </row>
    <row r="174" spans="4:5">
      <c r="D174" s="183"/>
    </row>
    <row r="175" spans="4:5">
      <c r="D175" s="183"/>
    </row>
    <row r="176" spans="4:5">
      <c r="D176" s="183"/>
    </row>
    <row r="177" spans="4:4">
      <c r="D177" s="183"/>
    </row>
    <row r="178" spans="4:4">
      <c r="D178" s="183"/>
    </row>
    <row r="179" spans="4:4">
      <c r="D179" s="183"/>
    </row>
    <row r="180" spans="4:4">
      <c r="D180" s="183"/>
    </row>
    <row r="181" spans="4:4">
      <c r="D181" s="183"/>
    </row>
    <row r="182" spans="4:4">
      <c r="D182" s="183"/>
    </row>
    <row r="183" spans="4:4">
      <c r="D183" s="183"/>
    </row>
    <row r="184" spans="4:4">
      <c r="D184" s="183"/>
    </row>
    <row r="185" spans="4:4">
      <c r="D185" s="183"/>
    </row>
    <row r="186" spans="4:4">
      <c r="D186" s="183"/>
    </row>
    <row r="187" spans="4:4">
      <c r="D187" s="183"/>
    </row>
    <row r="188" spans="4:4">
      <c r="D188" s="183"/>
    </row>
    <row r="189" spans="4:4">
      <c r="D189" s="183"/>
    </row>
    <row r="190" spans="4:4">
      <c r="D190" s="183"/>
    </row>
    <row r="191" spans="4:4">
      <c r="D191" s="183"/>
    </row>
    <row r="192" spans="4:4">
      <c r="D192" s="183"/>
    </row>
    <row r="193" spans="4:4">
      <c r="D193" s="183"/>
    </row>
    <row r="194" spans="4:4">
      <c r="D194" s="183"/>
    </row>
    <row r="195" spans="4:4">
      <c r="D195" s="183"/>
    </row>
    <row r="196" spans="4:4">
      <c r="D196" s="183"/>
    </row>
    <row r="197" spans="4:4">
      <c r="D197" s="183"/>
    </row>
    <row r="198" spans="4:4">
      <c r="D198" s="183"/>
    </row>
    <row r="199" spans="4:4">
      <c r="D199" s="183"/>
    </row>
    <row r="200" spans="4:4">
      <c r="D200" s="183"/>
    </row>
    <row r="201" spans="4:4">
      <c r="D201" s="183"/>
    </row>
    <row r="202" spans="4:4">
      <c r="D202" s="183"/>
    </row>
    <row r="203" spans="4:4">
      <c r="D203" s="183"/>
    </row>
    <row r="204" spans="4:4">
      <c r="D204" s="183"/>
    </row>
    <row r="205" spans="4:4">
      <c r="D205" s="183"/>
    </row>
    <row r="206" spans="4:4">
      <c r="D206" s="183"/>
    </row>
    <row r="207" spans="4:4">
      <c r="D207" s="183"/>
    </row>
    <row r="208" spans="4:4">
      <c r="D208" s="183"/>
    </row>
    <row r="209" spans="4:4">
      <c r="D209" s="183"/>
    </row>
    <row r="210" spans="4:4">
      <c r="D210" s="183"/>
    </row>
    <row r="211" spans="4:4">
      <c r="D211" s="183"/>
    </row>
    <row r="212" spans="4:4">
      <c r="D212" s="183"/>
    </row>
    <row r="213" spans="4:4">
      <c r="D213" s="183"/>
    </row>
    <row r="214" spans="4:4">
      <c r="D214" s="183"/>
    </row>
    <row r="215" spans="4:4">
      <c r="D215" s="183"/>
    </row>
    <row r="216" spans="4:4">
      <c r="D216" s="183"/>
    </row>
    <row r="217" spans="4:4">
      <c r="D217" s="183"/>
    </row>
    <row r="218" spans="4:4">
      <c r="D218" s="183"/>
    </row>
    <row r="219" spans="4:4">
      <c r="D219" s="183"/>
    </row>
    <row r="220" spans="4:4">
      <c r="D220" s="183"/>
    </row>
    <row r="221" spans="4:4">
      <c r="D221" s="183"/>
    </row>
    <row r="222" spans="4:4">
      <c r="D222" s="183"/>
    </row>
    <row r="223" spans="4:4">
      <c r="D223" s="183"/>
    </row>
    <row r="224" spans="4:4">
      <c r="D224" s="183"/>
    </row>
  </sheetData>
  <mergeCells count="12">
    <mergeCell ref="B3:D3"/>
    <mergeCell ref="E1:H1"/>
    <mergeCell ref="A4:D4"/>
    <mergeCell ref="A5:E5"/>
    <mergeCell ref="A6:E6"/>
    <mergeCell ref="A7:E7"/>
    <mergeCell ref="B44:F44"/>
    <mergeCell ref="D78:F78"/>
    <mergeCell ref="D76:G76"/>
    <mergeCell ref="B80:B81"/>
    <mergeCell ref="D42:F42"/>
    <mergeCell ref="D11:F11"/>
  </mergeCells>
  <phoneticPr fontId="8" type="noConversion"/>
  <hyperlinks>
    <hyperlink ref="F8" location="Macrofinancieros!A138" display="IR"/>
    <hyperlink ref="A110" location="'11.Anexo _Macrofinancieros'!A1" display="SUBIR"/>
    <hyperlink ref="A74" location="'11.Anexo _Macrofinancieros'!A1" display="SUBIR"/>
  </hyperlinks>
  <pageMargins left="0.75" right="0.75" top="1" bottom="1" header="0" footer="0"/>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dimension ref="A9:G66"/>
  <sheetViews>
    <sheetView tabSelected="1" topLeftCell="A33" workbookViewId="0">
      <selection activeCell="G17" sqref="G17"/>
    </sheetView>
  </sheetViews>
  <sheetFormatPr baseColWidth="10" defaultRowHeight="12.75"/>
  <cols>
    <col min="1" max="16384" width="11.42578125" style="186"/>
  </cols>
  <sheetData>
    <row r="9" spans="1:7" ht="15">
      <c r="A9" s="192"/>
      <c r="B9" s="192"/>
      <c r="C9" s="248" t="s">
        <v>486</v>
      </c>
      <c r="D9" s="249"/>
      <c r="E9" s="192"/>
      <c r="F9" s="192"/>
    </row>
    <row r="10" spans="1:7" ht="13.5" thickBot="1">
      <c r="A10" s="196"/>
      <c r="B10" s="196"/>
      <c r="C10" s="237"/>
      <c r="D10" s="238"/>
      <c r="E10" s="196"/>
      <c r="F10" s="196"/>
    </row>
    <row r="11" spans="1:7" ht="13.5" thickBot="1">
      <c r="A11" s="247" t="s">
        <v>455</v>
      </c>
      <c r="B11" s="237">
        <v>2000</v>
      </c>
      <c r="C11" s="237">
        <v>2001</v>
      </c>
      <c r="D11" s="237">
        <v>2002</v>
      </c>
      <c r="E11" s="237">
        <v>2003</v>
      </c>
      <c r="F11" s="240">
        <v>2004</v>
      </c>
    </row>
    <row r="12" spans="1:7">
      <c r="A12" s="244" t="s">
        <v>483</v>
      </c>
      <c r="B12" s="236">
        <v>14.3</v>
      </c>
      <c r="C12" s="236">
        <v>7</v>
      </c>
      <c r="D12" s="236">
        <v>1.8</v>
      </c>
      <c r="E12" s="236">
        <v>2.48</v>
      </c>
      <c r="F12" s="241">
        <v>0.41</v>
      </c>
      <c r="G12" s="235"/>
    </row>
    <row r="13" spans="1:7">
      <c r="A13" s="245" t="s">
        <v>445</v>
      </c>
      <c r="B13" s="236">
        <v>25.8</v>
      </c>
      <c r="C13" s="236">
        <v>9.9</v>
      </c>
      <c r="D13" s="236">
        <v>2.9</v>
      </c>
      <c r="E13" s="236">
        <v>3.25</v>
      </c>
      <c r="F13" s="241">
        <v>1.1000000000000001</v>
      </c>
      <c r="G13" s="235"/>
    </row>
    <row r="14" spans="1:7">
      <c r="A14" s="245" t="s">
        <v>446</v>
      </c>
      <c r="B14" s="236">
        <v>35.299999999999997</v>
      </c>
      <c r="C14" s="236">
        <v>12.1</v>
      </c>
      <c r="D14" s="236">
        <v>4</v>
      </c>
      <c r="E14" s="236">
        <v>3.82</v>
      </c>
      <c r="F14" s="241">
        <v>1.81</v>
      </c>
      <c r="G14" s="235"/>
    </row>
    <row r="15" spans="1:7">
      <c r="A15" s="245" t="s">
        <v>484</v>
      </c>
      <c r="B15" s="236">
        <v>49.1</v>
      </c>
      <c r="C15" s="236">
        <v>13.8</v>
      </c>
      <c r="D15" s="236">
        <v>5.49</v>
      </c>
      <c r="E15" s="236">
        <v>4.8600000000000003</v>
      </c>
      <c r="F15" s="241">
        <v>2.4700000000000002</v>
      </c>
      <c r="G15" s="235"/>
    </row>
    <row r="16" spans="1:7">
      <c r="A16" s="245" t="s">
        <v>447</v>
      </c>
      <c r="B16" s="236">
        <v>56.8</v>
      </c>
      <c r="C16" s="236">
        <v>14</v>
      </c>
      <c r="D16" s="236">
        <v>5.98</v>
      </c>
      <c r="E16" s="236">
        <v>5.05</v>
      </c>
      <c r="F16" s="241">
        <v>2</v>
      </c>
      <c r="G16" s="235"/>
    </row>
    <row r="17" spans="1:7">
      <c r="A17" s="245" t="s">
        <v>448</v>
      </c>
      <c r="B17" s="236">
        <v>65.099999999999994</v>
      </c>
      <c r="C17" s="236">
        <v>14.5</v>
      </c>
      <c r="D17" s="236">
        <v>6.37</v>
      </c>
      <c r="E17" s="236">
        <v>4.83</v>
      </c>
      <c r="F17" s="242">
        <v>1.67</v>
      </c>
      <c r="G17" s="235"/>
    </row>
    <row r="18" spans="1:7">
      <c r="A18" s="245" t="s">
        <v>449</v>
      </c>
      <c r="B18" s="236">
        <v>69.099999999999994</v>
      </c>
      <c r="C18" s="236">
        <v>14.7</v>
      </c>
      <c r="D18" s="236">
        <v>6.3</v>
      </c>
      <c r="E18" s="236">
        <v>4.8600000000000003</v>
      </c>
      <c r="F18" s="241">
        <v>1.04</v>
      </c>
      <c r="G18" s="235"/>
    </row>
    <row r="19" spans="1:7">
      <c r="A19" s="245" t="s">
        <v>450</v>
      </c>
      <c r="B19" s="236">
        <v>71.400000000000006</v>
      </c>
      <c r="C19" s="236">
        <v>15.1</v>
      </c>
      <c r="D19" s="236">
        <v>6.74</v>
      </c>
      <c r="E19" s="236">
        <v>4.92</v>
      </c>
      <c r="F19" s="241">
        <v>1.0681127269739576</v>
      </c>
      <c r="G19" s="235"/>
    </row>
    <row r="20" spans="1:7">
      <c r="A20" s="245" t="s">
        <v>485</v>
      </c>
      <c r="B20" s="236">
        <v>77.7</v>
      </c>
      <c r="C20" s="236">
        <v>17.100000000000001</v>
      </c>
      <c r="D20" s="236">
        <v>7.32</v>
      </c>
      <c r="E20" s="236">
        <v>5.75</v>
      </c>
      <c r="F20" s="241">
        <v>1.31</v>
      </c>
      <c r="G20" s="235"/>
    </row>
    <row r="21" spans="1:7">
      <c r="A21" s="245" t="s">
        <v>452</v>
      </c>
      <c r="B21" s="236">
        <v>82.5</v>
      </c>
      <c r="C21" s="236">
        <v>18.3</v>
      </c>
      <c r="D21" s="236">
        <v>7.97</v>
      </c>
      <c r="E21" s="236">
        <v>5.76</v>
      </c>
      <c r="F21" s="241">
        <v>1.59</v>
      </c>
      <c r="G21" s="235"/>
    </row>
    <row r="22" spans="1:7">
      <c r="A22" s="245" t="s">
        <v>453</v>
      </c>
      <c r="B22" s="236">
        <v>86.4</v>
      </c>
      <c r="C22" s="236">
        <v>19.899999999999999</v>
      </c>
      <c r="D22" s="236">
        <v>8.98</v>
      </c>
      <c r="E22" s="236">
        <v>6.11</v>
      </c>
      <c r="F22" s="241">
        <v>2</v>
      </c>
      <c r="G22" s="235"/>
    </row>
    <row r="23" spans="1:7" ht="13.5" thickBot="1">
      <c r="A23" s="246" t="s">
        <v>454</v>
      </c>
      <c r="B23" s="239">
        <v>91</v>
      </c>
      <c r="C23" s="239">
        <v>20.6</v>
      </c>
      <c r="D23" s="239">
        <v>9.36</v>
      </c>
      <c r="E23" s="239">
        <v>6.11</v>
      </c>
      <c r="F23" s="243">
        <v>1.95</v>
      </c>
      <c r="G23" s="235"/>
    </row>
    <row r="46" spans="2:4">
      <c r="C46" s="192"/>
    </row>
    <row r="47" spans="2:4" ht="13.5" thickBot="1">
      <c r="B47" s="196"/>
      <c r="C47" s="196"/>
      <c r="D47" s="196"/>
    </row>
    <row r="48" spans="2:4" ht="13.5" thickBot="1">
      <c r="B48" s="916" t="s">
        <v>487</v>
      </c>
      <c r="C48" s="917"/>
      <c r="D48" s="918"/>
    </row>
    <row r="49" spans="1:4">
      <c r="C49" s="234"/>
      <c r="D49" s="255"/>
    </row>
    <row r="50" spans="1:4">
      <c r="B50" s="919" t="s">
        <v>488</v>
      </c>
      <c r="C50" s="919"/>
      <c r="D50" s="919"/>
    </row>
    <row r="51" spans="1:4" ht="13.5" thickBot="1">
      <c r="B51" s="196"/>
      <c r="C51" s="196"/>
      <c r="D51" s="196"/>
    </row>
    <row r="52" spans="1:4" ht="13.5" thickBot="1">
      <c r="B52" s="259" t="s">
        <v>457</v>
      </c>
      <c r="C52" s="257">
        <v>2003</v>
      </c>
      <c r="D52" s="258">
        <v>2004</v>
      </c>
    </row>
    <row r="53" spans="1:4" ht="13.5" thickTop="1">
      <c r="A53" s="250"/>
      <c r="B53" s="260" t="s">
        <v>489</v>
      </c>
      <c r="C53" s="253">
        <v>1524</v>
      </c>
      <c r="D53" s="252">
        <v>714</v>
      </c>
    </row>
    <row r="54" spans="1:4">
      <c r="A54" s="250"/>
      <c r="B54" s="252" t="s">
        <v>490</v>
      </c>
      <c r="C54" s="235">
        <v>1522</v>
      </c>
      <c r="D54" s="253">
        <v>760</v>
      </c>
    </row>
    <row r="55" spans="1:4">
      <c r="A55" s="250"/>
      <c r="B55" s="252" t="s">
        <v>491</v>
      </c>
      <c r="C55" s="235">
        <v>1372</v>
      </c>
      <c r="D55" s="253">
        <v>701</v>
      </c>
    </row>
    <row r="56" spans="1:4">
      <c r="A56" s="250"/>
      <c r="B56" s="252" t="s">
        <v>443</v>
      </c>
      <c r="C56" s="235">
        <v>1099</v>
      </c>
      <c r="D56" s="253">
        <v>925</v>
      </c>
    </row>
    <row r="57" spans="1:4">
      <c r="A57" s="250"/>
      <c r="B57" s="252" t="s">
        <v>492</v>
      </c>
      <c r="C57" s="235">
        <v>1107</v>
      </c>
      <c r="D57" s="253">
        <v>909</v>
      </c>
    </row>
    <row r="58" spans="1:4">
      <c r="A58" s="250"/>
      <c r="B58" s="252" t="s">
        <v>493</v>
      </c>
      <c r="C58" s="235">
        <v>1161</v>
      </c>
      <c r="D58" s="253">
        <v>852</v>
      </c>
    </row>
    <row r="59" spans="1:4">
      <c r="A59" s="250"/>
      <c r="B59" s="252" t="s">
        <v>494</v>
      </c>
      <c r="C59" s="235">
        <v>1147</v>
      </c>
      <c r="D59" s="253">
        <v>852</v>
      </c>
    </row>
    <row r="60" spans="1:4">
      <c r="A60" s="250"/>
      <c r="B60" s="252" t="s">
        <v>495</v>
      </c>
      <c r="C60" s="235">
        <v>1153</v>
      </c>
      <c r="D60" s="253">
        <v>813</v>
      </c>
    </row>
    <row r="61" spans="1:4">
      <c r="A61" s="250"/>
      <c r="B61" s="252" t="s">
        <v>496</v>
      </c>
      <c r="C61" s="235">
        <v>1116</v>
      </c>
      <c r="D61" s="253">
        <v>778</v>
      </c>
    </row>
    <row r="62" spans="1:4">
      <c r="A62" s="250"/>
      <c r="B62" s="252" t="s">
        <v>497</v>
      </c>
      <c r="C62" s="235">
        <v>961</v>
      </c>
      <c r="D62" s="253">
        <v>745</v>
      </c>
    </row>
    <row r="63" spans="1:4">
      <c r="A63" s="250"/>
      <c r="B63" s="252" t="s">
        <v>498</v>
      </c>
      <c r="C63" s="235">
        <v>910</v>
      </c>
      <c r="D63" s="253">
        <v>696</v>
      </c>
    </row>
    <row r="64" spans="1:4">
      <c r="A64" s="250"/>
      <c r="B64" s="252" t="s">
        <v>499</v>
      </c>
      <c r="C64" s="251">
        <v>809</v>
      </c>
      <c r="D64" s="254">
        <v>690</v>
      </c>
    </row>
    <row r="65" spans="2:2">
      <c r="B65" s="256"/>
    </row>
    <row r="66" spans="2:2">
      <c r="B66" s="262" t="s">
        <v>500</v>
      </c>
    </row>
  </sheetData>
  <mergeCells count="2">
    <mergeCell ref="B48:D48"/>
    <mergeCell ref="B50:D50"/>
  </mergeCells>
  <phoneticPr fontId="8" type="noConversion"/>
  <pageMargins left="0.75" right="0.75" top="1" bottom="1" header="0" footer="0"/>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dimension ref="A1:K78"/>
  <sheetViews>
    <sheetView showGridLines="0" workbookViewId="0">
      <selection activeCell="B76" sqref="B76"/>
    </sheetView>
  </sheetViews>
  <sheetFormatPr baseColWidth="10" defaultRowHeight="12.75"/>
  <cols>
    <col min="1" max="1" width="19.42578125" customWidth="1"/>
    <col min="2" max="2" width="2.7109375" customWidth="1"/>
    <col min="9" max="9" width="12.85546875" customWidth="1"/>
  </cols>
  <sheetData>
    <row r="1" spans="1:11">
      <c r="A1" s="741"/>
      <c r="B1" s="741"/>
      <c r="C1" s="741"/>
      <c r="D1" s="741"/>
      <c r="E1" s="741"/>
      <c r="F1" s="741"/>
      <c r="G1" s="741"/>
      <c r="H1" s="741"/>
      <c r="I1" s="741"/>
      <c r="J1" s="741"/>
      <c r="K1" s="741"/>
    </row>
    <row r="2" spans="1:11">
      <c r="A2" s="741"/>
      <c r="B2" s="741"/>
      <c r="C2" s="741"/>
      <c r="D2" s="741"/>
      <c r="E2" s="741"/>
      <c r="F2" s="741"/>
      <c r="G2" s="741"/>
      <c r="H2" s="741"/>
      <c r="I2" s="741"/>
      <c r="J2" s="741"/>
      <c r="K2" s="741"/>
    </row>
    <row r="3" spans="1:11">
      <c r="A3" s="741"/>
      <c r="B3" s="741"/>
      <c r="C3" s="741"/>
      <c r="D3" s="741"/>
      <c r="E3" s="741"/>
      <c r="F3" s="741"/>
      <c r="G3" s="741"/>
      <c r="H3" s="741"/>
      <c r="I3" s="741"/>
      <c r="J3" s="741"/>
      <c r="K3" s="741"/>
    </row>
    <row r="4" spans="1:11">
      <c r="A4" s="741"/>
      <c r="B4" s="742"/>
      <c r="C4" s="742"/>
      <c r="D4" s="742"/>
      <c r="E4" s="742"/>
      <c r="F4" s="742"/>
      <c r="G4" s="742"/>
      <c r="H4" s="742"/>
      <c r="I4" s="742"/>
      <c r="J4" s="742"/>
      <c r="K4" s="741"/>
    </row>
    <row r="5" spans="1:11" ht="15">
      <c r="A5" s="741"/>
      <c r="B5" s="791" t="s">
        <v>658</v>
      </c>
      <c r="C5" s="792"/>
      <c r="D5" s="792"/>
      <c r="E5" s="792"/>
      <c r="F5" s="792"/>
      <c r="G5" s="792"/>
      <c r="H5" s="792"/>
      <c r="I5" s="792"/>
      <c r="J5" s="793"/>
      <c r="K5" s="741"/>
    </row>
    <row r="6" spans="1:11" ht="15">
      <c r="A6" s="741"/>
      <c r="B6" s="794" t="s">
        <v>56</v>
      </c>
      <c r="C6" s="795"/>
      <c r="D6" s="795"/>
      <c r="E6" s="795"/>
      <c r="F6" s="795"/>
      <c r="G6" s="795"/>
      <c r="H6" s="795"/>
      <c r="I6" s="795"/>
      <c r="J6" s="796"/>
      <c r="K6" s="741"/>
    </row>
    <row r="7" spans="1:11">
      <c r="A7" s="741"/>
      <c r="B7" s="741"/>
      <c r="C7" s="741"/>
      <c r="D7" s="741"/>
      <c r="E7" s="741"/>
      <c r="F7" s="741"/>
      <c r="G7" s="741"/>
      <c r="H7" s="741"/>
      <c r="I7" s="741"/>
      <c r="J7" s="741"/>
      <c r="K7" s="741"/>
    </row>
    <row r="8" spans="1:11">
      <c r="A8" s="741"/>
      <c r="B8" s="741"/>
      <c r="C8" s="741"/>
      <c r="D8" s="741"/>
      <c r="E8" s="741"/>
      <c r="F8" s="741"/>
      <c r="G8" s="741"/>
      <c r="H8" s="741"/>
      <c r="I8" s="741"/>
      <c r="J8" s="741"/>
      <c r="K8" s="741"/>
    </row>
    <row r="9" spans="1:11" ht="14.25">
      <c r="A9" s="741"/>
      <c r="B9" s="741"/>
      <c r="C9" s="751" t="s">
        <v>662</v>
      </c>
      <c r="D9" s="741"/>
      <c r="E9" s="741"/>
      <c r="F9" s="741"/>
      <c r="G9" s="741"/>
      <c r="H9" s="741"/>
      <c r="I9" s="741"/>
      <c r="J9" s="741"/>
      <c r="K9" s="741"/>
    </row>
    <row r="10" spans="1:11">
      <c r="A10" s="741"/>
      <c r="B10" s="741"/>
      <c r="C10" s="741"/>
      <c r="D10" s="741"/>
      <c r="E10" s="741"/>
      <c r="F10" s="741"/>
      <c r="G10" s="741"/>
      <c r="H10" s="741"/>
      <c r="I10" s="741"/>
      <c r="J10" s="741"/>
      <c r="K10" s="741"/>
    </row>
    <row r="11" spans="1:11">
      <c r="A11" s="743" t="s">
        <v>664</v>
      </c>
      <c r="B11" s="741"/>
      <c r="C11" s="741" t="s">
        <v>660</v>
      </c>
      <c r="D11" s="741"/>
      <c r="E11" s="741"/>
      <c r="F11" s="741"/>
      <c r="G11" s="741"/>
      <c r="H11" s="741"/>
      <c r="I11" s="741"/>
      <c r="J11" s="741"/>
      <c r="K11" s="741"/>
    </row>
    <row r="12" spans="1:11">
      <c r="A12" s="744"/>
      <c r="B12" s="741"/>
      <c r="C12" s="741"/>
      <c r="D12" s="741"/>
      <c r="E12" s="741"/>
      <c r="F12" s="741"/>
      <c r="G12" s="741"/>
      <c r="H12" s="741"/>
      <c r="I12" s="741"/>
      <c r="J12" s="741"/>
      <c r="K12" s="741"/>
    </row>
    <row r="13" spans="1:11" ht="54.75" customHeight="1">
      <c r="A13" s="759" t="s">
        <v>665</v>
      </c>
      <c r="B13" s="741"/>
      <c r="C13" s="789" t="s">
        <v>63</v>
      </c>
      <c r="D13" s="789"/>
      <c r="E13" s="789"/>
      <c r="F13" s="789"/>
      <c r="G13" s="789"/>
      <c r="H13" s="789"/>
      <c r="I13" s="789"/>
      <c r="J13" s="741"/>
      <c r="K13" s="741"/>
    </row>
    <row r="14" spans="1:11">
      <c r="A14" s="744"/>
      <c r="B14" s="741"/>
      <c r="C14" s="788"/>
      <c r="D14" s="788"/>
      <c r="E14" s="788"/>
      <c r="F14" s="788"/>
      <c r="G14" s="788"/>
      <c r="H14" s="788"/>
      <c r="I14" s="788"/>
      <c r="J14" s="741"/>
      <c r="K14" s="741"/>
    </row>
    <row r="15" spans="1:11">
      <c r="A15" s="744"/>
      <c r="B15" s="741"/>
      <c r="C15" s="745"/>
      <c r="D15" s="745"/>
      <c r="E15" s="745"/>
      <c r="F15" s="745"/>
      <c r="G15" s="745"/>
      <c r="H15" s="745"/>
      <c r="I15" s="745"/>
      <c r="J15" s="741"/>
      <c r="K15" s="741"/>
    </row>
    <row r="16" spans="1:11">
      <c r="A16" s="743" t="s">
        <v>666</v>
      </c>
      <c r="B16" s="741"/>
      <c r="C16" s="745" t="s">
        <v>50</v>
      </c>
      <c r="D16" s="745"/>
      <c r="E16" s="745"/>
      <c r="F16" s="745"/>
      <c r="G16" s="745"/>
      <c r="H16" s="745"/>
      <c r="I16" s="745"/>
      <c r="J16" s="741"/>
      <c r="K16" s="741"/>
    </row>
    <row r="17" spans="1:11">
      <c r="A17" s="744"/>
      <c r="B17" s="741"/>
      <c r="C17" s="745"/>
      <c r="D17" s="745"/>
      <c r="E17" s="745"/>
      <c r="F17" s="745"/>
      <c r="G17" s="745"/>
      <c r="H17" s="745"/>
      <c r="I17" s="745"/>
      <c r="J17" s="741"/>
      <c r="K17" s="741"/>
    </row>
    <row r="18" spans="1:11">
      <c r="A18" s="743" t="s">
        <v>57</v>
      </c>
      <c r="B18" s="741"/>
      <c r="C18" s="788" t="s">
        <v>58</v>
      </c>
      <c r="D18" s="788"/>
      <c r="E18" s="788"/>
      <c r="F18" s="788"/>
      <c r="G18" s="788"/>
      <c r="H18" s="788"/>
      <c r="I18" s="788"/>
      <c r="J18" s="741"/>
      <c r="K18" s="741"/>
    </row>
    <row r="19" spans="1:11">
      <c r="A19" s="743"/>
      <c r="B19" s="741"/>
      <c r="C19" s="745"/>
      <c r="D19" s="745"/>
      <c r="E19" s="745"/>
      <c r="F19" s="745"/>
      <c r="G19" s="745"/>
      <c r="H19" s="745"/>
      <c r="I19" s="745"/>
      <c r="J19" s="741"/>
      <c r="K19" s="741"/>
    </row>
    <row r="20" spans="1:11">
      <c r="A20" s="744"/>
      <c r="B20" s="741"/>
      <c r="C20" s="741" t="s">
        <v>60</v>
      </c>
      <c r="D20" s="741"/>
      <c r="E20" s="741"/>
      <c r="F20" s="741"/>
      <c r="G20" s="741"/>
      <c r="H20" s="741"/>
      <c r="I20" s="741"/>
      <c r="J20" s="741"/>
      <c r="K20" s="741"/>
    </row>
    <row r="21" spans="1:11">
      <c r="A21" s="744"/>
      <c r="B21" s="741"/>
      <c r="C21" s="741" t="s">
        <v>61</v>
      </c>
      <c r="D21" s="741"/>
      <c r="E21" s="741"/>
      <c r="F21" s="741"/>
      <c r="G21" s="741"/>
      <c r="H21" s="741"/>
      <c r="I21" s="741"/>
      <c r="J21" s="741"/>
      <c r="K21" s="741"/>
    </row>
    <row r="22" spans="1:11">
      <c r="A22" s="744"/>
      <c r="B22" s="741"/>
      <c r="C22" s="741" t="s">
        <v>62</v>
      </c>
      <c r="D22" s="741"/>
      <c r="E22" s="741"/>
      <c r="F22" s="741"/>
      <c r="G22" s="741"/>
      <c r="H22" s="741"/>
      <c r="I22" s="741"/>
      <c r="J22" s="741"/>
      <c r="K22" s="741"/>
    </row>
    <row r="23" spans="1:11">
      <c r="A23" s="744"/>
      <c r="B23" s="741"/>
      <c r="C23" s="741"/>
      <c r="D23" s="741"/>
      <c r="E23" s="741"/>
      <c r="F23" s="741"/>
      <c r="G23" s="741"/>
      <c r="H23" s="741"/>
      <c r="I23" s="741"/>
      <c r="J23" s="741"/>
      <c r="K23" s="741"/>
    </row>
    <row r="24" spans="1:11">
      <c r="A24" s="741"/>
      <c r="B24" s="746" t="s">
        <v>659</v>
      </c>
      <c r="C24" s="788" t="s">
        <v>3</v>
      </c>
      <c r="D24" s="788"/>
      <c r="E24" s="788"/>
      <c r="F24" s="788"/>
      <c r="G24" s="788"/>
      <c r="H24" s="788"/>
      <c r="I24" s="788"/>
      <c r="J24" s="741"/>
      <c r="K24" s="741"/>
    </row>
    <row r="25" spans="1:11">
      <c r="A25" s="741"/>
      <c r="B25" s="746"/>
      <c r="C25" s="741" t="s">
        <v>59</v>
      </c>
      <c r="D25" s="741"/>
      <c r="E25" s="741"/>
      <c r="F25" s="741"/>
      <c r="G25" s="741"/>
      <c r="H25" s="741"/>
      <c r="I25" s="741"/>
      <c r="J25" s="741"/>
      <c r="K25" s="741"/>
    </row>
    <row r="26" spans="1:11" ht="20.25" customHeight="1">
      <c r="A26" s="741"/>
      <c r="B26" s="746" t="s">
        <v>661</v>
      </c>
      <c r="C26" s="788" t="s">
        <v>4</v>
      </c>
      <c r="D26" s="788"/>
      <c r="E26" s="788"/>
      <c r="F26" s="788"/>
      <c r="G26" s="788"/>
      <c r="H26" s="788"/>
      <c r="I26" s="788"/>
      <c r="J26" s="741"/>
      <c r="K26" s="741"/>
    </row>
    <row r="27" spans="1:11">
      <c r="A27" s="741"/>
      <c r="B27" s="743"/>
      <c r="C27" s="788" t="s">
        <v>667</v>
      </c>
      <c r="D27" s="788"/>
      <c r="E27" s="788"/>
      <c r="F27" s="788"/>
      <c r="G27" s="788"/>
      <c r="H27" s="788"/>
      <c r="I27" s="788"/>
      <c r="J27" s="741"/>
      <c r="K27" s="741"/>
    </row>
    <row r="28" spans="1:11">
      <c r="A28" s="741"/>
      <c r="B28" s="743"/>
      <c r="C28" s="788" t="s">
        <v>668</v>
      </c>
      <c r="D28" s="788"/>
      <c r="E28" s="788"/>
      <c r="F28" s="788"/>
      <c r="G28" s="788"/>
      <c r="H28" s="788"/>
      <c r="I28" s="788"/>
      <c r="J28" s="741"/>
      <c r="K28" s="741"/>
    </row>
    <row r="29" spans="1:11" ht="18" customHeight="1">
      <c r="A29" s="741"/>
      <c r="B29" s="746" t="s">
        <v>663</v>
      </c>
      <c r="C29" s="788" t="s">
        <v>11</v>
      </c>
      <c r="D29" s="788"/>
      <c r="E29" s="788"/>
      <c r="F29" s="788"/>
      <c r="G29" s="788"/>
      <c r="H29" s="788"/>
      <c r="I29" s="788"/>
      <c r="J29" s="741"/>
      <c r="K29" s="741"/>
    </row>
    <row r="30" spans="1:11">
      <c r="A30" s="741"/>
      <c r="B30" s="743"/>
      <c r="C30" s="788" t="s">
        <v>12</v>
      </c>
      <c r="D30" s="788"/>
      <c r="E30" s="788"/>
      <c r="F30" s="788"/>
      <c r="G30" s="788"/>
      <c r="H30" s="788"/>
      <c r="I30" s="788"/>
      <c r="J30" s="741"/>
      <c r="K30" s="741"/>
    </row>
    <row r="31" spans="1:11">
      <c r="A31" s="741"/>
      <c r="B31" s="743"/>
      <c r="C31" s="788" t="s">
        <v>13</v>
      </c>
      <c r="D31" s="788"/>
      <c r="E31" s="788"/>
      <c r="F31" s="788"/>
      <c r="G31" s="788"/>
      <c r="H31" s="788"/>
      <c r="I31" s="788"/>
      <c r="J31" s="741"/>
      <c r="K31" s="741"/>
    </row>
    <row r="32" spans="1:11">
      <c r="A32" s="741"/>
      <c r="B32" s="743" t="s">
        <v>5</v>
      </c>
      <c r="C32" s="788" t="s">
        <v>14</v>
      </c>
      <c r="D32" s="788"/>
      <c r="E32" s="788"/>
      <c r="F32" s="788"/>
      <c r="G32" s="788"/>
      <c r="H32" s="788"/>
      <c r="I32" s="788"/>
      <c r="J32" s="741"/>
      <c r="K32" s="741"/>
    </row>
    <row r="33" spans="1:11">
      <c r="A33" s="741"/>
      <c r="B33" s="743"/>
      <c r="C33" s="788" t="s">
        <v>15</v>
      </c>
      <c r="D33" s="788"/>
      <c r="E33" s="788"/>
      <c r="F33" s="788"/>
      <c r="G33" s="788"/>
      <c r="H33" s="788"/>
      <c r="I33" s="788"/>
      <c r="J33" s="741"/>
      <c r="K33" s="741"/>
    </row>
    <row r="34" spans="1:11" ht="18" customHeight="1">
      <c r="A34" s="741"/>
      <c r="B34" s="746">
        <v>4</v>
      </c>
      <c r="C34" s="788" t="s">
        <v>16</v>
      </c>
      <c r="D34" s="788"/>
      <c r="E34" s="788"/>
      <c r="F34" s="788"/>
      <c r="G34" s="788"/>
      <c r="H34" s="788"/>
      <c r="I34" s="788"/>
      <c r="J34" s="741"/>
      <c r="K34" s="741"/>
    </row>
    <row r="35" spans="1:11" ht="18" customHeight="1">
      <c r="A35" s="741"/>
      <c r="B35" s="746"/>
      <c r="C35" s="788" t="s">
        <v>17</v>
      </c>
      <c r="D35" s="788"/>
      <c r="E35" s="788"/>
      <c r="F35" s="788"/>
      <c r="G35" s="788"/>
      <c r="H35" s="788"/>
      <c r="I35" s="788"/>
      <c r="J35" s="741"/>
      <c r="K35" s="741"/>
    </row>
    <row r="36" spans="1:11" ht="18" customHeight="1">
      <c r="A36" s="741"/>
      <c r="B36" s="746">
        <v>5</v>
      </c>
      <c r="C36" s="788" t="s">
        <v>6</v>
      </c>
      <c r="D36" s="788"/>
      <c r="E36" s="788"/>
      <c r="F36" s="788"/>
      <c r="G36" s="788"/>
      <c r="H36" s="788"/>
      <c r="I36" s="788"/>
      <c r="J36" s="741"/>
      <c r="K36" s="741"/>
    </row>
    <row r="37" spans="1:11">
      <c r="A37" s="741"/>
      <c r="B37" s="746"/>
      <c r="C37" s="788" t="s">
        <v>8</v>
      </c>
      <c r="D37" s="788"/>
      <c r="E37" s="788"/>
      <c r="F37" s="788"/>
      <c r="G37" s="788"/>
      <c r="H37" s="788"/>
      <c r="I37" s="788"/>
      <c r="J37" s="741"/>
      <c r="K37" s="741"/>
    </row>
    <row r="38" spans="1:11">
      <c r="A38" s="741"/>
      <c r="B38" s="746"/>
      <c r="C38" s="741"/>
      <c r="D38" s="741"/>
      <c r="E38" s="741"/>
      <c r="F38" s="741"/>
      <c r="G38" s="741"/>
      <c r="H38" s="741"/>
      <c r="I38" s="741"/>
      <c r="J38" s="741"/>
      <c r="K38" s="741"/>
    </row>
    <row r="39" spans="1:11">
      <c r="A39" s="741"/>
      <c r="B39" s="746">
        <v>6</v>
      </c>
      <c r="C39" s="741" t="s">
        <v>7</v>
      </c>
      <c r="D39" s="741"/>
      <c r="E39" s="741"/>
      <c r="F39" s="741"/>
      <c r="G39" s="741"/>
      <c r="H39" s="741"/>
      <c r="I39" s="741"/>
      <c r="J39" s="741"/>
      <c r="K39" s="741"/>
    </row>
    <row r="40" spans="1:11">
      <c r="A40" s="741"/>
      <c r="B40" s="747"/>
      <c r="C40" s="741" t="s">
        <v>9</v>
      </c>
      <c r="D40" s="741"/>
      <c r="E40" s="741"/>
      <c r="F40" s="741"/>
      <c r="G40" s="741"/>
      <c r="H40" s="741"/>
      <c r="I40" s="741"/>
      <c r="J40" s="741"/>
      <c r="K40" s="741"/>
    </row>
    <row r="41" spans="1:11">
      <c r="A41" s="741"/>
      <c r="B41" s="747"/>
      <c r="C41" s="788" t="s">
        <v>10</v>
      </c>
      <c r="D41" s="788"/>
      <c r="E41" s="788"/>
      <c r="F41" s="788"/>
      <c r="G41" s="788"/>
      <c r="H41" s="788"/>
      <c r="I41" s="788"/>
      <c r="J41" s="741"/>
      <c r="K41" s="741"/>
    </row>
    <row r="42" spans="1:11">
      <c r="A42" s="741"/>
      <c r="B42" s="747"/>
      <c r="C42" s="788" t="s">
        <v>18</v>
      </c>
      <c r="D42" s="788"/>
      <c r="E42" s="788"/>
      <c r="F42" s="788"/>
      <c r="G42" s="788"/>
      <c r="H42" s="788"/>
      <c r="I42" s="788"/>
      <c r="J42" s="741"/>
      <c r="K42" s="741"/>
    </row>
    <row r="43" spans="1:11" ht="18" customHeight="1">
      <c r="A43" s="741"/>
      <c r="B43" s="747" t="s">
        <v>19</v>
      </c>
      <c r="C43" s="788" t="s">
        <v>20</v>
      </c>
      <c r="D43" s="788"/>
      <c r="E43" s="788"/>
      <c r="F43" s="788"/>
      <c r="G43" s="788"/>
      <c r="H43" s="788"/>
      <c r="I43" s="788"/>
      <c r="J43" s="741"/>
      <c r="K43" s="741"/>
    </row>
    <row r="44" spans="1:11">
      <c r="A44" s="741"/>
      <c r="B44" s="747"/>
      <c r="C44" s="788" t="s">
        <v>25</v>
      </c>
      <c r="D44" s="788"/>
      <c r="E44" s="788"/>
      <c r="F44" s="788"/>
      <c r="G44" s="788"/>
      <c r="H44" s="788"/>
      <c r="I44" s="788"/>
      <c r="J44" s="741"/>
      <c r="K44" s="741"/>
    </row>
    <row r="45" spans="1:11">
      <c r="A45" s="741"/>
      <c r="B45" s="747" t="s">
        <v>22</v>
      </c>
      <c r="C45" s="741" t="s">
        <v>23</v>
      </c>
      <c r="D45" s="741"/>
      <c r="E45" s="741"/>
      <c r="F45" s="741"/>
      <c r="G45" s="741"/>
      <c r="H45" s="741"/>
      <c r="I45" s="741"/>
      <c r="J45" s="741"/>
      <c r="K45" s="741"/>
    </row>
    <row r="46" spans="1:11">
      <c r="A46" s="741"/>
      <c r="B46" s="747"/>
      <c r="C46" s="741" t="s">
        <v>24</v>
      </c>
      <c r="D46" s="741"/>
      <c r="E46" s="741"/>
      <c r="F46" s="741"/>
      <c r="G46" s="741"/>
      <c r="H46" s="741"/>
      <c r="I46" s="741"/>
      <c r="J46" s="741"/>
      <c r="K46" s="741"/>
    </row>
    <row r="47" spans="1:11">
      <c r="A47" s="741"/>
      <c r="B47" s="747"/>
      <c r="C47" s="788" t="s">
        <v>26</v>
      </c>
      <c r="D47" s="788"/>
      <c r="E47" s="788"/>
      <c r="F47" s="788"/>
      <c r="G47" s="788"/>
      <c r="H47" s="788"/>
      <c r="I47" s="788"/>
      <c r="J47" s="741"/>
      <c r="K47" s="741"/>
    </row>
    <row r="48" spans="1:11">
      <c r="A48" s="741"/>
      <c r="B48" s="747"/>
      <c r="C48" s="741" t="s">
        <v>27</v>
      </c>
      <c r="D48" s="741"/>
      <c r="E48" s="741"/>
      <c r="F48" s="741"/>
      <c r="G48" s="741"/>
      <c r="H48" s="741"/>
      <c r="I48" s="741"/>
      <c r="J48" s="741"/>
      <c r="K48" s="741"/>
    </row>
    <row r="49" spans="1:11" ht="18" customHeight="1">
      <c r="A49" s="741"/>
      <c r="B49" s="747" t="s">
        <v>21</v>
      </c>
      <c r="C49" s="788" t="s">
        <v>28</v>
      </c>
      <c r="D49" s="788"/>
      <c r="E49" s="788"/>
      <c r="F49" s="788"/>
      <c r="G49" s="788"/>
      <c r="H49" s="788"/>
      <c r="I49" s="788"/>
      <c r="J49" s="741"/>
      <c r="K49" s="741"/>
    </row>
    <row r="50" spans="1:11">
      <c r="A50" s="741"/>
      <c r="B50" s="747"/>
      <c r="C50" s="788" t="s">
        <v>29</v>
      </c>
      <c r="D50" s="788"/>
      <c r="E50" s="788"/>
      <c r="F50" s="788"/>
      <c r="G50" s="788"/>
      <c r="H50" s="788"/>
      <c r="I50" s="788"/>
      <c r="J50" s="741"/>
      <c r="K50" s="741"/>
    </row>
    <row r="51" spans="1:11">
      <c r="A51" s="741"/>
      <c r="B51" s="747"/>
      <c r="C51" s="788" t="s">
        <v>30</v>
      </c>
      <c r="D51" s="788"/>
      <c r="E51" s="788"/>
      <c r="F51" s="788"/>
      <c r="G51" s="788"/>
      <c r="H51" s="788"/>
      <c r="I51" s="788"/>
      <c r="J51" s="741"/>
      <c r="K51" s="741"/>
    </row>
    <row r="52" spans="1:11">
      <c r="A52" s="741"/>
      <c r="B52" s="747"/>
      <c r="C52" s="788" t="s">
        <v>31</v>
      </c>
      <c r="D52" s="788"/>
      <c r="E52" s="788"/>
      <c r="F52" s="788"/>
      <c r="G52" s="788"/>
      <c r="H52" s="788"/>
      <c r="I52" s="788"/>
      <c r="J52" s="741"/>
      <c r="K52" s="741"/>
    </row>
    <row r="53" spans="1:11" ht="9.75" customHeight="1">
      <c r="A53" s="741"/>
      <c r="B53" s="747"/>
      <c r="C53" s="745"/>
      <c r="D53" s="745"/>
      <c r="E53" s="745"/>
      <c r="F53" s="745"/>
      <c r="G53" s="745"/>
      <c r="H53" s="745"/>
      <c r="I53" s="745"/>
      <c r="J53" s="741"/>
      <c r="K53" s="741"/>
    </row>
    <row r="54" spans="1:11" ht="42" customHeight="1">
      <c r="A54" s="741"/>
      <c r="B54" s="748" t="s">
        <v>647</v>
      </c>
      <c r="C54" s="790" t="s">
        <v>32</v>
      </c>
      <c r="D54" s="790"/>
      <c r="E54" s="790"/>
      <c r="F54" s="790"/>
      <c r="G54" s="790"/>
      <c r="H54" s="790"/>
      <c r="I54" s="790"/>
      <c r="J54" s="741"/>
      <c r="K54" s="741"/>
    </row>
    <row r="55" spans="1:11" ht="12" customHeight="1">
      <c r="A55" s="741"/>
      <c r="B55" s="748"/>
      <c r="C55" s="749"/>
      <c r="D55" s="749"/>
      <c r="E55" s="749"/>
      <c r="F55" s="749"/>
      <c r="G55" s="749"/>
      <c r="H55" s="749"/>
      <c r="I55" s="749"/>
      <c r="J55" s="741"/>
      <c r="K55" s="741"/>
    </row>
    <row r="56" spans="1:11" ht="39.75" customHeight="1">
      <c r="A56" s="741"/>
      <c r="B56" s="748" t="s">
        <v>33</v>
      </c>
      <c r="C56" s="790" t="s">
        <v>32</v>
      </c>
      <c r="D56" s="790"/>
      <c r="E56" s="790"/>
      <c r="F56" s="790"/>
      <c r="G56" s="790"/>
      <c r="H56" s="790"/>
      <c r="I56" s="790"/>
      <c r="J56" s="741"/>
      <c r="K56" s="741"/>
    </row>
    <row r="57" spans="1:11" ht="12" customHeight="1">
      <c r="A57" s="741"/>
      <c r="B57" s="748"/>
      <c r="C57" s="749"/>
      <c r="D57" s="749"/>
      <c r="E57" s="749"/>
      <c r="F57" s="749"/>
      <c r="G57" s="749"/>
      <c r="H57" s="749"/>
      <c r="I57" s="749"/>
      <c r="J57" s="741"/>
      <c r="K57" s="741"/>
    </row>
    <row r="58" spans="1:11">
      <c r="A58" s="741"/>
      <c r="B58" s="747" t="s">
        <v>34</v>
      </c>
      <c r="C58" s="790" t="s">
        <v>35</v>
      </c>
      <c r="D58" s="790"/>
      <c r="E58" s="790"/>
      <c r="F58" s="790"/>
      <c r="G58" s="790"/>
      <c r="H58" s="790"/>
      <c r="I58" s="790"/>
      <c r="J58" s="741"/>
      <c r="K58" s="741"/>
    </row>
    <row r="59" spans="1:11">
      <c r="A59" s="741"/>
      <c r="B59" s="747"/>
      <c r="C59" s="741" t="s">
        <v>36</v>
      </c>
      <c r="D59" s="741"/>
      <c r="E59" s="741"/>
      <c r="F59" s="741"/>
      <c r="G59" s="741"/>
      <c r="H59" s="741"/>
      <c r="I59" s="741"/>
      <c r="J59" s="741"/>
      <c r="K59" s="741"/>
    </row>
    <row r="60" spans="1:11" ht="8.25" customHeight="1">
      <c r="A60" s="741"/>
      <c r="B60" s="747"/>
      <c r="C60" s="741"/>
      <c r="D60" s="741"/>
      <c r="E60" s="741"/>
      <c r="F60" s="741"/>
      <c r="G60" s="741"/>
      <c r="H60" s="741"/>
      <c r="I60" s="741"/>
      <c r="J60" s="741"/>
      <c r="K60" s="741"/>
    </row>
    <row r="61" spans="1:11" ht="56.25" customHeight="1">
      <c r="A61" s="741"/>
      <c r="B61" s="748" t="s">
        <v>37</v>
      </c>
      <c r="C61" s="790" t="s">
        <v>38</v>
      </c>
      <c r="D61" s="790"/>
      <c r="E61" s="790"/>
      <c r="F61" s="790"/>
      <c r="G61" s="790"/>
      <c r="H61" s="790"/>
      <c r="I61" s="790"/>
      <c r="J61" s="741"/>
      <c r="K61" s="741"/>
    </row>
    <row r="62" spans="1:11">
      <c r="A62" s="741"/>
      <c r="B62" s="747"/>
      <c r="C62" s="741"/>
      <c r="D62" s="741"/>
      <c r="E62" s="741"/>
      <c r="F62" s="741"/>
      <c r="G62" s="741"/>
      <c r="H62" s="741"/>
      <c r="I62" s="741"/>
      <c r="J62" s="741"/>
      <c r="K62" s="741"/>
    </row>
    <row r="63" spans="1:11" ht="25.5" customHeight="1">
      <c r="A63" s="741"/>
      <c r="B63" s="748" t="s">
        <v>39</v>
      </c>
      <c r="C63" s="790" t="s">
        <v>40</v>
      </c>
      <c r="D63" s="790"/>
      <c r="E63" s="790"/>
      <c r="F63" s="790"/>
      <c r="G63" s="790"/>
      <c r="H63" s="790"/>
      <c r="I63" s="790"/>
      <c r="J63" s="741"/>
      <c r="K63" s="741"/>
    </row>
    <row r="64" spans="1:11" ht="12" customHeight="1">
      <c r="A64" s="741"/>
      <c r="B64" s="748"/>
      <c r="C64" s="749"/>
      <c r="D64" s="749"/>
      <c r="E64" s="749"/>
      <c r="F64" s="749"/>
      <c r="G64" s="749"/>
      <c r="H64" s="749"/>
      <c r="I64" s="749"/>
      <c r="J64" s="741"/>
      <c r="K64" s="741"/>
    </row>
    <row r="65" spans="1:11" ht="42" customHeight="1">
      <c r="A65" s="741"/>
      <c r="B65" s="748" t="s">
        <v>41</v>
      </c>
      <c r="C65" s="790" t="s">
        <v>42</v>
      </c>
      <c r="D65" s="790"/>
      <c r="E65" s="790"/>
      <c r="F65" s="790"/>
      <c r="G65" s="790"/>
      <c r="H65" s="790"/>
      <c r="I65" s="790"/>
      <c r="J65" s="741"/>
      <c r="K65" s="741"/>
    </row>
    <row r="66" spans="1:11">
      <c r="A66" s="741"/>
      <c r="B66" s="747"/>
      <c r="C66" s="741"/>
      <c r="D66" s="741"/>
      <c r="E66" s="741"/>
      <c r="F66" s="741"/>
      <c r="G66" s="741"/>
      <c r="H66" s="741"/>
      <c r="I66" s="741"/>
      <c r="J66" s="741"/>
      <c r="K66" s="741"/>
    </row>
    <row r="67" spans="1:11" ht="39.75" customHeight="1">
      <c r="A67" s="741"/>
      <c r="B67" s="748" t="s">
        <v>43</v>
      </c>
      <c r="C67" s="790" t="s">
        <v>44</v>
      </c>
      <c r="D67" s="790"/>
      <c r="E67" s="790"/>
      <c r="F67" s="790"/>
      <c r="G67" s="790"/>
      <c r="H67" s="790"/>
      <c r="I67" s="790"/>
      <c r="J67" s="741"/>
      <c r="K67" s="741"/>
    </row>
    <row r="68" spans="1:11">
      <c r="A68" s="741"/>
      <c r="B68" s="747"/>
      <c r="C68" s="741"/>
      <c r="D68" s="741"/>
      <c r="E68" s="741"/>
      <c r="F68" s="741"/>
      <c r="G68" s="741"/>
      <c r="H68" s="741"/>
      <c r="I68" s="741"/>
      <c r="J68" s="741"/>
      <c r="K68" s="741"/>
    </row>
    <row r="69" spans="1:11" ht="41.25" customHeight="1">
      <c r="A69" s="741"/>
      <c r="B69" s="748" t="s">
        <v>45</v>
      </c>
      <c r="C69" s="790" t="s">
        <v>47</v>
      </c>
      <c r="D69" s="790"/>
      <c r="E69" s="790"/>
      <c r="F69" s="790"/>
      <c r="G69" s="790"/>
      <c r="H69" s="790"/>
      <c r="I69" s="790"/>
      <c r="J69" s="741"/>
      <c r="K69" s="741"/>
    </row>
    <row r="70" spans="1:11" ht="12" customHeight="1">
      <c r="A70" s="741"/>
      <c r="B70" s="748"/>
      <c r="C70" s="749"/>
      <c r="D70" s="749"/>
      <c r="E70" s="749"/>
      <c r="F70" s="749"/>
      <c r="G70" s="749"/>
      <c r="H70" s="749"/>
      <c r="I70" s="749"/>
      <c r="J70" s="741"/>
      <c r="K70" s="741"/>
    </row>
    <row r="71" spans="1:11" ht="26.25" customHeight="1">
      <c r="A71" s="741"/>
      <c r="B71" s="748" t="s">
        <v>49</v>
      </c>
      <c r="C71" s="790" t="s">
        <v>54</v>
      </c>
      <c r="D71" s="790"/>
      <c r="E71" s="790"/>
      <c r="F71" s="790"/>
      <c r="G71" s="790"/>
      <c r="H71" s="790"/>
      <c r="I71" s="790"/>
      <c r="J71" s="741"/>
      <c r="K71" s="741"/>
    </row>
    <row r="72" spans="1:11" ht="15" customHeight="1">
      <c r="A72" s="741"/>
      <c r="B72" s="748"/>
      <c r="C72" s="749"/>
      <c r="D72" s="749"/>
      <c r="E72" s="749"/>
      <c r="F72" s="749"/>
      <c r="G72" s="749"/>
      <c r="H72" s="749"/>
      <c r="I72" s="749"/>
      <c r="J72" s="741"/>
      <c r="K72" s="741"/>
    </row>
    <row r="73" spans="1:11" ht="24" customHeight="1">
      <c r="A73" s="741"/>
      <c r="B73" s="748" t="s">
        <v>53</v>
      </c>
      <c r="C73" s="790" t="s">
        <v>55</v>
      </c>
      <c r="D73" s="790"/>
      <c r="E73" s="790"/>
      <c r="F73" s="790"/>
      <c r="G73" s="790"/>
      <c r="H73" s="790"/>
      <c r="I73" s="790"/>
      <c r="J73" s="741"/>
      <c r="K73" s="741"/>
    </row>
    <row r="74" spans="1:11">
      <c r="A74" s="741"/>
      <c r="B74" s="747"/>
      <c r="C74" s="741"/>
      <c r="D74" s="741"/>
      <c r="E74" s="741"/>
      <c r="F74" s="741"/>
      <c r="G74" s="741"/>
      <c r="H74" s="741"/>
      <c r="I74" s="741"/>
      <c r="J74" s="741"/>
      <c r="K74" s="741"/>
    </row>
    <row r="75" spans="1:11">
      <c r="A75" s="741"/>
      <c r="B75" s="747">
        <v>19</v>
      </c>
      <c r="C75" s="788" t="s">
        <v>51</v>
      </c>
      <c r="D75" s="788"/>
      <c r="E75" s="788"/>
      <c r="F75" s="788"/>
      <c r="G75" s="788"/>
      <c r="H75" s="788"/>
      <c r="I75" s="788"/>
      <c r="J75" s="741"/>
      <c r="K75" s="741"/>
    </row>
    <row r="76" spans="1:11">
      <c r="A76" s="741"/>
      <c r="B76" s="747"/>
      <c r="C76" s="788" t="s">
        <v>52</v>
      </c>
      <c r="D76" s="788"/>
      <c r="E76" s="788"/>
      <c r="F76" s="788"/>
      <c r="G76" s="788"/>
      <c r="H76" s="788"/>
      <c r="I76" s="788"/>
      <c r="J76" s="741"/>
      <c r="K76" s="741"/>
    </row>
    <row r="77" spans="1:11">
      <c r="A77" s="741"/>
      <c r="B77" s="747"/>
      <c r="C77" s="741"/>
      <c r="D77" s="741"/>
      <c r="E77" s="741"/>
      <c r="F77" s="741"/>
      <c r="G77" s="741"/>
      <c r="H77" s="741"/>
      <c r="I77" s="741"/>
      <c r="J77" s="741"/>
      <c r="K77" s="741"/>
    </row>
    <row r="78" spans="1:11">
      <c r="A78" s="741"/>
      <c r="B78" s="750"/>
      <c r="C78" s="741"/>
      <c r="D78" s="741"/>
      <c r="E78" s="741"/>
      <c r="F78" s="741"/>
      <c r="G78" s="741"/>
      <c r="H78" s="741"/>
      <c r="I78" s="741"/>
      <c r="J78" s="741"/>
      <c r="K78" s="741"/>
    </row>
  </sheetData>
  <mergeCells count="39">
    <mergeCell ref="B5:J5"/>
    <mergeCell ref="B6:J6"/>
    <mergeCell ref="C18:I18"/>
    <mergeCell ref="C65:I65"/>
    <mergeCell ref="C58:I58"/>
    <mergeCell ref="C61:I61"/>
    <mergeCell ref="C63:I63"/>
    <mergeCell ref="C43:I43"/>
    <mergeCell ref="C44:I44"/>
    <mergeCell ref="C47:I47"/>
    <mergeCell ref="C76:I76"/>
    <mergeCell ref="C51:I51"/>
    <mergeCell ref="C52:I52"/>
    <mergeCell ref="C56:I56"/>
    <mergeCell ref="C54:I54"/>
    <mergeCell ref="C67:I67"/>
    <mergeCell ref="C69:I69"/>
    <mergeCell ref="C75:I75"/>
    <mergeCell ref="C71:I71"/>
    <mergeCell ref="C73:I73"/>
    <mergeCell ref="C50:I50"/>
    <mergeCell ref="C49:I49"/>
    <mergeCell ref="C42:I42"/>
    <mergeCell ref="C26:I26"/>
    <mergeCell ref="C27:I27"/>
    <mergeCell ref="C28:I28"/>
    <mergeCell ref="C32:I32"/>
    <mergeCell ref="C33:I33"/>
    <mergeCell ref="C35:I35"/>
    <mergeCell ref="C36:I36"/>
    <mergeCell ref="C41:I41"/>
    <mergeCell ref="C13:I13"/>
    <mergeCell ref="C14:I14"/>
    <mergeCell ref="C24:I24"/>
    <mergeCell ref="C29:I29"/>
    <mergeCell ref="C37:I37"/>
    <mergeCell ref="C30:I30"/>
    <mergeCell ref="C31:I31"/>
    <mergeCell ref="C34:I34"/>
  </mergeCells>
  <phoneticPr fontId="8"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sheetPr codeName="Hoja3"/>
  <dimension ref="A1:E136"/>
  <sheetViews>
    <sheetView showGridLines="0" topLeftCell="A119" workbookViewId="0">
      <selection activeCell="D132" sqref="D132"/>
    </sheetView>
  </sheetViews>
  <sheetFormatPr baseColWidth="10" defaultRowHeight="12.75"/>
  <cols>
    <col min="1" max="1" width="28.5703125" style="9" customWidth="1"/>
    <col min="2" max="2" width="48.85546875" style="9" customWidth="1"/>
    <col min="3" max="3" width="14.5703125" style="9" customWidth="1"/>
    <col min="4" max="4" width="26.7109375" style="9" customWidth="1"/>
    <col min="5" max="16384" width="11.42578125" style="9"/>
  </cols>
  <sheetData>
    <row r="1" spans="1:5">
      <c r="A1" s="52"/>
      <c r="B1" s="53"/>
      <c r="C1" s="53"/>
      <c r="D1" s="54"/>
    </row>
    <row r="2" spans="1:5">
      <c r="A2" s="55"/>
      <c r="B2" s="45"/>
      <c r="C2" s="45"/>
      <c r="D2" s="56"/>
    </row>
    <row r="3" spans="1:5">
      <c r="A3" s="55"/>
      <c r="B3" s="45"/>
      <c r="C3" s="45"/>
      <c r="D3" s="56"/>
    </row>
    <row r="4" spans="1:5">
      <c r="A4" s="55"/>
      <c r="B4" s="45"/>
      <c r="C4" s="45"/>
      <c r="D4" s="56"/>
    </row>
    <row r="5" spans="1:5" ht="18">
      <c r="A5" s="55"/>
      <c r="B5" s="315" t="s">
        <v>331</v>
      </c>
      <c r="C5" s="45"/>
      <c r="D5" s="56"/>
      <c r="E5" s="44"/>
    </row>
    <row r="6" spans="1:5">
      <c r="A6" s="55"/>
      <c r="B6" s="45"/>
      <c r="C6" s="45"/>
      <c r="D6" s="56"/>
    </row>
    <row r="7" spans="1:5">
      <c r="A7" s="55"/>
      <c r="B7" s="45"/>
      <c r="C7" s="45"/>
      <c r="D7" s="56"/>
    </row>
    <row r="8" spans="1:5">
      <c r="A8" s="718" t="s">
        <v>637</v>
      </c>
      <c r="B8" s="45"/>
      <c r="C8" s="45"/>
      <c r="D8" s="56"/>
    </row>
    <row r="9" spans="1:5">
      <c r="A9" s="800" t="s">
        <v>394</v>
      </c>
      <c r="B9" s="801"/>
      <c r="C9" s="801"/>
      <c r="D9" s="802"/>
    </row>
    <row r="10" spans="1:5">
      <c r="A10" s="800" t="s">
        <v>526</v>
      </c>
      <c r="B10" s="801"/>
      <c r="C10" s="801"/>
      <c r="D10" s="802"/>
    </row>
    <row r="11" spans="1:5">
      <c r="A11" s="800" t="s">
        <v>527</v>
      </c>
      <c r="B11" s="801"/>
      <c r="C11" s="716"/>
      <c r="D11" s="717"/>
    </row>
    <row r="12" spans="1:5">
      <c r="A12" s="55"/>
      <c r="B12" s="45"/>
      <c r="C12" s="45"/>
      <c r="D12" s="56"/>
    </row>
    <row r="13" spans="1:5">
      <c r="A13" s="55"/>
      <c r="B13" s="45"/>
      <c r="C13" s="45"/>
      <c r="D13" s="56"/>
    </row>
    <row r="14" spans="1:5" ht="13.5" thickBot="1">
      <c r="A14" s="45"/>
      <c r="B14" s="45"/>
      <c r="C14" s="45"/>
      <c r="D14" s="56"/>
    </row>
    <row r="15" spans="1:5" ht="16.5" thickBot="1">
      <c r="A15" s="316" t="s">
        <v>180</v>
      </c>
      <c r="B15" s="317" t="s">
        <v>181</v>
      </c>
      <c r="C15" s="317" t="s">
        <v>335</v>
      </c>
      <c r="D15" s="318" t="s">
        <v>334</v>
      </c>
    </row>
    <row r="16" spans="1:5" ht="13.5" thickTop="1">
      <c r="A16" s="65"/>
      <c r="B16" s="4"/>
      <c r="C16" s="60"/>
      <c r="D16" s="69"/>
    </row>
    <row r="17" spans="1:4">
      <c r="A17" s="65"/>
      <c r="B17" s="4"/>
      <c r="C17" s="60"/>
      <c r="D17" s="69"/>
    </row>
    <row r="18" spans="1:4">
      <c r="A18" s="84"/>
      <c r="B18" s="4"/>
      <c r="C18" s="60"/>
      <c r="D18" s="69"/>
    </row>
    <row r="19" spans="1:4" ht="13.5" thickBot="1">
      <c r="A19" s="85" t="s">
        <v>351</v>
      </c>
      <c r="B19" s="4"/>
      <c r="C19" s="60"/>
      <c r="D19" s="89" t="s">
        <v>373</v>
      </c>
    </row>
    <row r="20" spans="1:4" ht="13.5" thickTop="1">
      <c r="A20" s="65"/>
      <c r="B20" s="4"/>
      <c r="C20" s="60"/>
      <c r="D20" s="69"/>
    </row>
    <row r="21" spans="1:4">
      <c r="A21" s="65"/>
      <c r="B21" s="4" t="s">
        <v>640</v>
      </c>
      <c r="C21" s="59">
        <v>2005</v>
      </c>
      <c r="D21" s="88">
        <v>9.5000000000000001E-2</v>
      </c>
    </row>
    <row r="22" spans="1:4">
      <c r="A22" s="65"/>
      <c r="B22" s="4" t="s">
        <v>332</v>
      </c>
      <c r="C22" s="59">
        <v>2006</v>
      </c>
      <c r="D22" s="88">
        <v>0.09</v>
      </c>
    </row>
    <row r="23" spans="1:4">
      <c r="A23" s="66" t="s">
        <v>337</v>
      </c>
      <c r="B23" s="4" t="s">
        <v>333</v>
      </c>
      <c r="C23" s="59">
        <v>2007</v>
      </c>
      <c r="D23" s="88">
        <v>0.09</v>
      </c>
    </row>
    <row r="24" spans="1:4">
      <c r="A24" s="84"/>
      <c r="C24" s="59">
        <v>2008</v>
      </c>
      <c r="D24" s="88">
        <v>0.09</v>
      </c>
    </row>
    <row r="25" spans="1:4">
      <c r="A25" s="84"/>
      <c r="C25" s="59">
        <v>2009</v>
      </c>
      <c r="D25" s="88">
        <v>0.09</v>
      </c>
    </row>
    <row r="26" spans="1:4">
      <c r="A26" s="84"/>
      <c r="B26" s="5"/>
      <c r="C26" s="60"/>
      <c r="D26" s="69"/>
    </row>
    <row r="27" spans="1:4">
      <c r="A27" s="84"/>
      <c r="B27" s="4" t="s">
        <v>638</v>
      </c>
      <c r="C27" s="60"/>
      <c r="D27" s="549" t="s">
        <v>480</v>
      </c>
    </row>
    <row r="28" spans="1:4" ht="13.5" thickBot="1">
      <c r="A28" s="85" t="s">
        <v>217</v>
      </c>
      <c r="B28" s="46"/>
      <c r="C28" s="60"/>
      <c r="D28" s="600"/>
    </row>
    <row r="29" spans="1:4" ht="13.5" thickTop="1">
      <c r="A29" s="65"/>
      <c r="B29" s="4"/>
      <c r="C29" s="599"/>
      <c r="D29" s="90"/>
    </row>
    <row r="30" spans="1:4">
      <c r="A30" s="65"/>
      <c r="B30" s="3"/>
      <c r="C30" s="6"/>
      <c r="D30" s="90"/>
    </row>
    <row r="31" spans="1:4">
      <c r="A31" s="66" t="s">
        <v>336</v>
      </c>
      <c r="B31" s="3" t="s">
        <v>641</v>
      </c>
      <c r="C31" s="6"/>
      <c r="D31" s="90"/>
    </row>
    <row r="32" spans="1:4">
      <c r="A32" s="68"/>
      <c r="B32" s="3" t="s">
        <v>644</v>
      </c>
      <c r="C32" s="59"/>
      <c r="D32" s="549" t="s">
        <v>480</v>
      </c>
    </row>
    <row r="33" spans="1:4">
      <c r="A33" s="68"/>
      <c r="B33" s="3" t="s">
        <v>643</v>
      </c>
      <c r="C33" s="6"/>
      <c r="D33" s="90"/>
    </row>
    <row r="34" spans="1:4">
      <c r="A34" s="65"/>
      <c r="B34" s="3" t="s">
        <v>642</v>
      </c>
      <c r="C34" s="59"/>
      <c r="D34" s="69"/>
    </row>
    <row r="35" spans="1:4">
      <c r="A35" s="65"/>
      <c r="B35" s="3"/>
      <c r="C35" s="60"/>
      <c r="D35" s="69"/>
    </row>
    <row r="36" spans="1:4">
      <c r="A36" s="65"/>
      <c r="B36" s="3"/>
      <c r="C36" s="60"/>
      <c r="D36" s="69"/>
    </row>
    <row r="37" spans="1:4">
      <c r="A37" s="65"/>
      <c r="B37" s="4"/>
      <c r="C37" s="60"/>
      <c r="D37" s="69"/>
    </row>
    <row r="38" spans="1:4">
      <c r="A38" s="65"/>
      <c r="B38" s="4"/>
      <c r="C38" s="797" t="s">
        <v>350</v>
      </c>
      <c r="D38" s="799"/>
    </row>
    <row r="39" spans="1:4">
      <c r="A39" s="68" t="s">
        <v>338</v>
      </c>
      <c r="B39" s="4" t="s">
        <v>340</v>
      </c>
      <c r="C39" s="47">
        <v>2005</v>
      </c>
      <c r="D39" s="99">
        <v>1.89E-2</v>
      </c>
    </row>
    <row r="40" spans="1:4">
      <c r="A40" s="66" t="s">
        <v>339</v>
      </c>
      <c r="B40" s="4" t="s">
        <v>341</v>
      </c>
      <c r="C40" s="47">
        <v>2006</v>
      </c>
      <c r="D40" s="99">
        <v>2.0500000000000001E-2</v>
      </c>
    </row>
    <row r="41" spans="1:4">
      <c r="A41" s="65"/>
      <c r="B41" s="4" t="s">
        <v>342</v>
      </c>
      <c r="C41" s="47">
        <v>2007</v>
      </c>
      <c r="D41" s="99">
        <v>2.1499999999999998E-2</v>
      </c>
    </row>
    <row r="42" spans="1:4">
      <c r="A42" s="65"/>
      <c r="B42" s="4"/>
      <c r="C42" s="47">
        <v>2008</v>
      </c>
      <c r="D42" s="99">
        <v>2.23E-2</v>
      </c>
    </row>
    <row r="43" spans="1:4">
      <c r="A43" s="65"/>
      <c r="B43" s="4"/>
      <c r="C43" s="47">
        <v>2009</v>
      </c>
      <c r="D43" s="99">
        <v>2.3199999999999998E-2</v>
      </c>
    </row>
    <row r="44" spans="1:4">
      <c r="A44" s="65"/>
      <c r="B44" s="4"/>
      <c r="C44" s="40"/>
      <c r="D44" s="69"/>
    </row>
    <row r="45" spans="1:4">
      <c r="A45" s="65"/>
      <c r="B45" s="4"/>
      <c r="C45" s="40"/>
      <c r="D45" s="69"/>
    </row>
    <row r="46" spans="1:4">
      <c r="A46" s="65"/>
      <c r="B46" s="4"/>
      <c r="C46" s="797" t="s">
        <v>193</v>
      </c>
      <c r="D46" s="798"/>
    </row>
    <row r="47" spans="1:4">
      <c r="A47" s="66" t="s">
        <v>343</v>
      </c>
      <c r="B47" s="4" t="s">
        <v>344</v>
      </c>
      <c r="C47" s="47">
        <v>2005</v>
      </c>
      <c r="D47" s="99">
        <v>3.6700000000000003E-2</v>
      </c>
    </row>
    <row r="48" spans="1:4">
      <c r="A48" s="65"/>
      <c r="B48" s="4" t="s">
        <v>345</v>
      </c>
      <c r="C48" s="47">
        <v>2006</v>
      </c>
      <c r="D48" s="99">
        <v>3.7825999999999999E-2</v>
      </c>
    </row>
    <row r="49" spans="1:4">
      <c r="A49" s="65"/>
      <c r="B49" s="4" t="s">
        <v>349</v>
      </c>
      <c r="C49" s="47">
        <v>2007</v>
      </c>
      <c r="D49" s="99">
        <v>3.8600000000000002E-2</v>
      </c>
    </row>
    <row r="50" spans="1:4">
      <c r="A50" s="65"/>
      <c r="B50" s="4"/>
      <c r="C50" s="47">
        <v>2008</v>
      </c>
      <c r="D50" s="99">
        <v>3.8800000000000001E-2</v>
      </c>
    </row>
    <row r="51" spans="1:4">
      <c r="A51" s="65"/>
      <c r="B51" s="4"/>
      <c r="C51" s="47">
        <v>2009</v>
      </c>
      <c r="D51" s="99">
        <v>4.02E-2</v>
      </c>
    </row>
    <row r="52" spans="1:4">
      <c r="A52" s="65"/>
      <c r="B52" s="4"/>
      <c r="C52" s="40"/>
      <c r="D52" s="69"/>
    </row>
    <row r="53" spans="1:4">
      <c r="A53" s="66"/>
      <c r="B53" s="4"/>
      <c r="C53" s="40"/>
      <c r="D53" s="69"/>
    </row>
    <row r="54" spans="1:4">
      <c r="A54" s="66"/>
      <c r="B54" s="4"/>
      <c r="C54" s="797" t="s">
        <v>290</v>
      </c>
      <c r="D54" s="798"/>
    </row>
    <row r="55" spans="1:4">
      <c r="A55" s="66" t="s">
        <v>346</v>
      </c>
      <c r="B55" s="4" t="s">
        <v>348</v>
      </c>
      <c r="C55" s="47">
        <v>2005</v>
      </c>
      <c r="D55" s="88">
        <v>1.2500000000000001E-2</v>
      </c>
    </row>
    <row r="56" spans="1:4">
      <c r="A56" s="66" t="s">
        <v>347</v>
      </c>
      <c r="B56" s="4" t="s">
        <v>581</v>
      </c>
      <c r="C56" s="47">
        <v>2006</v>
      </c>
      <c r="D56" s="88">
        <v>1.35E-2</v>
      </c>
    </row>
    <row r="57" spans="1:4">
      <c r="A57" s="65"/>
      <c r="B57" s="4"/>
      <c r="C57" s="47">
        <v>2007</v>
      </c>
      <c r="D57" s="88">
        <v>1.46E-2</v>
      </c>
    </row>
    <row r="58" spans="1:4">
      <c r="A58" s="65"/>
      <c r="B58" s="4"/>
      <c r="C58" s="47">
        <v>2008</v>
      </c>
      <c r="D58" s="88">
        <v>1.55E-2</v>
      </c>
    </row>
    <row r="59" spans="1:4">
      <c r="A59" s="65"/>
      <c r="B59" s="4"/>
      <c r="C59" s="47">
        <v>2009</v>
      </c>
      <c r="D59" s="88">
        <v>1.5900000000000001E-2</v>
      </c>
    </row>
    <row r="60" spans="1:4">
      <c r="A60" s="65"/>
      <c r="B60" s="4"/>
      <c r="C60" s="40"/>
      <c r="D60" s="69"/>
    </row>
    <row r="61" spans="1:4">
      <c r="A61" s="65"/>
      <c r="B61" s="4"/>
      <c r="C61" s="40"/>
      <c r="D61" s="69"/>
    </row>
    <row r="62" spans="1:4" ht="13.5" thickBot="1">
      <c r="A62" s="86" t="s">
        <v>113</v>
      </c>
      <c r="C62" s="40"/>
      <c r="D62" s="69"/>
    </row>
    <row r="63" spans="1:4" ht="13.5" thickTop="1">
      <c r="A63" s="601"/>
      <c r="C63" s="60"/>
      <c r="D63" s="549" t="s">
        <v>480</v>
      </c>
    </row>
    <row r="64" spans="1:4">
      <c r="A64" s="65"/>
      <c r="B64" s="4" t="s">
        <v>352</v>
      </c>
      <c r="C64" s="59">
        <v>2005</v>
      </c>
      <c r="D64" s="88">
        <v>8.5999999999999993E-2</v>
      </c>
    </row>
    <row r="65" spans="1:4">
      <c r="A65" s="65"/>
      <c r="B65" s="4" t="s">
        <v>353</v>
      </c>
      <c r="C65" s="59">
        <v>2006</v>
      </c>
      <c r="D65" s="88">
        <v>8.6999999999999994E-2</v>
      </c>
    </row>
    <row r="66" spans="1:4">
      <c r="A66" s="65"/>
      <c r="B66" s="4" t="s">
        <v>354</v>
      </c>
      <c r="C66" s="59">
        <v>2007</v>
      </c>
      <c r="D66" s="88">
        <v>8.7599999999999997E-2</v>
      </c>
    </row>
    <row r="67" spans="1:4">
      <c r="A67" s="65"/>
      <c r="B67" s="4" t="s">
        <v>355</v>
      </c>
      <c r="C67" s="59">
        <v>2008</v>
      </c>
      <c r="D67" s="88">
        <v>8.8599999999999998E-2</v>
      </c>
    </row>
    <row r="68" spans="1:4">
      <c r="A68" s="84"/>
      <c r="B68" s="5" t="s">
        <v>643</v>
      </c>
      <c r="C68" s="59">
        <v>2009</v>
      </c>
      <c r="D68" s="88">
        <v>8.9599999999999999E-2</v>
      </c>
    </row>
    <row r="69" spans="1:4">
      <c r="A69" s="65"/>
      <c r="B69" s="57" t="s">
        <v>642</v>
      </c>
      <c r="C69" s="62"/>
      <c r="D69" s="93"/>
    </row>
    <row r="70" spans="1:4" ht="13.5" thickBot="1">
      <c r="A70" s="85" t="s">
        <v>356</v>
      </c>
      <c r="B70" s="4"/>
      <c r="C70" s="60"/>
      <c r="D70" s="89" t="s">
        <v>372</v>
      </c>
    </row>
    <row r="71" spans="1:4" ht="13.5" thickTop="1">
      <c r="A71" s="66"/>
      <c r="B71" s="3"/>
      <c r="C71" s="59"/>
      <c r="D71" s="92"/>
    </row>
    <row r="72" spans="1:4">
      <c r="A72" s="66"/>
      <c r="B72" s="58" t="s">
        <v>615</v>
      </c>
      <c r="C72" s="61" t="s">
        <v>361</v>
      </c>
      <c r="D72" s="88">
        <v>0.06</v>
      </c>
    </row>
    <row r="73" spans="1:4">
      <c r="A73" s="68"/>
      <c r="B73" s="3"/>
      <c r="C73" s="59"/>
      <c r="D73" s="92"/>
    </row>
    <row r="74" spans="1:4">
      <c r="A74" s="65"/>
      <c r="B74" s="50" t="s">
        <v>357</v>
      </c>
      <c r="C74" s="59" t="s">
        <v>361</v>
      </c>
      <c r="D74" s="92">
        <v>-0.2</v>
      </c>
    </row>
    <row r="75" spans="1:4">
      <c r="A75" s="65"/>
      <c r="B75" s="57"/>
      <c r="C75" s="61"/>
      <c r="D75" s="91"/>
    </row>
    <row r="76" spans="1:4">
      <c r="A76" s="65"/>
      <c r="B76" s="51" t="s">
        <v>228</v>
      </c>
      <c r="C76" s="60"/>
      <c r="D76" s="92"/>
    </row>
    <row r="77" spans="1:4">
      <c r="A77" s="65"/>
      <c r="B77" s="4" t="s">
        <v>616</v>
      </c>
      <c r="C77" s="59"/>
      <c r="D77" s="88">
        <v>8.2500000000000004E-2</v>
      </c>
    </row>
    <row r="78" spans="1:4">
      <c r="A78" s="65"/>
      <c r="B78" s="4" t="s">
        <v>613</v>
      </c>
      <c r="C78" s="59"/>
      <c r="D78" s="91">
        <v>0.04</v>
      </c>
    </row>
    <row r="79" spans="1:4">
      <c r="A79" s="65"/>
      <c r="B79" s="4" t="s">
        <v>614</v>
      </c>
      <c r="C79" s="59"/>
      <c r="D79" s="92">
        <v>0.03</v>
      </c>
    </row>
    <row r="80" spans="1:4">
      <c r="A80" s="84"/>
      <c r="B80" s="57"/>
      <c r="C80" s="61"/>
      <c r="D80" s="92"/>
    </row>
    <row r="81" spans="1:4">
      <c r="A81" s="67" t="s">
        <v>525</v>
      </c>
      <c r="B81" s="51" t="s">
        <v>359</v>
      </c>
      <c r="C81" s="59"/>
      <c r="D81" s="94"/>
    </row>
    <row r="82" spans="1:4">
      <c r="A82" s="66" t="s">
        <v>582</v>
      </c>
      <c r="B82" s="4" t="s">
        <v>365</v>
      </c>
      <c r="C82" s="59" t="s">
        <v>364</v>
      </c>
      <c r="D82" s="92">
        <v>0.03</v>
      </c>
    </row>
    <row r="83" spans="1:4">
      <c r="A83" s="66"/>
      <c r="B83" s="4"/>
      <c r="C83" s="59">
        <v>2009</v>
      </c>
      <c r="D83" s="92">
        <v>0.02</v>
      </c>
    </row>
    <row r="84" spans="1:4">
      <c r="A84" s="65"/>
      <c r="B84" s="4"/>
      <c r="C84" s="59"/>
      <c r="D84" s="92"/>
    </row>
    <row r="85" spans="1:4">
      <c r="A85" s="65"/>
      <c r="B85" s="4" t="s">
        <v>366</v>
      </c>
      <c r="C85" s="59">
        <v>2005</v>
      </c>
      <c r="D85" s="92">
        <v>-0.28000000000000003</v>
      </c>
    </row>
    <row r="86" spans="1:4">
      <c r="A86" s="65"/>
      <c r="B86" s="4"/>
      <c r="C86" s="59" t="s">
        <v>363</v>
      </c>
      <c r="D86" s="92">
        <v>0.3</v>
      </c>
    </row>
    <row r="87" spans="1:4">
      <c r="A87" s="65"/>
      <c r="B87" s="4"/>
      <c r="C87" s="59">
        <v>2009</v>
      </c>
      <c r="D87" s="92">
        <v>-0.1</v>
      </c>
    </row>
    <row r="88" spans="1:4">
      <c r="A88" s="65"/>
      <c r="B88" s="4"/>
      <c r="C88" s="59"/>
      <c r="D88" s="92"/>
    </row>
    <row r="89" spans="1:4">
      <c r="A89" s="65"/>
      <c r="B89" s="4" t="s">
        <v>367</v>
      </c>
      <c r="C89" s="59">
        <v>2005</v>
      </c>
      <c r="D89" s="92">
        <v>-0.28000000000000003</v>
      </c>
    </row>
    <row r="90" spans="1:4">
      <c r="A90" s="65"/>
      <c r="B90" s="4"/>
      <c r="C90" s="59" t="s">
        <v>363</v>
      </c>
      <c r="D90" s="92">
        <v>0.1</v>
      </c>
    </row>
    <row r="91" spans="1:4">
      <c r="A91" s="65"/>
      <c r="B91" s="4"/>
      <c r="C91" s="59">
        <v>2009</v>
      </c>
      <c r="D91" s="92">
        <v>0.03</v>
      </c>
    </row>
    <row r="92" spans="1:4">
      <c r="A92" s="65"/>
      <c r="B92" s="4"/>
      <c r="C92" s="60"/>
      <c r="D92" s="92"/>
    </row>
    <row r="93" spans="1:4">
      <c r="A93" s="65"/>
      <c r="B93" s="4" t="s">
        <v>368</v>
      </c>
      <c r="C93" s="59">
        <v>2005</v>
      </c>
      <c r="D93" s="92">
        <v>0.24</v>
      </c>
    </row>
    <row r="94" spans="1:4">
      <c r="A94" s="65"/>
      <c r="B94" s="4"/>
      <c r="C94" s="59" t="s">
        <v>363</v>
      </c>
      <c r="D94" s="92">
        <v>0.22</v>
      </c>
    </row>
    <row r="95" spans="1:4">
      <c r="A95" s="65"/>
      <c r="B95" s="57"/>
      <c r="C95" s="61">
        <v>2009</v>
      </c>
      <c r="D95" s="91">
        <v>-0.1</v>
      </c>
    </row>
    <row r="96" spans="1:4">
      <c r="A96" s="65"/>
      <c r="B96" s="4"/>
      <c r="C96" s="60"/>
      <c r="D96" s="69"/>
    </row>
    <row r="97" spans="1:4">
      <c r="A97" s="65"/>
      <c r="B97" s="51" t="s">
        <v>369</v>
      </c>
      <c r="C97" s="60"/>
      <c r="D97" s="69"/>
    </row>
    <row r="98" spans="1:4">
      <c r="A98" s="65"/>
      <c r="B98" s="4"/>
      <c r="C98" s="60"/>
      <c r="D98" s="69"/>
    </row>
    <row r="99" spans="1:4">
      <c r="A99" s="65"/>
      <c r="B99" s="4" t="s">
        <v>274</v>
      </c>
      <c r="C99" s="59" t="s">
        <v>360</v>
      </c>
      <c r="D99" s="92">
        <v>0.4</v>
      </c>
    </row>
    <row r="100" spans="1:4">
      <c r="A100" s="65"/>
      <c r="B100" s="4" t="s">
        <v>275</v>
      </c>
      <c r="C100" s="59" t="s">
        <v>362</v>
      </c>
      <c r="D100" s="92">
        <v>0.85</v>
      </c>
    </row>
    <row r="101" spans="1:4">
      <c r="A101" s="65"/>
      <c r="B101" s="57" t="s">
        <v>370</v>
      </c>
      <c r="C101" s="63" t="s">
        <v>362</v>
      </c>
      <c r="D101" s="95">
        <v>0.03</v>
      </c>
    </row>
    <row r="102" spans="1:4">
      <c r="A102" s="65"/>
      <c r="B102" s="4"/>
      <c r="C102" s="64"/>
      <c r="D102" s="92"/>
    </row>
    <row r="103" spans="1:4">
      <c r="A103" s="65"/>
      <c r="B103" s="4" t="s">
        <v>371</v>
      </c>
      <c r="C103" s="59" t="s">
        <v>362</v>
      </c>
      <c r="D103" s="92">
        <v>0.04</v>
      </c>
    </row>
    <row r="104" spans="1:4">
      <c r="A104" s="65"/>
      <c r="B104" s="57"/>
      <c r="C104" s="62"/>
      <c r="D104" s="93"/>
    </row>
    <row r="105" spans="1:4">
      <c r="A105" s="87" t="s">
        <v>374</v>
      </c>
      <c r="B105" s="4"/>
      <c r="C105" s="60"/>
      <c r="D105" s="69"/>
    </row>
    <row r="106" spans="1:4">
      <c r="A106" s="65"/>
      <c r="B106" s="48" t="s">
        <v>375</v>
      </c>
      <c r="C106" s="59" t="s">
        <v>377</v>
      </c>
      <c r="D106" s="96">
        <v>0.05</v>
      </c>
    </row>
    <row r="107" spans="1:4">
      <c r="A107" s="65"/>
      <c r="B107" s="57"/>
      <c r="C107" s="61">
        <v>2009</v>
      </c>
      <c r="D107" s="97">
        <v>0.06</v>
      </c>
    </row>
    <row r="108" spans="1:4">
      <c r="A108" s="65"/>
      <c r="B108" s="4"/>
      <c r="C108" s="60"/>
      <c r="D108" s="69"/>
    </row>
    <row r="109" spans="1:4">
      <c r="A109" s="65"/>
      <c r="B109" s="4"/>
      <c r="C109" s="59">
        <v>2005</v>
      </c>
      <c r="D109" s="96">
        <v>-0.1</v>
      </c>
    </row>
    <row r="110" spans="1:4">
      <c r="A110" s="65"/>
      <c r="B110" s="4" t="s">
        <v>376</v>
      </c>
      <c r="C110" s="59">
        <v>2006</v>
      </c>
      <c r="D110" s="96">
        <v>-0.08</v>
      </c>
    </row>
    <row r="111" spans="1:4">
      <c r="A111" s="65"/>
      <c r="B111" s="4"/>
      <c r="C111" s="59">
        <v>2007</v>
      </c>
      <c r="D111" s="96">
        <v>-7.0000000000000007E-2</v>
      </c>
    </row>
    <row r="112" spans="1:4">
      <c r="A112" s="65"/>
      <c r="B112" s="4"/>
      <c r="C112" s="59" t="s">
        <v>399</v>
      </c>
      <c r="D112" s="96">
        <v>0.05</v>
      </c>
    </row>
    <row r="113" spans="1:4">
      <c r="A113" s="65"/>
      <c r="B113" s="57"/>
      <c r="C113" s="61"/>
      <c r="D113" s="97"/>
    </row>
    <row r="114" spans="1:4">
      <c r="A114" s="65"/>
      <c r="B114" s="4"/>
      <c r="C114" s="60"/>
      <c r="D114" s="69"/>
    </row>
    <row r="115" spans="1:4">
      <c r="A115" s="65"/>
      <c r="B115" s="51" t="s">
        <v>378</v>
      </c>
      <c r="C115" s="60"/>
      <c r="D115" s="69"/>
    </row>
    <row r="116" spans="1:4">
      <c r="A116" s="65"/>
      <c r="B116" s="4"/>
      <c r="C116" s="59"/>
      <c r="D116" s="96"/>
    </row>
    <row r="117" spans="1:4">
      <c r="A117" s="65"/>
      <c r="B117" s="4" t="s">
        <v>183</v>
      </c>
      <c r="C117" s="59" t="s">
        <v>382</v>
      </c>
      <c r="D117" s="98">
        <v>0.71</v>
      </c>
    </row>
    <row r="118" spans="1:4">
      <c r="A118" s="65"/>
      <c r="B118" s="4" t="s">
        <v>204</v>
      </c>
      <c r="C118" s="59" t="s">
        <v>362</v>
      </c>
      <c r="D118" s="98">
        <v>0.23</v>
      </c>
    </row>
    <row r="119" spans="1:4">
      <c r="A119" s="65"/>
      <c r="B119" s="4" t="s">
        <v>302</v>
      </c>
      <c r="C119" s="59" t="s">
        <v>362</v>
      </c>
      <c r="D119" s="99">
        <v>0.37359999999999999</v>
      </c>
    </row>
    <row r="120" spans="1:4">
      <c r="A120" s="67" t="s">
        <v>525</v>
      </c>
      <c r="B120" s="4" t="s">
        <v>380</v>
      </c>
      <c r="C120" s="59" t="s">
        <v>362</v>
      </c>
      <c r="D120" s="99">
        <v>0.1928</v>
      </c>
    </row>
    <row r="121" spans="1:4">
      <c r="A121" s="66" t="s">
        <v>582</v>
      </c>
      <c r="B121" s="4" t="s">
        <v>190</v>
      </c>
      <c r="C121" s="59" t="s">
        <v>362</v>
      </c>
      <c r="D121" s="99">
        <v>0.1447</v>
      </c>
    </row>
    <row r="122" spans="1:4">
      <c r="A122" s="66"/>
      <c r="B122" s="57" t="s">
        <v>381</v>
      </c>
      <c r="C122" s="61" t="s">
        <v>362</v>
      </c>
      <c r="D122" s="100">
        <v>0.14960000000000001</v>
      </c>
    </row>
    <row r="123" spans="1:4">
      <c r="A123" s="65"/>
      <c r="B123" s="4"/>
      <c r="C123" s="59"/>
      <c r="D123" s="101"/>
    </row>
    <row r="124" spans="1:4">
      <c r="A124" s="65"/>
      <c r="B124" s="4"/>
      <c r="C124" s="59"/>
      <c r="D124" s="101"/>
    </row>
    <row r="125" spans="1:4">
      <c r="A125" s="65"/>
      <c r="B125" s="51" t="s">
        <v>229</v>
      </c>
      <c r="C125" s="59"/>
      <c r="D125" s="101"/>
    </row>
    <row r="126" spans="1:4">
      <c r="A126" s="65"/>
      <c r="B126" s="4"/>
      <c r="C126" s="59"/>
      <c r="D126" s="102"/>
    </row>
    <row r="127" spans="1:4">
      <c r="A127" s="65"/>
      <c r="B127" s="4" t="s">
        <v>390</v>
      </c>
      <c r="C127" s="59" t="s">
        <v>360</v>
      </c>
      <c r="D127" s="98">
        <v>0.1</v>
      </c>
    </row>
    <row r="128" spans="1:4">
      <c r="A128" s="65"/>
      <c r="B128" s="4" t="s">
        <v>387</v>
      </c>
      <c r="C128" s="59" t="s">
        <v>362</v>
      </c>
      <c r="D128" s="98">
        <v>7.0000000000000007E-2</v>
      </c>
    </row>
    <row r="129" spans="1:4">
      <c r="A129" s="65"/>
      <c r="B129" s="4" t="s">
        <v>391</v>
      </c>
      <c r="C129" s="59" t="s">
        <v>362</v>
      </c>
      <c r="D129" s="98">
        <v>7.0000000000000007E-2</v>
      </c>
    </row>
    <row r="130" spans="1:4">
      <c r="A130" s="65"/>
      <c r="B130" s="4" t="s">
        <v>392</v>
      </c>
      <c r="C130" s="59" t="s">
        <v>362</v>
      </c>
      <c r="D130" s="98">
        <v>0.05</v>
      </c>
    </row>
    <row r="131" spans="1:4">
      <c r="A131" s="65"/>
      <c r="B131" s="4" t="s">
        <v>576</v>
      </c>
      <c r="C131" s="59" t="s">
        <v>362</v>
      </c>
      <c r="D131" s="550" t="s">
        <v>480</v>
      </c>
    </row>
    <row r="132" spans="1:4">
      <c r="A132" s="65"/>
      <c r="B132" s="4" t="s">
        <v>577</v>
      </c>
      <c r="C132" s="59" t="s">
        <v>362</v>
      </c>
      <c r="D132" s="550" t="s">
        <v>480</v>
      </c>
    </row>
    <row r="133" spans="1:4">
      <c r="A133" s="65"/>
      <c r="B133" s="57" t="s">
        <v>383</v>
      </c>
      <c r="C133" s="61" t="s">
        <v>362</v>
      </c>
      <c r="D133" s="106">
        <v>0.03</v>
      </c>
    </row>
    <row r="134" spans="1:4">
      <c r="A134" s="65"/>
      <c r="B134" s="4"/>
      <c r="C134" s="59"/>
      <c r="D134" s="101"/>
    </row>
    <row r="135" spans="1:4">
      <c r="A135" s="65"/>
      <c r="B135" s="49" t="s">
        <v>393</v>
      </c>
      <c r="C135" s="59" t="s">
        <v>360</v>
      </c>
      <c r="D135" s="98">
        <v>0.2</v>
      </c>
    </row>
    <row r="136" spans="1:4" ht="13.5" thickBot="1">
      <c r="A136" s="74"/>
      <c r="B136" s="75"/>
      <c r="C136" s="103"/>
      <c r="D136" s="104"/>
    </row>
  </sheetData>
  <mergeCells count="6">
    <mergeCell ref="C54:D54"/>
    <mergeCell ref="C38:D38"/>
    <mergeCell ref="A9:D9"/>
    <mergeCell ref="A10:D10"/>
    <mergeCell ref="A11:B11"/>
    <mergeCell ref="C46:D46"/>
  </mergeCells>
  <phoneticPr fontId="8" type="noConversion"/>
  <hyperlinks>
    <hyperlink ref="D27" location="'5.Proyección Ingresos'!A15" display="IR"/>
    <hyperlink ref="D32" location="'6.Proyección Egresos'!A17" display="IR"/>
    <hyperlink ref="D63" location="'6.Proyección Egresos'!A46" display="IR"/>
    <hyperlink ref="D131" location="'4.Proyección Balance'!A78" display="IR"/>
    <hyperlink ref="D132" location="'4.Proyección Balance'!A125" display="IR"/>
  </hyperlinks>
  <pageMargins left="0.75" right="0.75" top="1" bottom="1" header="0" footer="0"/>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codeName="Hoja2"/>
  <dimension ref="A2:D148"/>
  <sheetViews>
    <sheetView showGridLines="0" topLeftCell="A86" workbookViewId="0">
      <selection activeCell="B10" sqref="B10"/>
    </sheetView>
  </sheetViews>
  <sheetFormatPr baseColWidth="10" defaultRowHeight="12.75"/>
  <cols>
    <col min="1" max="1" width="37" style="9" customWidth="1"/>
    <col min="2" max="2" width="65" style="9" customWidth="1"/>
    <col min="3" max="3" width="22.28515625" style="9" customWidth="1"/>
    <col min="4" max="16384" width="11.42578125" style="9"/>
  </cols>
  <sheetData>
    <row r="2" spans="1:3" ht="15.75">
      <c r="B2" s="805" t="s">
        <v>178</v>
      </c>
      <c r="C2" s="805"/>
    </row>
    <row r="6" spans="1:3">
      <c r="A6" s="323" t="s">
        <v>179</v>
      </c>
      <c r="B6" s="324"/>
      <c r="C6" s="325"/>
    </row>
    <row r="7" spans="1:3">
      <c r="A7" s="808" t="s">
        <v>528</v>
      </c>
      <c r="B7" s="809"/>
      <c r="C7" s="810"/>
    </row>
    <row r="8" spans="1:3">
      <c r="A8" s="811" t="s">
        <v>636</v>
      </c>
      <c r="B8" s="812"/>
      <c r="C8" s="813"/>
    </row>
    <row r="12" spans="1:3" ht="15">
      <c r="A12" s="319" t="s">
        <v>180</v>
      </c>
      <c r="B12" s="320" t="s">
        <v>181</v>
      </c>
      <c r="C12" s="321" t="s">
        <v>529</v>
      </c>
    </row>
    <row r="13" spans="1:3">
      <c r="A13" s="76"/>
      <c r="B13" s="4"/>
      <c r="C13" s="69"/>
    </row>
    <row r="14" spans="1:3">
      <c r="A14" s="82" t="s">
        <v>182</v>
      </c>
      <c r="B14" s="4"/>
      <c r="C14" s="153"/>
    </row>
    <row r="15" spans="1:3" ht="15">
      <c r="A15" s="77"/>
      <c r="B15" s="4"/>
      <c r="C15" s="70"/>
    </row>
    <row r="16" spans="1:3">
      <c r="A16" s="161" t="s">
        <v>555</v>
      </c>
      <c r="B16" s="4" t="s">
        <v>567</v>
      </c>
      <c r="C16" s="437">
        <v>0.02</v>
      </c>
    </row>
    <row r="17" spans="1:4">
      <c r="A17" s="171" t="s">
        <v>556</v>
      </c>
      <c r="B17" s="3" t="s">
        <v>580</v>
      </c>
      <c r="C17" s="438">
        <v>0.04</v>
      </c>
    </row>
    <row r="18" spans="1:4">
      <c r="A18" s="442"/>
      <c r="B18" s="3" t="s">
        <v>560</v>
      </c>
      <c r="C18" s="443"/>
    </row>
    <row r="19" spans="1:4">
      <c r="A19" s="159" t="s">
        <v>557</v>
      </c>
      <c r="B19" s="4" t="s">
        <v>568</v>
      </c>
      <c r="C19" s="439">
        <v>0.1</v>
      </c>
    </row>
    <row r="20" spans="1:4">
      <c r="A20" s="159"/>
      <c r="B20" s="4" t="s">
        <v>561</v>
      </c>
      <c r="C20" s="443"/>
    </row>
    <row r="21" spans="1:4">
      <c r="A21" s="285" t="s">
        <v>558</v>
      </c>
      <c r="B21" s="4" t="s">
        <v>563</v>
      </c>
      <c r="C21" s="440">
        <v>0.04</v>
      </c>
    </row>
    <row r="22" spans="1:4">
      <c r="A22" s="160" t="s">
        <v>559</v>
      </c>
      <c r="B22" s="4" t="s">
        <v>562</v>
      </c>
      <c r="C22" s="441">
        <v>0.2</v>
      </c>
    </row>
    <row r="23" spans="1:4" ht="15">
      <c r="A23" s="77"/>
      <c r="B23" s="57"/>
      <c r="C23" s="157"/>
    </row>
    <row r="24" spans="1:4">
      <c r="A24" s="82" t="s">
        <v>183</v>
      </c>
      <c r="B24" s="585" t="s">
        <v>574</v>
      </c>
      <c r="C24" s="8"/>
      <c r="D24" s="76"/>
    </row>
    <row r="25" spans="1:4" ht="15">
      <c r="A25" s="77" t="s">
        <v>425</v>
      </c>
      <c r="B25" s="4" t="s">
        <v>575</v>
      </c>
      <c r="C25" s="70"/>
    </row>
    <row r="26" spans="1:4">
      <c r="A26" s="77"/>
      <c r="B26" s="4" t="s">
        <v>307</v>
      </c>
      <c r="C26" s="98">
        <v>0.1</v>
      </c>
      <c r="D26" s="76"/>
    </row>
    <row r="27" spans="1:4">
      <c r="A27" s="77"/>
      <c r="B27" s="4"/>
      <c r="D27" s="65"/>
    </row>
    <row r="28" spans="1:4">
      <c r="A28" s="77" t="s">
        <v>424</v>
      </c>
      <c r="B28" s="4" t="s">
        <v>569</v>
      </c>
      <c r="C28" s="98">
        <v>0.04</v>
      </c>
    </row>
    <row r="29" spans="1:4" ht="15">
      <c r="A29" s="77"/>
      <c r="B29" s="4"/>
      <c r="C29" s="71"/>
    </row>
    <row r="30" spans="1:4">
      <c r="B30" s="4" t="s">
        <v>422</v>
      </c>
      <c r="D30" s="65"/>
    </row>
    <row r="31" spans="1:4" ht="15">
      <c r="A31" s="77" t="s">
        <v>426</v>
      </c>
      <c r="B31" s="4" t="s">
        <v>423</v>
      </c>
      <c r="C31" s="70">
        <v>0.02</v>
      </c>
    </row>
    <row r="32" spans="1:4">
      <c r="A32" s="77"/>
      <c r="B32" s="4" t="s">
        <v>573</v>
      </c>
      <c r="D32" s="65"/>
    </row>
    <row r="33" spans="1:3" ht="15">
      <c r="A33" s="77"/>
      <c r="B33" s="4"/>
      <c r="C33" s="71"/>
    </row>
    <row r="34" spans="1:3" ht="15">
      <c r="A34" s="77" t="s">
        <v>326</v>
      </c>
      <c r="B34" s="4" t="s">
        <v>308</v>
      </c>
      <c r="C34" s="73">
        <v>6.3E-3</v>
      </c>
    </row>
    <row r="35" spans="1:3" ht="15">
      <c r="A35" s="77"/>
      <c r="B35" s="4" t="s">
        <v>309</v>
      </c>
      <c r="C35" s="71"/>
    </row>
    <row r="36" spans="1:3" ht="15">
      <c r="A36" s="77"/>
      <c r="B36" s="57"/>
      <c r="C36" s="81"/>
    </row>
    <row r="37" spans="1:3" ht="15">
      <c r="A37" s="82" t="s">
        <v>184</v>
      </c>
      <c r="B37" s="4"/>
      <c r="C37" s="71"/>
    </row>
    <row r="38" spans="1:3">
      <c r="A38" s="78"/>
      <c r="B38" s="41" t="s">
        <v>312</v>
      </c>
      <c r="C38" s="69"/>
    </row>
    <row r="39" spans="1:3" ht="15">
      <c r="A39" s="79" t="s">
        <v>187</v>
      </c>
      <c r="B39" s="4" t="s">
        <v>310</v>
      </c>
      <c r="C39" s="72"/>
    </row>
    <row r="40" spans="1:3" ht="15">
      <c r="A40" s="78"/>
      <c r="B40" s="4" t="s">
        <v>311</v>
      </c>
      <c r="C40" s="70">
        <v>0.08</v>
      </c>
    </row>
    <row r="41" spans="1:3" ht="15">
      <c r="A41" s="78"/>
      <c r="B41" s="4" t="s">
        <v>584</v>
      </c>
      <c r="C41" s="72"/>
    </row>
    <row r="42" spans="1:3" ht="15">
      <c r="A42" s="78"/>
      <c r="B42" s="57" t="s">
        <v>585</v>
      </c>
      <c r="C42" s="623"/>
    </row>
    <row r="43" spans="1:3" ht="10.5" customHeight="1">
      <c r="A43" s="625"/>
      <c r="B43" s="4"/>
      <c r="C43" s="164"/>
    </row>
    <row r="44" spans="1:3">
      <c r="A44" s="79" t="s">
        <v>185</v>
      </c>
      <c r="B44" s="4" t="s">
        <v>416</v>
      </c>
      <c r="C44" s="165"/>
    </row>
    <row r="45" spans="1:3" ht="15">
      <c r="A45" s="79"/>
      <c r="B45" s="4" t="s">
        <v>417</v>
      </c>
      <c r="C45" s="70">
        <v>0.06</v>
      </c>
    </row>
    <row r="46" spans="1:3" ht="15">
      <c r="A46" s="626"/>
      <c r="B46" s="4" t="s">
        <v>418</v>
      </c>
      <c r="C46" s="72"/>
    </row>
    <row r="47" spans="1:3" ht="9.75" customHeight="1">
      <c r="A47" s="78"/>
      <c r="B47" s="172"/>
      <c r="C47" s="624"/>
    </row>
    <row r="48" spans="1:3" ht="15">
      <c r="A48" s="79" t="s">
        <v>186</v>
      </c>
      <c r="B48" s="42" t="s">
        <v>570</v>
      </c>
      <c r="C48" s="70">
        <v>0.17</v>
      </c>
    </row>
    <row r="49" spans="1:3" ht="15">
      <c r="A49" s="78"/>
      <c r="B49" s="622" t="s">
        <v>586</v>
      </c>
      <c r="C49" s="72"/>
    </row>
    <row r="50" spans="1:3" ht="6" customHeight="1">
      <c r="A50" s="627"/>
      <c r="B50" s="4"/>
      <c r="C50" s="173"/>
    </row>
    <row r="51" spans="1:3" ht="15">
      <c r="A51" s="76"/>
      <c r="B51" s="4" t="s">
        <v>313</v>
      </c>
      <c r="C51" s="71"/>
    </row>
    <row r="52" spans="1:3" ht="15">
      <c r="A52" s="76"/>
      <c r="B52" s="4" t="s">
        <v>314</v>
      </c>
      <c r="C52" s="70">
        <v>0.02</v>
      </c>
    </row>
    <row r="53" spans="1:3" ht="15">
      <c r="A53" s="79" t="s">
        <v>188</v>
      </c>
      <c r="B53" s="4" t="s">
        <v>315</v>
      </c>
      <c r="C53" s="157"/>
    </row>
    <row r="54" spans="1:3" ht="15">
      <c r="A54" s="76"/>
      <c r="B54" s="4" t="s">
        <v>316</v>
      </c>
      <c r="C54" s="71" t="s">
        <v>414</v>
      </c>
    </row>
    <row r="55" spans="1:3" ht="15">
      <c r="A55" s="76"/>
      <c r="B55" s="4" t="s">
        <v>413</v>
      </c>
      <c r="C55" s="155">
        <v>4000</v>
      </c>
    </row>
    <row r="56" spans="1:3" ht="15">
      <c r="A56" s="80"/>
      <c r="B56" s="57"/>
      <c r="C56" s="81"/>
    </row>
    <row r="57" spans="1:3">
      <c r="A57" s="76"/>
      <c r="B57" s="4" t="s">
        <v>317</v>
      </c>
      <c r="C57" s="69"/>
    </row>
    <row r="58" spans="1:3" ht="15">
      <c r="A58" s="77" t="s">
        <v>327</v>
      </c>
      <c r="B58" s="4" t="s">
        <v>318</v>
      </c>
      <c r="C58" s="70">
        <v>0.04</v>
      </c>
    </row>
    <row r="59" spans="1:3" ht="15">
      <c r="A59" s="80"/>
      <c r="B59" s="57"/>
      <c r="C59" s="81"/>
    </row>
    <row r="60" spans="1:3" ht="15">
      <c r="A60" s="83" t="s">
        <v>321</v>
      </c>
      <c r="C60" s="306"/>
    </row>
    <row r="61" spans="1:3" ht="15">
      <c r="A61" s="5"/>
      <c r="B61" s="4"/>
      <c r="C61" s="70"/>
    </row>
    <row r="62" spans="1:3">
      <c r="A62" s="639" t="s">
        <v>512</v>
      </c>
      <c r="B62" s="4" t="s">
        <v>627</v>
      </c>
      <c r="C62" s="814" t="s">
        <v>625</v>
      </c>
    </row>
    <row r="63" spans="1:3">
      <c r="A63" s="639" t="s">
        <v>515</v>
      </c>
      <c r="B63" s="4" t="s">
        <v>628</v>
      </c>
      <c r="C63" s="814"/>
    </row>
    <row r="64" spans="1:3">
      <c r="A64" s="639" t="s">
        <v>513</v>
      </c>
      <c r="B64" s="715"/>
      <c r="C64" s="814"/>
    </row>
    <row r="65" spans="1:3" ht="15">
      <c r="A65" s="307" t="s">
        <v>514</v>
      </c>
      <c r="B65" s="4" t="s">
        <v>626</v>
      </c>
      <c r="C65" s="163">
        <v>7.0000000000000007E-2</v>
      </c>
    </row>
    <row r="66" spans="1:3" ht="15">
      <c r="A66" s="80"/>
      <c r="B66" s="4"/>
      <c r="C66" s="81"/>
    </row>
    <row r="67" spans="1:3" ht="15">
      <c r="A67" s="76"/>
      <c r="B67" s="4"/>
      <c r="C67" s="71"/>
    </row>
    <row r="68" spans="1:3" ht="15">
      <c r="A68" s="77" t="s">
        <v>328</v>
      </c>
      <c r="B68" s="4" t="s">
        <v>415</v>
      </c>
      <c r="C68" s="158">
        <v>0.05</v>
      </c>
    </row>
    <row r="69" spans="1:3" ht="15">
      <c r="A69" s="154" t="s">
        <v>329</v>
      </c>
      <c r="B69" s="57" t="s">
        <v>583</v>
      </c>
      <c r="C69" s="81"/>
    </row>
    <row r="70" spans="1:3" ht="15">
      <c r="A70" s="76"/>
      <c r="B70" s="4"/>
      <c r="C70" s="71"/>
    </row>
    <row r="71" spans="1:3" ht="15">
      <c r="A71" s="77" t="s">
        <v>395</v>
      </c>
      <c r="B71" s="4" t="s">
        <v>82</v>
      </c>
      <c r="C71" s="70"/>
    </row>
    <row r="72" spans="1:3">
      <c r="A72" s="77" t="s">
        <v>396</v>
      </c>
      <c r="B72" s="4" t="s">
        <v>83</v>
      </c>
      <c r="C72" s="550" t="s">
        <v>480</v>
      </c>
    </row>
    <row r="73" spans="1:3" ht="15">
      <c r="A73" s="77" t="s">
        <v>397</v>
      </c>
      <c r="B73" s="4" t="s">
        <v>629</v>
      </c>
      <c r="C73" s="71"/>
    </row>
    <row r="74" spans="1:3" ht="15">
      <c r="A74" s="77"/>
      <c r="B74" s="4" t="s">
        <v>628</v>
      </c>
      <c r="C74" s="71"/>
    </row>
    <row r="75" spans="1:3" ht="15">
      <c r="A75" s="77" t="s">
        <v>398</v>
      </c>
      <c r="B75" s="4" t="s">
        <v>419</v>
      </c>
      <c r="C75" s="70">
        <v>0.6</v>
      </c>
    </row>
    <row r="76" spans="1:3" ht="15">
      <c r="A76" s="77"/>
      <c r="B76" s="4"/>
      <c r="C76" s="71"/>
    </row>
    <row r="77" spans="1:3" ht="15">
      <c r="A77" s="76"/>
      <c r="B77" s="57"/>
      <c r="C77" s="81"/>
    </row>
    <row r="78" spans="1:3" ht="15">
      <c r="A78" s="83" t="s">
        <v>189</v>
      </c>
      <c r="B78" s="172"/>
      <c r="C78" s="310"/>
    </row>
    <row r="79" spans="1:3" ht="15">
      <c r="A79" s="76"/>
      <c r="B79" s="4"/>
      <c r="C79" s="279"/>
    </row>
    <row r="80" spans="1:3" ht="15">
      <c r="A80" s="77" t="s">
        <v>306</v>
      </c>
      <c r="B80" s="4" t="s">
        <v>421</v>
      </c>
      <c r="C80" s="70"/>
    </row>
    <row r="81" spans="1:4">
      <c r="A81" s="77" t="s">
        <v>320</v>
      </c>
      <c r="B81" s="4" t="s">
        <v>420</v>
      </c>
      <c r="C81" s="550" t="s">
        <v>480</v>
      </c>
    </row>
    <row r="82" spans="1:4" ht="15">
      <c r="A82" s="77" t="s">
        <v>319</v>
      </c>
      <c r="B82" s="4" t="s">
        <v>587</v>
      </c>
      <c r="C82" s="70"/>
    </row>
    <row r="83" spans="1:4" ht="15">
      <c r="A83" s="76"/>
      <c r="B83" s="57" t="s">
        <v>630</v>
      </c>
      <c r="C83" s="71"/>
    </row>
    <row r="84" spans="1:4" ht="18" customHeight="1">
      <c r="A84" s="77" t="s">
        <v>322</v>
      </c>
      <c r="B84" s="4" t="s">
        <v>84</v>
      </c>
      <c r="C84" s="70">
        <v>0.23</v>
      </c>
    </row>
    <row r="85" spans="1:4" ht="15">
      <c r="A85" s="80"/>
      <c r="B85" s="4" t="s">
        <v>85</v>
      </c>
      <c r="C85" s="81"/>
    </row>
    <row r="86" spans="1:4" ht="15">
      <c r="A86" s="82" t="s">
        <v>190</v>
      </c>
      <c r="B86" s="172"/>
      <c r="C86" s="70"/>
    </row>
    <row r="87" spans="1:4" ht="15">
      <c r="A87" s="77"/>
      <c r="B87" s="43" t="s">
        <v>516</v>
      </c>
      <c r="C87" s="70"/>
    </row>
    <row r="88" spans="1:4" ht="14.25">
      <c r="A88" s="169" t="s">
        <v>431</v>
      </c>
      <c r="B88" s="43" t="s">
        <v>596</v>
      </c>
      <c r="C88" s="446" t="s">
        <v>358</v>
      </c>
    </row>
    <row r="89" spans="1:4">
      <c r="B89" s="43"/>
      <c r="D89" s="76"/>
    </row>
    <row r="90" spans="1:4">
      <c r="B90" s="308"/>
      <c r="C90" s="165"/>
    </row>
    <row r="91" spans="1:4">
      <c r="A91" s="77" t="s">
        <v>432</v>
      </c>
      <c r="B91" s="4" t="s">
        <v>86</v>
      </c>
      <c r="C91" s="551"/>
    </row>
    <row r="92" spans="1:4">
      <c r="A92" s="77" t="s">
        <v>433</v>
      </c>
      <c r="B92" s="43" t="s">
        <v>87</v>
      </c>
      <c r="C92" s="551" t="s">
        <v>480</v>
      </c>
    </row>
    <row r="93" spans="1:4" ht="15">
      <c r="A93" s="77"/>
      <c r="B93" s="43" t="s">
        <v>589</v>
      </c>
      <c r="C93" s="70"/>
    </row>
    <row r="94" spans="1:4" ht="15">
      <c r="A94" s="77"/>
      <c r="B94" s="57" t="s">
        <v>631</v>
      </c>
      <c r="C94" s="70"/>
    </row>
    <row r="95" spans="1:4" ht="23.25" customHeight="1">
      <c r="A95" s="77"/>
      <c r="B95" s="43" t="s">
        <v>88</v>
      </c>
      <c r="C95" s="309"/>
    </row>
    <row r="96" spans="1:4" ht="15">
      <c r="A96" s="618" t="s">
        <v>591</v>
      </c>
      <c r="B96" s="43" t="s">
        <v>89</v>
      </c>
      <c r="C96" s="70">
        <v>0.01</v>
      </c>
      <c r="D96" s="76"/>
    </row>
    <row r="97" spans="1:4">
      <c r="B97" s="43" t="s">
        <v>90</v>
      </c>
      <c r="D97" s="76"/>
    </row>
    <row r="98" spans="1:4" ht="15">
      <c r="A98" s="77"/>
      <c r="B98" s="43"/>
      <c r="C98" s="70"/>
    </row>
    <row r="99" spans="1:4" ht="15">
      <c r="A99" s="77" t="s">
        <v>330</v>
      </c>
      <c r="B99" s="43" t="s">
        <v>590</v>
      </c>
      <c r="C99" s="73">
        <v>4.7E-2</v>
      </c>
    </row>
    <row r="100" spans="1:4" ht="15">
      <c r="A100" s="80"/>
      <c r="B100" s="57"/>
      <c r="C100" s="157"/>
    </row>
    <row r="101" spans="1:4" ht="15">
      <c r="A101" s="82" t="s">
        <v>323</v>
      </c>
      <c r="C101" s="279"/>
    </row>
    <row r="102" spans="1:4" ht="15">
      <c r="A102" s="76"/>
      <c r="B102" s="4" t="s">
        <v>592</v>
      </c>
      <c r="C102" s="279"/>
    </row>
    <row r="103" spans="1:4" ht="15">
      <c r="A103" s="76"/>
      <c r="B103" s="4" t="s">
        <v>197</v>
      </c>
      <c r="C103" s="71"/>
    </row>
    <row r="104" spans="1:4" ht="15">
      <c r="A104" s="77" t="s">
        <v>191</v>
      </c>
      <c r="B104" s="4" t="s">
        <v>198</v>
      </c>
      <c r="C104" s="70">
        <v>0.08</v>
      </c>
    </row>
    <row r="105" spans="1:4" ht="15">
      <c r="A105" s="76"/>
      <c r="B105" s="4" t="s">
        <v>324</v>
      </c>
      <c r="C105" s="71"/>
    </row>
    <row r="106" spans="1:4" ht="15">
      <c r="A106" s="76"/>
      <c r="B106" s="4"/>
      <c r="C106" s="71"/>
    </row>
    <row r="107" spans="1:4" ht="15">
      <c r="A107" s="77" t="s">
        <v>192</v>
      </c>
      <c r="B107" s="4" t="s">
        <v>91</v>
      </c>
      <c r="C107" s="71"/>
    </row>
    <row r="108" spans="1:4" ht="15">
      <c r="A108" s="76"/>
      <c r="B108" s="4" t="s">
        <v>92</v>
      </c>
      <c r="C108" s="70">
        <v>0.05</v>
      </c>
    </row>
    <row r="109" spans="1:4" ht="15">
      <c r="A109" s="76"/>
      <c r="B109" s="4" t="s">
        <v>93</v>
      </c>
      <c r="C109" s="71"/>
    </row>
    <row r="110" spans="1:4" ht="15">
      <c r="A110" s="76"/>
      <c r="B110" s="4"/>
      <c r="C110" s="71"/>
    </row>
    <row r="111" spans="1:4" ht="15">
      <c r="A111" s="76"/>
      <c r="B111" s="4" t="s">
        <v>94</v>
      </c>
      <c r="C111" s="71"/>
    </row>
    <row r="112" spans="1:4" ht="15">
      <c r="A112" s="77" t="s">
        <v>193</v>
      </c>
      <c r="B112" s="4" t="s">
        <v>593</v>
      </c>
      <c r="C112" s="70">
        <v>0.04</v>
      </c>
    </row>
    <row r="113" spans="1:4">
      <c r="A113" s="76"/>
      <c r="B113" s="4"/>
      <c r="C113" s="165"/>
    </row>
    <row r="114" spans="1:4" ht="15">
      <c r="A114" s="77" t="s">
        <v>194</v>
      </c>
      <c r="B114" s="4" t="s">
        <v>95</v>
      </c>
      <c r="C114" s="71"/>
    </row>
    <row r="115" spans="1:4" ht="15">
      <c r="A115" s="76"/>
      <c r="B115" s="4" t="s">
        <v>96</v>
      </c>
      <c r="C115" s="70">
        <v>0.13</v>
      </c>
    </row>
    <row r="116" spans="1:4" ht="15">
      <c r="A116" s="447"/>
      <c r="B116" s="57"/>
      <c r="C116" s="157"/>
    </row>
    <row r="117" spans="1:4" ht="15">
      <c r="B117" s="4" t="s">
        <v>199</v>
      </c>
      <c r="C117" s="279"/>
    </row>
    <row r="118" spans="1:4" ht="15">
      <c r="A118" s="77" t="s">
        <v>195</v>
      </c>
      <c r="B118" s="4" t="s">
        <v>594</v>
      </c>
      <c r="C118" s="309">
        <v>0.33</v>
      </c>
    </row>
    <row r="119" spans="1:4">
      <c r="A119" s="76"/>
      <c r="B119" s="4" t="s">
        <v>97</v>
      </c>
      <c r="C119" s="3"/>
      <c r="D119" s="76"/>
    </row>
    <row r="120" spans="1:4">
      <c r="A120" s="156"/>
      <c r="B120" s="4" t="s">
        <v>98</v>
      </c>
      <c r="C120" s="3"/>
      <c r="D120" s="76"/>
    </row>
    <row r="121" spans="1:4" ht="15">
      <c r="A121" s="82" t="s">
        <v>437</v>
      </c>
      <c r="B121" s="172"/>
      <c r="C121" s="173"/>
    </row>
    <row r="122" spans="1:4" ht="15">
      <c r="A122" s="4"/>
      <c r="B122" s="4"/>
      <c r="C122" s="279"/>
    </row>
    <row r="123" spans="1:4">
      <c r="A123" s="170" t="s">
        <v>434</v>
      </c>
      <c r="B123" s="4" t="s">
        <v>632</v>
      </c>
      <c r="C123" s="548" t="s">
        <v>480</v>
      </c>
    </row>
    <row r="124" spans="1:4">
      <c r="A124" s="159" t="s">
        <v>566</v>
      </c>
      <c r="B124" s="4" t="s">
        <v>635</v>
      </c>
      <c r="C124" s="806">
        <v>7.4000000000000003E-3</v>
      </c>
    </row>
    <row r="125" spans="1:4">
      <c r="A125" s="159" t="s">
        <v>436</v>
      </c>
      <c r="B125" s="4" t="s">
        <v>101</v>
      </c>
      <c r="C125" s="807"/>
    </row>
    <row r="126" spans="1:4">
      <c r="A126" s="312" t="s">
        <v>435</v>
      </c>
      <c r="B126" s="4" t="s">
        <v>633</v>
      </c>
      <c r="C126" s="552" t="s">
        <v>480</v>
      </c>
    </row>
    <row r="127" spans="1:4">
      <c r="A127" s="76"/>
      <c r="B127" s="4" t="s">
        <v>634</v>
      </c>
      <c r="C127" s="69"/>
    </row>
    <row r="128" spans="1:4">
      <c r="A128" s="76"/>
      <c r="B128" s="4"/>
      <c r="C128" s="69"/>
    </row>
    <row r="129" spans="1:3">
      <c r="A129" s="82" t="s">
        <v>438</v>
      </c>
      <c r="B129" s="172"/>
      <c r="C129" s="628"/>
    </row>
    <row r="130" spans="1:3">
      <c r="A130" s="174"/>
      <c r="B130" s="4"/>
      <c r="C130" s="69"/>
    </row>
    <row r="131" spans="1:3" ht="15">
      <c r="A131" s="171" t="s">
        <v>428</v>
      </c>
      <c r="B131" s="4" t="s">
        <v>99</v>
      </c>
      <c r="C131" s="166">
        <v>0.2</v>
      </c>
    </row>
    <row r="132" spans="1:3" ht="15">
      <c r="A132" s="159" t="s">
        <v>429</v>
      </c>
      <c r="B132" s="4" t="s">
        <v>595</v>
      </c>
      <c r="C132" s="167">
        <v>0.02</v>
      </c>
    </row>
    <row r="133" spans="1:3" ht="15">
      <c r="A133" s="314" t="s">
        <v>427</v>
      </c>
      <c r="B133" s="4" t="s">
        <v>100</v>
      </c>
      <c r="C133" s="313">
        <v>0.2</v>
      </c>
    </row>
    <row r="134" spans="1:3">
      <c r="A134" s="57"/>
      <c r="B134" s="4"/>
      <c r="C134" s="175"/>
    </row>
    <row r="135" spans="1:3">
      <c r="A135" s="76"/>
      <c r="B135" s="172"/>
      <c r="C135" s="69"/>
    </row>
    <row r="136" spans="1:3" ht="15">
      <c r="A136" s="77" t="s">
        <v>196</v>
      </c>
      <c r="B136" s="4" t="s">
        <v>597</v>
      </c>
      <c r="C136" s="70">
        <v>0.12</v>
      </c>
    </row>
    <row r="137" spans="1:3" ht="15">
      <c r="A137" s="629" t="s">
        <v>599</v>
      </c>
      <c r="B137" s="4" t="s">
        <v>597</v>
      </c>
      <c r="C137" s="70">
        <v>0.01</v>
      </c>
    </row>
    <row r="138" spans="1:3">
      <c r="B138" s="4"/>
      <c r="C138" s="69"/>
    </row>
    <row r="139" spans="1:3">
      <c r="A139" s="77" t="s">
        <v>325</v>
      </c>
      <c r="B139" s="4" t="s">
        <v>598</v>
      </c>
      <c r="C139" s="550" t="s">
        <v>480</v>
      </c>
    </row>
    <row r="140" spans="1:3" ht="15">
      <c r="A140" s="76"/>
      <c r="B140" s="4" t="s">
        <v>639</v>
      </c>
      <c r="C140" s="288"/>
    </row>
    <row r="141" spans="1:3" ht="15">
      <c r="A141" s="283" t="s">
        <v>503</v>
      </c>
      <c r="B141" s="172"/>
      <c r="C141" s="70"/>
    </row>
    <row r="142" spans="1:3" ht="15">
      <c r="A142" s="312" t="s">
        <v>504</v>
      </c>
      <c r="B142" s="4" t="s">
        <v>597</v>
      </c>
      <c r="C142" s="162">
        <v>0.03</v>
      </c>
    </row>
    <row r="143" spans="1:3" ht="15">
      <c r="A143" s="159" t="s">
        <v>505</v>
      </c>
      <c r="B143" s="4" t="s">
        <v>597</v>
      </c>
      <c r="C143" s="163">
        <v>0.01</v>
      </c>
    </row>
    <row r="144" spans="1:3" ht="15" customHeight="1">
      <c r="A144" s="803" t="s">
        <v>264</v>
      </c>
      <c r="B144" s="4" t="s">
        <v>597</v>
      </c>
      <c r="C144" s="804">
        <v>0.01</v>
      </c>
    </row>
    <row r="145" spans="1:3" ht="15" customHeight="1">
      <c r="A145" s="803"/>
      <c r="B145" s="4" t="s">
        <v>597</v>
      </c>
      <c r="C145" s="804"/>
    </row>
    <row r="146" spans="1:3" ht="15">
      <c r="A146" s="448" t="s">
        <v>506</v>
      </c>
      <c r="B146" s="4" t="s">
        <v>597</v>
      </c>
      <c r="C146" s="287">
        <v>0.06</v>
      </c>
    </row>
    <row r="147" spans="1:3" ht="6.75" customHeight="1" thickBot="1">
      <c r="A147" s="286"/>
      <c r="B147" s="75"/>
      <c r="C147" s="287"/>
    </row>
    <row r="148" spans="1:3">
      <c r="A148" s="76"/>
      <c r="C148" s="284"/>
    </row>
  </sheetData>
  <mergeCells count="7">
    <mergeCell ref="A144:A145"/>
    <mergeCell ref="C144:C145"/>
    <mergeCell ref="B2:C2"/>
    <mergeCell ref="C124:C125"/>
    <mergeCell ref="A7:C7"/>
    <mergeCell ref="A8:C8"/>
    <mergeCell ref="C62:C64"/>
  </mergeCells>
  <phoneticPr fontId="8" type="noConversion"/>
  <hyperlinks>
    <hyperlink ref="C81" location="'4.Proyección Balance'!A52" display="IR"/>
    <hyperlink ref="C123" location="'4.Proyección Balance'!A130" display="IR"/>
    <hyperlink ref="C126" location="'4.Proyección Balance'!A143" display="IR"/>
    <hyperlink ref="C139" location="'4.Proyección Balance'!A159" display="IR"/>
    <hyperlink ref="C92" location="'4.Proyección Balance'!A99" display="IR"/>
    <hyperlink ref="C62:C64" location="'4.Proyección Balance'!A4" display="IR "/>
    <hyperlink ref="C72" location="'4.Proyección Balance'!A38" display="IR"/>
  </hyperlinks>
  <pageMargins left="0.75" right="0.75" top="1" bottom="1" header="0" footer="0"/>
  <pageSetup paperSize="9" orientation="portrait" verticalDpi="0" r:id="rId1"/>
  <headerFooter alignWithMargins="0"/>
  <cellWatches>
    <cellWatch r="C123"/>
  </cellWatches>
</worksheet>
</file>

<file path=xl/worksheets/sheet5.xml><?xml version="1.0" encoding="utf-8"?>
<worksheet xmlns="http://schemas.openxmlformats.org/spreadsheetml/2006/main" xmlns:r="http://schemas.openxmlformats.org/officeDocument/2006/relationships">
  <dimension ref="A1:L166"/>
  <sheetViews>
    <sheetView showGridLines="0" workbookViewId="0">
      <selection activeCell="B3" sqref="B3"/>
    </sheetView>
  </sheetViews>
  <sheetFormatPr baseColWidth="10" defaultRowHeight="12.75"/>
  <cols>
    <col min="1" max="1" width="4.28515625" customWidth="1"/>
    <col min="3" max="3" width="19.28515625" customWidth="1"/>
    <col min="4" max="4" width="13.5703125" customWidth="1"/>
    <col min="5" max="5" width="16" customWidth="1"/>
    <col min="6" max="6" width="13.85546875" customWidth="1"/>
    <col min="7" max="7" width="12.5703125" bestFit="1" customWidth="1"/>
    <col min="8" max="8" width="12.5703125" customWidth="1"/>
    <col min="9" max="9" width="3.28515625" style="26" customWidth="1"/>
    <col min="13" max="13" width="3" customWidth="1"/>
  </cols>
  <sheetData>
    <row r="1" spans="1:9">
      <c r="A1" s="13"/>
      <c r="B1" s="479"/>
      <c r="C1" s="479"/>
      <c r="D1" s="479"/>
      <c r="E1" s="479"/>
      <c r="F1" s="13"/>
    </row>
    <row r="2" spans="1:9">
      <c r="A2" s="13"/>
      <c r="B2" s="13"/>
      <c r="C2" s="13"/>
      <c r="D2" s="13"/>
      <c r="E2" s="13"/>
    </row>
    <row r="3" spans="1:9">
      <c r="A3" s="13"/>
      <c r="B3" s="556" t="s">
        <v>64</v>
      </c>
      <c r="C3" s="13"/>
      <c r="D3" s="13"/>
      <c r="E3" s="13"/>
      <c r="F3" s="13"/>
    </row>
    <row r="4" spans="1:9">
      <c r="A4" s="13"/>
      <c r="B4" s="13"/>
      <c r="C4" s="13"/>
      <c r="D4" s="13"/>
      <c r="E4" s="13"/>
    </row>
    <row r="5" spans="1:9" ht="14.25">
      <c r="A5" s="13"/>
      <c r="B5" s="13"/>
      <c r="D5" s="602" t="s">
        <v>551</v>
      </c>
      <c r="E5" s="602"/>
      <c r="F5" s="602"/>
    </row>
    <row r="6" spans="1:9">
      <c r="A6" s="13"/>
      <c r="B6" s="13"/>
      <c r="C6" s="13"/>
      <c r="D6" s="13"/>
      <c r="E6" s="13"/>
    </row>
    <row r="7" spans="1:9">
      <c r="A7" s="13"/>
      <c r="B7" s="13"/>
      <c r="C7" s="13"/>
      <c r="D7" s="13"/>
      <c r="E7" s="13"/>
    </row>
    <row r="8" spans="1:9">
      <c r="A8" s="13"/>
      <c r="B8" s="13"/>
      <c r="C8" s="13"/>
      <c r="D8" s="13"/>
      <c r="E8" s="13"/>
    </row>
    <row r="9" spans="1:9">
      <c r="B9" s="480" t="s">
        <v>552</v>
      </c>
      <c r="C9" s="468"/>
      <c r="D9" s="275">
        <v>2005</v>
      </c>
      <c r="E9" s="275">
        <v>2006</v>
      </c>
      <c r="F9" s="275">
        <v>2007</v>
      </c>
      <c r="G9" s="275">
        <v>2008</v>
      </c>
      <c r="H9" s="273">
        <v>2009</v>
      </c>
      <c r="I9" s="34"/>
    </row>
    <row r="10" spans="1:9">
      <c r="B10" s="486" t="s">
        <v>532</v>
      </c>
      <c r="C10" s="488"/>
      <c r="D10" s="710">
        <v>518</v>
      </c>
      <c r="E10" s="491">
        <f>+D14</f>
        <v>571.13237176500024</v>
      </c>
      <c r="F10" s="491">
        <f>+E14</f>
        <v>582.50220634391417</v>
      </c>
      <c r="G10" s="491">
        <f>+F14</f>
        <v>625.91820502467317</v>
      </c>
      <c r="H10" s="492">
        <f>G14</f>
        <v>678.07968869980095</v>
      </c>
      <c r="I10" s="472"/>
    </row>
    <row r="11" spans="1:9">
      <c r="B11" s="486" t="s">
        <v>533</v>
      </c>
      <c r="C11" s="488"/>
      <c r="D11" s="491">
        <f>+'5.Proyección Ingresos'!B51</f>
        <v>3289.5491451000003</v>
      </c>
      <c r="E11" s="491">
        <f>+'5.Proyección Ingresos'!C51</f>
        <v>3312.2156705277598</v>
      </c>
      <c r="F11" s="491">
        <f>+'5.Proyección Ingresos'!D51</f>
        <v>3590.2858271539048</v>
      </c>
      <c r="G11" s="491">
        <f>+'5.Proyección Ingresos'!E51</f>
        <v>3894.6130529739976</v>
      </c>
      <c r="H11" s="492">
        <f>'5.Proyección Ingresos'!F51</f>
        <v>4227.7725792476522</v>
      </c>
      <c r="I11" s="472"/>
    </row>
    <row r="12" spans="1:9" ht="16.5">
      <c r="B12" s="486" t="s">
        <v>534</v>
      </c>
      <c r="C12" s="488"/>
      <c r="D12" s="686">
        <v>0.85</v>
      </c>
      <c r="E12" s="686">
        <v>0.85</v>
      </c>
      <c r="F12" s="686">
        <v>0.85</v>
      </c>
      <c r="G12" s="686">
        <v>0.85</v>
      </c>
      <c r="H12" s="687">
        <v>0.85</v>
      </c>
      <c r="I12" s="473"/>
    </row>
    <row r="13" spans="1:9" ht="13.5" thickBot="1">
      <c r="B13" s="486" t="s">
        <v>535</v>
      </c>
      <c r="C13" s="488"/>
      <c r="D13" s="491">
        <f>(D11+D10)*D12</f>
        <v>3236.416773335</v>
      </c>
      <c r="E13" s="491">
        <f>(E10+E11)*E12</f>
        <v>3300.8458359488459</v>
      </c>
      <c r="F13" s="491">
        <f>(F10+F11)*F12</f>
        <v>3546.8698284731458</v>
      </c>
      <c r="G13" s="491">
        <f>(G10+G11)*G12</f>
        <v>3842.4515692988703</v>
      </c>
      <c r="H13" s="492">
        <f>(H10+H11)*H12</f>
        <v>4169.9744277553355</v>
      </c>
      <c r="I13" s="472"/>
    </row>
    <row r="14" spans="1:9" ht="13.5" thickTop="1">
      <c r="B14" s="495" t="s">
        <v>536</v>
      </c>
      <c r="C14" s="490"/>
      <c r="D14" s="498">
        <f>D10+D11-D13</f>
        <v>571.13237176500024</v>
      </c>
      <c r="E14" s="498">
        <f>E10+E11-E13</f>
        <v>582.50220634391417</v>
      </c>
      <c r="F14" s="498">
        <f>F10+F11-F13</f>
        <v>625.91820502467317</v>
      </c>
      <c r="G14" s="498">
        <f>G10+G11-G13</f>
        <v>678.07968869980095</v>
      </c>
      <c r="H14" s="499">
        <f>H10+H11-H13</f>
        <v>735.87784019211813</v>
      </c>
      <c r="I14" s="472"/>
    </row>
    <row r="15" spans="1:9">
      <c r="A15" s="13"/>
      <c r="B15" s="13"/>
      <c r="C15" s="13"/>
      <c r="D15" s="13"/>
      <c r="E15" s="13"/>
    </row>
    <row r="16" spans="1:9">
      <c r="A16" s="13"/>
      <c r="B16" s="13"/>
      <c r="C16" s="13"/>
      <c r="D16" s="13"/>
      <c r="E16" s="13"/>
    </row>
    <row r="17" spans="1:10">
      <c r="B17" s="480" t="s">
        <v>553</v>
      </c>
      <c r="C17" s="469"/>
      <c r="D17" s="275">
        <v>2005</v>
      </c>
      <c r="E17" s="275">
        <v>2006</v>
      </c>
      <c r="F17" s="275">
        <v>2007</v>
      </c>
      <c r="G17" s="275">
        <v>2008</v>
      </c>
      <c r="H17" s="273">
        <v>2009</v>
      </c>
      <c r="I17" s="34"/>
    </row>
    <row r="18" spans="1:10">
      <c r="B18" s="486" t="s">
        <v>532</v>
      </c>
      <c r="C18" s="488"/>
      <c r="D18" s="710">
        <v>3565</v>
      </c>
      <c r="E18" s="491">
        <f>+D22</f>
        <v>3927.9191420443458</v>
      </c>
      <c r="F18" s="491">
        <f>+E22</f>
        <v>4908.8410141521599</v>
      </c>
      <c r="G18" s="491">
        <f>+F22</f>
        <v>5390.8527526339094</v>
      </c>
      <c r="H18" s="492">
        <f>G22</f>
        <v>5845.1336380510766</v>
      </c>
      <c r="I18" s="472"/>
    </row>
    <row r="19" spans="1:10">
      <c r="B19" s="486" t="s">
        <v>533</v>
      </c>
      <c r="C19" s="488"/>
      <c r="D19" s="491">
        <f>'5.Proyección Ingresos'!C33</f>
        <v>35714.191420443502</v>
      </c>
      <c r="E19" s="491">
        <f>'5.Proyección Ingresos'!D33</f>
        <v>36979.089309223644</v>
      </c>
      <c r="F19" s="491">
        <f>'5.Proyección Ingresos'!E33</f>
        <v>40014.931924463752</v>
      </c>
      <c r="G19" s="491">
        <f>'5.Proyección Ingresos'!F33</f>
        <v>43318.594231125084</v>
      </c>
      <c r="H19" s="492">
        <f>+'5.Proyección Ingresos'!G33</f>
        <v>46916.320571628661</v>
      </c>
      <c r="I19" s="472"/>
    </row>
    <row r="20" spans="1:10" ht="16.5">
      <c r="B20" s="486" t="s">
        <v>534</v>
      </c>
      <c r="C20" s="488"/>
      <c r="D20" s="686">
        <v>0.9</v>
      </c>
      <c r="E20" s="686">
        <v>0.88</v>
      </c>
      <c r="F20" s="686">
        <v>0.88</v>
      </c>
      <c r="G20" s="686">
        <v>0.88</v>
      </c>
      <c r="H20" s="687">
        <v>0.89</v>
      </c>
      <c r="I20" s="473"/>
    </row>
    <row r="21" spans="1:10" ht="13.5" thickBot="1">
      <c r="B21" s="486" t="s">
        <v>535</v>
      </c>
      <c r="C21" s="488"/>
      <c r="D21" s="493">
        <f>(D18+D19)*D20</f>
        <v>35351.272278399156</v>
      </c>
      <c r="E21" s="493">
        <f>(E18+E19)*E20</f>
        <v>35998.16743711583</v>
      </c>
      <c r="F21" s="493">
        <f>(F18+F19)*F20</f>
        <v>39532.920185982002</v>
      </c>
      <c r="G21" s="493">
        <f>(G18+G19)*G20</f>
        <v>42864.313345707917</v>
      </c>
      <c r="H21" s="494">
        <f>(H18+H19)*H20</f>
        <v>46957.69424661497</v>
      </c>
      <c r="I21" s="472"/>
      <c r="J21" s="13"/>
    </row>
    <row r="22" spans="1:10" ht="13.5" thickTop="1">
      <c r="B22" s="495" t="s">
        <v>536</v>
      </c>
      <c r="C22" s="490"/>
      <c r="D22" s="496">
        <f>D18+D19-D21</f>
        <v>3927.9191420443458</v>
      </c>
      <c r="E22" s="496">
        <f>E18+E19-E21</f>
        <v>4908.8410141521599</v>
      </c>
      <c r="F22" s="496">
        <f>F18+F19-F21</f>
        <v>5390.8527526339094</v>
      </c>
      <c r="G22" s="496">
        <f>G18+G19-G21</f>
        <v>5845.1336380510766</v>
      </c>
      <c r="H22" s="497">
        <f>H18+H19-H21</f>
        <v>5803.7599630647674</v>
      </c>
      <c r="I22" s="472"/>
    </row>
    <row r="23" spans="1:10">
      <c r="A23" s="13"/>
      <c r="B23" s="13"/>
      <c r="C23" s="13"/>
      <c r="D23" s="13"/>
      <c r="E23" s="13"/>
    </row>
    <row r="24" spans="1:10">
      <c r="A24" s="13"/>
      <c r="B24" s="13"/>
      <c r="C24" s="13"/>
      <c r="D24" s="13"/>
      <c r="E24" s="13"/>
    </row>
    <row r="25" spans="1:10">
      <c r="B25" s="481" t="s">
        <v>237</v>
      </c>
      <c r="C25" s="468"/>
      <c r="D25" s="275">
        <v>2005</v>
      </c>
      <c r="E25" s="275">
        <v>2006</v>
      </c>
      <c r="F25" s="275">
        <v>2007</v>
      </c>
      <c r="G25" s="275">
        <v>2008</v>
      </c>
      <c r="H25" s="273">
        <v>2009</v>
      </c>
      <c r="I25" s="34"/>
    </row>
    <row r="26" spans="1:10">
      <c r="B26" s="486" t="s">
        <v>532</v>
      </c>
      <c r="C26" s="488"/>
      <c r="D26" s="710">
        <v>293</v>
      </c>
      <c r="E26" s="491">
        <f>+D30</f>
        <v>685.10607200000004</v>
      </c>
      <c r="F26" s="491">
        <f>+E30</f>
        <v>775.93820096000013</v>
      </c>
      <c r="G26" s="491">
        <f>+F30</f>
        <v>355.94594905600002</v>
      </c>
      <c r="H26" s="492">
        <f>+G30</f>
        <v>231.79583690239997</v>
      </c>
      <c r="I26" s="472"/>
    </row>
    <row r="27" spans="1:10">
      <c r="B27" s="486" t="s">
        <v>533</v>
      </c>
      <c r="C27" s="488"/>
      <c r="D27" s="491">
        <f>+'5.Proyección Ingresos'!D67</f>
        <v>1568.4242880000002</v>
      </c>
      <c r="E27" s="491">
        <f>+'5.Proyección Ingresos'!E67</f>
        <v>1254.7394304000002</v>
      </c>
      <c r="F27" s="491">
        <f>+'5.Proyección Ingresos'!F67</f>
        <v>1003.7915443200002</v>
      </c>
      <c r="G27" s="491">
        <f>+'5.Proyección Ingresos'!G67</f>
        <v>803.03323545600017</v>
      </c>
      <c r="H27" s="492">
        <f>+'5.Proyección Ingresos'!H67</f>
        <v>642.42658836480018</v>
      </c>
      <c r="I27" s="472"/>
    </row>
    <row r="28" spans="1:10" ht="16.5">
      <c r="B28" s="486" t="s">
        <v>534</v>
      </c>
      <c r="C28" s="488"/>
      <c r="D28" s="686">
        <v>0.75</v>
      </c>
      <c r="E28" s="686">
        <v>0.6</v>
      </c>
      <c r="F28" s="686">
        <v>0.8</v>
      </c>
      <c r="G28" s="686">
        <v>0.8</v>
      </c>
      <c r="H28" s="687">
        <v>0.85</v>
      </c>
      <c r="I28" s="473"/>
    </row>
    <row r="29" spans="1:10" ht="13.5" thickBot="1">
      <c r="B29" s="486" t="s">
        <v>535</v>
      </c>
      <c r="C29" s="488"/>
      <c r="D29" s="493">
        <f>D27*D28</f>
        <v>1176.3182160000001</v>
      </c>
      <c r="E29" s="493">
        <f>(E27+E26)*E28</f>
        <v>1163.9073014400001</v>
      </c>
      <c r="F29" s="493">
        <f>(F27+F26)*F28</f>
        <v>1423.7837962240003</v>
      </c>
      <c r="G29" s="493">
        <f>(G26+G27)*G28</f>
        <v>927.18334760960033</v>
      </c>
      <c r="H29" s="494">
        <f>(H26+H27)*H28</f>
        <v>743.08906147712014</v>
      </c>
      <c r="I29" s="472"/>
    </row>
    <row r="30" spans="1:10" ht="13.5" thickTop="1">
      <c r="B30" s="495" t="s">
        <v>536</v>
      </c>
      <c r="C30" s="490"/>
      <c r="D30" s="496">
        <f>D26+D27-D29</f>
        <v>685.10607200000004</v>
      </c>
      <c r="E30" s="496">
        <f>E26+E27-E29</f>
        <v>775.93820096000013</v>
      </c>
      <c r="F30" s="496">
        <f>F26+F27-F29</f>
        <v>355.94594905600002</v>
      </c>
      <c r="G30" s="496">
        <f>G26+G27-G29</f>
        <v>231.79583690239997</v>
      </c>
      <c r="H30" s="497">
        <f>H26+H27-H29</f>
        <v>131.13336379008001</v>
      </c>
      <c r="I30" s="472"/>
    </row>
    <row r="31" spans="1:10">
      <c r="A31" s="13"/>
      <c r="B31" s="13"/>
      <c r="C31" s="13"/>
      <c r="D31" s="13"/>
      <c r="E31" s="13"/>
    </row>
    <row r="32" spans="1:10">
      <c r="A32" s="13"/>
      <c r="B32" s="13"/>
      <c r="C32" s="13"/>
      <c r="D32" s="13"/>
      <c r="E32" s="13"/>
    </row>
    <row r="33" spans="1:11">
      <c r="A33" s="13"/>
      <c r="B33" s="14"/>
      <c r="C33" s="13"/>
      <c r="D33" s="13"/>
      <c r="E33" s="13"/>
    </row>
    <row r="34" spans="1:11">
      <c r="A34" s="13"/>
      <c r="B34" s="14"/>
      <c r="C34" s="13"/>
      <c r="D34" s="13"/>
      <c r="E34" s="13"/>
    </row>
    <row r="35" spans="1:11" ht="14.25">
      <c r="A35" s="13"/>
      <c r="B35" s="14"/>
      <c r="C35" s="13"/>
      <c r="D35" s="603"/>
      <c r="E35" s="13"/>
    </row>
    <row r="36" spans="1:11">
      <c r="A36" s="13"/>
      <c r="B36" s="14"/>
      <c r="C36" s="13"/>
      <c r="D36" s="13"/>
      <c r="E36" s="13"/>
    </row>
    <row r="37" spans="1:11">
      <c r="A37" s="13"/>
      <c r="B37" s="14"/>
      <c r="C37" s="13"/>
      <c r="D37" s="13"/>
      <c r="E37" s="13"/>
    </row>
    <row r="38" spans="1:11" ht="14.25">
      <c r="C38" s="604" t="s">
        <v>564</v>
      </c>
      <c r="D38" s="604"/>
      <c r="E38" s="604"/>
      <c r="F38" s="604"/>
      <c r="G38" s="605"/>
      <c r="J38" s="608"/>
      <c r="K38" s="13"/>
    </row>
    <row r="39" spans="1:11" ht="14.25">
      <c r="C39" s="609"/>
      <c r="D39" s="609"/>
      <c r="E39" s="609"/>
      <c r="F39" s="609"/>
      <c r="G39" s="610"/>
      <c r="J39" s="608"/>
      <c r="K39" s="13"/>
    </row>
    <row r="40" spans="1:11">
      <c r="J40" s="445"/>
      <c r="K40" s="13"/>
    </row>
    <row r="41" spans="1:11">
      <c r="B41" s="482"/>
      <c r="C41" s="483"/>
      <c r="D41" s="484">
        <v>2005</v>
      </c>
      <c r="E41" s="484">
        <v>2006</v>
      </c>
      <c r="F41" s="484">
        <v>2007</v>
      </c>
      <c r="G41" s="484">
        <v>2008</v>
      </c>
      <c r="H41" s="485">
        <v>2009</v>
      </c>
      <c r="I41" s="474"/>
      <c r="J41" s="13"/>
    </row>
    <row r="42" spans="1:11">
      <c r="B42" s="328" t="s">
        <v>565</v>
      </c>
      <c r="C42" s="45"/>
      <c r="D42" s="606">
        <f>+D22</f>
        <v>3927.9191420443458</v>
      </c>
      <c r="E42" s="606">
        <f>+E22</f>
        <v>4908.8410141521599</v>
      </c>
      <c r="F42" s="606">
        <f>+F22</f>
        <v>5390.8527526339094</v>
      </c>
      <c r="G42" s="606">
        <f>+G22</f>
        <v>5845.1336380510766</v>
      </c>
      <c r="H42" s="607">
        <f>+H22</f>
        <v>5803.7599630647674</v>
      </c>
      <c r="I42" s="476"/>
    </row>
    <row r="43" spans="1:11" ht="17.25" thickBot="1">
      <c r="B43" s="3" t="s">
        <v>588</v>
      </c>
      <c r="C43" s="45"/>
      <c r="D43" s="688">
        <v>0.5</v>
      </c>
      <c r="E43" s="689">
        <v>0.5</v>
      </c>
      <c r="F43" s="689">
        <v>0.5</v>
      </c>
      <c r="G43" s="688">
        <v>0.5</v>
      </c>
      <c r="H43" s="690">
        <v>0.5</v>
      </c>
      <c r="I43" s="472"/>
    </row>
    <row r="44" spans="1:11" ht="13.5" thickTop="1">
      <c r="B44" s="330" t="s">
        <v>215</v>
      </c>
      <c r="C44" s="471"/>
      <c r="D44" s="515">
        <f>D43*D42</f>
        <v>1963.9595710221729</v>
      </c>
      <c r="E44" s="516">
        <f>E42*E43</f>
        <v>2454.42050707608</v>
      </c>
      <c r="F44" s="516">
        <f>F42*F43</f>
        <v>2695.4263763169547</v>
      </c>
      <c r="G44" s="515">
        <f>G42*G43</f>
        <v>2922.5668190255383</v>
      </c>
      <c r="H44" s="517">
        <f>H42*H43</f>
        <v>2901.8799815323837</v>
      </c>
      <c r="I44" s="477"/>
    </row>
    <row r="46" spans="1:11">
      <c r="A46" s="13"/>
      <c r="B46" s="14"/>
      <c r="C46" s="13"/>
      <c r="D46" s="13"/>
      <c r="E46" s="13"/>
    </row>
    <row r="47" spans="1:11">
      <c r="A47" s="13"/>
      <c r="B47" s="14"/>
      <c r="C47" s="13"/>
      <c r="D47" s="13"/>
      <c r="E47" s="13"/>
    </row>
    <row r="48" spans="1:11">
      <c r="A48" s="13"/>
      <c r="B48" s="228" t="s">
        <v>456</v>
      </c>
      <c r="C48" s="13"/>
      <c r="D48" s="13"/>
      <c r="E48" s="13"/>
    </row>
    <row r="49" spans="1:12">
      <c r="A49" s="13"/>
      <c r="B49" s="14"/>
      <c r="C49" s="13"/>
      <c r="D49" s="13"/>
      <c r="E49" s="13"/>
    </row>
    <row r="50" spans="1:12">
      <c r="A50" s="13"/>
      <c r="B50" s="14"/>
      <c r="C50" s="13"/>
      <c r="D50" s="13"/>
      <c r="E50" s="13"/>
    </row>
    <row r="51" spans="1:12">
      <c r="A51" s="13"/>
      <c r="B51" s="13"/>
      <c r="C51" s="13"/>
      <c r="D51" s="13"/>
      <c r="E51" s="13"/>
    </row>
    <row r="52" spans="1:12" ht="14.25">
      <c r="A52" s="13"/>
      <c r="B52" s="13"/>
      <c r="C52" s="821" t="s">
        <v>550</v>
      </c>
      <c r="D52" s="821"/>
    </row>
    <row r="53" spans="1:12">
      <c r="A53" s="13"/>
      <c r="B53" s="13"/>
      <c r="C53" s="13"/>
      <c r="D53" s="13"/>
      <c r="E53" s="13"/>
    </row>
    <row r="54" spans="1:12">
      <c r="A54" s="13"/>
      <c r="B54" s="14"/>
      <c r="C54" s="13"/>
      <c r="D54" s="13"/>
      <c r="E54" s="13"/>
    </row>
    <row r="55" spans="1:12">
      <c r="B55" s="815" t="s">
        <v>538</v>
      </c>
      <c r="C55" s="816"/>
      <c r="D55" s="816"/>
      <c r="E55" s="817"/>
    </row>
    <row r="56" spans="1:12" ht="15">
      <c r="B56" s="486" t="s">
        <v>306</v>
      </c>
      <c r="C56" s="697"/>
      <c r="D56" s="694"/>
      <c r="E56" s="691">
        <v>0.05</v>
      </c>
      <c r="G56" s="17"/>
    </row>
    <row r="57" spans="1:12" ht="15">
      <c r="B57" s="487" t="s">
        <v>539</v>
      </c>
      <c r="C57" s="488"/>
      <c r="D57" s="695"/>
      <c r="E57" s="692">
        <v>0.1</v>
      </c>
      <c r="G57" s="17"/>
    </row>
    <row r="58" spans="1:12" ht="15">
      <c r="B58" s="489" t="s">
        <v>540</v>
      </c>
      <c r="C58" s="490"/>
      <c r="D58" s="696"/>
      <c r="E58" s="693">
        <v>0.33329999999999999</v>
      </c>
      <c r="G58" s="17"/>
    </row>
    <row r="60" spans="1:12">
      <c r="B60" s="519" t="s">
        <v>571</v>
      </c>
    </row>
    <row r="61" spans="1:12" ht="13.5" thickBot="1">
      <c r="J61" s="13"/>
      <c r="K61" s="17"/>
      <c r="L61" s="478"/>
    </row>
    <row r="62" spans="1:12" ht="13.5" thickBot="1">
      <c r="B62" s="292" t="s">
        <v>240</v>
      </c>
      <c r="C62" s="740" t="s">
        <v>258</v>
      </c>
      <c r="D62" s="275">
        <v>2005</v>
      </c>
      <c r="E62" s="275">
        <v>2006</v>
      </c>
      <c r="F62" s="275">
        <v>2007</v>
      </c>
      <c r="G62" s="275">
        <v>2008</v>
      </c>
      <c r="H62" s="273">
        <v>2009</v>
      </c>
      <c r="I62" s="474"/>
      <c r="J62" s="542"/>
      <c r="K62" s="543" t="s">
        <v>542</v>
      </c>
      <c r="L62" s="544"/>
    </row>
    <row r="63" spans="1:12" ht="16.5" thickTop="1" thickBot="1">
      <c r="B63" s="487" t="s">
        <v>532</v>
      </c>
      <c r="C63" s="712">
        <v>10551</v>
      </c>
      <c r="D63" s="491">
        <f>+C63+K64</f>
        <v>11451</v>
      </c>
      <c r="E63" s="491">
        <f>D63+K65</f>
        <v>12351</v>
      </c>
      <c r="F63" s="491">
        <f>E63+K66</f>
        <v>13251</v>
      </c>
      <c r="G63" s="491">
        <f>F63+K67</f>
        <v>14151</v>
      </c>
      <c r="H63" s="492">
        <f>+'7.Balance Proyectado'!I35</f>
        <v>14151</v>
      </c>
      <c r="I63" s="475"/>
      <c r="J63" s="590" t="s">
        <v>106</v>
      </c>
      <c r="K63" s="591" t="s">
        <v>107</v>
      </c>
      <c r="L63" s="592" t="s">
        <v>544</v>
      </c>
    </row>
    <row r="64" spans="1:12" ht="16.5" thickTop="1" thickBot="1">
      <c r="B64" s="487" t="s">
        <v>541</v>
      </c>
      <c r="C64" s="488"/>
      <c r="D64" s="493">
        <f>D63*E56</f>
        <v>572.55000000000007</v>
      </c>
      <c r="E64" s="493">
        <f>+D64+L65</f>
        <v>617.55000000000007</v>
      </c>
      <c r="F64" s="493">
        <f>+E64+L66</f>
        <v>662.55000000000007</v>
      </c>
      <c r="G64" s="500">
        <f>F64+L67</f>
        <v>707.55000000000007</v>
      </c>
      <c r="H64" s="501">
        <f>+G64</f>
        <v>707.55000000000007</v>
      </c>
      <c r="I64" s="587"/>
      <c r="J64" s="588">
        <v>2005</v>
      </c>
      <c r="K64" s="698">
        <v>900</v>
      </c>
      <c r="L64" s="594">
        <f>K64*E56</f>
        <v>45</v>
      </c>
    </row>
    <row r="65" spans="2:12" ht="15.75" thickTop="1">
      <c r="B65" s="489" t="s">
        <v>536</v>
      </c>
      <c r="C65" s="490"/>
      <c r="D65" s="496">
        <f>D63-D64</f>
        <v>10878.45</v>
      </c>
      <c r="E65" s="496">
        <f>E63-E64</f>
        <v>11733.45</v>
      </c>
      <c r="F65" s="496">
        <f>F63-F64</f>
        <v>12588.45</v>
      </c>
      <c r="G65" s="502">
        <f>G63-G64</f>
        <v>13443.45</v>
      </c>
      <c r="H65" s="503">
        <f>H63-H64</f>
        <v>13443.45</v>
      </c>
      <c r="I65" s="587"/>
      <c r="J65" s="588">
        <v>2006</v>
      </c>
      <c r="K65" s="698">
        <v>900</v>
      </c>
      <c r="L65" s="589">
        <f>K65*E56</f>
        <v>45</v>
      </c>
    </row>
    <row r="66" spans="2:12" ht="15">
      <c r="B66" s="611" t="s">
        <v>183</v>
      </c>
      <c r="C66" s="612"/>
      <c r="D66" s="613">
        <f>+K64</f>
        <v>900</v>
      </c>
      <c r="E66" s="613">
        <f>+E63-D63</f>
        <v>900</v>
      </c>
      <c r="F66" s="613">
        <f>+F63-E63</f>
        <v>900</v>
      </c>
      <c r="G66" s="613">
        <f>+G63-F63</f>
        <v>900</v>
      </c>
      <c r="H66" s="614">
        <f>+H63-G63</f>
        <v>0</v>
      </c>
      <c r="I66" s="593"/>
      <c r="J66" s="588">
        <v>2007</v>
      </c>
      <c r="K66" s="698">
        <v>900</v>
      </c>
      <c r="L66" s="589">
        <f>K66*E56</f>
        <v>45</v>
      </c>
    </row>
    <row r="67" spans="2:12" ht="15.75" thickBot="1">
      <c r="E67" s="17"/>
      <c r="J67" s="545">
        <v>2008</v>
      </c>
      <c r="K67" s="699">
        <v>900</v>
      </c>
      <c r="L67" s="595">
        <f>K67*E56</f>
        <v>45</v>
      </c>
    </row>
    <row r="68" spans="2:12">
      <c r="B68" s="519" t="s">
        <v>241</v>
      </c>
      <c r="G68" s="17"/>
    </row>
    <row r="70" spans="2:12" ht="13.5" thickBot="1"/>
    <row r="71" spans="2:12" ht="13.5" thickBot="1">
      <c r="B71" s="470"/>
      <c r="C71" s="740" t="s">
        <v>258</v>
      </c>
      <c r="D71" s="275">
        <v>2005</v>
      </c>
      <c r="E71" s="275">
        <v>2006</v>
      </c>
      <c r="F71" s="275">
        <v>2007</v>
      </c>
      <c r="G71" s="275">
        <v>2008</v>
      </c>
      <c r="H71" s="273">
        <v>2009</v>
      </c>
      <c r="I71" s="474"/>
      <c r="J71" s="818" t="s">
        <v>543</v>
      </c>
      <c r="K71" s="819"/>
      <c r="L71" s="820"/>
    </row>
    <row r="72" spans="2:12" ht="16.5" thickTop="1" thickBot="1">
      <c r="B72" s="487" t="s">
        <v>532</v>
      </c>
      <c r="C72" s="712">
        <v>4351</v>
      </c>
      <c r="D72" s="491">
        <f>+C72</f>
        <v>4351</v>
      </c>
      <c r="E72" s="491">
        <f>+D72</f>
        <v>4351</v>
      </c>
      <c r="F72" s="491">
        <f>E72+K73</f>
        <v>4441</v>
      </c>
      <c r="G72" s="491">
        <f>F72+K74</f>
        <v>4534</v>
      </c>
      <c r="H72" s="492">
        <f>G72+K75</f>
        <v>4627</v>
      </c>
      <c r="I72" s="369"/>
      <c r="J72" s="538" t="s">
        <v>106</v>
      </c>
      <c r="K72" s="539" t="s">
        <v>107</v>
      </c>
      <c r="L72" s="540" t="s">
        <v>544</v>
      </c>
    </row>
    <row r="73" spans="2:12" ht="16.5" thickTop="1" thickBot="1">
      <c r="B73" s="487" t="s">
        <v>541</v>
      </c>
      <c r="C73" s="488"/>
      <c r="D73" s="493">
        <f>D72*E57</f>
        <v>435.1</v>
      </c>
      <c r="E73" s="493">
        <f>+D73</f>
        <v>435.1</v>
      </c>
      <c r="F73" s="493">
        <f>E73+(K73*E57)</f>
        <v>444.1</v>
      </c>
      <c r="G73" s="493">
        <f>F73+L74</f>
        <v>453.40000000000003</v>
      </c>
      <c r="H73" s="494">
        <f>G73+L75</f>
        <v>462.70000000000005</v>
      </c>
      <c r="I73" s="472"/>
      <c r="J73" s="525">
        <v>2007</v>
      </c>
      <c r="K73" s="700">
        <v>90</v>
      </c>
      <c r="L73" s="541">
        <f>K73*E57</f>
        <v>9</v>
      </c>
    </row>
    <row r="74" spans="2:12" ht="15.75" thickTop="1">
      <c r="B74" s="489" t="s">
        <v>536</v>
      </c>
      <c r="C74" s="490"/>
      <c r="D74" s="496">
        <f>D72-D73</f>
        <v>3915.9</v>
      </c>
      <c r="E74" s="496">
        <f>E72-E73</f>
        <v>3915.9</v>
      </c>
      <c r="F74" s="496">
        <f>F72-F73</f>
        <v>3996.9</v>
      </c>
      <c r="G74" s="496">
        <f>G72-G73</f>
        <v>4080.6</v>
      </c>
      <c r="H74" s="497">
        <f>H72-H73</f>
        <v>4164.3</v>
      </c>
      <c r="I74" s="369"/>
      <c r="J74" s="525">
        <v>2008</v>
      </c>
      <c r="K74" s="700">
        <v>93</v>
      </c>
      <c r="L74" s="529">
        <f>K74*E57</f>
        <v>9.3000000000000007</v>
      </c>
    </row>
    <row r="75" spans="2:12" ht="15.75" thickBot="1">
      <c r="B75" s="611" t="s">
        <v>183</v>
      </c>
      <c r="C75" s="612"/>
      <c r="D75" s="612">
        <v>0</v>
      </c>
      <c r="E75" s="613">
        <f>+E72-D72</f>
        <v>0</v>
      </c>
      <c r="F75" s="613">
        <f>+F72-E72</f>
        <v>90</v>
      </c>
      <c r="G75" s="613">
        <f>+G72-F72</f>
        <v>93</v>
      </c>
      <c r="H75" s="614">
        <f>+H72-G72</f>
        <v>93</v>
      </c>
      <c r="J75" s="530">
        <v>2009</v>
      </c>
      <c r="K75" s="701">
        <v>93</v>
      </c>
      <c r="L75" s="531">
        <f>K75*E57</f>
        <v>9.3000000000000007</v>
      </c>
    </row>
    <row r="78" spans="2:12">
      <c r="B78" s="2" t="s">
        <v>242</v>
      </c>
    </row>
    <row r="80" spans="2:12" ht="13.5" thickBot="1"/>
    <row r="81" spans="2:12" ht="13.5" thickBot="1">
      <c r="B81" s="292"/>
      <c r="C81" s="740" t="s">
        <v>258</v>
      </c>
      <c r="D81" s="275">
        <v>2005</v>
      </c>
      <c r="E81" s="275">
        <v>2006</v>
      </c>
      <c r="F81" s="275">
        <v>2007</v>
      </c>
      <c r="G81" s="275">
        <v>2008</v>
      </c>
      <c r="H81" s="273">
        <v>2009</v>
      </c>
      <c r="I81" s="474"/>
      <c r="J81" s="818" t="s">
        <v>108</v>
      </c>
      <c r="K81" s="819"/>
      <c r="L81" s="820"/>
    </row>
    <row r="82" spans="2:12" ht="16.5" thickTop="1" thickBot="1">
      <c r="B82" s="487" t="s">
        <v>532</v>
      </c>
      <c r="C82" s="712">
        <v>5497</v>
      </c>
      <c r="D82" s="491">
        <f>C82</f>
        <v>5497</v>
      </c>
      <c r="E82" s="491">
        <f>D82+K83</f>
        <v>6297</v>
      </c>
      <c r="F82" s="491">
        <f>E82+K84</f>
        <v>7097</v>
      </c>
      <c r="G82" s="491">
        <f>F82+K85</f>
        <v>7897</v>
      </c>
      <c r="H82" s="492">
        <f>G82+K86</f>
        <v>8697</v>
      </c>
      <c r="I82" s="369"/>
      <c r="J82" s="533" t="s">
        <v>106</v>
      </c>
      <c r="K82" s="518" t="s">
        <v>107</v>
      </c>
      <c r="L82" s="534" t="s">
        <v>544</v>
      </c>
    </row>
    <row r="83" spans="2:12" ht="14.25" thickTop="1" thickBot="1">
      <c r="B83" s="487" t="s">
        <v>541</v>
      </c>
      <c r="C83" s="488"/>
      <c r="D83" s="493">
        <f>D82*E58</f>
        <v>1832.1500999999998</v>
      </c>
      <c r="E83" s="493">
        <f>+D83</f>
        <v>1832.1500999999998</v>
      </c>
      <c r="F83" s="493">
        <f>E83+L84</f>
        <v>2098.7900999999997</v>
      </c>
      <c r="G83" s="493">
        <f>F83+L85-E83</f>
        <v>533.27999999999975</v>
      </c>
      <c r="H83" s="494">
        <f>G83+L86</f>
        <v>799.91999999999973</v>
      </c>
      <c r="I83" s="472"/>
      <c r="J83" s="523">
        <v>2006</v>
      </c>
      <c r="K83" s="702">
        <v>800</v>
      </c>
      <c r="L83" s="535">
        <f>K83*E58</f>
        <v>266.64</v>
      </c>
    </row>
    <row r="84" spans="2:12" ht="13.5" thickTop="1">
      <c r="B84" s="489" t="s">
        <v>536</v>
      </c>
      <c r="C84" s="490"/>
      <c r="D84" s="496">
        <f>D82-D83</f>
        <v>3664.8499000000002</v>
      </c>
      <c r="E84" s="496">
        <f>E82-E83</f>
        <v>4464.8499000000002</v>
      </c>
      <c r="F84" s="496">
        <f>F82-F83</f>
        <v>4998.2098999999998</v>
      </c>
      <c r="G84" s="496">
        <f>G82-G83</f>
        <v>7363.72</v>
      </c>
      <c r="H84" s="497">
        <f>H82-H83</f>
        <v>7897.08</v>
      </c>
      <c r="I84" s="369"/>
      <c r="J84" s="525">
        <v>2007</v>
      </c>
      <c r="K84" s="703">
        <v>800</v>
      </c>
      <c r="L84" s="536">
        <f>K84*E58</f>
        <v>266.64</v>
      </c>
    </row>
    <row r="85" spans="2:12">
      <c r="B85" s="611" t="s">
        <v>183</v>
      </c>
      <c r="C85" s="612"/>
      <c r="D85" s="612">
        <v>0</v>
      </c>
      <c r="E85" s="613">
        <f>+E82-D82</f>
        <v>800</v>
      </c>
      <c r="F85" s="613">
        <f>+F82-E82</f>
        <v>800</v>
      </c>
      <c r="G85" s="613">
        <f>+G82-F82</f>
        <v>800</v>
      </c>
      <c r="H85" s="614">
        <f>+H82-G82</f>
        <v>800</v>
      </c>
      <c r="J85" s="525">
        <v>2008</v>
      </c>
      <c r="K85" s="703">
        <v>800</v>
      </c>
      <c r="L85" s="536">
        <f>K85*E58</f>
        <v>266.64</v>
      </c>
    </row>
    <row r="86" spans="2:12" ht="13.5" thickBot="1">
      <c r="J86" s="530">
        <v>2009</v>
      </c>
      <c r="K86" s="704">
        <v>800</v>
      </c>
      <c r="L86" s="537">
        <f>K86*E58</f>
        <v>266.64</v>
      </c>
    </row>
    <row r="87" spans="2:12">
      <c r="D87" s="17"/>
      <c r="E87" s="17"/>
    </row>
    <row r="88" spans="2:12" ht="13.5" thickBot="1"/>
    <row r="89" spans="2:12" ht="14.25" thickTop="1" thickBot="1">
      <c r="C89" s="824" t="s">
        <v>549</v>
      </c>
      <c r="D89" s="507">
        <v>2005</v>
      </c>
      <c r="E89" s="508">
        <v>2006</v>
      </c>
      <c r="F89" s="508">
        <v>2007</v>
      </c>
      <c r="G89" s="508">
        <v>2008</v>
      </c>
      <c r="H89" s="509">
        <v>2009</v>
      </c>
      <c r="I89" s="474"/>
    </row>
    <row r="90" spans="2:12" ht="22.5" customHeight="1" thickTop="1" thickBot="1">
      <c r="C90" s="824"/>
      <c r="D90" s="504">
        <f>D64+D73+D83</f>
        <v>2839.8000999999999</v>
      </c>
      <c r="E90" s="505">
        <f>E64+E73+E83</f>
        <v>2884.8000999999999</v>
      </c>
      <c r="F90" s="505">
        <f>F64+F73+F83</f>
        <v>3205.4400999999998</v>
      </c>
      <c r="G90" s="505">
        <f>G64+G73+G83</f>
        <v>1694.2299999999998</v>
      </c>
      <c r="H90" s="506">
        <f>H64+H73+H83</f>
        <v>1970.1699999999996</v>
      </c>
      <c r="I90" s="369"/>
    </row>
    <row r="91" spans="2:12" ht="22.5" customHeight="1" thickTop="1">
      <c r="C91" s="586"/>
      <c r="I91" s="369"/>
    </row>
    <row r="92" spans="2:12" ht="12" customHeight="1">
      <c r="C92" s="826" t="s">
        <v>579</v>
      </c>
      <c r="D92" s="275">
        <v>2005</v>
      </c>
      <c r="E92" s="275">
        <v>2006</v>
      </c>
      <c r="F92" s="275">
        <v>2007</v>
      </c>
      <c r="G92" s="275">
        <v>2008</v>
      </c>
      <c r="H92" s="273">
        <v>2009</v>
      </c>
      <c r="I92" s="369"/>
    </row>
    <row r="93" spans="2:12" ht="22.5" customHeight="1">
      <c r="C93" s="826"/>
      <c r="D93" s="615">
        <f>+D85+D75+D66</f>
        <v>900</v>
      </c>
      <c r="E93" s="616">
        <f>+E85+E75+E66</f>
        <v>1700</v>
      </c>
      <c r="F93" s="616">
        <f>+F85+F75+F66</f>
        <v>1790</v>
      </c>
      <c r="G93" s="616">
        <f>+G85+G75+G66</f>
        <v>1793</v>
      </c>
      <c r="H93" s="617">
        <f>+H85+H75+H66</f>
        <v>893</v>
      </c>
      <c r="I93" s="369"/>
    </row>
    <row r="94" spans="2:12">
      <c r="B94" s="2"/>
      <c r="D94" s="17"/>
      <c r="E94" s="17"/>
      <c r="F94" s="17"/>
      <c r="G94" s="17"/>
      <c r="H94" s="17"/>
      <c r="I94" s="369"/>
    </row>
    <row r="95" spans="2:12">
      <c r="B95" s="2"/>
      <c r="D95" s="17"/>
      <c r="E95" s="17"/>
      <c r="F95" s="17"/>
      <c r="G95" s="17"/>
      <c r="H95" s="17"/>
      <c r="I95" s="369"/>
    </row>
    <row r="96" spans="2:12">
      <c r="B96" s="554" t="s">
        <v>456</v>
      </c>
    </row>
    <row r="97" spans="2:12">
      <c r="B97" s="555"/>
    </row>
    <row r="98" spans="2:12" ht="14.25">
      <c r="E98" s="825" t="s">
        <v>135</v>
      </c>
      <c r="F98" s="825"/>
    </row>
    <row r="99" spans="2:12">
      <c r="E99" s="368"/>
    </row>
    <row r="100" spans="2:12">
      <c r="B100" s="2" t="s">
        <v>245</v>
      </c>
      <c r="E100" s="368"/>
    </row>
    <row r="102" spans="2:12" ht="13.5" thickBot="1">
      <c r="K102" s="23"/>
    </row>
    <row r="103" spans="2:12" ht="13.5" thickBot="1">
      <c r="B103" s="292" t="s">
        <v>245</v>
      </c>
      <c r="C103" s="468"/>
      <c r="D103" s="275">
        <v>2005</v>
      </c>
      <c r="E103" s="275">
        <v>2006</v>
      </c>
      <c r="F103" s="275">
        <v>2007</v>
      </c>
      <c r="G103" s="275">
        <v>2008</v>
      </c>
      <c r="H103" s="273">
        <v>2009</v>
      </c>
      <c r="I103" s="474"/>
      <c r="J103" s="818" t="s">
        <v>546</v>
      </c>
      <c r="K103" s="819"/>
      <c r="L103" s="820"/>
    </row>
    <row r="104" spans="2:12" ht="16.5" thickTop="1" thickBot="1">
      <c r="B104" s="487" t="s">
        <v>532</v>
      </c>
      <c r="C104" s="488"/>
      <c r="D104" s="712">
        <v>2338.7115899999999</v>
      </c>
      <c r="E104" s="491">
        <f>+D106</f>
        <v>1870.9692719999998</v>
      </c>
      <c r="F104" s="491">
        <f>E106+K105</f>
        <v>2153.2269539999998</v>
      </c>
      <c r="G104" s="491">
        <f>F106+K106</f>
        <v>2330.4846359999997</v>
      </c>
      <c r="H104" s="492">
        <f>G106+K107</f>
        <v>2288.7423179999996</v>
      </c>
      <c r="I104" s="369"/>
      <c r="J104" s="520" t="s">
        <v>106</v>
      </c>
      <c r="K104" s="521" t="s">
        <v>107</v>
      </c>
      <c r="L104" s="522" t="s">
        <v>547</v>
      </c>
    </row>
    <row r="105" spans="2:12" ht="16.5" thickTop="1" thickBot="1">
      <c r="B105" s="487" t="s">
        <v>545</v>
      </c>
      <c r="C105" s="488"/>
      <c r="D105" s="493">
        <f>D104*20%</f>
        <v>467.74231800000001</v>
      </c>
      <c r="E105" s="493">
        <f>+D105</f>
        <v>467.74231800000001</v>
      </c>
      <c r="F105" s="493">
        <f>E105+F110+F111</f>
        <v>542.74231800000007</v>
      </c>
      <c r="G105" s="493">
        <f>E105+L105+L106</f>
        <v>761.74231800000007</v>
      </c>
      <c r="H105" s="494">
        <f>(F105+L106)+L107</f>
        <v>830.74231800000007</v>
      </c>
      <c r="I105" s="472"/>
      <c r="J105" s="523">
        <v>2007</v>
      </c>
      <c r="K105" s="705">
        <v>750</v>
      </c>
      <c r="L105" s="524">
        <f>K105*K108</f>
        <v>150</v>
      </c>
    </row>
    <row r="106" spans="2:12" ht="15.75" thickTop="1">
      <c r="B106" s="489" t="s">
        <v>536</v>
      </c>
      <c r="C106" s="490"/>
      <c r="D106" s="496">
        <f>D104-D105</f>
        <v>1870.9692719999998</v>
      </c>
      <c r="E106" s="496">
        <f>E104-E105</f>
        <v>1403.2269539999998</v>
      </c>
      <c r="F106" s="496">
        <f>F104-F105</f>
        <v>1610.4846359999997</v>
      </c>
      <c r="G106" s="496">
        <f>G104-G105</f>
        <v>1568.7423179999996</v>
      </c>
      <c r="H106" s="497">
        <f>H104-H105</f>
        <v>1457.9999999999995</v>
      </c>
      <c r="I106" s="369"/>
      <c r="J106" s="525">
        <v>2008</v>
      </c>
      <c r="K106" s="706">
        <v>720</v>
      </c>
      <c r="L106" s="524">
        <f>K106*K108</f>
        <v>144</v>
      </c>
    </row>
    <row r="107" spans="2:12" ht="15.75" thickBot="1">
      <c r="B107" s="26"/>
      <c r="C107" s="26"/>
      <c r="D107" s="26"/>
      <c r="E107" s="369"/>
      <c r="F107" s="369"/>
      <c r="G107" s="369"/>
      <c r="J107" s="525">
        <v>2009</v>
      </c>
      <c r="K107" s="706">
        <v>720</v>
      </c>
      <c r="L107" s="524">
        <f>K107*K108</f>
        <v>144</v>
      </c>
    </row>
    <row r="108" spans="2:12" ht="15.75" thickBot="1">
      <c r="B108" s="707" t="s">
        <v>619</v>
      </c>
      <c r="J108" s="526" t="s">
        <v>548</v>
      </c>
      <c r="K108" s="822">
        <v>0.2</v>
      </c>
      <c r="L108" s="823"/>
    </row>
    <row r="109" spans="2:12">
      <c r="B109" s="707" t="s">
        <v>620</v>
      </c>
      <c r="J109" s="709"/>
      <c r="K109" s="367"/>
      <c r="L109" s="367"/>
    </row>
    <row r="110" spans="2:12" ht="15">
      <c r="B110" s="510" t="s">
        <v>621</v>
      </c>
      <c r="D110" s="2"/>
      <c r="E110" s="23"/>
      <c r="F110" s="708">
        <v>75</v>
      </c>
      <c r="J110" s="366"/>
      <c r="K110" s="367"/>
      <c r="L110" s="13"/>
    </row>
    <row r="111" spans="2:12" ht="15">
      <c r="B111" s="510" t="s">
        <v>618</v>
      </c>
      <c r="D111" s="2"/>
      <c r="E111" s="23"/>
      <c r="F111" s="708">
        <v>0</v>
      </c>
      <c r="J111" s="366"/>
      <c r="K111" s="367"/>
      <c r="L111" s="13"/>
    </row>
    <row r="112" spans="2:12">
      <c r="B112" s="510"/>
      <c r="D112" s="2"/>
      <c r="E112" s="23"/>
      <c r="F112" s="518"/>
      <c r="J112" s="366"/>
      <c r="K112" s="367"/>
      <c r="L112" s="13"/>
    </row>
    <row r="113" spans="2:12">
      <c r="B113" s="519" t="s">
        <v>246</v>
      </c>
      <c r="D113" s="2"/>
      <c r="E113" s="23"/>
      <c r="F113" s="518"/>
      <c r="J113" s="366"/>
      <c r="K113" s="367"/>
      <c r="L113" s="13"/>
    </row>
    <row r="115" spans="2:12" ht="13.5" thickBot="1"/>
    <row r="116" spans="2:12" ht="13.5" thickBot="1">
      <c r="B116" s="292" t="s">
        <v>246</v>
      </c>
      <c r="C116" s="468"/>
      <c r="D116" s="275">
        <v>2005</v>
      </c>
      <c r="E116" s="275">
        <v>2006</v>
      </c>
      <c r="F116" s="275">
        <v>2007</v>
      </c>
      <c r="G116" s="275">
        <v>2008</v>
      </c>
      <c r="H116" s="273">
        <v>2009</v>
      </c>
      <c r="I116" s="474"/>
      <c r="J116" s="818" t="s">
        <v>433</v>
      </c>
      <c r="K116" s="819"/>
      <c r="L116" s="820"/>
    </row>
    <row r="117" spans="2:12" ht="16.5" thickTop="1" thickBot="1">
      <c r="B117" s="487" t="s">
        <v>532</v>
      </c>
      <c r="C117" s="488"/>
      <c r="D117" s="711">
        <v>2367.0255099999999</v>
      </c>
      <c r="E117" s="491">
        <f>+D119</f>
        <v>1893.620408</v>
      </c>
      <c r="F117" s="491">
        <f>E119+K118</f>
        <v>2070.2153060000001</v>
      </c>
      <c r="G117" s="491">
        <f>F119+K119</f>
        <v>2126.8102040000003</v>
      </c>
      <c r="H117" s="492">
        <f>G119+L120</f>
        <v>1523.4051020000004</v>
      </c>
      <c r="I117" s="369"/>
      <c r="J117" s="527" t="s">
        <v>106</v>
      </c>
      <c r="K117" s="528" t="s">
        <v>107</v>
      </c>
      <c r="L117" s="522" t="s">
        <v>547</v>
      </c>
    </row>
    <row r="118" spans="2:12" ht="16.5" thickTop="1" thickBot="1">
      <c r="B118" s="487" t="s">
        <v>545</v>
      </c>
      <c r="C118" s="488"/>
      <c r="D118" s="493">
        <f>D117*K121</f>
        <v>473.405102</v>
      </c>
      <c r="E118" s="493">
        <f>+D118</f>
        <v>473.405102</v>
      </c>
      <c r="F118" s="493">
        <f>E118+L118</f>
        <v>603.40510199999994</v>
      </c>
      <c r="G118" s="493">
        <f>F118+L119</f>
        <v>735.40510199999994</v>
      </c>
      <c r="H118" s="494">
        <f>G118+L120</f>
        <v>867.40510199999994</v>
      </c>
      <c r="I118" s="472"/>
      <c r="J118" s="525">
        <v>2007</v>
      </c>
      <c r="K118" s="700">
        <v>650</v>
      </c>
      <c r="L118" s="529">
        <f>K118*K121</f>
        <v>130</v>
      </c>
    </row>
    <row r="119" spans="2:12" ht="15.75" thickTop="1">
      <c r="B119" s="489" t="s">
        <v>536</v>
      </c>
      <c r="C119" s="490"/>
      <c r="D119" s="496">
        <f>D117-D118</f>
        <v>1893.620408</v>
      </c>
      <c r="E119" s="496">
        <f>E117-E118</f>
        <v>1420.2153060000001</v>
      </c>
      <c r="F119" s="496">
        <f>F117-F118</f>
        <v>1466.8102040000001</v>
      </c>
      <c r="G119" s="496">
        <f>G117-G118</f>
        <v>1391.4051020000004</v>
      </c>
      <c r="H119" s="497">
        <f>H117-H118</f>
        <v>656.00000000000045</v>
      </c>
      <c r="I119" s="369"/>
      <c r="J119" s="525">
        <v>2008</v>
      </c>
      <c r="K119" s="700">
        <v>660</v>
      </c>
      <c r="L119" s="529">
        <f>K119*K121</f>
        <v>132</v>
      </c>
    </row>
    <row r="120" spans="2:12" ht="15.75" thickBot="1">
      <c r="J120" s="530">
        <v>2009</v>
      </c>
      <c r="K120" s="701">
        <v>660</v>
      </c>
      <c r="L120" s="531">
        <f>K120*K121</f>
        <v>132</v>
      </c>
    </row>
    <row r="121" spans="2:12" ht="15.75" thickBot="1">
      <c r="F121" s="370"/>
      <c r="J121" s="532" t="s">
        <v>548</v>
      </c>
      <c r="K121" s="822">
        <v>0.2</v>
      </c>
      <c r="L121" s="823"/>
    </row>
    <row r="122" spans="2:12">
      <c r="F122" s="370"/>
    </row>
    <row r="123" spans="2:12" ht="13.5" thickBot="1"/>
    <row r="124" spans="2:12" ht="14.25" thickTop="1" thickBot="1">
      <c r="C124" s="828" t="s">
        <v>554</v>
      </c>
      <c r="D124" s="512">
        <v>2005</v>
      </c>
      <c r="E124" s="513">
        <v>2006</v>
      </c>
      <c r="F124" s="513">
        <v>2007</v>
      </c>
      <c r="G124" s="513">
        <v>2008</v>
      </c>
      <c r="H124" s="514">
        <v>2009</v>
      </c>
      <c r="I124" s="474"/>
    </row>
    <row r="125" spans="2:12" ht="21" customHeight="1" thickTop="1" thickBot="1">
      <c r="C125" s="828"/>
      <c r="D125" s="511">
        <f>D105+D118</f>
        <v>941.14742000000001</v>
      </c>
      <c r="E125" s="505">
        <f>E105+E118</f>
        <v>941.14742000000001</v>
      </c>
      <c r="F125" s="505">
        <f>F105+F118</f>
        <v>1146.14742</v>
      </c>
      <c r="G125" s="505">
        <f>G105+G118</f>
        <v>1497.14742</v>
      </c>
      <c r="H125" s="506">
        <f>H105+H118</f>
        <v>1698.14742</v>
      </c>
      <c r="I125" s="369"/>
    </row>
    <row r="126" spans="2:12" ht="13.5" thickTop="1"/>
    <row r="127" spans="2:12">
      <c r="F127" s="17"/>
      <c r="G127" s="17"/>
    </row>
    <row r="130" spans="3:10" ht="15">
      <c r="E130" s="827" t="s">
        <v>171</v>
      </c>
      <c r="F130" s="827"/>
    </row>
    <row r="131" spans="3:10" ht="15">
      <c r="D131" s="546"/>
    </row>
    <row r="133" spans="3:10">
      <c r="C133" s="2" t="s">
        <v>248</v>
      </c>
    </row>
    <row r="136" spans="3:10">
      <c r="C136" s="292" t="s">
        <v>248</v>
      </c>
      <c r="D136" s="469"/>
      <c r="E136" s="275">
        <v>2005</v>
      </c>
      <c r="F136" s="275">
        <v>2006</v>
      </c>
      <c r="G136" s="275">
        <v>2007</v>
      </c>
      <c r="H136" s="275">
        <v>2008</v>
      </c>
      <c r="I136" s="275"/>
      <c r="J136" s="273">
        <v>2009</v>
      </c>
    </row>
    <row r="137" spans="3:10" ht="15.75" customHeight="1">
      <c r="C137" s="487" t="s">
        <v>532</v>
      </c>
      <c r="D137" s="488"/>
      <c r="E137" s="712">
        <v>2072</v>
      </c>
      <c r="F137" s="491">
        <f>+E141</f>
        <v>2031.2094870170531</v>
      </c>
      <c r="G137" s="491">
        <f>+F141</f>
        <v>2220.7579485229726</v>
      </c>
      <c r="H137" s="491">
        <f>+G141</f>
        <v>2442.4969176956001</v>
      </c>
      <c r="I137" s="491"/>
      <c r="J137" s="492">
        <f>H141</f>
        <v>3561.1784065079955</v>
      </c>
    </row>
    <row r="138" spans="3:10">
      <c r="C138" s="487" t="s">
        <v>533</v>
      </c>
      <c r="D138" s="488"/>
      <c r="E138" s="491">
        <f>'6.Proyección Egresos'!B34+'6.Proyección Egresos'!B56</f>
        <v>11469.396580113682</v>
      </c>
      <c r="F138" s="491">
        <f>'6.Proyección Egresos'!C34+'6.Proyección Egresos'!C56</f>
        <v>12773.84350313609</v>
      </c>
      <c r="G138" s="491">
        <f>'6.Proyección Egresos'!D34+'6.Proyección Egresos'!D56</f>
        <v>14062.554836114357</v>
      </c>
      <c r="H138" s="491">
        <f>'6.Proyección Egresos'!E34+'6.Proyección Egresos'!E56</f>
        <v>15363.395114844381</v>
      </c>
      <c r="I138" s="491"/>
      <c r="J138" s="492">
        <f>'6.Proyección Egresos'!F34+'6.Proyección Egresos'!F56</f>
        <v>17136.211692043296</v>
      </c>
    </row>
    <row r="139" spans="3:10" ht="16.5">
      <c r="C139" s="487" t="s">
        <v>624</v>
      </c>
      <c r="D139" s="488"/>
      <c r="E139" s="686">
        <v>0.85</v>
      </c>
      <c r="F139" s="686">
        <v>0.85</v>
      </c>
      <c r="G139" s="686">
        <v>0.85</v>
      </c>
      <c r="H139" s="686">
        <v>0.8</v>
      </c>
      <c r="I139" s="686"/>
      <c r="J139" s="687">
        <v>0.8</v>
      </c>
    </row>
    <row r="140" spans="3:10" ht="13.5" thickBot="1">
      <c r="C140" s="487" t="s">
        <v>110</v>
      </c>
      <c r="D140" s="488"/>
      <c r="E140" s="493">
        <f>(E137+E138)*E139</f>
        <v>11510.187093096629</v>
      </c>
      <c r="F140" s="493">
        <f>(F137+F138)*F139</f>
        <v>12584.29504163017</v>
      </c>
      <c r="G140" s="493">
        <f>(G137+G138)*G139</f>
        <v>13840.81586694173</v>
      </c>
      <c r="H140" s="493">
        <f>(H137+H138)*H139</f>
        <v>14244.713626031986</v>
      </c>
      <c r="I140" s="493"/>
      <c r="J140" s="494">
        <f>(J137+J138)*J139</f>
        <v>16557.912078841033</v>
      </c>
    </row>
    <row r="141" spans="3:10" ht="13.5" thickTop="1">
      <c r="C141" s="489" t="s">
        <v>536</v>
      </c>
      <c r="D141" s="490"/>
      <c r="E141" s="496">
        <f>E137+E138-E140</f>
        <v>2031.2094870170531</v>
      </c>
      <c r="F141" s="496">
        <f>F137+F138-F140</f>
        <v>2220.7579485229726</v>
      </c>
      <c r="G141" s="496">
        <f>G137+G138-G140</f>
        <v>2442.4969176956001</v>
      </c>
      <c r="H141" s="496">
        <f>H137+H138-H140</f>
        <v>3561.1784065079955</v>
      </c>
      <c r="I141" s="496"/>
      <c r="J141" s="497">
        <f>J137+J138-J140</f>
        <v>4139.4780197102591</v>
      </c>
    </row>
    <row r="144" spans="3:10">
      <c r="C144" s="2" t="s">
        <v>250</v>
      </c>
    </row>
    <row r="147" spans="3:10">
      <c r="C147" s="292" t="s">
        <v>250</v>
      </c>
      <c r="D147" s="483"/>
      <c r="E147" s="484">
        <v>2005</v>
      </c>
      <c r="F147" s="484">
        <v>2006</v>
      </c>
      <c r="G147" s="484">
        <v>2007</v>
      </c>
      <c r="H147" s="484">
        <v>2008</v>
      </c>
      <c r="I147" s="484"/>
      <c r="J147" s="485">
        <v>2009</v>
      </c>
    </row>
    <row r="148" spans="3:10" ht="17.25" customHeight="1">
      <c r="C148" s="487" t="s">
        <v>532</v>
      </c>
      <c r="D148" s="488"/>
      <c r="E148" s="712">
        <v>5416</v>
      </c>
      <c r="F148" s="491">
        <f>+E152</f>
        <v>5060.0422345920015</v>
      </c>
      <c r="G148" s="491">
        <f>+F152</f>
        <v>5055.3950949141581</v>
      </c>
      <c r="H148" s="491">
        <f>+G152</f>
        <v>5472.5489918338717</v>
      </c>
      <c r="I148" s="491"/>
      <c r="J148" s="492">
        <f>+H152</f>
        <v>6111.6816270961936</v>
      </c>
    </row>
    <row r="149" spans="3:10">
      <c r="C149" s="487" t="s">
        <v>109</v>
      </c>
      <c r="D149" s="488"/>
      <c r="E149" s="491">
        <f>'8.Estado de Resultado proyectad'!D56+'8.Estado de Resultado proyectad'!D57+'8.Estado de Resultado proyectad'!D58+'8.Estado de Resultado proyectad'!D59+'8.Estado de Resultado proyectad'!D62</f>
        <v>36751.0186216</v>
      </c>
      <c r="F149" s="491">
        <f>'8.Estado de Resultado proyectad'!E56+'8.Estado de Resultado proyectad'!E57+'8.Estado de Resultado proyectad'!E58+'8.Estado de Resultado proyectad'!E59+'8.Estado de Resultado proyectad'!E62</f>
        <v>37068.250223026</v>
      </c>
      <c r="G149" s="491">
        <f>'8.Estado de Resultado proyectad'!F56+'8.Estado de Resultado proyectad'!F57+'8.Estado de Resultado proyectad'!F58+'8.Estado de Resultado proyectad'!F59+'8.Estado de Resultado proyectad'!F62</f>
        <v>40549.179837034775</v>
      </c>
      <c r="H149" s="491">
        <f>'8.Estado de Resultado proyectad'!G56+'8.Estado de Resultado proyectad'!G57+'8.Estado de Resultado proyectad'!G58+'8.Estado de Resultado proyectad'!G59+'8.Estado de Resultado proyectad'!G62</f>
        <v>45458.131233967739</v>
      </c>
      <c r="I149" s="491"/>
      <c r="J149" s="492">
        <f>'8.Estado de Resultado proyectad'!H56+'8.Estado de Resultado proyectad'!H57+'8.Estado de Resultado proyectad'!H58+'8.Estado de Resultado proyectad'!H59+'8.Estado de Resultado proyectad'!H62</f>
        <v>48843.005638080671</v>
      </c>
    </row>
    <row r="150" spans="3:10" ht="15">
      <c r="C150" s="487" t="s">
        <v>623</v>
      </c>
      <c r="D150" s="488"/>
      <c r="E150" s="684">
        <v>0.88</v>
      </c>
      <c r="F150" s="684">
        <v>0.88</v>
      </c>
      <c r="G150" s="684">
        <v>0.88</v>
      </c>
      <c r="H150" s="684">
        <v>0.88</v>
      </c>
      <c r="I150" s="684"/>
      <c r="J150" s="685">
        <v>0.88</v>
      </c>
    </row>
    <row r="151" spans="3:10" ht="13.5" thickBot="1">
      <c r="C151" s="487" t="s">
        <v>110</v>
      </c>
      <c r="D151" s="488"/>
      <c r="E151" s="493">
        <f>(E148+E149)*E150</f>
        <v>37106.976387007999</v>
      </c>
      <c r="F151" s="493">
        <f>(F148+F149)*F150</f>
        <v>37072.897362703843</v>
      </c>
      <c r="G151" s="493">
        <f>(G148+G149)*G150</f>
        <v>40132.025940115062</v>
      </c>
      <c r="H151" s="493">
        <f>(H148+H149)*H150</f>
        <v>44818.998598705417</v>
      </c>
      <c r="I151" s="493"/>
      <c r="J151" s="494">
        <f>(J148+J149)*J150</f>
        <v>48360.124793355644</v>
      </c>
    </row>
    <row r="152" spans="3:10" ht="13.5" thickTop="1">
      <c r="C152" s="489" t="s">
        <v>536</v>
      </c>
      <c r="D152" s="490"/>
      <c r="E152" s="496">
        <f>E148+E149-E151</f>
        <v>5060.0422345920015</v>
      </c>
      <c r="F152" s="496">
        <f>F148+F149-F151</f>
        <v>5055.3950949141581</v>
      </c>
      <c r="G152" s="496">
        <f>G148+G149-G151</f>
        <v>5472.5489918338717</v>
      </c>
      <c r="H152" s="496">
        <f>H148+H149-H151</f>
        <v>6111.6816270961936</v>
      </c>
      <c r="I152" s="496"/>
      <c r="J152" s="497">
        <f>J148+J149-J151</f>
        <v>6594.5624718212202</v>
      </c>
    </row>
    <row r="153" spans="3:10">
      <c r="C153" s="619"/>
    </row>
    <row r="155" spans="3:10" ht="15">
      <c r="E155" s="827" t="s">
        <v>176</v>
      </c>
      <c r="F155" s="827"/>
    </row>
    <row r="158" spans="3:10">
      <c r="C158" s="482"/>
      <c r="D158" s="483"/>
      <c r="E158" s="484">
        <v>2005</v>
      </c>
      <c r="F158" s="484">
        <v>2006</v>
      </c>
      <c r="G158" s="484">
        <v>2007</v>
      </c>
      <c r="H158" s="484">
        <v>2008</v>
      </c>
      <c r="I158" s="484"/>
      <c r="J158" s="485">
        <v>2009</v>
      </c>
    </row>
    <row r="159" spans="3:10" ht="15">
      <c r="C159" s="487" t="s">
        <v>532</v>
      </c>
      <c r="D159" s="488"/>
      <c r="E159" s="712">
        <v>3444</v>
      </c>
      <c r="F159" s="491">
        <f>+E163</f>
        <v>3835.5819142044352</v>
      </c>
      <c r="G159" s="491">
        <f>+F163</f>
        <v>4243.7286264387158</v>
      </c>
      <c r="H159" s="491">
        <f>+G163</f>
        <v>4465.0219291932281</v>
      </c>
      <c r="I159" s="491"/>
      <c r="J159" s="492">
        <f>+H163</f>
        <v>4703.9400099948198</v>
      </c>
    </row>
    <row r="160" spans="3:10">
      <c r="C160" s="487" t="s">
        <v>533</v>
      </c>
      <c r="D160" s="488"/>
      <c r="E160" s="491">
        <f>'5.Proyección Ingresos'!C33</f>
        <v>35714.191420443502</v>
      </c>
      <c r="F160" s="491">
        <f>+'5.Proyección Ingresos'!D33</f>
        <v>36979.089309223644</v>
      </c>
      <c r="G160" s="491">
        <f>+'5.Proyección Ingresos'!E33</f>
        <v>40014.931924463752</v>
      </c>
      <c r="H160" s="491">
        <f>+'5.Proyección Ingresos'!F33</f>
        <v>43318.594231125084</v>
      </c>
      <c r="I160" s="491"/>
      <c r="J160" s="492">
        <f>+'5.Proyección Ingresos'!G33</f>
        <v>46916.320571628661</v>
      </c>
    </row>
    <row r="161" spans="2:10" ht="15">
      <c r="C161" s="487" t="s">
        <v>622</v>
      </c>
      <c r="D161" s="488"/>
      <c r="E161" s="684">
        <v>0.01</v>
      </c>
      <c r="F161" s="684">
        <v>0.01</v>
      </c>
      <c r="G161" s="713">
        <v>5.0000000000000001E-3</v>
      </c>
      <c r="H161" s="713">
        <v>5.0000000000000001E-3</v>
      </c>
      <c r="I161" s="713"/>
      <c r="J161" s="714">
        <v>5.0000000000000001E-3</v>
      </c>
    </row>
    <row r="162" spans="2:10" ht="13.5" thickBot="1">
      <c r="C162" s="487" t="s">
        <v>111</v>
      </c>
      <c r="D162" s="488"/>
      <c r="E162" s="620">
        <f>(E160+E159)*E161</f>
        <v>391.58191420443501</v>
      </c>
      <c r="F162" s="620">
        <f>(F159+F160)*F161</f>
        <v>408.14671223428081</v>
      </c>
      <c r="G162" s="620">
        <f>(G159+G160)*G161</f>
        <v>221.29330275451233</v>
      </c>
      <c r="H162" s="620">
        <f>(H159+H160)*H161</f>
        <v>238.91808080159157</v>
      </c>
      <c r="I162" s="620"/>
      <c r="J162" s="621">
        <f>(J159+J160)*J161</f>
        <v>258.10130290811742</v>
      </c>
    </row>
    <row r="163" spans="2:10" ht="13.5" thickTop="1">
      <c r="C163" s="489" t="s">
        <v>536</v>
      </c>
      <c r="D163" s="490"/>
      <c r="E163" s="496">
        <f>E159+E162</f>
        <v>3835.5819142044352</v>
      </c>
      <c r="F163" s="496">
        <f>F159+F162</f>
        <v>4243.7286264387158</v>
      </c>
      <c r="G163" s="496">
        <f>G159+G162</f>
        <v>4465.0219291932281</v>
      </c>
      <c r="H163" s="496">
        <f>H159+H162</f>
        <v>4703.9400099948198</v>
      </c>
      <c r="I163" s="496"/>
      <c r="J163" s="497">
        <f>J159+J162</f>
        <v>4962.0413129029375</v>
      </c>
    </row>
    <row r="166" spans="2:10">
      <c r="B166" s="554" t="s">
        <v>456</v>
      </c>
    </row>
  </sheetData>
  <mergeCells count="14">
    <mergeCell ref="K121:L121"/>
    <mergeCell ref="C89:C90"/>
    <mergeCell ref="E98:F98"/>
    <mergeCell ref="C92:C93"/>
    <mergeCell ref="E155:F155"/>
    <mergeCell ref="E130:F130"/>
    <mergeCell ref="C124:C125"/>
    <mergeCell ref="B55:E55"/>
    <mergeCell ref="J81:L81"/>
    <mergeCell ref="J71:L71"/>
    <mergeCell ref="C52:D52"/>
    <mergeCell ref="J103:L103"/>
    <mergeCell ref="J116:L116"/>
    <mergeCell ref="K108:L108"/>
  </mergeCells>
  <phoneticPr fontId="8" type="noConversion"/>
  <hyperlinks>
    <hyperlink ref="B48" location="'Proy-BG'!A1" display="SUBIR"/>
    <hyperlink ref="B96" location="'Proy-BG'!A1" display="SUBIR"/>
    <hyperlink ref="B166" location="'4.Proyección Balance'!A1" display="SUBIR"/>
    <hyperlink ref="B3" location="'2.Supuestos para Balance'!A1" display="REGRESAR"/>
  </hyperlinks>
  <pageMargins left="0.75" right="0.75" top="1" bottom="1" header="0" footer="0"/>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sheetPr codeName="Hoja4"/>
  <dimension ref="A4:I168"/>
  <sheetViews>
    <sheetView showGridLines="0" topLeftCell="A142" workbookViewId="0">
      <selection activeCell="A15" sqref="A15"/>
    </sheetView>
  </sheetViews>
  <sheetFormatPr baseColWidth="10" defaultRowHeight="12.75"/>
  <cols>
    <col min="1" max="1" width="29.42578125" customWidth="1"/>
    <col min="2" max="2" width="18.140625" customWidth="1"/>
    <col min="3" max="3" width="16.28515625" customWidth="1"/>
    <col min="4" max="4" width="16.7109375" customWidth="1"/>
    <col min="5" max="5" width="15.5703125" customWidth="1"/>
    <col min="6" max="6" width="12.5703125" customWidth="1"/>
    <col min="7" max="7" width="13.140625" customWidth="1"/>
    <col min="8" max="8" width="15.5703125" customWidth="1"/>
  </cols>
  <sheetData>
    <row r="4" spans="1:9">
      <c r="A4" s="840" t="s">
        <v>200</v>
      </c>
      <c r="B4" s="841"/>
      <c r="C4" s="841"/>
      <c r="D4" s="841"/>
      <c r="E4" s="841"/>
      <c r="F4" s="841"/>
      <c r="G4" s="841"/>
      <c r="H4" s="841"/>
    </row>
    <row r="5" spans="1:9">
      <c r="A5" s="842"/>
      <c r="B5" s="842"/>
      <c r="C5" s="842"/>
      <c r="D5" s="842"/>
      <c r="E5" s="842"/>
      <c r="F5" s="842"/>
      <c r="G5" s="842"/>
      <c r="H5" s="842"/>
    </row>
    <row r="7" spans="1:9">
      <c r="A7" s="2"/>
      <c r="C7" s="265"/>
      <c r="D7" s="265" t="s">
        <v>260</v>
      </c>
      <c r="E7" s="265"/>
    </row>
    <row r="8" spans="1:9">
      <c r="D8" s="654" t="s">
        <v>402</v>
      </c>
    </row>
    <row r="9" spans="1:9">
      <c r="A9" s="37"/>
    </row>
    <row r="10" spans="1:9">
      <c r="A10" s="2"/>
    </row>
    <row r="11" spans="1:9">
      <c r="A11" s="265" t="s">
        <v>202</v>
      </c>
      <c r="B11" s="266" t="s">
        <v>257</v>
      </c>
      <c r="C11" s="856" t="s">
        <v>203</v>
      </c>
      <c r="D11" s="857"/>
      <c r="F11" s="270" t="s">
        <v>207</v>
      </c>
      <c r="G11" s="269"/>
      <c r="H11" s="268" t="s">
        <v>212</v>
      </c>
      <c r="I11" s="11"/>
    </row>
    <row r="12" spans="1:9">
      <c r="A12" s="326"/>
      <c r="B12" s="327"/>
      <c r="C12" s="3"/>
      <c r="D12" s="5"/>
      <c r="F12" s="308" t="s">
        <v>201</v>
      </c>
      <c r="G12" s="333"/>
      <c r="H12" s="384">
        <f>+'3.Supuesto para Resultados'!D21</f>
        <v>9.5000000000000001E-2</v>
      </c>
    </row>
    <row r="13" spans="1:9">
      <c r="A13" s="328" t="s">
        <v>205</v>
      </c>
      <c r="B13" s="329">
        <v>293174.94332000002</v>
      </c>
      <c r="C13" s="3"/>
      <c r="D13" s="642">
        <f>+'2.Supuestos para Balance'!C40</f>
        <v>0.08</v>
      </c>
      <c r="F13" s="308" t="s">
        <v>208</v>
      </c>
      <c r="G13" s="333"/>
      <c r="H13" s="384">
        <f>+'3.Supuesto para Resultados'!D22</f>
        <v>0.09</v>
      </c>
    </row>
    <row r="14" spans="1:9">
      <c r="A14" s="328" t="s">
        <v>185</v>
      </c>
      <c r="B14" s="329">
        <v>38362.677219999998</v>
      </c>
      <c r="C14" s="3"/>
      <c r="D14" s="642">
        <f>+'2.Supuestos para Balance'!C45</f>
        <v>0.06</v>
      </c>
      <c r="F14" s="308" t="s">
        <v>209</v>
      </c>
      <c r="G14" s="333"/>
      <c r="H14" s="384">
        <f>+'3.Supuesto para Resultados'!D23</f>
        <v>0.09</v>
      </c>
    </row>
    <row r="15" spans="1:9">
      <c r="A15" s="328" t="s">
        <v>186</v>
      </c>
      <c r="B15" s="329">
        <v>15936.308050000001</v>
      </c>
      <c r="C15" s="3"/>
      <c r="D15" s="642">
        <f>+'2.Supuestos para Balance'!C48</f>
        <v>0.17</v>
      </c>
      <c r="F15" s="308" t="s">
        <v>210</v>
      </c>
      <c r="G15" s="333"/>
      <c r="H15" s="384">
        <f>+'3.Supuesto para Resultados'!D24</f>
        <v>0.09</v>
      </c>
    </row>
    <row r="16" spans="1:9">
      <c r="A16" s="330" t="s">
        <v>206</v>
      </c>
      <c r="B16" s="331"/>
      <c r="C16" s="332"/>
      <c r="D16" s="643">
        <f>+'2.Supuestos para Balance'!C52</f>
        <v>0.02</v>
      </c>
      <c r="F16" s="334" t="s">
        <v>211</v>
      </c>
      <c r="G16" s="335"/>
      <c r="H16" s="386">
        <f>+'3.Supuesto para Resultados'!D25</f>
        <v>0.09</v>
      </c>
    </row>
    <row r="17" spans="1:7">
      <c r="A17" s="119" t="s">
        <v>502</v>
      </c>
      <c r="B17" s="10"/>
    </row>
    <row r="18" spans="1:7">
      <c r="B18" s="10"/>
    </row>
    <row r="19" spans="1:7">
      <c r="A19" s="2"/>
      <c r="B19" s="10"/>
    </row>
    <row r="20" spans="1:7" s="26" customFormat="1">
      <c r="B20" s="29"/>
      <c r="C20" s="29"/>
      <c r="D20" s="34"/>
      <c r="E20" s="29"/>
      <c r="F20" s="29"/>
      <c r="G20" s="29"/>
    </row>
    <row r="21" spans="1:7">
      <c r="B21" s="2"/>
    </row>
    <row r="22" spans="1:7">
      <c r="A22" s="265" t="s">
        <v>213</v>
      </c>
      <c r="B22" s="265" t="s">
        <v>258</v>
      </c>
      <c r="C22" s="265">
        <v>2005</v>
      </c>
      <c r="D22" s="265">
        <v>2006</v>
      </c>
      <c r="E22" s="265">
        <v>2007</v>
      </c>
      <c r="F22" s="265">
        <v>2008</v>
      </c>
      <c r="G22" s="303">
        <v>2009</v>
      </c>
    </row>
    <row r="23" spans="1:7" ht="15">
      <c r="A23" s="328" t="s">
        <v>205</v>
      </c>
      <c r="B23" s="738">
        <v>293174.94332000002</v>
      </c>
      <c r="C23" s="336">
        <f>(B23*D13)+B23</f>
        <v>316628.93878560001</v>
      </c>
      <c r="D23" s="336">
        <f>(C23*D13)+C23</f>
        <v>341959.253888448</v>
      </c>
      <c r="E23" s="336">
        <f>(D23*D13)+D23</f>
        <v>369315.99419952382</v>
      </c>
      <c r="F23" s="336">
        <f>(E23*D13)+E23</f>
        <v>398861.27373548574</v>
      </c>
      <c r="G23" s="337">
        <f>(F23*D13)+F23</f>
        <v>430770.17563432461</v>
      </c>
    </row>
    <row r="24" spans="1:7" ht="15">
      <c r="A24" s="328" t="s">
        <v>185</v>
      </c>
      <c r="B24" s="738">
        <v>38362.677219999998</v>
      </c>
      <c r="C24" s="336">
        <f>(B24*D14)+B24</f>
        <v>40664.437853199997</v>
      </c>
      <c r="D24" s="336">
        <f>(C24*D14)+C24</f>
        <v>43104.304124391994</v>
      </c>
      <c r="E24" s="336">
        <f>(D24*D14)+D24</f>
        <v>45690.562371855514</v>
      </c>
      <c r="F24" s="336">
        <f>(E24*D14)+E24</f>
        <v>48431.996114166846</v>
      </c>
      <c r="G24" s="337">
        <f>(F24*D14)+F24</f>
        <v>51337.915881016859</v>
      </c>
    </row>
    <row r="25" spans="1:7" ht="15">
      <c r="A25" s="328" t="s">
        <v>186</v>
      </c>
      <c r="B25" s="738">
        <v>15936.308050000001</v>
      </c>
      <c r="C25" s="336">
        <f>(B25*D15)+B25</f>
        <v>18645.480418500003</v>
      </c>
      <c r="D25" s="336">
        <f>(C25*D15)+C25</f>
        <v>21815.212089645003</v>
      </c>
      <c r="E25" s="336">
        <f>(D25*D15)+D25</f>
        <v>25523.798144884655</v>
      </c>
      <c r="F25" s="336">
        <f>(E25*D15)+E25</f>
        <v>29862.843829515048</v>
      </c>
      <c r="G25" s="337">
        <f>(F25*D15)+F25</f>
        <v>34939.527280532609</v>
      </c>
    </row>
    <row r="26" spans="1:7" ht="13.5" thickBot="1">
      <c r="A26" s="328" t="s">
        <v>206</v>
      </c>
      <c r="B26" s="645"/>
      <c r="C26" s="3"/>
      <c r="D26" s="329">
        <v>4000</v>
      </c>
      <c r="E26" s="336">
        <f>(D26*D16)+D26</f>
        <v>4080</v>
      </c>
      <c r="F26" s="336">
        <f>(E26*D16)+E26</f>
        <v>4161.6000000000004</v>
      </c>
      <c r="G26" s="338">
        <f>(F26*D16)+F26</f>
        <v>4244.8320000000003</v>
      </c>
    </row>
    <row r="27" spans="1:7" ht="13.5" thickTop="1">
      <c r="A27" s="330"/>
      <c r="B27" s="644"/>
      <c r="C27" s="340">
        <f>SUM(C23:C26)</f>
        <v>375938.85705730005</v>
      </c>
      <c r="D27" s="340">
        <f>SUM(D23:D26)</f>
        <v>410878.77010248497</v>
      </c>
      <c r="E27" s="340">
        <f>SUM(E23:E26)</f>
        <v>444610.35471626394</v>
      </c>
      <c r="F27" s="340">
        <f>SUM(F23:F26)</f>
        <v>481317.71367916762</v>
      </c>
      <c r="G27" s="340">
        <f>SUM(G23:G26)</f>
        <v>521292.45079587406</v>
      </c>
    </row>
    <row r="28" spans="1:7">
      <c r="A28" s="14"/>
      <c r="B28" s="15"/>
      <c r="C28" s="13"/>
      <c r="D28" s="13"/>
      <c r="E28" s="13"/>
      <c r="F28" s="13"/>
      <c r="G28" s="13"/>
    </row>
    <row r="29" spans="1:7">
      <c r="A29" s="14"/>
      <c r="B29" s="15"/>
      <c r="C29" s="13"/>
      <c r="D29" s="13"/>
      <c r="E29" s="13"/>
      <c r="F29" s="13"/>
      <c r="G29" s="13"/>
    </row>
    <row r="30" spans="1:7">
      <c r="A30" s="2"/>
    </row>
    <row r="32" spans="1:7">
      <c r="B32" s="341" t="s">
        <v>214</v>
      </c>
      <c r="C32" s="271">
        <v>2005</v>
      </c>
      <c r="D32" s="271">
        <v>2006</v>
      </c>
      <c r="E32" s="271">
        <v>2007</v>
      </c>
      <c r="F32" s="271">
        <v>2008</v>
      </c>
      <c r="G32" s="272">
        <v>2009</v>
      </c>
    </row>
    <row r="33" spans="2:8">
      <c r="B33" s="6" t="s">
        <v>225</v>
      </c>
      <c r="C33" s="343">
        <f>+C27*H12</f>
        <v>35714.191420443502</v>
      </c>
      <c r="D33" s="343">
        <f>+D27*H13</f>
        <v>36979.089309223644</v>
      </c>
      <c r="E33" s="343">
        <f>+E27*H14</f>
        <v>40014.931924463752</v>
      </c>
      <c r="F33" s="343">
        <f>+F27*H15</f>
        <v>43318.594231125084</v>
      </c>
      <c r="G33" s="344">
        <f>+G27*H16</f>
        <v>46916.320571628661</v>
      </c>
    </row>
    <row r="34" spans="2:8">
      <c r="B34" s="342" t="s">
        <v>226</v>
      </c>
      <c r="C34" s="330"/>
      <c r="D34" s="330"/>
      <c r="E34" s="330"/>
      <c r="F34" s="330"/>
      <c r="G34" s="339"/>
    </row>
    <row r="41" spans="2:8">
      <c r="C41" s="13"/>
      <c r="E41" s="12"/>
      <c r="H41" s="19"/>
    </row>
    <row r="42" spans="2:8">
      <c r="C42" s="851" t="s">
        <v>259</v>
      </c>
      <c r="D42" s="851"/>
      <c r="E42" s="851"/>
      <c r="H42" s="19"/>
    </row>
    <row r="43" spans="2:8">
      <c r="H43" s="19"/>
    </row>
    <row r="44" spans="2:8" s="26" customFormat="1">
      <c r="B44" s="29"/>
      <c r="C44" s="29"/>
      <c r="D44" s="34"/>
      <c r="E44" s="29"/>
      <c r="F44" s="29"/>
      <c r="G44" s="29"/>
      <c r="H44" s="36"/>
    </row>
    <row r="45" spans="2:8">
      <c r="B45" s="646"/>
      <c r="C45" s="519"/>
      <c r="D45" s="519"/>
      <c r="E45" s="519"/>
      <c r="F45" s="519"/>
      <c r="G45" s="519"/>
      <c r="H45" s="36"/>
    </row>
    <row r="46" spans="2:8" ht="13.5" thickBot="1">
      <c r="B46" s="646"/>
      <c r="C46" s="519"/>
      <c r="D46" s="519"/>
      <c r="E46" s="519"/>
      <c r="F46" s="519"/>
      <c r="G46" s="519"/>
      <c r="H46" s="36"/>
    </row>
    <row r="47" spans="2:8" ht="39" thickBot="1">
      <c r="B47" s="646" t="s">
        <v>537</v>
      </c>
      <c r="C47" s="647">
        <f>+'3.Supuesto para Resultados'!D72</f>
        <v>0.06</v>
      </c>
      <c r="D47" s="519"/>
      <c r="E47" s="519"/>
      <c r="F47" s="519"/>
      <c r="G47" s="519"/>
      <c r="H47" s="36"/>
    </row>
    <row r="48" spans="2:8">
      <c r="B48" s="646"/>
      <c r="C48" s="519"/>
      <c r="D48" s="519"/>
      <c r="E48" s="519"/>
      <c r="F48" s="519"/>
      <c r="G48" s="519"/>
      <c r="H48" s="36"/>
    </row>
    <row r="49" spans="2:8">
      <c r="B49" s="646"/>
      <c r="C49" s="519"/>
      <c r="D49" s="519"/>
      <c r="E49" s="519"/>
      <c r="F49" s="519"/>
      <c r="G49" s="519"/>
      <c r="H49" s="36"/>
    </row>
    <row r="50" spans="2:8">
      <c r="B50" s="271">
        <v>2005</v>
      </c>
      <c r="C50" s="271">
        <v>2006</v>
      </c>
      <c r="D50" s="271">
        <v>2007</v>
      </c>
      <c r="E50" s="271">
        <v>2008</v>
      </c>
      <c r="F50" s="272">
        <v>2009</v>
      </c>
      <c r="H50" s="36"/>
    </row>
    <row r="51" spans="2:8">
      <c r="B51" s="343">
        <f>('7.Balance Proyectado'!E15+'7.Balance Proyectado'!E16+'7.Balance Proyectado'!E17)*C47</f>
        <v>3289.5491451000003</v>
      </c>
      <c r="C51" s="343">
        <f>('7.Balance Proyectado'!F15+'7.Balance Proyectado'!F16+'7.Balance Proyectado'!F17)*C47</f>
        <v>3312.2156705277598</v>
      </c>
      <c r="D51" s="343">
        <f>('7.Balance Proyectado'!G15+'7.Balance Proyectado'!G16+'7.Balance Proyectado'!G17)*C47</f>
        <v>3590.2858271539048</v>
      </c>
      <c r="E51" s="344">
        <f>('7.Balance Proyectado'!H15+'7.Balance Proyectado'!H16+'7.Balance Proyectado'!H17)*C47</f>
        <v>3894.6130529739976</v>
      </c>
      <c r="F51" s="348">
        <f>('7.Balance Proyectado'!I15+'7.Balance Proyectado'!I16+'7.Balance Proyectado'!I17)*C47</f>
        <v>4227.7725792476522</v>
      </c>
      <c r="H51" s="36"/>
    </row>
    <row r="52" spans="2:8">
      <c r="B52" s="330"/>
      <c r="C52" s="330"/>
      <c r="D52" s="330"/>
      <c r="E52" s="339"/>
      <c r="F52" s="349"/>
      <c r="H52" s="36"/>
    </row>
    <row r="53" spans="2:8">
      <c r="B53" s="646"/>
      <c r="C53" s="519"/>
      <c r="D53" s="519"/>
      <c r="E53" s="519"/>
      <c r="F53" s="519"/>
      <c r="G53" s="36"/>
      <c r="H53" s="36"/>
    </row>
    <row r="54" spans="2:8">
      <c r="B54" s="646"/>
      <c r="C54" s="519"/>
      <c r="D54" s="519"/>
      <c r="E54" s="519"/>
      <c r="F54" s="519"/>
      <c r="G54" s="36"/>
      <c r="H54" s="36"/>
    </row>
    <row r="55" spans="2:8">
      <c r="E55" s="12"/>
      <c r="F55" s="12"/>
      <c r="G55" s="18"/>
      <c r="H55" s="19"/>
    </row>
    <row r="56" spans="2:8">
      <c r="E56" s="12"/>
      <c r="F56" s="12"/>
      <c r="G56" s="18"/>
      <c r="H56" s="19"/>
    </row>
    <row r="57" spans="2:8">
      <c r="C57" s="851" t="s">
        <v>262</v>
      </c>
      <c r="D57" s="852"/>
      <c r="E57" s="862"/>
      <c r="H57" s="19"/>
    </row>
    <row r="58" spans="2:8" s="26" customFormat="1">
      <c r="B58" s="29"/>
      <c r="C58" s="34"/>
      <c r="D58" s="35"/>
      <c r="E58" s="35"/>
      <c r="F58" s="29"/>
      <c r="G58" s="29"/>
      <c r="H58" s="36"/>
    </row>
    <row r="59" spans="2:8" s="26" customFormat="1">
      <c r="B59" s="29"/>
      <c r="C59" s="34"/>
      <c r="D59" s="35"/>
      <c r="E59" s="35"/>
      <c r="F59" s="29"/>
      <c r="G59" s="29"/>
      <c r="H59" s="36"/>
    </row>
    <row r="60" spans="2:8">
      <c r="E60" s="12"/>
      <c r="F60" s="12"/>
      <c r="G60" s="18"/>
      <c r="H60" s="19"/>
    </row>
    <row r="61" spans="2:8" ht="14.25" customHeight="1">
      <c r="C61" s="863" t="s">
        <v>219</v>
      </c>
      <c r="D61" s="858" t="s">
        <v>257</v>
      </c>
      <c r="E61" s="860" t="s">
        <v>227</v>
      </c>
      <c r="F61" s="12"/>
      <c r="G61" s="18"/>
      <c r="H61" s="19"/>
    </row>
    <row r="62" spans="2:8" ht="14.25" customHeight="1">
      <c r="C62" s="864"/>
      <c r="D62" s="859"/>
      <c r="E62" s="861"/>
      <c r="F62" s="12"/>
      <c r="G62" s="18"/>
      <c r="H62" s="19"/>
    </row>
    <row r="63" spans="2:8" ht="33.75" customHeight="1">
      <c r="C63" s="347" t="s">
        <v>261</v>
      </c>
      <c r="D63" s="350">
        <v>1960.5303600000002</v>
      </c>
      <c r="E63" s="648">
        <f>+'3.Supuesto para Resultados'!D74</f>
        <v>-0.2</v>
      </c>
      <c r="F63" s="12"/>
      <c r="G63" s="18"/>
      <c r="H63" s="19"/>
    </row>
    <row r="64" spans="2:8">
      <c r="E64" s="12"/>
      <c r="F64" s="12"/>
      <c r="G64" s="18"/>
      <c r="H64" s="19"/>
    </row>
    <row r="65" spans="1:9">
      <c r="E65" s="12"/>
      <c r="F65" s="12"/>
      <c r="G65" s="18"/>
      <c r="H65" s="19"/>
    </row>
    <row r="66" spans="1:9">
      <c r="B66" s="865" t="s">
        <v>219</v>
      </c>
      <c r="C66" s="265" t="s">
        <v>258</v>
      </c>
      <c r="D66" s="265">
        <v>2005</v>
      </c>
      <c r="E66" s="265">
        <v>2006</v>
      </c>
      <c r="F66" s="265">
        <v>2007</v>
      </c>
      <c r="G66" s="265">
        <v>2008</v>
      </c>
      <c r="H66" s="303">
        <v>2009</v>
      </c>
      <c r="I66" s="19"/>
    </row>
    <row r="67" spans="1:9" ht="15">
      <c r="B67" s="866"/>
      <c r="C67" s="652">
        <v>1960.5303600000002</v>
      </c>
      <c r="D67" s="343">
        <f>(C67*E63)+C67</f>
        <v>1568.4242880000002</v>
      </c>
      <c r="E67" s="343">
        <f>(D67*E63)+D67</f>
        <v>1254.7394304000002</v>
      </c>
      <c r="F67" s="343">
        <f>(E67*E63)+E67</f>
        <v>1003.7915443200002</v>
      </c>
      <c r="G67" s="343">
        <f>(F67*E63)+F67</f>
        <v>803.03323545600017</v>
      </c>
      <c r="H67" s="344">
        <f>(G67*E63)+G67</f>
        <v>642.42658836480018</v>
      </c>
      <c r="I67" s="19"/>
    </row>
    <row r="68" spans="1:9">
      <c r="B68" s="867"/>
      <c r="C68" s="311"/>
      <c r="D68" s="330"/>
      <c r="E68" s="330"/>
      <c r="F68" s="330"/>
      <c r="G68" s="330"/>
      <c r="H68" s="339"/>
      <c r="I68" s="19"/>
    </row>
    <row r="69" spans="1:9">
      <c r="E69" s="12"/>
      <c r="F69" s="12"/>
      <c r="G69" s="18"/>
      <c r="H69" s="19"/>
    </row>
    <row r="70" spans="1:9">
      <c r="E70" s="12"/>
      <c r="F70" s="12"/>
      <c r="G70" s="18"/>
      <c r="H70" s="19"/>
    </row>
    <row r="71" spans="1:9" s="13" customFormat="1">
      <c r="A71" s="21"/>
      <c r="E71" s="12"/>
      <c r="F71" s="12"/>
      <c r="G71" s="18"/>
      <c r="H71" s="19"/>
    </row>
    <row r="72" spans="1:9" s="13" customFormat="1">
      <c r="A72" s="22"/>
    </row>
    <row r="73" spans="1:9" s="13" customFormat="1">
      <c r="A73" s="22"/>
    </row>
    <row r="74" spans="1:9" s="13" customFormat="1">
      <c r="A74" s="22"/>
      <c r="C74" s="851" t="s">
        <v>263</v>
      </c>
      <c r="D74" s="852"/>
      <c r="E74" s="852"/>
    </row>
    <row r="75" spans="1:9" s="13" customFormat="1">
      <c r="B75" s="29"/>
      <c r="C75" s="34"/>
      <c r="D75" s="35"/>
      <c r="E75" s="35"/>
      <c r="F75" s="29"/>
      <c r="G75" s="29"/>
    </row>
    <row r="76" spans="1:9">
      <c r="C76" s="17"/>
      <c r="D76" s="17"/>
      <c r="E76" s="17"/>
      <c r="F76" s="17"/>
      <c r="G76" s="17"/>
    </row>
    <row r="78" spans="1:9" ht="12" customHeight="1">
      <c r="A78" s="452" t="s">
        <v>228</v>
      </c>
      <c r="B78" s="453" t="s">
        <v>258</v>
      </c>
      <c r="C78" s="454">
        <v>2005</v>
      </c>
      <c r="D78" s="454">
        <v>2006</v>
      </c>
      <c r="E78" s="454">
        <v>2007</v>
      </c>
      <c r="F78" s="453">
        <v>2008</v>
      </c>
      <c r="G78" s="444">
        <v>2009</v>
      </c>
    </row>
    <row r="79" spans="1:9" ht="18" customHeight="1">
      <c r="A79" s="145" t="s">
        <v>301</v>
      </c>
      <c r="B79" s="651">
        <v>1541.4582600000001</v>
      </c>
      <c r="C79" s="449">
        <f>(B79*B82)+B79</f>
        <v>1668.6285664500001</v>
      </c>
      <c r="D79" s="449">
        <f>(C79*B82)+C79</f>
        <v>1806.2904231821251</v>
      </c>
      <c r="E79" s="449">
        <f>(D79*B82)+D79</f>
        <v>1955.3093830946505</v>
      </c>
      <c r="F79" s="449">
        <f>(E79*B82)+E79</f>
        <v>2116.6224071999591</v>
      </c>
      <c r="G79" s="449">
        <f>(F79*B82)+F79</f>
        <v>2291.2437557939556</v>
      </c>
    </row>
    <row r="80" spans="1:9" ht="18" customHeight="1">
      <c r="A80" s="145"/>
      <c r="B80" s="451"/>
      <c r="C80" s="449"/>
      <c r="D80" s="449"/>
      <c r="E80" s="449"/>
      <c r="F80" s="449"/>
      <c r="G80" s="449"/>
    </row>
    <row r="81" spans="1:7" ht="13.5" thickBot="1">
      <c r="A81" s="45"/>
      <c r="B81" s="449"/>
      <c r="C81" s="449"/>
      <c r="D81" s="449"/>
      <c r="E81" s="449"/>
      <c r="F81" s="449"/>
      <c r="G81" s="449"/>
    </row>
    <row r="82" spans="1:7" ht="23.25" customHeight="1" thickBot="1">
      <c r="A82" s="365" t="s">
        <v>102</v>
      </c>
      <c r="B82" s="641">
        <f>+'3.Supuesto para Resultados'!D77</f>
        <v>8.2500000000000004E-2</v>
      </c>
      <c r="C82" s="449"/>
      <c r="D82" s="449"/>
      <c r="E82" s="449"/>
      <c r="F82" s="449"/>
      <c r="G82" s="449"/>
    </row>
    <row r="83" spans="1:7" ht="23.25" customHeight="1">
      <c r="A83" s="365"/>
      <c r="B83" s="450"/>
      <c r="C83" s="449"/>
      <c r="D83" s="449"/>
      <c r="E83" s="449"/>
      <c r="F83" s="449"/>
      <c r="G83" s="449"/>
    </row>
    <row r="84" spans="1:7" ht="12.75" customHeight="1">
      <c r="A84" s="452" t="s">
        <v>228</v>
      </c>
      <c r="B84" s="453" t="s">
        <v>258</v>
      </c>
      <c r="C84" s="454">
        <v>2005</v>
      </c>
      <c r="D84" s="454">
        <v>2006</v>
      </c>
      <c r="E84" s="454">
        <v>2007</v>
      </c>
      <c r="F84" s="453">
        <v>2008</v>
      </c>
      <c r="G84" s="444">
        <v>2009</v>
      </c>
    </row>
    <row r="85" spans="1:7" ht="20.25" customHeight="1">
      <c r="A85" s="365" t="s">
        <v>103</v>
      </c>
      <c r="B85" s="651">
        <v>2885</v>
      </c>
      <c r="C85" s="449">
        <f>'7.Balance Proyectado'!E77*B87</f>
        <v>3145.8629882999999</v>
      </c>
      <c r="D85" s="449">
        <f>'7.Balance Proyectado'!F77*B87</f>
        <v>3177.3216181829998</v>
      </c>
      <c r="E85" s="449">
        <f>'7.Balance Proyectado'!G77*B87</f>
        <v>3209.0948343648297</v>
      </c>
      <c r="F85" s="449">
        <f>'7.Balance Proyectado'!H77*B87</f>
        <v>3241.1857827084782</v>
      </c>
      <c r="G85" s="449">
        <f>'7.Balance Proyectado'!I77*B87</f>
        <v>3273.5976405355627</v>
      </c>
    </row>
    <row r="86" spans="1:7" ht="23.25" customHeight="1" thickBot="1">
      <c r="A86" s="365"/>
      <c r="B86" s="450"/>
      <c r="C86" s="449"/>
      <c r="D86" s="449"/>
      <c r="E86" s="449"/>
      <c r="F86" s="449"/>
      <c r="G86" s="449"/>
    </row>
    <row r="87" spans="1:7" ht="23.25" customHeight="1" thickBot="1">
      <c r="A87" s="365" t="s">
        <v>104</v>
      </c>
      <c r="B87" s="641">
        <f>+'3.Supuesto para Resultados'!D78</f>
        <v>0.04</v>
      </c>
      <c r="C87" s="449"/>
      <c r="D87" s="449"/>
      <c r="E87" s="449"/>
      <c r="F87" s="449"/>
      <c r="G87" s="449"/>
    </row>
    <row r="88" spans="1:7" ht="23.25" customHeight="1">
      <c r="A88" s="365"/>
      <c r="B88" s="455"/>
      <c r="C88" s="449"/>
      <c r="D88" s="449"/>
      <c r="E88" s="449"/>
      <c r="F88" s="449"/>
      <c r="G88" s="449"/>
    </row>
    <row r="89" spans="1:7" ht="12" customHeight="1">
      <c r="A89" s="452" t="s">
        <v>228</v>
      </c>
      <c r="B89" s="453" t="s">
        <v>258</v>
      </c>
      <c r="C89" s="454">
        <v>2005</v>
      </c>
      <c r="D89" s="454">
        <v>2006</v>
      </c>
      <c r="E89" s="454">
        <v>2007</v>
      </c>
      <c r="F89" s="453">
        <v>2008</v>
      </c>
      <c r="G89" s="444">
        <v>2009</v>
      </c>
    </row>
    <row r="90" spans="1:7" ht="23.25" customHeight="1">
      <c r="A90" s="365" t="s">
        <v>105</v>
      </c>
      <c r="B90" s="651">
        <v>6107.9237999999996</v>
      </c>
      <c r="C90" s="449">
        <f>C27*B92</f>
        <v>11278.165711719001</v>
      </c>
      <c r="D90" s="449">
        <f>D27*B92</f>
        <v>12326.363103074549</v>
      </c>
      <c r="E90" s="449">
        <f>E27*B92</f>
        <v>13338.310641487918</v>
      </c>
      <c r="F90" s="449">
        <f>F27*B92</f>
        <v>14439.531410375028</v>
      </c>
      <c r="G90" s="449">
        <f>G27*B92</f>
        <v>15638.773523876222</v>
      </c>
    </row>
    <row r="91" spans="1:7" ht="23.25" customHeight="1" thickBot="1">
      <c r="A91" s="365"/>
      <c r="B91" s="450"/>
      <c r="C91" s="449"/>
      <c r="D91" s="449"/>
      <c r="E91" s="449"/>
      <c r="F91" s="449"/>
      <c r="G91" s="449"/>
    </row>
    <row r="92" spans="1:7" ht="23.25" customHeight="1" thickBot="1">
      <c r="A92" s="365" t="s">
        <v>572</v>
      </c>
      <c r="B92" s="641">
        <f>+'3.Supuesto para Resultados'!D79</f>
        <v>0.03</v>
      </c>
      <c r="C92" s="449"/>
      <c r="D92" s="450"/>
      <c r="E92" s="450"/>
      <c r="F92" s="449"/>
      <c r="G92" s="449"/>
    </row>
    <row r="93" spans="1:7" ht="12" customHeight="1"/>
    <row r="96" spans="1:7">
      <c r="C96" s="851" t="s">
        <v>265</v>
      </c>
      <c r="D96" s="852"/>
      <c r="E96" s="852"/>
    </row>
    <row r="99" spans="1:8">
      <c r="A99" s="322" t="s">
        <v>530</v>
      </c>
      <c r="B99" s="322"/>
      <c r="C99" s="322"/>
      <c r="D99" s="322"/>
      <c r="E99" s="322"/>
      <c r="F99" s="322"/>
      <c r="G99" s="322"/>
      <c r="H99" s="322"/>
    </row>
    <row r="100" spans="1:8">
      <c r="A100" s="322" t="s">
        <v>531</v>
      </c>
      <c r="B100" s="322"/>
      <c r="C100" s="322"/>
      <c r="D100" s="322"/>
      <c r="E100" s="322"/>
      <c r="F100" s="322"/>
      <c r="G100" s="322"/>
      <c r="H100" s="322"/>
    </row>
    <row r="101" spans="1:8">
      <c r="A101" s="322" t="s">
        <v>617</v>
      </c>
      <c r="B101" s="322"/>
      <c r="C101" s="322"/>
      <c r="D101" s="322"/>
      <c r="E101" s="322"/>
      <c r="F101" s="322"/>
      <c r="G101" s="322"/>
      <c r="H101" s="322"/>
    </row>
    <row r="102" spans="1:8" s="26" customFormat="1">
      <c r="A102" s="24"/>
      <c r="B102" s="25"/>
      <c r="C102" s="25"/>
      <c r="D102" s="25"/>
      <c r="E102" s="25"/>
      <c r="F102" s="25"/>
      <c r="G102" s="25"/>
      <c r="H102" s="25"/>
    </row>
    <row r="104" spans="1:8" ht="12" customHeight="1">
      <c r="A104" s="848" t="s">
        <v>125</v>
      </c>
      <c r="B104" s="846" t="s">
        <v>257</v>
      </c>
      <c r="C104" s="843" t="s">
        <v>270</v>
      </c>
      <c r="D104" s="844"/>
      <c r="E104" s="845"/>
    </row>
    <row r="105" spans="1:8" ht="12" customHeight="1">
      <c r="A105" s="847"/>
      <c r="B105" s="847"/>
      <c r="C105" s="431">
        <v>2005</v>
      </c>
      <c r="D105" s="431" t="s">
        <v>271</v>
      </c>
      <c r="E105" s="431">
        <v>2009</v>
      </c>
    </row>
    <row r="106" spans="1:8">
      <c r="A106" s="328" t="s">
        <v>266</v>
      </c>
      <c r="B106" s="348">
        <v>273.06109999999995</v>
      </c>
      <c r="C106" s="383">
        <f>+'3.Supuesto para Resultados'!D82</f>
        <v>0.03</v>
      </c>
      <c r="D106" s="383">
        <f>+'3.Supuesto para Resultados'!D82</f>
        <v>0.03</v>
      </c>
      <c r="E106" s="383">
        <f>+'3.Supuesto para Resultados'!D83</f>
        <v>0.02</v>
      </c>
    </row>
    <row r="107" spans="1:8">
      <c r="A107" s="328" t="s">
        <v>267</v>
      </c>
      <c r="B107" s="348">
        <v>538.14519999999993</v>
      </c>
      <c r="C107" s="383">
        <f>+'3.Supuesto para Resultados'!D85</f>
        <v>-0.28000000000000003</v>
      </c>
      <c r="D107" s="383">
        <f>+'3.Supuesto para Resultados'!D86</f>
        <v>0.3</v>
      </c>
      <c r="E107" s="383">
        <f>+'3.Supuesto para Resultados'!D87</f>
        <v>-0.1</v>
      </c>
    </row>
    <row r="108" spans="1:8">
      <c r="A108" s="328" t="s">
        <v>268</v>
      </c>
      <c r="B108" s="348">
        <v>128.53532000000001</v>
      </c>
      <c r="C108" s="383">
        <f>+'3.Supuesto para Resultados'!D89</f>
        <v>-0.28000000000000003</v>
      </c>
      <c r="D108" s="383">
        <f>+'3.Supuesto para Resultados'!D90</f>
        <v>0.1</v>
      </c>
      <c r="E108" s="383">
        <f>+'3.Supuesto para Resultados'!D91</f>
        <v>0.03</v>
      </c>
    </row>
    <row r="109" spans="1:8">
      <c r="A109" s="330" t="s">
        <v>269</v>
      </c>
      <c r="B109" s="351">
        <v>917.44624999999996</v>
      </c>
      <c r="C109" s="649">
        <f>+'3.Supuesto para Resultados'!D93</f>
        <v>0.24</v>
      </c>
      <c r="D109" s="649">
        <f>+'3.Supuesto para Resultados'!D94</f>
        <v>0.22</v>
      </c>
      <c r="E109" s="649">
        <f>+'3.Supuesto para Resultados'!D95</f>
        <v>-0.1</v>
      </c>
    </row>
    <row r="113" spans="1:7">
      <c r="A113" s="849" t="s">
        <v>125</v>
      </c>
      <c r="B113" s="848" t="s">
        <v>258</v>
      </c>
      <c r="C113" s="829">
        <v>2005</v>
      </c>
      <c r="D113" s="829">
        <v>2006</v>
      </c>
      <c r="E113" s="831">
        <v>2007</v>
      </c>
      <c r="F113" s="831">
        <v>2008</v>
      </c>
      <c r="G113" s="831">
        <v>2009</v>
      </c>
    </row>
    <row r="114" spans="1:7">
      <c r="A114" s="850"/>
      <c r="B114" s="853"/>
      <c r="C114" s="830"/>
      <c r="D114" s="830"/>
      <c r="E114" s="832"/>
      <c r="F114" s="832"/>
      <c r="G114" s="832"/>
    </row>
    <row r="115" spans="1:7" ht="15">
      <c r="A115" s="353" t="s">
        <v>266</v>
      </c>
      <c r="B115" s="650">
        <v>273.06109999999995</v>
      </c>
      <c r="C115" s="354">
        <f>(B115*C106)+B115</f>
        <v>281.25293299999993</v>
      </c>
      <c r="D115" s="354">
        <f>(C115*C106)+C115</f>
        <v>289.69052098999992</v>
      </c>
      <c r="E115" s="354">
        <f>(D115*D106)+D115</f>
        <v>298.38123661969991</v>
      </c>
      <c r="F115" s="354">
        <f t="shared" ref="F115:G118" si="0">(E115*D106)+E115</f>
        <v>307.33267371829089</v>
      </c>
      <c r="G115" s="354">
        <f t="shared" si="0"/>
        <v>313.47932719265668</v>
      </c>
    </row>
    <row r="116" spans="1:7" ht="15">
      <c r="A116" s="355" t="s">
        <v>267</v>
      </c>
      <c r="B116" s="650">
        <v>538.14519999999993</v>
      </c>
      <c r="C116" s="354">
        <f>(B116*C107)+B116</f>
        <v>387.46454399999993</v>
      </c>
      <c r="D116" s="354">
        <f>(C116*D107)+C116</f>
        <v>503.70390719999989</v>
      </c>
      <c r="E116" s="354">
        <f>(D116*D107)+D116</f>
        <v>654.8150793599998</v>
      </c>
      <c r="F116" s="354">
        <f t="shared" si="0"/>
        <v>851.25960316799979</v>
      </c>
      <c r="G116" s="354">
        <f t="shared" si="0"/>
        <v>766.13364285119974</v>
      </c>
    </row>
    <row r="117" spans="1:7" ht="15">
      <c r="A117" s="355" t="s">
        <v>268</v>
      </c>
      <c r="B117" s="650">
        <v>128.53532000000001</v>
      </c>
      <c r="C117" s="354">
        <f>(B117*C108)+B117</f>
        <v>92.545430400000015</v>
      </c>
      <c r="D117" s="354">
        <f>(C117*D108)+C117</f>
        <v>101.79997344000002</v>
      </c>
      <c r="E117" s="354">
        <f>(D117*D108)+D117</f>
        <v>111.97997078400002</v>
      </c>
      <c r="F117" s="354">
        <f t="shared" si="0"/>
        <v>123.17796786240002</v>
      </c>
      <c r="G117" s="354">
        <f t="shared" si="0"/>
        <v>126.87330689827202</v>
      </c>
    </row>
    <row r="118" spans="1:7" ht="15.75" thickBot="1">
      <c r="A118" s="355" t="s">
        <v>269</v>
      </c>
      <c r="B118" s="650">
        <v>917.44624999999996</v>
      </c>
      <c r="C118" s="354">
        <f>(B118*C109)+B118</f>
        <v>1137.6333500000001</v>
      </c>
      <c r="D118" s="354">
        <f>(C118*D109)+C118</f>
        <v>1387.912687</v>
      </c>
      <c r="E118" s="354">
        <f>(D118*D109)+D118</f>
        <v>1693.25347814</v>
      </c>
      <c r="F118" s="354">
        <f t="shared" si="0"/>
        <v>2065.7692433307998</v>
      </c>
      <c r="G118" s="354">
        <f t="shared" si="0"/>
        <v>1859.1923189977197</v>
      </c>
    </row>
    <row r="119" spans="1:7" ht="13.5" thickTop="1">
      <c r="A119" s="356"/>
      <c r="B119" s="357"/>
      <c r="C119" s="340">
        <f>SUM(C115:C118)</f>
        <v>1898.8962574</v>
      </c>
      <c r="D119" s="340">
        <f>SUM(D115:D118)</f>
        <v>2283.1070886299999</v>
      </c>
      <c r="E119" s="340">
        <f>SUM(E115:E118)</f>
        <v>2758.4297649036998</v>
      </c>
      <c r="F119" s="340">
        <f>SUM(F115:F118)</f>
        <v>3347.5394880794902</v>
      </c>
      <c r="G119" s="340">
        <f>SUM(G115:G118)</f>
        <v>3065.678595939848</v>
      </c>
    </row>
    <row r="123" spans="1:7">
      <c r="C123" s="851" t="s">
        <v>273</v>
      </c>
      <c r="D123" s="852"/>
      <c r="E123" s="852"/>
    </row>
    <row r="127" spans="1:7">
      <c r="A127" s="302" t="s">
        <v>117</v>
      </c>
      <c r="B127" s="292" t="s">
        <v>257</v>
      </c>
      <c r="C127" s="432" t="s">
        <v>227</v>
      </c>
    </row>
    <row r="128" spans="1:7">
      <c r="A128" s="358" t="s">
        <v>274</v>
      </c>
      <c r="B128" s="348">
        <v>718.11566000000005</v>
      </c>
      <c r="C128" s="383">
        <f>+'3.Supuesto para Resultados'!D99</f>
        <v>0.4</v>
      </c>
    </row>
    <row r="129" spans="1:7">
      <c r="A129" s="358" t="s">
        <v>275</v>
      </c>
      <c r="B129" s="348">
        <v>84.46208</v>
      </c>
      <c r="C129" s="383">
        <f>+'3.Supuesto para Resultados'!D100</f>
        <v>0.85</v>
      </c>
    </row>
    <row r="130" spans="1:7">
      <c r="A130" s="359" t="s">
        <v>276</v>
      </c>
      <c r="B130" s="351">
        <v>5582.49791</v>
      </c>
      <c r="C130" s="649">
        <f>+'3.Supuesto para Resultados'!D101</f>
        <v>0.03</v>
      </c>
    </row>
    <row r="134" spans="1:7">
      <c r="A134" s="433" t="s">
        <v>117</v>
      </c>
      <c r="B134" s="265" t="s">
        <v>258</v>
      </c>
      <c r="C134" s="265">
        <v>2005</v>
      </c>
      <c r="D134" s="265">
        <v>2006</v>
      </c>
      <c r="E134" s="265">
        <v>2007</v>
      </c>
      <c r="F134" s="265">
        <v>2008</v>
      </c>
      <c r="G134" s="303">
        <v>2009</v>
      </c>
    </row>
    <row r="135" spans="1:7" ht="15">
      <c r="A135" s="358" t="s">
        <v>274</v>
      </c>
      <c r="B135" s="650">
        <v>718.11566000000005</v>
      </c>
      <c r="C135" s="336">
        <f>(B135*C128)+B135</f>
        <v>1005.361924</v>
      </c>
      <c r="D135" s="336">
        <f>(C135*C128)+C135</f>
        <v>1407.5066936000001</v>
      </c>
      <c r="E135" s="337">
        <f>(D135*C128)+D135</f>
        <v>1970.5093710400001</v>
      </c>
      <c r="F135" s="337">
        <f>(E135*C128)+E135</f>
        <v>2758.7131194560002</v>
      </c>
      <c r="G135" s="360">
        <f>(F135*C128)+F135</f>
        <v>3862.1983672384004</v>
      </c>
    </row>
    <row r="136" spans="1:7" ht="15">
      <c r="A136" s="358" t="s">
        <v>275</v>
      </c>
      <c r="B136" s="650">
        <v>84.46208</v>
      </c>
      <c r="C136" s="337">
        <f>(B136*C129)+B136</f>
        <v>156.25484799999998</v>
      </c>
      <c r="D136" s="337">
        <f>(C136*C129)+C136</f>
        <v>289.07146879999993</v>
      </c>
      <c r="E136" s="337">
        <f>(D136*C129)+D136</f>
        <v>534.78221727999994</v>
      </c>
      <c r="F136" s="337">
        <f>(E136*C129)+E136</f>
        <v>989.34710196799983</v>
      </c>
      <c r="G136" s="360">
        <f>(F136*C129)+F136</f>
        <v>1830.2921386407997</v>
      </c>
    </row>
    <row r="137" spans="1:7" ht="15.75" thickBot="1">
      <c r="A137" s="358" t="s">
        <v>276</v>
      </c>
      <c r="B137" s="650">
        <v>5582.49791</v>
      </c>
      <c r="C137" s="338">
        <f>(B137*C130)+B137</f>
        <v>5749.9728473000005</v>
      </c>
      <c r="D137" s="338">
        <f>(C137*C130)+C137</f>
        <v>5922.4720327190007</v>
      </c>
      <c r="E137" s="338">
        <f>(D137*C130)+D137</f>
        <v>6100.1461937005706</v>
      </c>
      <c r="F137" s="338">
        <f>(E137*C130)+E137</f>
        <v>6283.1505795115881</v>
      </c>
      <c r="G137" s="361">
        <f>(F137*C130)+F137</f>
        <v>6471.6450968969357</v>
      </c>
    </row>
    <row r="138" spans="1:7" ht="13.5" thickTop="1">
      <c r="A138" s="359" t="s">
        <v>215</v>
      </c>
      <c r="B138" s="351"/>
      <c r="C138" s="362">
        <f>SUM(C135:C137)</f>
        <v>6911.5896193000008</v>
      </c>
      <c r="D138" s="362">
        <f>SUM(D135:D137)</f>
        <v>7619.0501951190008</v>
      </c>
      <c r="E138" s="362">
        <f>SUM(E135:E137)</f>
        <v>8605.43778202057</v>
      </c>
      <c r="F138" s="362">
        <f>SUM(F135:F137)</f>
        <v>10031.210800935587</v>
      </c>
      <c r="G138" s="363">
        <f>SUM(G135:G137)</f>
        <v>12164.135602776136</v>
      </c>
    </row>
    <row r="141" spans="1:7">
      <c r="B141" s="29"/>
      <c r="C141" s="29"/>
      <c r="D141" s="29"/>
      <c r="E141" s="29"/>
      <c r="F141" s="29"/>
      <c r="G141" s="29"/>
    </row>
    <row r="142" spans="1:7">
      <c r="B142" s="28"/>
      <c r="C142" s="30"/>
      <c r="D142" s="31"/>
      <c r="E142" s="31"/>
    </row>
    <row r="143" spans="1:7">
      <c r="C143" s="838" t="s">
        <v>272</v>
      </c>
      <c r="D143" s="839"/>
      <c r="E143" s="839"/>
    </row>
    <row r="144" spans="1:7">
      <c r="B144" s="28"/>
      <c r="C144" s="31"/>
      <c r="D144" s="31"/>
      <c r="E144" s="31"/>
      <c r="F144" s="31"/>
      <c r="G144" s="31"/>
    </row>
    <row r="145" spans="1:7">
      <c r="B145" s="28"/>
      <c r="C145" s="31"/>
      <c r="D145" s="31"/>
      <c r="E145" s="31"/>
      <c r="F145" s="31"/>
      <c r="G145" s="31"/>
    </row>
    <row r="146" spans="1:7">
      <c r="B146" s="32"/>
      <c r="C146" s="33"/>
      <c r="D146" s="31"/>
      <c r="E146" s="31"/>
      <c r="F146" s="31"/>
      <c r="G146" s="31"/>
    </row>
    <row r="147" spans="1:7">
      <c r="A147" s="27"/>
      <c r="B147" s="28"/>
      <c r="C147" s="31"/>
      <c r="D147" s="31"/>
      <c r="E147" s="31"/>
      <c r="F147" s="31"/>
      <c r="G147" s="31"/>
    </row>
    <row r="148" spans="1:7">
      <c r="A148" s="273" t="s">
        <v>285</v>
      </c>
      <c r="D148" s="835"/>
      <c r="E148" s="835"/>
      <c r="F148" s="835"/>
      <c r="G148" s="31"/>
    </row>
    <row r="149" spans="1:7">
      <c r="A149" s="5" t="s">
        <v>288</v>
      </c>
      <c r="E149" s="31"/>
      <c r="F149" s="31"/>
      <c r="G149" s="31"/>
    </row>
    <row r="150" spans="1:7">
      <c r="A150" s="5" t="s">
        <v>277</v>
      </c>
      <c r="B150" s="28"/>
      <c r="C150" s="31"/>
      <c r="D150" s="31"/>
      <c r="E150" s="31"/>
      <c r="F150" s="31"/>
      <c r="G150" s="31"/>
    </row>
    <row r="151" spans="1:7">
      <c r="A151" s="5" t="s">
        <v>278</v>
      </c>
      <c r="B151" s="28"/>
      <c r="C151" s="31"/>
      <c r="D151" s="31"/>
      <c r="E151" s="31"/>
      <c r="F151" s="31"/>
      <c r="G151" s="31"/>
    </row>
    <row r="152" spans="1:7">
      <c r="A152" s="5" t="s">
        <v>279</v>
      </c>
      <c r="B152" s="28"/>
      <c r="C152" s="31"/>
      <c r="D152" s="31"/>
      <c r="E152" s="31"/>
      <c r="F152" s="31"/>
      <c r="G152" s="31"/>
    </row>
    <row r="153" spans="1:7">
      <c r="A153" s="45" t="s">
        <v>280</v>
      </c>
      <c r="B153" s="836" t="s">
        <v>144</v>
      </c>
      <c r="C153" s="435" t="s">
        <v>257</v>
      </c>
      <c r="D153" s="436" t="s">
        <v>227</v>
      </c>
      <c r="E153" s="31"/>
      <c r="F153" s="31"/>
      <c r="G153" s="31"/>
    </row>
    <row r="154" spans="1:7">
      <c r="A154" s="45" t="s">
        <v>281</v>
      </c>
      <c r="B154" s="837"/>
      <c r="C154" s="351">
        <v>8601.5</v>
      </c>
      <c r="D154" s="349">
        <f>+'3.Supuesto para Resultados'!D103</f>
        <v>0.04</v>
      </c>
      <c r="E154" s="31"/>
      <c r="F154" s="31"/>
      <c r="G154" s="31"/>
    </row>
    <row r="155" spans="1:7">
      <c r="A155" s="5" t="s">
        <v>282</v>
      </c>
      <c r="B155" s="28"/>
      <c r="C155" s="31"/>
      <c r="D155" s="31"/>
      <c r="E155" s="31"/>
      <c r="F155" s="31"/>
      <c r="G155" s="31"/>
    </row>
    <row r="156" spans="1:7">
      <c r="A156" s="5" t="s">
        <v>283</v>
      </c>
      <c r="B156" s="28"/>
      <c r="C156" s="31"/>
      <c r="D156" s="31"/>
      <c r="E156" s="31"/>
      <c r="F156" s="31"/>
      <c r="G156" s="31"/>
    </row>
    <row r="157" spans="1:7">
      <c r="A157" s="5" t="s">
        <v>284</v>
      </c>
      <c r="B157" s="28"/>
      <c r="C157" s="31"/>
      <c r="D157" s="31"/>
      <c r="E157" s="31"/>
      <c r="F157" s="31"/>
      <c r="G157" s="31"/>
    </row>
    <row r="158" spans="1:7">
      <c r="A158" s="364" t="s">
        <v>286</v>
      </c>
      <c r="B158" s="28"/>
      <c r="C158" s="31"/>
      <c r="D158" s="31"/>
      <c r="E158" s="31"/>
      <c r="F158" s="31"/>
      <c r="G158" s="31"/>
    </row>
    <row r="159" spans="1:7">
      <c r="A159" s="833" t="s">
        <v>287</v>
      </c>
      <c r="B159" s="28"/>
      <c r="C159" s="31"/>
      <c r="D159" s="31"/>
      <c r="E159" s="31"/>
      <c r="F159" s="31"/>
      <c r="G159" s="31"/>
    </row>
    <row r="160" spans="1:7">
      <c r="A160" s="834"/>
      <c r="B160" s="28"/>
      <c r="C160" s="31"/>
      <c r="D160" s="31"/>
      <c r="E160" s="31"/>
      <c r="F160" s="31"/>
      <c r="G160" s="31"/>
    </row>
    <row r="161" spans="1:7">
      <c r="D161" s="31"/>
      <c r="E161" s="31"/>
      <c r="F161" s="31"/>
      <c r="G161" s="31"/>
    </row>
    <row r="162" spans="1:7">
      <c r="D162" s="31"/>
      <c r="E162" s="31"/>
      <c r="F162" s="31"/>
      <c r="G162" s="31"/>
    </row>
    <row r="163" spans="1:7">
      <c r="A163" s="854" t="s">
        <v>144</v>
      </c>
      <c r="B163" s="434" t="s">
        <v>258</v>
      </c>
      <c r="C163" s="434">
        <v>2005</v>
      </c>
      <c r="D163" s="434">
        <v>2006</v>
      </c>
      <c r="E163" s="434">
        <v>2007</v>
      </c>
      <c r="F163" s="434">
        <v>2008</v>
      </c>
      <c r="G163" s="434">
        <v>2009</v>
      </c>
    </row>
    <row r="164" spans="1:7" ht="27" customHeight="1">
      <c r="A164" s="855"/>
      <c r="B164" s="653">
        <v>8601.5</v>
      </c>
      <c r="C164" s="350">
        <f>(B164*D154)+B164</f>
        <v>8945.56</v>
      </c>
      <c r="D164" s="350">
        <f>(C164*D154)+C164</f>
        <v>9303.3823999999986</v>
      </c>
      <c r="E164" s="350">
        <f>(D164*D154)+D164</f>
        <v>9675.517695999999</v>
      </c>
      <c r="F164" s="350">
        <f>(E164*D154)+E164</f>
        <v>10062.538403839999</v>
      </c>
      <c r="G164" s="350">
        <f>(F164*D154)+F164</f>
        <v>10465.0399399936</v>
      </c>
    </row>
    <row r="165" spans="1:7">
      <c r="B165" s="149"/>
      <c r="C165" s="149"/>
      <c r="D165" s="149"/>
      <c r="E165" s="147"/>
      <c r="F165" s="148"/>
      <c r="G165" s="148"/>
    </row>
    <row r="166" spans="1:7">
      <c r="B166" s="28"/>
      <c r="C166" s="31"/>
      <c r="D166" s="31"/>
      <c r="E166" s="31"/>
      <c r="F166" s="31"/>
      <c r="G166" s="31"/>
    </row>
    <row r="167" spans="1:7">
      <c r="B167" s="28"/>
      <c r="C167" s="31"/>
      <c r="D167" s="31"/>
      <c r="E167" s="31"/>
      <c r="F167" s="31"/>
      <c r="G167" s="31"/>
    </row>
    <row r="168" spans="1:7">
      <c r="A168" s="2"/>
      <c r="C168" s="371"/>
      <c r="D168" s="17"/>
      <c r="E168" s="17"/>
      <c r="F168" s="17"/>
      <c r="G168" s="17"/>
    </row>
  </sheetData>
  <mergeCells count="26">
    <mergeCell ref="A163:A164"/>
    <mergeCell ref="C11:D11"/>
    <mergeCell ref="C42:E42"/>
    <mergeCell ref="D61:D62"/>
    <mergeCell ref="E61:E62"/>
    <mergeCell ref="C57:E57"/>
    <mergeCell ref="C74:E74"/>
    <mergeCell ref="C61:C62"/>
    <mergeCell ref="B66:B68"/>
    <mergeCell ref="C123:E123"/>
    <mergeCell ref="A4:H5"/>
    <mergeCell ref="G113:G114"/>
    <mergeCell ref="C104:E104"/>
    <mergeCell ref="B104:B105"/>
    <mergeCell ref="A104:A105"/>
    <mergeCell ref="A113:A114"/>
    <mergeCell ref="C96:E96"/>
    <mergeCell ref="D113:D114"/>
    <mergeCell ref="B113:B114"/>
    <mergeCell ref="F113:F114"/>
    <mergeCell ref="C113:C114"/>
    <mergeCell ref="E113:E114"/>
    <mergeCell ref="A159:A160"/>
    <mergeCell ref="D148:F148"/>
    <mergeCell ref="B153:B154"/>
    <mergeCell ref="C143:E143"/>
  </mergeCells>
  <phoneticPr fontId="8" type="noConversion"/>
  <pageMargins left="0.75" right="0.75" top="1" bottom="1" header="0" footer="0"/>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sheetPr codeName="Hoja5"/>
  <dimension ref="A2:J150"/>
  <sheetViews>
    <sheetView showGridLines="0" topLeftCell="A128" workbookViewId="0">
      <selection activeCell="G26" sqref="G26"/>
    </sheetView>
  </sheetViews>
  <sheetFormatPr baseColWidth="10" defaultRowHeight="12.75"/>
  <cols>
    <col min="1" max="1" width="34.42578125" customWidth="1"/>
    <col min="2" max="2" width="18.42578125" customWidth="1"/>
    <col min="3" max="3" width="17.7109375" bestFit="1" customWidth="1"/>
    <col min="7" max="7" width="12.42578125" customWidth="1"/>
    <col min="8" max="8" width="12.28515625" customWidth="1"/>
    <col min="9" max="9" width="13.28515625" customWidth="1"/>
  </cols>
  <sheetData>
    <row r="2" spans="1:10" ht="20.25">
      <c r="A2" s="840" t="s">
        <v>150</v>
      </c>
      <c r="B2" s="840"/>
      <c r="C2" s="840"/>
      <c r="D2" s="840"/>
      <c r="E2" s="840"/>
      <c r="F2" s="840"/>
      <c r="G2" s="840"/>
      <c r="H2" s="840"/>
    </row>
    <row r="3" spans="1:10">
      <c r="C3" s="654" t="s">
        <v>402</v>
      </c>
    </row>
    <row r="6" spans="1:10">
      <c r="B6" s="851" t="s">
        <v>289</v>
      </c>
      <c r="C6" s="872"/>
      <c r="D6" s="872"/>
      <c r="E6" s="872"/>
      <c r="F6" s="261"/>
      <c r="G6" s="261"/>
    </row>
    <row r="9" spans="1:10">
      <c r="I9" s="27"/>
      <c r="J9" s="27"/>
    </row>
    <row r="10" spans="1:10">
      <c r="A10" s="289" t="s">
        <v>165</v>
      </c>
      <c r="B10" s="290" t="s">
        <v>257</v>
      </c>
      <c r="C10" s="291" t="s">
        <v>227</v>
      </c>
      <c r="E10" s="868" t="s">
        <v>294</v>
      </c>
      <c r="F10" s="869"/>
      <c r="G10" s="266" t="s">
        <v>295</v>
      </c>
      <c r="H10" s="292" t="s">
        <v>292</v>
      </c>
      <c r="I10" s="873" t="s">
        <v>468</v>
      </c>
      <c r="J10" s="874"/>
    </row>
    <row r="11" spans="1:10">
      <c r="A11" s="423" t="s">
        <v>191</v>
      </c>
      <c r="B11" s="429">
        <v>113397</v>
      </c>
      <c r="C11" s="658">
        <f>+'2.Supuestos para Balance'!C104</f>
        <v>0.08</v>
      </c>
      <c r="E11" s="870" t="s">
        <v>201</v>
      </c>
      <c r="F11" s="871"/>
      <c r="G11" s="384">
        <f>+'3.Supuesto para Resultados'!D47</f>
        <v>3.6700000000000003E-2</v>
      </c>
      <c r="H11" s="661">
        <v>0.01</v>
      </c>
      <c r="I11" s="662">
        <f>+'3.Supuesto para Resultados'!D39</f>
        <v>1.89E-2</v>
      </c>
      <c r="J11" s="5"/>
    </row>
    <row r="12" spans="1:10">
      <c r="A12" s="423" t="s">
        <v>290</v>
      </c>
      <c r="B12" s="430">
        <v>1132.2618400000001</v>
      </c>
      <c r="C12" s="659">
        <f>+'2.Supuestos para Balance'!C108</f>
        <v>0.05</v>
      </c>
      <c r="E12" s="870" t="s">
        <v>208</v>
      </c>
      <c r="F12" s="871"/>
      <c r="G12" s="384">
        <f>+'3.Supuesto para Resultados'!D48</f>
        <v>3.7825999999999999E-2</v>
      </c>
      <c r="H12" s="661">
        <v>1.0500000000000001E-2</v>
      </c>
      <c r="I12" s="662">
        <f>+'3.Supuesto para Resultados'!D40</f>
        <v>2.0500000000000001E-2</v>
      </c>
      <c r="J12" s="5"/>
    </row>
    <row r="13" spans="1:10">
      <c r="A13" s="423" t="s">
        <v>193</v>
      </c>
      <c r="B13" s="430">
        <v>193634.71168000001</v>
      </c>
      <c r="C13" s="659">
        <f>+'2.Supuestos para Balance'!C112</f>
        <v>0.04</v>
      </c>
      <c r="E13" s="870" t="s">
        <v>209</v>
      </c>
      <c r="F13" s="871"/>
      <c r="G13" s="384">
        <f>+'3.Supuesto para Resultados'!D49</f>
        <v>3.8600000000000002E-2</v>
      </c>
      <c r="H13" s="661">
        <v>1.0500000000000001E-2</v>
      </c>
      <c r="I13" s="662">
        <f>+'3.Supuesto para Resultados'!D41</f>
        <v>2.1499999999999998E-2</v>
      </c>
      <c r="J13" s="5"/>
    </row>
    <row r="14" spans="1:10">
      <c r="A14" s="427" t="s">
        <v>194</v>
      </c>
      <c r="B14" s="413">
        <v>361.54791999999998</v>
      </c>
      <c r="C14" s="660">
        <f>+'2.Supuestos para Balance'!C115</f>
        <v>0.13</v>
      </c>
      <c r="E14" s="870" t="s">
        <v>210</v>
      </c>
      <c r="F14" s="871"/>
      <c r="G14" s="384">
        <f>+'3.Supuesto para Resultados'!D50</f>
        <v>3.8800000000000001E-2</v>
      </c>
      <c r="H14" s="661">
        <v>1.0999999999999999E-2</v>
      </c>
      <c r="I14" s="662">
        <f>+'3.Supuesto para Resultados'!D42</f>
        <v>2.23E-2</v>
      </c>
      <c r="J14" s="5"/>
    </row>
    <row r="15" spans="1:10">
      <c r="E15" s="880" t="s">
        <v>211</v>
      </c>
      <c r="F15" s="881"/>
      <c r="G15" s="386">
        <f>+'3.Supuesto para Resultados'!D51</f>
        <v>4.02E-2</v>
      </c>
      <c r="H15" s="663">
        <v>1.0999999999999999E-2</v>
      </c>
      <c r="I15" s="664">
        <f>+'3.Supuesto para Resultados'!D43</f>
        <v>2.3199999999999998E-2</v>
      </c>
      <c r="J15" s="665"/>
    </row>
    <row r="16" spans="1:10">
      <c r="A16" s="2"/>
      <c r="E16" s="876" t="s">
        <v>291</v>
      </c>
      <c r="F16" s="877"/>
      <c r="G16" s="878"/>
      <c r="J16" s="105"/>
    </row>
    <row r="17" spans="1:7">
      <c r="A17" s="561"/>
      <c r="B17" s="20"/>
    </row>
    <row r="18" spans="1:7">
      <c r="D18" s="39"/>
    </row>
    <row r="19" spans="1:7">
      <c r="A19" s="289" t="s">
        <v>165</v>
      </c>
      <c r="B19" s="267" t="s">
        <v>258</v>
      </c>
      <c r="C19" s="293" t="s">
        <v>201</v>
      </c>
      <c r="D19" s="293" t="s">
        <v>208</v>
      </c>
      <c r="E19" s="293" t="s">
        <v>209</v>
      </c>
      <c r="F19" s="293" t="s">
        <v>210</v>
      </c>
      <c r="G19" s="293" t="s">
        <v>211</v>
      </c>
    </row>
    <row r="20" spans="1:7" ht="15">
      <c r="A20" s="423" t="s">
        <v>191</v>
      </c>
      <c r="B20" s="655">
        <v>113397</v>
      </c>
      <c r="C20" s="415">
        <f>(B20*C11)+B20</f>
        <v>122468.76</v>
      </c>
      <c r="D20" s="424">
        <f>(C20*C11)+C20</f>
        <v>132266.26079999999</v>
      </c>
      <c r="E20" s="425">
        <f>(D20*C11)+D20</f>
        <v>142847.56166399998</v>
      </c>
      <c r="F20" s="425">
        <f>(E20*C11)+E20</f>
        <v>154275.36659711998</v>
      </c>
      <c r="G20" s="426">
        <f>(F20*C11)+F20</f>
        <v>166617.39592488957</v>
      </c>
    </row>
    <row r="21" spans="1:7" ht="15">
      <c r="A21" s="423" t="s">
        <v>290</v>
      </c>
      <c r="B21" s="656">
        <v>1132.2618400000001</v>
      </c>
      <c r="C21" s="354">
        <f>(B21*C12)+B21</f>
        <v>1188.8749320000002</v>
      </c>
      <c r="D21" s="352">
        <f>(C21*C12)+C21</f>
        <v>1248.3186786000001</v>
      </c>
      <c r="E21" s="337">
        <f>(D21*C12)+D21</f>
        <v>1310.73461253</v>
      </c>
      <c r="F21" s="337">
        <f>(E21*C12)+E21</f>
        <v>1376.2713431565001</v>
      </c>
      <c r="G21" s="360">
        <f>(F21*C12)+F21</f>
        <v>1445.084910314325</v>
      </c>
    </row>
    <row r="22" spans="1:7" ht="15">
      <c r="A22" s="423" t="s">
        <v>193</v>
      </c>
      <c r="B22" s="656">
        <v>193634.71168000001</v>
      </c>
      <c r="C22" s="354">
        <f>(B22*C13)+B22</f>
        <v>201380.10014720002</v>
      </c>
      <c r="D22" s="352">
        <f>(C22*C13)+C22</f>
        <v>209435.30415308801</v>
      </c>
      <c r="E22" s="337">
        <f>(D22*C13)+D22</f>
        <v>217812.71631921153</v>
      </c>
      <c r="F22" s="337">
        <f>(E22*C13)+E22</f>
        <v>226525.22497197997</v>
      </c>
      <c r="G22" s="360">
        <f>(F22*C13)+F22</f>
        <v>235586.23397085918</v>
      </c>
    </row>
    <row r="23" spans="1:7" ht="15">
      <c r="A23" s="427" t="s">
        <v>194</v>
      </c>
      <c r="B23" s="657">
        <v>361.54791999999998</v>
      </c>
      <c r="C23" s="377">
        <f>(B23*C14)+B23</f>
        <v>408.54914959999996</v>
      </c>
      <c r="D23" s="428">
        <f>(C23*C14)+C23</f>
        <v>461.66053904799998</v>
      </c>
      <c r="E23" s="428">
        <f>(D23*C14)+D23</f>
        <v>521.67640912423997</v>
      </c>
      <c r="F23" s="428">
        <f>(E23*C14)+E23</f>
        <v>589.49434231039118</v>
      </c>
      <c r="G23" s="428">
        <f>(F23*C14)+F23</f>
        <v>666.12860681074199</v>
      </c>
    </row>
    <row r="24" spans="1:7">
      <c r="B24" s="17"/>
      <c r="C24" s="17"/>
    </row>
    <row r="25" spans="1:7">
      <c r="F25" s="2"/>
    </row>
    <row r="29" spans="1:7">
      <c r="A29" s="293" t="s">
        <v>217</v>
      </c>
      <c r="B29" s="293" t="s">
        <v>201</v>
      </c>
      <c r="C29" s="293" t="s">
        <v>208</v>
      </c>
      <c r="D29" s="293" t="s">
        <v>209</v>
      </c>
      <c r="E29" s="293" t="s">
        <v>210</v>
      </c>
      <c r="F29" s="293" t="s">
        <v>211</v>
      </c>
    </row>
    <row r="30" spans="1:7">
      <c r="A30" s="414" t="s">
        <v>166</v>
      </c>
      <c r="B30" s="415">
        <f>C20*I11</f>
        <v>2314.659564</v>
      </c>
      <c r="C30" s="415">
        <f>D20*I12</f>
        <v>2711.4583463999998</v>
      </c>
      <c r="D30" s="415">
        <f>E20*I13</f>
        <v>3071.2225757759993</v>
      </c>
      <c r="E30" s="415">
        <f>F20*I14</f>
        <v>3440.3406751157754</v>
      </c>
      <c r="F30" s="416">
        <f>G20*I15</f>
        <v>3865.5235854574375</v>
      </c>
    </row>
    <row r="31" spans="1:7">
      <c r="A31" s="417" t="s">
        <v>167</v>
      </c>
      <c r="B31" s="354">
        <f>C21*H11</f>
        <v>11.888749320000002</v>
      </c>
      <c r="C31" s="354">
        <f>D21*H12</f>
        <v>13.107346125300001</v>
      </c>
      <c r="D31" s="354">
        <f>E21*H13</f>
        <v>13.762713431565002</v>
      </c>
      <c r="E31" s="354">
        <f>F21*H14</f>
        <v>15.1389847747215</v>
      </c>
      <c r="F31" s="374">
        <f>G21*H15</f>
        <v>15.895934013457575</v>
      </c>
    </row>
    <row r="32" spans="1:7">
      <c r="A32" s="418" t="s">
        <v>168</v>
      </c>
      <c r="B32" s="354">
        <f>C22*G11</f>
        <v>7390.6496754022419</v>
      </c>
      <c r="C32" s="354">
        <f>D22*G12</f>
        <v>7922.0998148947074</v>
      </c>
      <c r="D32" s="354">
        <f>E22*G13</f>
        <v>8407.5708499215652</v>
      </c>
      <c r="E32" s="354">
        <f>F22*G14</f>
        <v>8789.1787289128224</v>
      </c>
      <c r="F32" s="374">
        <f>G22*G15</f>
        <v>9470.566605628539</v>
      </c>
    </row>
    <row r="33" spans="1:7" ht="13.5" thickBot="1">
      <c r="A33" s="419" t="s">
        <v>293</v>
      </c>
      <c r="B33" s="420">
        <f>C23*I11</f>
        <v>7.7215789274399995</v>
      </c>
      <c r="C33" s="354">
        <f>D23*I12</f>
        <v>9.4640410504839991</v>
      </c>
      <c r="D33" s="354">
        <f>E23*I13</f>
        <v>11.216042796171159</v>
      </c>
      <c r="E33" s="354">
        <f>F23*I14</f>
        <v>13.145723833521723</v>
      </c>
      <c r="F33" s="374">
        <f>G23*I15</f>
        <v>15.454183678009214</v>
      </c>
    </row>
    <row r="34" spans="1:7" ht="13.5" thickTop="1">
      <c r="A34" s="421" t="s">
        <v>251</v>
      </c>
      <c r="B34" s="422">
        <f>SUM(B30:B33)</f>
        <v>9724.919567649682</v>
      </c>
      <c r="C34" s="340">
        <f>SUM(C30:C33)</f>
        <v>10656.12954847049</v>
      </c>
      <c r="D34" s="340">
        <f>SUM(D30:D33)</f>
        <v>11503.772181925302</v>
      </c>
      <c r="E34" s="340">
        <f>SUM(E30:E33)</f>
        <v>12257.804112636843</v>
      </c>
      <c r="F34" s="340">
        <f>SUM(F30:F33)</f>
        <v>13367.440308777444</v>
      </c>
    </row>
    <row r="35" spans="1:7">
      <c r="B35" s="38"/>
    </row>
    <row r="36" spans="1:7">
      <c r="B36" s="17"/>
    </row>
    <row r="39" spans="1:7">
      <c r="B39" s="851" t="s">
        <v>296</v>
      </c>
      <c r="C39" s="872"/>
      <c r="D39" s="872"/>
      <c r="E39" s="872"/>
      <c r="F39" s="261"/>
      <c r="G39" s="261"/>
    </row>
    <row r="42" spans="1:7">
      <c r="B42" s="266" t="s">
        <v>257</v>
      </c>
      <c r="C42" s="294" t="s">
        <v>227</v>
      </c>
      <c r="E42" s="868" t="s">
        <v>507</v>
      </c>
      <c r="F42" s="879"/>
    </row>
    <row r="43" spans="1:7">
      <c r="B43" s="413">
        <v>16903.847020000001</v>
      </c>
      <c r="C43" s="649">
        <f>+'2.Supuestos para Balance'!C131</f>
        <v>0.2</v>
      </c>
      <c r="E43" s="6" t="s">
        <v>201</v>
      </c>
      <c r="F43" s="666">
        <f>+'3.Supuesto para Resultados'!D64</f>
        <v>8.5999999999999993E-2</v>
      </c>
    </row>
    <row r="44" spans="1:7">
      <c r="E44" s="6" t="s">
        <v>208</v>
      </c>
      <c r="F44" s="666">
        <f>+'3.Supuesto para Resultados'!D65</f>
        <v>8.6999999999999994E-2</v>
      </c>
    </row>
    <row r="45" spans="1:7">
      <c r="E45" s="6" t="s">
        <v>209</v>
      </c>
      <c r="F45" s="666">
        <f>+'3.Supuesto para Resultados'!D66</f>
        <v>8.7599999999999997E-2</v>
      </c>
    </row>
    <row r="46" spans="1:7">
      <c r="E46" s="6" t="s">
        <v>210</v>
      </c>
      <c r="F46" s="666">
        <f>+'3.Supuesto para Resultados'!D67</f>
        <v>8.8599999999999998E-2</v>
      </c>
    </row>
    <row r="47" spans="1:7">
      <c r="E47" s="342" t="s">
        <v>211</v>
      </c>
      <c r="F47" s="667">
        <f>+'3.Supuesto para Resultados'!D68</f>
        <v>8.9599999999999999E-2</v>
      </c>
    </row>
    <row r="51" spans="1:7">
      <c r="A51" s="884" t="s">
        <v>113</v>
      </c>
      <c r="B51" s="267" t="s">
        <v>258</v>
      </c>
      <c r="C51" s="293" t="s">
        <v>201</v>
      </c>
      <c r="D51" s="293" t="s">
        <v>208</v>
      </c>
      <c r="E51" s="293" t="s">
        <v>209</v>
      </c>
      <c r="F51" s="293" t="s">
        <v>210</v>
      </c>
      <c r="G51" s="293" t="s">
        <v>211</v>
      </c>
    </row>
    <row r="52" spans="1:7" ht="25.5" customHeight="1">
      <c r="A52" s="885"/>
      <c r="B52" s="669">
        <v>16903.847020000001</v>
      </c>
      <c r="C52" s="670">
        <f>(B52*C43)+B52</f>
        <v>20284.616424</v>
      </c>
      <c r="D52" s="670">
        <f>(C52*C43)+C52</f>
        <v>24341.539708799999</v>
      </c>
      <c r="E52" s="670">
        <f>(D52*C43)+D52</f>
        <v>29209.847650559997</v>
      </c>
      <c r="F52" s="670">
        <f>(E52*C43)+E52</f>
        <v>35051.817180671998</v>
      </c>
      <c r="G52" s="670">
        <f>(F52*C43)+F52</f>
        <v>42062.180616806399</v>
      </c>
    </row>
    <row r="55" spans="1:7">
      <c r="A55" s="268" t="s">
        <v>217</v>
      </c>
      <c r="B55" s="293" t="s">
        <v>201</v>
      </c>
      <c r="C55" s="293" t="s">
        <v>208</v>
      </c>
      <c r="D55" s="293" t="s">
        <v>209</v>
      </c>
      <c r="E55" s="293" t="s">
        <v>210</v>
      </c>
      <c r="F55" s="293" t="s">
        <v>211</v>
      </c>
    </row>
    <row r="56" spans="1:7">
      <c r="A56" s="411" t="s">
        <v>113</v>
      </c>
      <c r="B56" s="412">
        <f>C52*F43</f>
        <v>1744.4770124639999</v>
      </c>
      <c r="C56" s="412">
        <f>D52*F44</f>
        <v>2117.7139546655999</v>
      </c>
      <c r="D56" s="412">
        <f>E52*F45</f>
        <v>2558.7826541890558</v>
      </c>
      <c r="E56" s="412">
        <f>F52*F46</f>
        <v>3105.5910022075391</v>
      </c>
      <c r="F56" s="412">
        <f>G52*F47</f>
        <v>3768.7713832658533</v>
      </c>
    </row>
    <row r="61" spans="1:7">
      <c r="B61" s="851" t="s">
        <v>297</v>
      </c>
      <c r="C61" s="886"/>
      <c r="D61" s="886"/>
      <c r="F61" s="261"/>
      <c r="G61" s="261"/>
    </row>
    <row r="64" spans="1:7" ht="12.75" customHeight="1">
      <c r="B64" s="887" t="s">
        <v>227</v>
      </c>
      <c r="C64" s="888"/>
    </row>
    <row r="65" spans="1:8" ht="24" customHeight="1">
      <c r="B65" s="400" t="s">
        <v>46</v>
      </c>
      <c r="C65" s="401">
        <f>+'3.Supuesto para Resultados'!D106</f>
        <v>0.05</v>
      </c>
    </row>
    <row r="66" spans="1:8">
      <c r="A66" s="1"/>
      <c r="B66" s="105"/>
      <c r="C66" s="739"/>
    </row>
    <row r="67" spans="1:8">
      <c r="A67" s="1"/>
    </row>
    <row r="68" spans="1:8">
      <c r="A68" s="296" t="s">
        <v>508</v>
      </c>
      <c r="B68" s="267" t="s">
        <v>257</v>
      </c>
      <c r="C68" s="293" t="s">
        <v>201</v>
      </c>
      <c r="D68" s="293" t="s">
        <v>208</v>
      </c>
      <c r="E68" s="293" t="s">
        <v>209</v>
      </c>
      <c r="F68" s="293" t="s">
        <v>210</v>
      </c>
      <c r="G68" s="293" t="s">
        <v>211</v>
      </c>
    </row>
    <row r="69" spans="1:8" ht="15">
      <c r="A69" s="402" t="s">
        <v>113</v>
      </c>
      <c r="B69" s="671">
        <v>14</v>
      </c>
      <c r="C69" s="403">
        <f>(B69*C65)+B69</f>
        <v>14.7</v>
      </c>
      <c r="D69" s="404">
        <f>(C69*C65)+C69</f>
        <v>15.434999999999999</v>
      </c>
      <c r="E69" s="404">
        <f>(D69*C65)+D69</f>
        <v>16.20675</v>
      </c>
      <c r="F69" s="404">
        <f>(E69*C65)+E69</f>
        <v>17.017087499999999</v>
      </c>
      <c r="G69" s="405">
        <f>(F69*C65)+F69</f>
        <v>17.867941875</v>
      </c>
    </row>
    <row r="70" spans="1:8" ht="15">
      <c r="A70" s="406" t="s">
        <v>122</v>
      </c>
      <c r="B70" s="672">
        <v>8.9554400000000012</v>
      </c>
      <c r="C70" s="407">
        <f>(B70*C65)+B70</f>
        <v>9.4032120000000017</v>
      </c>
      <c r="D70" s="392">
        <f>(C70*C65)+C70</f>
        <v>9.8733726000000015</v>
      </c>
      <c r="E70" s="392">
        <f>(D70*C65)+D70</f>
        <v>10.367041230000002</v>
      </c>
      <c r="F70" s="392">
        <f>(E70*C65)+E70</f>
        <v>10.885393291500002</v>
      </c>
      <c r="G70" s="408">
        <f>(F70*C65)+F70</f>
        <v>11.429662956075001</v>
      </c>
    </row>
    <row r="71" spans="1:8" ht="15">
      <c r="A71" s="406" t="s">
        <v>123</v>
      </c>
      <c r="B71" s="672">
        <v>23.81776</v>
      </c>
      <c r="C71" s="140">
        <f>(B71*C65)+B71</f>
        <v>25.008648000000001</v>
      </c>
      <c r="D71" s="178">
        <f>(C71*C65)+C71</f>
        <v>26.259080400000002</v>
      </c>
      <c r="E71" s="178">
        <f>(D71*C65)+D71</f>
        <v>27.572034420000001</v>
      </c>
      <c r="F71" s="178">
        <f>(E71*C65)+E71</f>
        <v>28.950636141</v>
      </c>
      <c r="G71" s="393">
        <f>(F71*C65)+F71</f>
        <v>30.398167948050002</v>
      </c>
    </row>
    <row r="72" spans="1:8" ht="15.75" thickBot="1">
      <c r="A72" s="406" t="s">
        <v>124</v>
      </c>
      <c r="B72" s="673">
        <v>304.86228999999997</v>
      </c>
      <c r="C72" s="409">
        <f>(B72*C65)+B72</f>
        <v>320.10540449999996</v>
      </c>
      <c r="D72" s="178">
        <f>(C72*C65)+C72</f>
        <v>336.11067472499997</v>
      </c>
      <c r="E72" s="394">
        <f>(D72*C65)+D72</f>
        <v>352.91620846124999</v>
      </c>
      <c r="F72" s="394">
        <f>(E72*C65)+E72</f>
        <v>370.56201888431247</v>
      </c>
      <c r="G72" s="395">
        <f>(F72*C65)+F72</f>
        <v>389.09011982852809</v>
      </c>
    </row>
    <row r="73" spans="1:8" ht="15.75" thickTop="1">
      <c r="A73" s="410" t="s">
        <v>251</v>
      </c>
      <c r="B73" s="668">
        <v>351.63549</v>
      </c>
      <c r="C73" s="398">
        <f>(B73*C65)+B73</f>
        <v>369.2172645</v>
      </c>
      <c r="D73" s="397">
        <f>(C73*C65)+C73</f>
        <v>387.67812772500002</v>
      </c>
      <c r="E73" s="398">
        <f>(D73*C65)+D73</f>
        <v>407.06203411125</v>
      </c>
      <c r="F73" s="398">
        <f>(E73*C65)+E73</f>
        <v>427.41513581681249</v>
      </c>
      <c r="G73" s="398">
        <f>(F73*C65)+F73</f>
        <v>448.78589260765312</v>
      </c>
      <c r="H73" s="22"/>
    </row>
    <row r="74" spans="1:8">
      <c r="C74" s="13"/>
    </row>
    <row r="79" spans="1:8">
      <c r="B79" s="851" t="s">
        <v>298</v>
      </c>
      <c r="C79" s="886"/>
      <c r="D79" s="886"/>
    </row>
    <row r="82" spans="1:7">
      <c r="A82" s="1"/>
      <c r="B82" s="887" t="s">
        <v>227</v>
      </c>
      <c r="C82" s="888"/>
    </row>
    <row r="83" spans="1:7">
      <c r="A83" s="1"/>
      <c r="B83" s="400" t="s">
        <v>201</v>
      </c>
      <c r="C83" s="674">
        <f>+'3.Supuesto para Resultados'!D109</f>
        <v>-0.1</v>
      </c>
    </row>
    <row r="84" spans="1:7">
      <c r="A84" s="1"/>
      <c r="B84" s="6" t="s">
        <v>208</v>
      </c>
      <c r="C84" s="675">
        <f>+'3.Supuesto para Resultados'!D110</f>
        <v>-0.08</v>
      </c>
    </row>
    <row r="85" spans="1:7">
      <c r="B85" s="6" t="s">
        <v>209</v>
      </c>
      <c r="C85" s="675">
        <f>+'3.Supuesto para Resultados'!D111</f>
        <v>-7.0000000000000007E-2</v>
      </c>
    </row>
    <row r="86" spans="1:7">
      <c r="B86" s="342" t="s">
        <v>400</v>
      </c>
      <c r="C86" s="676">
        <f>+'3.Supuesto para Resultados'!D112</f>
        <v>0.05</v>
      </c>
    </row>
    <row r="88" spans="1:7">
      <c r="B88" s="16"/>
    </row>
    <row r="90" spans="1:7">
      <c r="A90" s="295" t="s">
        <v>130</v>
      </c>
      <c r="B90" s="265" t="s">
        <v>257</v>
      </c>
      <c r="C90" s="293" t="s">
        <v>201</v>
      </c>
      <c r="D90" s="293" t="s">
        <v>208</v>
      </c>
      <c r="E90" s="293" t="s">
        <v>209</v>
      </c>
      <c r="F90" s="293" t="s">
        <v>210</v>
      </c>
      <c r="G90" s="293" t="s">
        <v>211</v>
      </c>
    </row>
    <row r="91" spans="1:7" ht="15">
      <c r="A91" s="389" t="s">
        <v>131</v>
      </c>
      <c r="B91" s="678">
        <v>0.81298999999999999</v>
      </c>
      <c r="C91" s="390">
        <f>(B91*C83)+B91</f>
        <v>0.73169099999999998</v>
      </c>
      <c r="D91" s="390">
        <f>(C91*C84)+C91</f>
        <v>0.67315572000000001</v>
      </c>
      <c r="E91" s="390">
        <f>(D91*C85)+D91</f>
        <v>0.62603481959999996</v>
      </c>
      <c r="F91" s="390">
        <f>(E91*C86)+E91</f>
        <v>0.65733656058000001</v>
      </c>
      <c r="G91" s="391">
        <f>(F91*C86)+F91</f>
        <v>0.69020338860899999</v>
      </c>
    </row>
    <row r="92" spans="1:7" ht="15">
      <c r="A92" s="358" t="s">
        <v>127</v>
      </c>
      <c r="B92" s="679">
        <v>11.73352</v>
      </c>
      <c r="C92" s="178">
        <f>(B92*C83)+B92</f>
        <v>10.560168000000001</v>
      </c>
      <c r="D92" s="178">
        <f>(C92*C84)+C92</f>
        <v>9.7153545600000015</v>
      </c>
      <c r="E92" s="178">
        <f>(D92*C85)+D92</f>
        <v>9.0352797408000018</v>
      </c>
      <c r="F92" s="392">
        <f>(E92*C86)+E92</f>
        <v>9.4870437278400015</v>
      </c>
      <c r="G92" s="393">
        <f>(F92*C86)+F92</f>
        <v>9.9613959142320017</v>
      </c>
    </row>
    <row r="93" spans="1:7" ht="15.75" thickBot="1">
      <c r="A93" s="358" t="s">
        <v>128</v>
      </c>
      <c r="B93" s="679">
        <v>50.832419999999999</v>
      </c>
      <c r="C93" s="178">
        <f>(B93*C83)+B93</f>
        <v>45.749178000000001</v>
      </c>
      <c r="D93" s="394">
        <f>(C93*C84)+C93</f>
        <v>42.089243760000002</v>
      </c>
      <c r="E93" s="394">
        <f>(D93*C85)+D93</f>
        <v>39.142996696800004</v>
      </c>
      <c r="F93" s="394">
        <f>(E93*C86)+E93</f>
        <v>41.100146531640007</v>
      </c>
      <c r="G93" s="395">
        <f>(F93*C86)+F93</f>
        <v>43.155153858222008</v>
      </c>
    </row>
    <row r="94" spans="1:7" ht="15.75" thickTop="1">
      <c r="A94" s="396" t="s">
        <v>251</v>
      </c>
      <c r="B94" s="677">
        <v>63.378929999999997</v>
      </c>
      <c r="C94" s="397">
        <f>(B94*C83)+B94</f>
        <v>57.041036999999996</v>
      </c>
      <c r="D94" s="398">
        <f>(C94*C84)+C94</f>
        <v>52.477754039999994</v>
      </c>
      <c r="E94" s="397">
        <f>(D94*C85)+D94</f>
        <v>48.804311257199991</v>
      </c>
      <c r="F94" s="397">
        <f>(E94*C86)+E94</f>
        <v>51.244526820059988</v>
      </c>
      <c r="G94" s="399">
        <f>(F94*C86)+F94</f>
        <v>53.806753161062986</v>
      </c>
    </row>
    <row r="98" spans="1:7">
      <c r="B98" s="851" t="s">
        <v>304</v>
      </c>
      <c r="C98" s="851"/>
      <c r="D98" s="851"/>
      <c r="E98" s="261"/>
      <c r="F98" s="261"/>
      <c r="G98" s="261"/>
    </row>
    <row r="100" spans="1:7" s="26" customFormat="1">
      <c r="A100" s="300"/>
    </row>
    <row r="101" spans="1:7" ht="13.5" thickBot="1">
      <c r="A101" s="297" t="s">
        <v>132</v>
      </c>
      <c r="B101" s="298" t="s">
        <v>305</v>
      </c>
    </row>
    <row r="102" spans="1:7" ht="13.5" thickTop="1">
      <c r="A102" s="299" t="s">
        <v>379</v>
      </c>
      <c r="B102" s="345"/>
    </row>
    <row r="103" spans="1:7">
      <c r="A103" s="382" t="s">
        <v>183</v>
      </c>
      <c r="B103" s="659">
        <v>0.71</v>
      </c>
    </row>
    <row r="104" spans="1:7">
      <c r="A104" s="382" t="s">
        <v>301</v>
      </c>
      <c r="B104" s="659">
        <v>0.23</v>
      </c>
    </row>
    <row r="105" spans="1:7">
      <c r="A105" s="382" t="s">
        <v>302</v>
      </c>
      <c r="B105" s="666">
        <v>0.37359999999999999</v>
      </c>
    </row>
    <row r="106" spans="1:7">
      <c r="A106" s="382" t="s">
        <v>300</v>
      </c>
      <c r="B106" s="666">
        <v>0.1928</v>
      </c>
    </row>
    <row r="107" spans="1:7">
      <c r="A107" s="382" t="s">
        <v>190</v>
      </c>
      <c r="B107" s="666">
        <v>0.1447</v>
      </c>
    </row>
    <row r="108" spans="1:7">
      <c r="A108" s="385" t="s">
        <v>303</v>
      </c>
      <c r="B108" s="667">
        <v>0.14960000000000001</v>
      </c>
    </row>
    <row r="109" spans="1:7">
      <c r="A109" s="387" t="s">
        <v>299</v>
      </c>
      <c r="B109" s="388"/>
      <c r="C109" s="23"/>
    </row>
    <row r="114" spans="1:7">
      <c r="B114" s="851" t="s">
        <v>388</v>
      </c>
      <c r="C114" s="851"/>
      <c r="D114" s="851"/>
      <c r="E114" s="851"/>
      <c r="F114" s="261"/>
      <c r="G114" s="261"/>
    </row>
    <row r="117" spans="1:7">
      <c r="A117" s="274" t="s">
        <v>48</v>
      </c>
    </row>
    <row r="120" spans="1:7">
      <c r="A120" s="301" t="s">
        <v>136</v>
      </c>
      <c r="B120" s="275" t="s">
        <v>305</v>
      </c>
      <c r="C120" s="294" t="s">
        <v>372</v>
      </c>
    </row>
    <row r="121" spans="1:7">
      <c r="A121" s="379" t="s">
        <v>386</v>
      </c>
      <c r="B121" s="373">
        <v>11505.691939999999</v>
      </c>
      <c r="C121" s="659">
        <f>+'3.Supuesto para Resultados'!D127</f>
        <v>0.1</v>
      </c>
    </row>
    <row r="122" spans="1:7">
      <c r="A122" s="379" t="s">
        <v>387</v>
      </c>
      <c r="B122" s="373">
        <v>589.48243000000002</v>
      </c>
      <c r="C122" s="659">
        <f>+'3.Supuesto para Resultados'!D128</f>
        <v>7.0000000000000007E-2</v>
      </c>
    </row>
    <row r="123" spans="1:7">
      <c r="A123" s="379" t="s">
        <v>385</v>
      </c>
      <c r="B123" s="373">
        <v>13575.833939999999</v>
      </c>
      <c r="C123" s="659">
        <f>+'3.Supuesto para Resultados'!D129</f>
        <v>7.0000000000000007E-2</v>
      </c>
    </row>
    <row r="124" spans="1:7">
      <c r="A124" s="380" t="s">
        <v>384</v>
      </c>
      <c r="B124" s="373">
        <v>4081.9621499999998</v>
      </c>
      <c r="C124" s="659">
        <f>+'3.Supuesto para Resultados'!D130</f>
        <v>0.05</v>
      </c>
    </row>
    <row r="125" spans="1:7">
      <c r="A125" s="381" t="s">
        <v>383</v>
      </c>
      <c r="B125" s="346">
        <v>4516.3191399999996</v>
      </c>
      <c r="C125" s="660">
        <f>+'3.Supuesto para Resultados'!D133</f>
        <v>0.03</v>
      </c>
      <c r="D125" s="22"/>
    </row>
    <row r="131" spans="1:7">
      <c r="A131" s="302" t="s">
        <v>136</v>
      </c>
      <c r="B131" s="265" t="s">
        <v>258</v>
      </c>
      <c r="C131" s="303" t="s">
        <v>201</v>
      </c>
      <c r="D131" s="303" t="s">
        <v>208</v>
      </c>
      <c r="E131" s="303" t="s">
        <v>209</v>
      </c>
      <c r="F131" s="303" t="s">
        <v>210</v>
      </c>
      <c r="G131" s="303" t="s">
        <v>211</v>
      </c>
    </row>
    <row r="132" spans="1:7" ht="15">
      <c r="A132" s="372" t="s">
        <v>137</v>
      </c>
      <c r="B132" s="679">
        <v>11505.691939999999</v>
      </c>
      <c r="C132" s="354">
        <f>(B132*C121)+B132</f>
        <v>12656.261133999998</v>
      </c>
      <c r="D132" s="354">
        <f>(C132*C121)+C132</f>
        <v>13921.887247399998</v>
      </c>
      <c r="E132" s="374">
        <f>(D132*C121)+D132</f>
        <v>15314.075972139999</v>
      </c>
      <c r="F132" s="354">
        <f>(E132*C121)+E132</f>
        <v>16845.483569354001</v>
      </c>
      <c r="G132" s="374">
        <f>(F132*C121)+F132</f>
        <v>18530.031926289401</v>
      </c>
    </row>
    <row r="133" spans="1:7" ht="15">
      <c r="A133" s="372" t="s">
        <v>138</v>
      </c>
      <c r="B133" s="679">
        <v>589.48243000000002</v>
      </c>
      <c r="C133" s="354">
        <f>(B133*C122)+B133</f>
        <v>630.74620010000001</v>
      </c>
      <c r="D133" s="354">
        <f>(C133*C122)+C133</f>
        <v>674.89843410699996</v>
      </c>
      <c r="E133" s="374">
        <f>(D133*C122)+D133</f>
        <v>722.14132449448994</v>
      </c>
      <c r="F133" s="354">
        <f>(E133*C122)+E133</f>
        <v>772.69121720910425</v>
      </c>
      <c r="G133" s="374">
        <f>(F133*C122)+F133</f>
        <v>826.7796024137416</v>
      </c>
    </row>
    <row r="134" spans="1:7" ht="15">
      <c r="A134" s="372" t="s">
        <v>139</v>
      </c>
      <c r="B134" s="679">
        <v>13575.833939999999</v>
      </c>
      <c r="C134" s="354">
        <f>(B134*C123)+B134</f>
        <v>14526.142315799998</v>
      </c>
      <c r="D134" s="354">
        <f>(C134*C123)+C134</f>
        <v>15542.972277905998</v>
      </c>
      <c r="E134" s="374">
        <f>(D134*C123)+D134</f>
        <v>16630.980337359419</v>
      </c>
      <c r="F134" s="354">
        <f>(E134*C123)+E134</f>
        <v>17795.148960974577</v>
      </c>
      <c r="G134" s="374">
        <f>(F134*C123)+F134</f>
        <v>19040.809388242797</v>
      </c>
    </row>
    <row r="135" spans="1:7" ht="15">
      <c r="A135" s="375" t="s">
        <v>140</v>
      </c>
      <c r="B135" s="679">
        <v>4081.9621499999998</v>
      </c>
      <c r="C135" s="354">
        <f>(B135*C124)+B135</f>
        <v>4286.0602575000003</v>
      </c>
      <c r="D135" s="354">
        <f>(C135*C124)+C135</f>
        <v>4500.363270375</v>
      </c>
      <c r="E135" s="374">
        <f>(D135*C124)+D135</f>
        <v>4725.38143389375</v>
      </c>
      <c r="F135" s="354">
        <f>(E135*C124)+E135</f>
        <v>4961.6505055884372</v>
      </c>
      <c r="G135" s="374">
        <f>(F135*C124)+F135</f>
        <v>5209.7330308678593</v>
      </c>
    </row>
    <row r="136" spans="1:7" ht="15">
      <c r="A136" s="376" t="s">
        <v>143</v>
      </c>
      <c r="B136" s="668">
        <v>4516.3191399999996</v>
      </c>
      <c r="C136" s="377">
        <f>(B136*C125)+B136</f>
        <v>4651.8087141999995</v>
      </c>
      <c r="D136" s="377">
        <f>(C136*C125)+C136</f>
        <v>4791.3629756259998</v>
      </c>
      <c r="E136" s="378">
        <f>(D136*C125)+D136</f>
        <v>4935.1038648947797</v>
      </c>
      <c r="F136" s="377">
        <f>(E136*C125)+E136</f>
        <v>5083.1569808416234</v>
      </c>
      <c r="G136" s="378">
        <f>(F136*C125)+F136</f>
        <v>5235.6516902668718</v>
      </c>
    </row>
    <row r="137" spans="1:7">
      <c r="E137" s="13"/>
      <c r="F137" s="105"/>
    </row>
    <row r="138" spans="1:7">
      <c r="E138" s="13"/>
      <c r="F138" s="13"/>
    </row>
    <row r="139" spans="1:7">
      <c r="E139" s="13"/>
      <c r="F139" s="13"/>
    </row>
    <row r="141" spans="1:7">
      <c r="B141" s="875" t="s">
        <v>389</v>
      </c>
      <c r="C141" s="875"/>
    </row>
    <row r="144" spans="1:7">
      <c r="B144" s="302" t="s">
        <v>305</v>
      </c>
      <c r="C144" s="304" t="s">
        <v>227</v>
      </c>
    </row>
    <row r="145" spans="1:7" ht="18.75" customHeight="1">
      <c r="B145" s="346">
        <v>300.39355999999998</v>
      </c>
      <c r="C145" s="660">
        <f>+'3.Supuesto para Resultados'!D135</f>
        <v>0.2</v>
      </c>
    </row>
    <row r="146" spans="1:7" ht="18.75" customHeight="1">
      <c r="B146" s="547"/>
      <c r="C146" s="36"/>
    </row>
    <row r="148" spans="1:7" ht="18" customHeight="1">
      <c r="A148" s="882" t="s">
        <v>146</v>
      </c>
      <c r="B148" s="303" t="s">
        <v>258</v>
      </c>
      <c r="C148" s="303" t="s">
        <v>201</v>
      </c>
      <c r="D148" s="303" t="s">
        <v>208</v>
      </c>
      <c r="E148" s="303" t="s">
        <v>209</v>
      </c>
      <c r="F148" s="303" t="s">
        <v>210</v>
      </c>
      <c r="G148" s="303" t="s">
        <v>211</v>
      </c>
    </row>
    <row r="149" spans="1:7" ht="24" customHeight="1">
      <c r="A149" s="883"/>
      <c r="B149" s="680">
        <v>300</v>
      </c>
      <c r="C149" s="681">
        <f>(B149*C145)+B149</f>
        <v>360</v>
      </c>
      <c r="D149" s="681">
        <f>(C149*C145)+C149</f>
        <v>432</v>
      </c>
      <c r="E149" s="682">
        <f>(D149*C145)+D149</f>
        <v>518.4</v>
      </c>
      <c r="F149" s="682">
        <f>(E149*C145)+E149</f>
        <v>622.07999999999993</v>
      </c>
      <c r="G149" s="683">
        <f>(F149*C145)+F149</f>
        <v>746.49599999999987</v>
      </c>
    </row>
    <row r="150" spans="1:7">
      <c r="A150" s="105"/>
    </row>
  </sheetData>
  <mergeCells count="21">
    <mergeCell ref="B98:D98"/>
    <mergeCell ref="E12:F12"/>
    <mergeCell ref="E13:F13"/>
    <mergeCell ref="E14:F14"/>
    <mergeCell ref="E15:F15"/>
    <mergeCell ref="A148:A149"/>
    <mergeCell ref="A51:A52"/>
    <mergeCell ref="B61:D61"/>
    <mergeCell ref="B79:D79"/>
    <mergeCell ref="B64:C64"/>
    <mergeCell ref="B82:C82"/>
    <mergeCell ref="A2:H2"/>
    <mergeCell ref="E10:F10"/>
    <mergeCell ref="E11:F11"/>
    <mergeCell ref="B6:E6"/>
    <mergeCell ref="I10:J10"/>
    <mergeCell ref="B141:C141"/>
    <mergeCell ref="B114:E114"/>
    <mergeCell ref="E16:G16"/>
    <mergeCell ref="E42:F42"/>
    <mergeCell ref="B39:E39"/>
  </mergeCells>
  <phoneticPr fontId="8" type="noConversion"/>
  <pageMargins left="0.75" right="0.75" top="1" bottom="1" header="0" footer="0"/>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sheetPr codeName="Hoja12"/>
  <dimension ref="A2:J84"/>
  <sheetViews>
    <sheetView topLeftCell="A63" workbookViewId="0">
      <selection activeCell="B11" sqref="B11"/>
    </sheetView>
  </sheetViews>
  <sheetFormatPr baseColWidth="10" defaultRowHeight="12.75"/>
  <cols>
    <col min="1" max="1" width="5" style="9" bestFit="1" customWidth="1"/>
    <col min="2" max="2" width="56.85546875" style="9" customWidth="1"/>
    <col min="3" max="3" width="7.140625" style="9" bestFit="1" customWidth="1"/>
    <col min="4" max="16384" width="11.42578125" style="9"/>
  </cols>
  <sheetData>
    <row r="2" spans="1:9">
      <c r="B2" s="107" t="s">
        <v>401</v>
      </c>
    </row>
    <row r="3" spans="1:9">
      <c r="B3" s="107" t="s">
        <v>402</v>
      </c>
    </row>
    <row r="5" spans="1:9" ht="15">
      <c r="B5" s="760"/>
      <c r="C5" s="760"/>
      <c r="D5" s="761" t="s">
        <v>258</v>
      </c>
      <c r="E5" s="761" t="s">
        <v>201</v>
      </c>
      <c r="F5" s="761" t="s">
        <v>208</v>
      </c>
      <c r="G5" s="761" t="s">
        <v>209</v>
      </c>
      <c r="H5" s="761" t="s">
        <v>210</v>
      </c>
      <c r="I5" s="761" t="s">
        <v>211</v>
      </c>
    </row>
    <row r="6" spans="1:9" ht="15">
      <c r="A6" s="108"/>
      <c r="B6" s="762" t="s">
        <v>151</v>
      </c>
      <c r="C6" s="760"/>
      <c r="D6" s="760"/>
      <c r="E6" s="760"/>
      <c r="F6" s="760"/>
      <c r="G6" s="760"/>
      <c r="H6" s="760"/>
      <c r="I6" s="760"/>
    </row>
    <row r="7" spans="1:9" ht="15">
      <c r="A7" s="108"/>
      <c r="B7" s="762"/>
      <c r="C7" s="760"/>
      <c r="D7" s="760"/>
      <c r="E7" s="760"/>
      <c r="F7" s="760"/>
      <c r="G7" s="760"/>
      <c r="H7" s="760"/>
      <c r="I7" s="760"/>
    </row>
    <row r="8" spans="1:9" ht="14.25">
      <c r="A8" s="109">
        <v>11</v>
      </c>
      <c r="B8" s="763" t="s">
        <v>152</v>
      </c>
      <c r="C8" s="760"/>
      <c r="D8" s="764">
        <v>218471.11599000002</v>
      </c>
      <c r="E8" s="764">
        <f>E9+E10+E11+E12+E13</f>
        <v>237745.974251112</v>
      </c>
      <c r="F8" s="764">
        <f>F9+F10+F11+F12+F13</f>
        <v>258705.53287842515</v>
      </c>
      <c r="G8" s="764">
        <f>G9+G10+G11+G12+G13</f>
        <v>281697.91319107643</v>
      </c>
      <c r="H8" s="764">
        <f>H9+H10+H11+H12+H13</f>
        <v>306840.31263110432</v>
      </c>
      <c r="I8" s="764">
        <f>I9+I10+I11+I12+I13</f>
        <v>334441.32269527885</v>
      </c>
    </row>
    <row r="9" spans="1:9" ht="14.25">
      <c r="A9" s="109">
        <v>1101</v>
      </c>
      <c r="B9" s="763" t="s">
        <v>230</v>
      </c>
      <c r="C9" s="760"/>
      <c r="D9" s="765">
        <v>22699.343390000002</v>
      </c>
      <c r="E9" s="764">
        <f>(D9*'2.Supuestos para Balance'!C16)+D9</f>
        <v>23153.3302578</v>
      </c>
      <c r="F9" s="764">
        <f>(E9*'2.Supuestos para Balance'!C16)+E9</f>
        <v>23616.396862956</v>
      </c>
      <c r="G9" s="764">
        <f>(F9*'2.Supuestos para Balance'!C16)+F9</f>
        <v>24088.724800215121</v>
      </c>
      <c r="H9" s="764">
        <f>(G9*'2.Supuestos para Balance'!C16)+G9</f>
        <v>24570.499296219423</v>
      </c>
      <c r="I9" s="764">
        <f>(H9*'2.Supuestos para Balance'!C16)+H9</f>
        <v>25061.90928214381</v>
      </c>
    </row>
    <row r="10" spans="1:9" ht="14.25">
      <c r="A10" s="109">
        <v>1102</v>
      </c>
      <c r="B10" s="763" t="s">
        <v>231</v>
      </c>
      <c r="C10" s="760"/>
      <c r="D10" s="764">
        <v>21259.20206</v>
      </c>
      <c r="E10" s="764">
        <f>E50*'2.Supuestos para Balance'!C17</f>
        <v>22903.795574512002</v>
      </c>
      <c r="F10" s="764">
        <f>F50*'2.Supuestos para Balance'!C17</f>
        <v>24493.833548677125</v>
      </c>
      <c r="G10" s="764">
        <f>G50*'2.Supuestos para Balance'!C17</f>
        <v>26199.026645049598</v>
      </c>
      <c r="H10" s="764">
        <f>H50*'2.Supuestos para Balance'!C17</f>
        <v>27939.18475127712</v>
      </c>
      <c r="I10" s="764">
        <f>I50*'2.Supuestos para Balance'!C21</f>
        <v>29804.403117926071</v>
      </c>
    </row>
    <row r="11" spans="1:9" ht="14.25">
      <c r="A11" s="109">
        <v>1103</v>
      </c>
      <c r="B11" s="763" t="s">
        <v>232</v>
      </c>
      <c r="C11" s="760"/>
      <c r="D11" s="764">
        <v>166004.99290000001</v>
      </c>
      <c r="E11" s="764">
        <f>(D11*'2.Supuestos para Balance'!C19)+D11</f>
        <v>182605.49219000002</v>
      </c>
      <c r="F11" s="764">
        <f>(E11*'2.Supuestos para Balance'!C19)+E11</f>
        <v>200866.04140900003</v>
      </c>
      <c r="G11" s="764">
        <f>(F11*'2.Supuestos para Balance'!C19)+F11</f>
        <v>220952.64554990001</v>
      </c>
      <c r="H11" s="764">
        <f>(G11*'2.Supuestos para Balance'!C19)+G11</f>
        <v>243047.91010489</v>
      </c>
      <c r="I11" s="764">
        <f>(H11*'2.Supuestos para Balance'!C19)+H11</f>
        <v>267352.70111537899</v>
      </c>
    </row>
    <row r="12" spans="1:9" ht="14.25">
      <c r="A12" s="305">
        <v>1104</v>
      </c>
      <c r="B12" s="763" t="s">
        <v>233</v>
      </c>
      <c r="C12" s="760"/>
      <c r="D12" s="764">
        <v>7035.8558700000003</v>
      </c>
      <c r="E12" s="764">
        <f>(D12*'2.Supuestos para Balance'!C21)+D12</f>
        <v>7317.2901048000003</v>
      </c>
      <c r="F12" s="764">
        <f>(E12*'2.Supuestos para Balance'!C21)+E12</f>
        <v>7609.9817089920007</v>
      </c>
      <c r="G12" s="764">
        <f>(F12*'2.Supuestos para Balance'!C21)+F12</f>
        <v>7914.3809773516805</v>
      </c>
      <c r="H12" s="764">
        <f>(G12*'2.Supuestos para Balance'!C21)+G12</f>
        <v>8230.9562164457475</v>
      </c>
      <c r="I12" s="764">
        <f>(H12*'2.Supuestos para Balance'!C21)+H12</f>
        <v>8560.1944651035774</v>
      </c>
    </row>
    <row r="13" spans="1:9" ht="14.25">
      <c r="A13" s="9">
        <v>1105</v>
      </c>
      <c r="B13" s="760" t="s">
        <v>234</v>
      </c>
      <c r="C13" s="760"/>
      <c r="D13" s="764">
        <v>1471.7217700000001</v>
      </c>
      <c r="E13" s="764">
        <f>(D13*'2.Supuestos para Balance'!C22)+D13</f>
        <v>1766.0661240000002</v>
      </c>
      <c r="F13" s="764">
        <f>(E13*'2.Supuestos para Balance'!C22)+E13</f>
        <v>2119.2793488000002</v>
      </c>
      <c r="G13" s="764">
        <f>(F13*'2.Supuestos para Balance'!C22)+F13</f>
        <v>2543.1352185600003</v>
      </c>
      <c r="H13" s="764">
        <f>(G13*'2.Supuestos para Balance'!C22)+G13</f>
        <v>3051.7622622720005</v>
      </c>
      <c r="I13" s="764">
        <f>(H13*'2.Supuestos para Balance'!C22)+H13</f>
        <v>3662.1147147264005</v>
      </c>
    </row>
    <row r="14" spans="1:9" ht="14.25">
      <c r="A14" s="109">
        <v>13</v>
      </c>
      <c r="B14" s="763" t="s">
        <v>133</v>
      </c>
      <c r="C14" s="760"/>
      <c r="D14" s="764">
        <f t="shared" ref="D14:I14" si="0">D15+D16+D17+D18</f>
        <v>54114.343960000006</v>
      </c>
      <c r="E14" s="764">
        <f t="shared" si="0"/>
        <v>54480.416424764502</v>
      </c>
      <c r="F14" s="764">
        <f t="shared" si="0"/>
        <v>54855.811863390583</v>
      </c>
      <c r="G14" s="764">
        <f t="shared" si="0"/>
        <v>59461.117107380589</v>
      </c>
      <c r="H14" s="764">
        <f t="shared" si="0"/>
        <v>64501.283179004364</v>
      </c>
      <c r="I14" s="764">
        <f t="shared" si="0"/>
        <v>70018.960199973211</v>
      </c>
    </row>
    <row r="15" spans="1:9" ht="14.25">
      <c r="A15" s="109"/>
      <c r="B15" s="766" t="s">
        <v>153</v>
      </c>
      <c r="C15" s="760"/>
      <c r="D15" s="764">
        <v>42439.695599999999</v>
      </c>
      <c r="E15" s="764">
        <f>(D15*'2.Supuestos para Balance'!C25)+D15</f>
        <v>42439.695599999999</v>
      </c>
      <c r="F15" s="764">
        <f>(E15*'2.Supuestos para Balance'!C25)+E15</f>
        <v>42439.695599999999</v>
      </c>
      <c r="G15" s="764">
        <f>(F15*'2.Supuestos para Balance'!C26)+F15</f>
        <v>46683.665159999997</v>
      </c>
      <c r="H15" s="764">
        <f>(G15*'2.Supuestos para Balance'!C26)+G15</f>
        <v>51352.031675999999</v>
      </c>
      <c r="I15" s="764">
        <f>(H15*'2.Supuestos para Balance'!C26)+H15</f>
        <v>56487.234843600003</v>
      </c>
    </row>
    <row r="16" spans="1:9" ht="14.25">
      <c r="A16" s="109"/>
      <c r="B16" s="766" t="s">
        <v>154</v>
      </c>
      <c r="C16" s="760"/>
      <c r="D16" s="764">
        <v>6252.545869999999</v>
      </c>
      <c r="E16" s="764">
        <f>(D16*'2.Supuestos para Balance'!C28)+D16</f>
        <v>6502.6477047999988</v>
      </c>
      <c r="F16" s="764">
        <f>(E16*'2.Supuestos para Balance'!C28)+E16</f>
        <v>6762.753612991999</v>
      </c>
      <c r="G16" s="764">
        <f>(F16*'2.Supuestos para Balance'!C28)+F16</f>
        <v>7033.2637575116787</v>
      </c>
      <c r="H16" s="764">
        <f>(G16*'2.Supuestos para Balance'!C28)+G16</f>
        <v>7314.5943078121454</v>
      </c>
      <c r="I16" s="764">
        <f>(H16*'2.Supuestos para Balance'!C28)+H16</f>
        <v>7607.1780801246314</v>
      </c>
    </row>
    <row r="17" spans="1:9" ht="14.25">
      <c r="A17" s="109"/>
      <c r="B17" s="766" t="s">
        <v>155</v>
      </c>
      <c r="C17" s="760"/>
      <c r="D17" s="764">
        <v>5768.1135100000001</v>
      </c>
      <c r="E17" s="764">
        <f>(D17*'2.Supuestos para Balance'!C31)+D17</f>
        <v>5883.4757802000004</v>
      </c>
      <c r="F17" s="764">
        <f>(E17*'2.Supuestos para Balance'!C31)+E17</f>
        <v>6001.1452958039999</v>
      </c>
      <c r="G17" s="764">
        <f>(F17*'2.Supuestos para Balance'!C31)+F17</f>
        <v>6121.1682017200801</v>
      </c>
      <c r="H17" s="764">
        <f>(G17*'2.Supuestos para Balance'!C31)+G17</f>
        <v>6243.591565754482</v>
      </c>
      <c r="I17" s="764">
        <f>(H17*'2.Supuestos para Balance'!C31)+H17</f>
        <v>6368.4633970695713</v>
      </c>
    </row>
    <row r="18" spans="1:9" ht="14.25">
      <c r="A18" s="109"/>
      <c r="B18" s="766" t="s">
        <v>156</v>
      </c>
      <c r="C18" s="760"/>
      <c r="D18" s="764">
        <v>-346.01102000000003</v>
      </c>
      <c r="E18" s="764">
        <f>-((E15+E16+E17)*'2.Supuestos para Balance'!C34)</f>
        <v>-345.40266023550004</v>
      </c>
      <c r="F18" s="764">
        <f>-((F15+F16+F17)*'2.Supuestos para Balance'!C34)</f>
        <v>-347.78264540541477</v>
      </c>
      <c r="G18" s="764">
        <f>-((G15+G16+G17)*'2.Supuestos para Balance'!C34)</f>
        <v>-376.98001185116004</v>
      </c>
      <c r="H18" s="764">
        <f>-((H15+H16+H17)*'2.Supuestos para Balance'!C34)</f>
        <v>-408.93437056226975</v>
      </c>
      <c r="I18" s="764">
        <f>-((I15+I16+I17)*'2.Supuestos para Balance'!C34)</f>
        <v>-443.91612082100352</v>
      </c>
    </row>
    <row r="19" spans="1:9" ht="14.25">
      <c r="A19" s="109">
        <v>14</v>
      </c>
      <c r="B19" s="763" t="s">
        <v>157</v>
      </c>
      <c r="C19" s="760"/>
      <c r="D19" s="764">
        <f>D20+D21+D22+D24</f>
        <v>335135.37780000002</v>
      </c>
      <c r="E19" s="764">
        <f>E20+E21+E22+E23+E24</f>
        <v>360901.30277500802</v>
      </c>
      <c r="F19" s="764">
        <f>F20+F21+F22+F23+F24</f>
        <v>394443.61929838557</v>
      </c>
      <c r="G19" s="764">
        <f>G20+G21+G22+G23+G24</f>
        <v>426825.94052761339</v>
      </c>
      <c r="H19" s="764">
        <f>H20+H21+H22+H23+H24</f>
        <v>462065.00513200089</v>
      </c>
      <c r="I19" s="764">
        <f>I20+I21+I22+I23+I24</f>
        <v>500440.75276403909</v>
      </c>
    </row>
    <row r="20" spans="1:9" ht="14.25">
      <c r="A20" s="110"/>
      <c r="B20" s="766" t="s">
        <v>158</v>
      </c>
      <c r="C20" s="760"/>
      <c r="D20" s="764">
        <v>293174.94332000002</v>
      </c>
      <c r="E20" s="764">
        <f>(D20*'2.Supuestos para Balance'!C40)+D20</f>
        <v>316628.93878560001</v>
      </c>
      <c r="F20" s="764">
        <f>(E20*'2.Supuestos para Balance'!C40)+E20</f>
        <v>341959.253888448</v>
      </c>
      <c r="G20" s="764">
        <f>(F20*'2.Supuestos para Balance'!C40)+F20</f>
        <v>369315.99419952382</v>
      </c>
      <c r="H20" s="764">
        <f>(G20*'2.Supuestos para Balance'!C40)+G20</f>
        <v>398861.27373548574</v>
      </c>
      <c r="I20" s="764">
        <f>(H20*'2.Supuestos para Balance'!C40)+H20</f>
        <v>430770.17563432461</v>
      </c>
    </row>
    <row r="21" spans="1:9" ht="14.25">
      <c r="A21" s="110"/>
      <c r="B21" s="766" t="s">
        <v>159</v>
      </c>
      <c r="C21" s="760"/>
      <c r="D21" s="764">
        <v>38362.677219999998</v>
      </c>
      <c r="E21" s="764">
        <f>(D21*'2.Supuestos para Balance'!C45)+D21</f>
        <v>40664.437853199997</v>
      </c>
      <c r="F21" s="764">
        <f>(E21*'2.Supuestos para Balance'!C45)+E21</f>
        <v>43104.304124391994</v>
      </c>
      <c r="G21" s="764">
        <f>(F21*'2.Supuestos para Balance'!C45)+F21</f>
        <v>45690.562371855514</v>
      </c>
      <c r="H21" s="764">
        <f>(G21*'2.Supuestos para Balance'!C45)+G21</f>
        <v>48431.996114166846</v>
      </c>
      <c r="I21" s="764">
        <f>(H21*'2.Supuestos para Balance'!C45)+H21</f>
        <v>51337.915881016859</v>
      </c>
    </row>
    <row r="22" spans="1:9" ht="14.25">
      <c r="A22" s="110"/>
      <c r="B22" s="766" t="s">
        <v>160</v>
      </c>
      <c r="C22" s="760"/>
      <c r="D22" s="764">
        <v>15936.308050000001</v>
      </c>
      <c r="E22" s="764">
        <f>(D22*'2.Supuestos para Balance'!C48)+D22</f>
        <v>18645.480418500003</v>
      </c>
      <c r="F22" s="764">
        <f>(E22*'2.Supuestos para Balance'!C48)+E22</f>
        <v>21815.212089645003</v>
      </c>
      <c r="G22" s="764">
        <f>(F22*'2.Supuestos para Balance'!C48)+F22</f>
        <v>25523.798144884655</v>
      </c>
      <c r="H22" s="764">
        <f>(G22*'2.Supuestos para Balance'!C48)+G22</f>
        <v>29862.843829515048</v>
      </c>
      <c r="I22" s="764">
        <f>(H22*'2.Supuestos para Balance'!C48)+H22</f>
        <v>34939.527280532609</v>
      </c>
    </row>
    <row r="23" spans="1:9" ht="14.25">
      <c r="A23" s="110"/>
      <c r="B23" s="766" t="s">
        <v>161</v>
      </c>
      <c r="C23" s="760"/>
      <c r="D23" s="764"/>
      <c r="E23" s="764"/>
      <c r="F23" s="764">
        <f>'2.Supuestos para Balance'!C55</f>
        <v>4000</v>
      </c>
      <c r="G23" s="764">
        <f>(F23*'2.Supuestos para Balance'!C52)+F23</f>
        <v>4080</v>
      </c>
      <c r="H23" s="764">
        <f>(G23*'2.Supuestos para Balance'!C52)+G23</f>
        <v>4161.6000000000004</v>
      </c>
      <c r="I23" s="764">
        <f>(H23*'2.Supuestos para Balance'!C52)+H23</f>
        <v>4244.8320000000003</v>
      </c>
    </row>
    <row r="24" spans="1:9" ht="14.25">
      <c r="A24" s="109"/>
      <c r="B24" s="767" t="s">
        <v>162</v>
      </c>
      <c r="C24" s="760"/>
      <c r="D24" s="764">
        <v>-12338.550789999999</v>
      </c>
      <c r="E24" s="764">
        <f>-((E20+E21+E22)*'2.Supuestos para Balance'!C58)</f>
        <v>-15037.554282292002</v>
      </c>
      <c r="F24" s="764">
        <f>-((F20+F21+F22+F23)*'2.Supuestos para Balance'!C58)</f>
        <v>-16435.150804099398</v>
      </c>
      <c r="G24" s="764">
        <f>-((G20+G21+G22+G23)*'2.Supuestos para Balance'!C58)</f>
        <v>-17784.414188650557</v>
      </c>
      <c r="H24" s="764">
        <f>-((H20+H21+H22+H23)*'2.Supuestos para Balance'!C58)</f>
        <v>-19252.708547166705</v>
      </c>
      <c r="I24" s="764">
        <f>-((I20+I21+I22+I23)*'2.Supuestos para Balance'!C58)</f>
        <v>-20851.698031834963</v>
      </c>
    </row>
    <row r="25" spans="1:9" ht="14.25">
      <c r="A25" s="109">
        <v>16</v>
      </c>
      <c r="B25" s="763" t="s">
        <v>134</v>
      </c>
      <c r="C25" s="760"/>
      <c r="D25" s="764">
        <v>8193</v>
      </c>
      <c r="E25" s="764">
        <f>E26+E27+E28+E29+E30</f>
        <v>8804.1801921588794</v>
      </c>
      <c r="F25" s="764">
        <f>F26+F27+F28+F29+F30</f>
        <v>10104.69397001807</v>
      </c>
      <c r="G25" s="764">
        <f>G26+G27+G28+G29+G30</f>
        <v>10495.412044388091</v>
      </c>
      <c r="H25" s="764">
        <f>H26+H27+H28+H29+H30</f>
        <v>11169.482857290495</v>
      </c>
      <c r="I25" s="764">
        <f>I26+I27+I28+I29+I30</f>
        <v>11422.112451141893</v>
      </c>
    </row>
    <row r="26" spans="1:9" ht="14.25">
      <c r="A26" s="305">
        <v>1602</v>
      </c>
      <c r="B26" s="763" t="s">
        <v>235</v>
      </c>
      <c r="C26" s="760"/>
      <c r="D26" s="764">
        <v>517.76459</v>
      </c>
      <c r="E26" s="764">
        <f>+'4.Proyección Balance'!D14</f>
        <v>571.13237176500024</v>
      </c>
      <c r="F26" s="764">
        <f>+'4.Proyección Balance'!E14</f>
        <v>582.50220634391417</v>
      </c>
      <c r="G26" s="764">
        <f>+'4.Proyección Balance'!F14</f>
        <v>625.91820502467317</v>
      </c>
      <c r="H26" s="764">
        <f>+'4.Proyección Balance'!G14</f>
        <v>678.07968869980095</v>
      </c>
      <c r="I26" s="764">
        <f>+'4.Proyección Balance'!H14</f>
        <v>735.87784019211813</v>
      </c>
    </row>
    <row r="27" spans="1:9" ht="14.25">
      <c r="A27" s="305">
        <v>1603</v>
      </c>
      <c r="B27" s="763" t="s">
        <v>236</v>
      </c>
      <c r="C27" s="760"/>
      <c r="D27" s="764">
        <v>3565.3478999999998</v>
      </c>
      <c r="E27" s="764">
        <f>+'4.Proyección Balance'!D22</f>
        <v>3927.9191420443458</v>
      </c>
      <c r="F27" s="764">
        <f>+'4.Proyección Balance'!E22</f>
        <v>4908.8410141521599</v>
      </c>
      <c r="G27" s="764">
        <f>+'4.Proyección Balance'!F22</f>
        <v>5390.8527526339094</v>
      </c>
      <c r="H27" s="764">
        <f>+'4.Proyección Balance'!G22</f>
        <v>5845.1336380510766</v>
      </c>
      <c r="I27" s="764">
        <f>+'4.Proyección Balance'!H22</f>
        <v>5803.7599630647674</v>
      </c>
    </row>
    <row r="28" spans="1:9" ht="14.25">
      <c r="A28" s="305">
        <v>1614</v>
      </c>
      <c r="B28" s="763" t="s">
        <v>237</v>
      </c>
      <c r="C28" s="760"/>
      <c r="D28" s="764">
        <v>293.31420000000003</v>
      </c>
      <c r="E28" s="764">
        <f>+'4.Proyección Balance'!D30</f>
        <v>685.10607200000004</v>
      </c>
      <c r="F28" s="764">
        <f>+'4.Proyección Balance'!E30</f>
        <v>775.93820096000013</v>
      </c>
      <c r="G28" s="764">
        <f>+'4.Proyección Balance'!F30</f>
        <v>355.94594905600002</v>
      </c>
      <c r="H28" s="764">
        <f>+'4.Proyección Balance'!G30</f>
        <v>231.79583690239997</v>
      </c>
      <c r="I28" s="764">
        <f>+'4.Proyección Balance'!H30</f>
        <v>131.13336379008001</v>
      </c>
    </row>
    <row r="29" spans="1:9" ht="14.25">
      <c r="A29" s="305">
        <v>1690</v>
      </c>
      <c r="B29" s="763" t="s">
        <v>238</v>
      </c>
      <c r="C29" s="760"/>
      <c r="D29" s="764">
        <v>3816.2621600000002</v>
      </c>
      <c r="E29" s="764">
        <f>(D29*'2.Supuestos para Balance'!C65)+D29</f>
        <v>4083.4005112000004</v>
      </c>
      <c r="F29" s="764">
        <f>(E29*'2.Supuestos para Balance'!C65)+E29</f>
        <v>4369.2385469840001</v>
      </c>
      <c r="G29" s="764">
        <f>(F29*'2.Supuestos para Balance'!C65)+F29</f>
        <v>4675.0852452728805</v>
      </c>
      <c r="H29" s="764">
        <f>(G29*'2.Supuestos para Balance'!C65)+G29</f>
        <v>5002.341212441982</v>
      </c>
      <c r="I29" s="764">
        <f>(H29*'2.Supuestos para Balance'!C65)+H29</f>
        <v>5352.505097312921</v>
      </c>
    </row>
    <row r="30" spans="1:9" ht="14.25">
      <c r="A30" s="109"/>
      <c r="B30" s="768" t="s">
        <v>239</v>
      </c>
      <c r="C30" s="760"/>
      <c r="D30" s="764">
        <v>-455.30883</v>
      </c>
      <c r="E30" s="764">
        <f>-((E26+E27+E28+E29)*'2.Supuestos para Balance'!C68)</f>
        <v>-463.37790485046736</v>
      </c>
      <c r="F30" s="764">
        <f>-((F26+F27+F28+F29)*'2.Supuestos para Balance'!C68)</f>
        <v>-531.82599842200375</v>
      </c>
      <c r="G30" s="764">
        <f>-((G26+G27+G28+G29)*'2.Supuestos para Balance'!C68)</f>
        <v>-552.39010759937321</v>
      </c>
      <c r="H30" s="764">
        <f>-((H26+H27+H28+H29)*'2.Supuestos para Balance'!C68)</f>
        <v>-587.86751880476299</v>
      </c>
      <c r="I30" s="764">
        <f>-((I26+I27+I28+I29)*'2.Supuestos para Balance'!C68)</f>
        <v>-601.1638132179944</v>
      </c>
    </row>
    <row r="31" spans="1:9" ht="14.25">
      <c r="A31" s="109">
        <v>17</v>
      </c>
      <c r="B31" s="768" t="s">
        <v>408</v>
      </c>
      <c r="C31" s="760"/>
      <c r="D31" s="764">
        <v>1618</v>
      </c>
      <c r="E31" s="764">
        <f>('4.Proyección Balance'!D44+E32)</f>
        <v>785.58382840886929</v>
      </c>
      <c r="F31" s="764">
        <f>'4.Proyección Balance'!E44+F32</f>
        <v>981.76820283043207</v>
      </c>
      <c r="G31" s="764">
        <f>'4.Proyección Balance'!F44+G32</f>
        <v>1078.1705505267819</v>
      </c>
      <c r="H31" s="764">
        <f>'4.Proyección Balance'!G44+H32</f>
        <v>1169.0267276102154</v>
      </c>
      <c r="I31" s="764">
        <f>'4.Proyección Balance'!H44+I32</f>
        <v>1160.7519926129535</v>
      </c>
    </row>
    <row r="32" spans="1:9" ht="14.25">
      <c r="A32" s="109"/>
      <c r="B32" s="768" t="s">
        <v>409</v>
      </c>
      <c r="C32" s="760"/>
      <c r="D32" s="764">
        <v>-3367.3578299999999</v>
      </c>
      <c r="E32" s="764">
        <f>-(('4.Proyección Balance'!D44)*'2.Supuestos para Balance'!C75)</f>
        <v>-1178.3757426133036</v>
      </c>
      <c r="F32" s="764">
        <f>-(('4.Proyección Balance'!E44)*'2.Supuestos para Balance'!C75)</f>
        <v>-1472.6523042456479</v>
      </c>
      <c r="G32" s="764">
        <f>-(('4.Proyección Balance'!F44)*'2.Supuestos para Balance'!C75)</f>
        <v>-1617.2558257901728</v>
      </c>
      <c r="H32" s="764">
        <f>-(('4.Proyección Balance'!G44)*'2.Supuestos para Balance'!C75)</f>
        <v>-1753.5400914153229</v>
      </c>
      <c r="I32" s="764">
        <f>-(('4.Proyección Balance'!H44)*'2.Supuestos para Balance'!C75)</f>
        <v>-1741.1279889194302</v>
      </c>
    </row>
    <row r="33" spans="1:10" ht="14.25">
      <c r="A33" s="109">
        <v>18</v>
      </c>
      <c r="B33" s="763" t="s">
        <v>163</v>
      </c>
      <c r="C33" s="760"/>
      <c r="D33" s="764">
        <f t="shared" ref="D33:I33" si="1">SUM(D34:D38)</f>
        <v>14553.755349999999</v>
      </c>
      <c r="E33" s="764">
        <f t="shared" si="1"/>
        <v>12613.955249999999</v>
      </c>
      <c r="F33" s="764">
        <f t="shared" si="1"/>
        <v>11429.155149999999</v>
      </c>
      <c r="G33" s="764">
        <f t="shared" si="1"/>
        <v>10013.715049999999</v>
      </c>
      <c r="H33" s="764">
        <f t="shared" si="1"/>
        <v>10112.485049999999</v>
      </c>
      <c r="I33" s="764">
        <f t="shared" si="1"/>
        <v>9035.3150500000011</v>
      </c>
    </row>
    <row r="34" spans="1:10" ht="14.25">
      <c r="A34" s="109"/>
      <c r="B34" s="763" t="s">
        <v>578</v>
      </c>
      <c r="C34" s="760"/>
      <c r="D34" s="764">
        <v>3195</v>
      </c>
      <c r="E34" s="764">
        <v>3195</v>
      </c>
      <c r="F34" s="764">
        <v>3195</v>
      </c>
      <c r="G34" s="764">
        <v>3195</v>
      </c>
      <c r="H34" s="764">
        <v>3195</v>
      </c>
      <c r="I34" s="764">
        <v>3195</v>
      </c>
    </row>
    <row r="35" spans="1:10" ht="14.25">
      <c r="A35" s="109"/>
      <c r="B35" s="763" t="s">
        <v>240</v>
      </c>
      <c r="C35" s="764"/>
      <c r="D35" s="764">
        <f>+'4.Proyección Balance'!C63</f>
        <v>10551</v>
      </c>
      <c r="E35" s="764">
        <f>+D35+'4.Proyección Balance'!K64</f>
        <v>11451</v>
      </c>
      <c r="F35" s="764">
        <f>E35+'4.Proyección Balance'!K65</f>
        <v>12351</v>
      </c>
      <c r="G35" s="764">
        <f>F35+'4.Proyección Balance'!K66</f>
        <v>13251</v>
      </c>
      <c r="H35" s="764">
        <f>+G35+'4.Proyección Balance'!K67</f>
        <v>14151</v>
      </c>
      <c r="I35" s="764">
        <f>+H35</f>
        <v>14151</v>
      </c>
    </row>
    <row r="36" spans="1:10" ht="14.25">
      <c r="A36" s="109"/>
      <c r="B36" s="763" t="s">
        <v>241</v>
      </c>
      <c r="C36" s="760"/>
      <c r="D36" s="764">
        <f>+'4.Proyección Balance'!C72</f>
        <v>4351</v>
      </c>
      <c r="E36" s="764">
        <f>+D36</f>
        <v>4351</v>
      </c>
      <c r="F36" s="764">
        <f>+D36</f>
        <v>4351</v>
      </c>
      <c r="G36" s="764">
        <f>F36+'4.Proyección Balance'!K73</f>
        <v>4441</v>
      </c>
      <c r="H36" s="764">
        <f>+G36+'4.Proyección Balance'!K74</f>
        <v>4534</v>
      </c>
      <c r="I36" s="764">
        <f>+H36+'4.Proyección Balance'!K75</f>
        <v>4627</v>
      </c>
    </row>
    <row r="37" spans="1:10" ht="14.25">
      <c r="A37" s="109"/>
      <c r="B37" s="763" t="s">
        <v>242</v>
      </c>
      <c r="C37" s="760"/>
      <c r="D37" s="764">
        <f>+'4.Proyección Balance'!C82</f>
        <v>5497</v>
      </c>
      <c r="E37" s="764">
        <f>+D37</f>
        <v>5497</v>
      </c>
      <c r="F37" s="764">
        <f>E37+'4.Proyección Balance'!K83</f>
        <v>6297</v>
      </c>
      <c r="G37" s="764">
        <f>+F37+'4.Proyección Balance'!K84</f>
        <v>7097</v>
      </c>
      <c r="H37" s="764">
        <f>+G37+'4.Proyección Balance'!K85</f>
        <v>7897</v>
      </c>
      <c r="I37" s="764">
        <f>+H37+'4.Proyección Balance'!K86</f>
        <v>8697</v>
      </c>
    </row>
    <row r="38" spans="1:10" ht="14.25">
      <c r="A38" s="109"/>
      <c r="B38" s="763" t="s">
        <v>243</v>
      </c>
      <c r="C38" s="764"/>
      <c r="D38" s="764">
        <v>-9040.2446500000005</v>
      </c>
      <c r="E38" s="764">
        <f>D38-'4.Proyección Balance'!D90</f>
        <v>-11880.044750000001</v>
      </c>
      <c r="F38" s="764">
        <f>E38-'4.Proyección Balance'!E90</f>
        <v>-14764.844850000001</v>
      </c>
      <c r="G38" s="764">
        <f>F38-'4.Proyección Balance'!F90</f>
        <v>-17970.284950000001</v>
      </c>
      <c r="H38" s="764">
        <f>G38-'4.Proyección Balance'!G90</f>
        <v>-19664.514950000001</v>
      </c>
      <c r="I38" s="764">
        <f>H38-'4.Proyección Balance'!H90</f>
        <v>-21634.684949999999</v>
      </c>
    </row>
    <row r="39" spans="1:10" ht="14.25">
      <c r="A39" s="109">
        <v>19</v>
      </c>
      <c r="B39" s="763" t="s">
        <v>135</v>
      </c>
      <c r="C39" s="760"/>
      <c r="D39" s="764">
        <f t="shared" ref="D39:I39" si="2">D40+D41+D42+D43+D44</f>
        <v>9529.3506999999991</v>
      </c>
      <c r="E39" s="764">
        <f t="shared" si="2"/>
        <v>8683.5777963773016</v>
      </c>
      <c r="F39" s="764">
        <f t="shared" si="2"/>
        <v>7820.8956201053734</v>
      </c>
      <c r="G39" s="764">
        <f t="shared" si="2"/>
        <v>8097.3907569833254</v>
      </c>
      <c r="H39" s="764">
        <f t="shared" si="2"/>
        <v>8020.6686301426598</v>
      </c>
      <c r="I39" s="764">
        <f t="shared" si="2"/>
        <v>7249.5586969461865</v>
      </c>
    </row>
    <row r="40" spans="1:10" ht="14.25">
      <c r="A40" s="168">
        <v>1901</v>
      </c>
      <c r="B40" s="768" t="s">
        <v>244</v>
      </c>
      <c r="C40" s="760"/>
      <c r="D40" s="769">
        <v>1755.2910099999999</v>
      </c>
      <c r="E40" s="764">
        <f>+D40</f>
        <v>1755.2910099999999</v>
      </c>
      <c r="F40" s="764">
        <f>+D40</f>
        <v>1755.2910099999999</v>
      </c>
      <c r="G40" s="764">
        <f>+D40</f>
        <v>1755.2910099999999</v>
      </c>
      <c r="H40" s="764">
        <f>+D40</f>
        <v>1755.2910099999999</v>
      </c>
      <c r="I40" s="764">
        <f>+D40</f>
        <v>1755.2910099999999</v>
      </c>
      <c r="J40" s="583"/>
    </row>
    <row r="41" spans="1:10" ht="14.25">
      <c r="A41" s="168">
        <v>1904</v>
      </c>
      <c r="B41" s="768" t="s">
        <v>245</v>
      </c>
      <c r="C41" s="760"/>
      <c r="D41" s="769">
        <v>2338.7115899999999</v>
      </c>
      <c r="E41" s="764">
        <f>+'4.Proyección Balance'!D106</f>
        <v>1870.9692719999998</v>
      </c>
      <c r="F41" s="764">
        <f>'4.Proyección Balance'!E106</f>
        <v>1403.2269539999998</v>
      </c>
      <c r="G41" s="764">
        <f>+'4.Proyección Balance'!F106</f>
        <v>1610.4846359999997</v>
      </c>
      <c r="H41" s="764">
        <f>+'4.Proyección Balance'!G106</f>
        <v>1568.7423179999996</v>
      </c>
      <c r="I41" s="764">
        <f>+'4.Proyección Balance'!H106</f>
        <v>1457.9999999999995</v>
      </c>
      <c r="J41" s="583"/>
    </row>
    <row r="42" spans="1:10" ht="14.25">
      <c r="A42" s="168">
        <v>1905</v>
      </c>
      <c r="B42" s="768" t="s">
        <v>246</v>
      </c>
      <c r="C42" s="760"/>
      <c r="D42" s="769">
        <v>2367.0255099999999</v>
      </c>
      <c r="E42" s="764">
        <f>+'4.Proyección Balance'!D119</f>
        <v>1893.620408</v>
      </c>
      <c r="F42" s="764">
        <f>+'4.Proyección Balance'!E119</f>
        <v>1420.2153060000001</v>
      </c>
      <c r="G42" s="764">
        <f>+'4.Proyección Balance'!F119</f>
        <v>1466.8102040000001</v>
      </c>
      <c r="H42" s="764">
        <f>+'4.Proyección Balance'!G119</f>
        <v>1391.4051020000004</v>
      </c>
      <c r="I42" s="764">
        <f>+'4.Proyección Balance'!H119</f>
        <v>656.00000000000045</v>
      </c>
      <c r="J42" s="583"/>
    </row>
    <row r="43" spans="1:10" ht="14.25">
      <c r="A43" s="168">
        <v>1990</v>
      </c>
      <c r="B43" s="768" t="s">
        <v>145</v>
      </c>
      <c r="C43" s="760"/>
      <c r="D43" s="769">
        <v>3556.3894100000002</v>
      </c>
      <c r="E43" s="764">
        <f>(D43*'2.Supuestos para Balance'!C96)+D43</f>
        <v>3591.9533041000004</v>
      </c>
      <c r="F43" s="764">
        <f>(E43*'2.Supuestos para Balance'!C96)+E43</f>
        <v>3627.8728371410002</v>
      </c>
      <c r="G43" s="764">
        <f>(F43*'2.Supuestos para Balance'!C96)+F43</f>
        <v>3664.1515655124103</v>
      </c>
      <c r="H43" s="764">
        <f>(G43*'2.Supuestos para Balance'!C96)+G43</f>
        <v>3700.7930811675346</v>
      </c>
      <c r="I43" s="764">
        <f>(H43*'2.Supuestos para Balance'!C96)+H43</f>
        <v>3737.8010119792098</v>
      </c>
      <c r="J43" s="583"/>
    </row>
    <row r="44" spans="1:10" ht="14.25">
      <c r="A44" s="111"/>
      <c r="B44" s="763" t="s">
        <v>247</v>
      </c>
      <c r="C44" s="760"/>
      <c r="D44" s="764">
        <v>-488.06682000000001</v>
      </c>
      <c r="E44" s="764">
        <f>-((E40+E41+E42+E43)*'2.Supuestos para Balance'!C99)</f>
        <v>-428.25619772270005</v>
      </c>
      <c r="F44" s="764">
        <f>-((F40+F41+F42+F43)*'2.Supuestos para Balance'!C99)</f>
        <v>-385.71048703562701</v>
      </c>
      <c r="G44" s="764">
        <f>-((G40+G41+G42+G43)*'2.Supuestos para Balance'!C99)</f>
        <v>-399.34665852908324</v>
      </c>
      <c r="H44" s="764">
        <f>-((H40+H41+H42+H43)*'2.Supuestos para Balance'!C99)</f>
        <v>-395.56288102487412</v>
      </c>
      <c r="I44" s="764">
        <f>-((I40+I41+I42+I43)*'2.Supuestos para Balance'!C99)</f>
        <v>-357.53332503302283</v>
      </c>
    </row>
    <row r="45" spans="1:10" ht="15">
      <c r="A45" s="111"/>
      <c r="B45" s="770" t="s">
        <v>412</v>
      </c>
      <c r="C45" s="760"/>
      <c r="D45" s="771">
        <f t="shared" ref="D45:I45" si="3">D8+D14+D19+D25+D31+D33+D39</f>
        <v>641614.94380000001</v>
      </c>
      <c r="E45" s="771">
        <f t="shared" si="3"/>
        <v>684014.99051782966</v>
      </c>
      <c r="F45" s="771">
        <f t="shared" si="3"/>
        <v>738341.47698315512</v>
      </c>
      <c r="G45" s="771">
        <f t="shared" si="3"/>
        <v>797669.65922796866</v>
      </c>
      <c r="H45" s="771">
        <f t="shared" si="3"/>
        <v>863878.26420715312</v>
      </c>
      <c r="I45" s="771">
        <f t="shared" si="3"/>
        <v>933768.77384999208</v>
      </c>
    </row>
    <row r="46" spans="1:10" ht="15">
      <c r="A46" s="111"/>
      <c r="B46" s="770"/>
      <c r="C46" s="760"/>
      <c r="D46" s="760"/>
      <c r="E46" s="764"/>
      <c r="F46" s="764"/>
      <c r="G46" s="764"/>
      <c r="H46" s="764"/>
      <c r="I46" s="764"/>
    </row>
    <row r="47" spans="1:10" ht="15">
      <c r="A47" s="111"/>
      <c r="B47" s="770"/>
      <c r="C47" s="760"/>
      <c r="D47" s="760"/>
      <c r="E47" s="764"/>
      <c r="F47" s="764"/>
      <c r="G47" s="764"/>
      <c r="H47" s="764"/>
      <c r="I47" s="764"/>
    </row>
    <row r="48" spans="1:10" ht="15">
      <c r="A48" s="111"/>
      <c r="B48" s="770"/>
      <c r="C48" s="760"/>
      <c r="D48" s="760"/>
      <c r="E48" s="764"/>
      <c r="F48" s="764"/>
      <c r="G48" s="764"/>
      <c r="H48" s="764"/>
      <c r="I48" s="764"/>
    </row>
    <row r="49" spans="1:9" ht="15">
      <c r="A49" s="112"/>
      <c r="B49" s="762" t="s">
        <v>164</v>
      </c>
      <c r="C49" s="760"/>
      <c r="D49" s="760"/>
      <c r="E49" s="764"/>
      <c r="F49" s="764"/>
      <c r="G49" s="764"/>
      <c r="H49" s="764"/>
      <c r="I49" s="764"/>
    </row>
    <row r="50" spans="1:9" ht="14.25">
      <c r="A50" s="109">
        <v>21</v>
      </c>
      <c r="B50" s="763" t="s">
        <v>165</v>
      </c>
      <c r="C50" s="760"/>
      <c r="D50" s="764">
        <f t="shared" ref="D50:I50" si="4">D51+D52+D53+D54</f>
        <v>537366.82249000005</v>
      </c>
      <c r="E50" s="764">
        <f t="shared" si="4"/>
        <v>572594.88936280005</v>
      </c>
      <c r="F50" s="764">
        <f t="shared" si="4"/>
        <v>612345.83871692815</v>
      </c>
      <c r="G50" s="764">
        <f t="shared" si="4"/>
        <v>654975.66612623993</v>
      </c>
      <c r="H50" s="764">
        <f t="shared" si="4"/>
        <v>698479.61878192797</v>
      </c>
      <c r="I50" s="764">
        <f t="shared" si="4"/>
        <v>745110.07794815174</v>
      </c>
    </row>
    <row r="51" spans="1:9" ht="14.25">
      <c r="A51" s="109">
        <v>2101</v>
      </c>
      <c r="B51" s="766" t="s">
        <v>166</v>
      </c>
      <c r="C51" s="760"/>
      <c r="D51" s="764">
        <v>342238.30105000001</v>
      </c>
      <c r="E51" s="764">
        <f>(D51*'2.Supuestos para Balance'!C104)+D51</f>
        <v>369617.36513400002</v>
      </c>
      <c r="F51" s="764">
        <f>(E51*'2.Supuestos para Balance'!C104)+E51</f>
        <v>399186.75434472004</v>
      </c>
      <c r="G51" s="764">
        <f>(F51*'2.Supuestos para Balance'!C104)+F51</f>
        <v>431121.69469229766</v>
      </c>
      <c r="H51" s="764">
        <f>(G51*'2.Supuestos para Balance'!C104)+G51</f>
        <v>465611.43026768148</v>
      </c>
      <c r="I51" s="764">
        <f>(H51*'2.Supuestos para Balance'!C104)+H51</f>
        <v>502860.34468909597</v>
      </c>
    </row>
    <row r="52" spans="1:9" ht="14.25">
      <c r="A52" s="109">
        <v>2102</v>
      </c>
      <c r="B52" s="766" t="s">
        <v>167</v>
      </c>
      <c r="C52" s="760"/>
      <c r="D52" s="764">
        <v>1132.2618400000001</v>
      </c>
      <c r="E52" s="764">
        <f>(D52*'2.Supuestos para Balance'!C108)+D52</f>
        <v>1188.8749320000002</v>
      </c>
      <c r="F52" s="764">
        <f>(E52*'2.Supuestos para Balance'!C108)+E52</f>
        <v>1248.3186786000001</v>
      </c>
      <c r="G52" s="764">
        <f>(F52*'2.Supuestos para Balance'!C108)+F52</f>
        <v>1310.73461253</v>
      </c>
      <c r="H52" s="764">
        <f>(G52*'2.Supuestos para Balance'!C108)+G52</f>
        <v>1376.2713431565001</v>
      </c>
      <c r="I52" s="764">
        <f>(H52*'2.Supuestos para Balance'!C108)+H52</f>
        <v>1445.084910314325</v>
      </c>
    </row>
    <row r="53" spans="1:9" ht="14.25">
      <c r="A53" s="109">
        <v>2103</v>
      </c>
      <c r="B53" s="766" t="s">
        <v>168</v>
      </c>
      <c r="C53" s="760"/>
      <c r="D53" s="764">
        <v>193634.71168000001</v>
      </c>
      <c r="E53" s="764">
        <f>(D53*'2.Supuestos para Balance'!C112)+D53</f>
        <v>201380.10014720002</v>
      </c>
      <c r="F53" s="764">
        <f>(E53*'2.Supuestos para Balance'!C108)+E53</f>
        <v>211449.10515456003</v>
      </c>
      <c r="G53" s="764">
        <f>(F53*'2.Supuestos para Balance'!C108)+F53</f>
        <v>222021.56041228803</v>
      </c>
      <c r="H53" s="764">
        <f>(G53*'2.Supuestos para Balance'!C112)+G53</f>
        <v>230902.42282877956</v>
      </c>
      <c r="I53" s="764">
        <f>(H53*'2.Supuestos para Balance'!C112)+H53</f>
        <v>240138.51974193074</v>
      </c>
    </row>
    <row r="54" spans="1:9" ht="14.25">
      <c r="A54" s="109">
        <v>2104</v>
      </c>
      <c r="B54" s="766" t="s">
        <v>169</v>
      </c>
      <c r="C54" s="760"/>
      <c r="D54" s="764">
        <v>361.54791999999998</v>
      </c>
      <c r="E54" s="764">
        <f>(D54*'2.Supuestos para Balance'!C115)+D54</f>
        <v>408.54914959999996</v>
      </c>
      <c r="F54" s="764">
        <f>(E54*'2.Supuestos para Balance'!C115)+E54</f>
        <v>461.66053904799998</v>
      </c>
      <c r="G54" s="764">
        <f>(F54*'2.Supuestos para Balance'!C115)+F54</f>
        <v>521.67640912423997</v>
      </c>
      <c r="H54" s="764">
        <f>(G54*'2.Supuestos para Balance'!C115)+G54</f>
        <v>589.49434231039118</v>
      </c>
      <c r="I54" s="764">
        <f>(H54*'2.Supuestos para Balance'!C115)+H54</f>
        <v>666.12860681074199</v>
      </c>
    </row>
    <row r="55" spans="1:9" ht="14.25">
      <c r="A55" s="109">
        <v>23</v>
      </c>
      <c r="B55" s="763" t="s">
        <v>170</v>
      </c>
      <c r="C55" s="760"/>
      <c r="D55" s="764">
        <v>8736.5274800000007</v>
      </c>
      <c r="E55" s="764">
        <f>(D55*'2.Supuestos para Balance'!C118)+D55</f>
        <v>11619.581548400001</v>
      </c>
      <c r="F55" s="764">
        <f>(E55*'2.Supuestos para Balance'!C118)+E55</f>
        <v>15454.043459372002</v>
      </c>
      <c r="G55" s="764">
        <f>(F55*'2.Supuestos para Balance'!C118)+F55</f>
        <v>20553.877800964765</v>
      </c>
      <c r="H55" s="764">
        <f>(G55*'2.Supuestos para Balance'!C118)+G55</f>
        <v>27336.657475283137</v>
      </c>
      <c r="I55" s="764">
        <f>(H55*'2.Supuestos para Balance'!C118)+H55</f>
        <v>36357.75444212657</v>
      </c>
    </row>
    <row r="56" spans="1:9" ht="14.25">
      <c r="A56" s="109">
        <v>25</v>
      </c>
      <c r="B56" s="763" t="s">
        <v>171</v>
      </c>
      <c r="C56" s="760"/>
      <c r="D56" s="764">
        <f t="shared" ref="D56:I56" si="5">D57+D58+D59</f>
        <v>8905.748309999999</v>
      </c>
      <c r="E56" s="764">
        <f t="shared" si="5"/>
        <v>8515.4470797958147</v>
      </c>
      <c r="F56" s="764">
        <f t="shared" si="5"/>
        <v>8709.5044435032942</v>
      </c>
      <c r="G56" s="764">
        <f t="shared" si="5"/>
        <v>9357.65138659687</v>
      </c>
      <c r="H56" s="764">
        <f t="shared" si="5"/>
        <v>11124.818797386963</v>
      </c>
      <c r="I56" s="764">
        <f t="shared" si="5"/>
        <v>12195.452943909237</v>
      </c>
    </row>
    <row r="57" spans="1:9" ht="14.25">
      <c r="A57" s="168">
        <v>2501</v>
      </c>
      <c r="B57" s="768" t="s">
        <v>248</v>
      </c>
      <c r="C57" s="760"/>
      <c r="D57" s="764">
        <v>2072.1796899999999</v>
      </c>
      <c r="E57" s="764">
        <f>+'4.Proyección Balance'!E141</f>
        <v>2031.2094870170531</v>
      </c>
      <c r="F57" s="764">
        <f>+'4.Proyección Balance'!F141</f>
        <v>2220.7579485229726</v>
      </c>
      <c r="G57" s="764">
        <f>+'4.Proyección Balance'!G141</f>
        <v>2442.4969176956001</v>
      </c>
      <c r="H57" s="764">
        <f>+'4.Proyección Balance'!H141</f>
        <v>3561.1784065079955</v>
      </c>
      <c r="I57" s="764">
        <f>+'4.Proyección Balance'!J141</f>
        <v>4139.4780197102591</v>
      </c>
    </row>
    <row r="58" spans="1:9" ht="14.25">
      <c r="A58" s="168">
        <v>2511</v>
      </c>
      <c r="B58" s="768" t="s">
        <v>249</v>
      </c>
      <c r="C58" s="760"/>
      <c r="D58" s="764">
        <v>1417.3183799999999</v>
      </c>
      <c r="E58" s="772">
        <f>E74*'2.Supuestos para Balance'!C124</f>
        <v>1424.1953581867599</v>
      </c>
      <c r="F58" s="764">
        <f>F74*'2.Supuestos para Balance'!C124</f>
        <v>1433.3514000661623</v>
      </c>
      <c r="G58" s="764">
        <f>G74*'2.Supuestos para Balance'!C124</f>
        <v>1442.6054770673973</v>
      </c>
      <c r="H58" s="764">
        <f>H74*'2.Supuestos para Balance'!C124</f>
        <v>1451.9587637827738</v>
      </c>
      <c r="I58" s="764">
        <f>I74*'2.Supuestos para Balance'!C124</f>
        <v>1461.412452377758</v>
      </c>
    </row>
    <row r="59" spans="1:9" ht="14.25">
      <c r="A59" s="168">
        <v>2590</v>
      </c>
      <c r="B59" s="768" t="s">
        <v>250</v>
      </c>
      <c r="C59" s="760"/>
      <c r="D59" s="764">
        <v>5416.2502400000003</v>
      </c>
      <c r="E59" s="764">
        <f>+'4.Proyección Balance'!E152</f>
        <v>5060.0422345920015</v>
      </c>
      <c r="F59" s="764">
        <f>+'4.Proyección Balance'!F152</f>
        <v>5055.3950949141581</v>
      </c>
      <c r="G59" s="764">
        <f>+'4.Proyección Balance'!G152</f>
        <v>5472.5489918338717</v>
      </c>
      <c r="H59" s="764">
        <f>+'4.Proyección Balance'!H152</f>
        <v>6111.6816270961936</v>
      </c>
      <c r="I59" s="764">
        <f>+'4.Proyección Balance'!J152</f>
        <v>6594.5624718212202</v>
      </c>
    </row>
    <row r="60" spans="1:9" ht="14.25">
      <c r="A60" s="109">
        <v>26</v>
      </c>
      <c r="B60" s="763" t="s">
        <v>113</v>
      </c>
      <c r="C60" s="760"/>
      <c r="D60" s="764">
        <f t="shared" ref="D60:I60" si="6">D61+D62+D63</f>
        <v>16903.847020000001</v>
      </c>
      <c r="E60" s="764">
        <f t="shared" si="6"/>
        <v>19736.3416908</v>
      </c>
      <c r="F60" s="764">
        <f t="shared" si="6"/>
        <v>23124.369801096003</v>
      </c>
      <c r="G60" s="764">
        <f t="shared" si="6"/>
        <v>27178.818728893923</v>
      </c>
      <c r="H60" s="764">
        <f t="shared" si="6"/>
        <v>32032.748941603004</v>
      </c>
      <c r="I60" s="764">
        <f t="shared" si="6"/>
        <v>37845.828526192505</v>
      </c>
    </row>
    <row r="61" spans="1:9" ht="14.25">
      <c r="A61" s="109">
        <v>2603</v>
      </c>
      <c r="B61" s="766" t="s">
        <v>172</v>
      </c>
      <c r="C61" s="760"/>
      <c r="D61" s="764">
        <v>565.71888999999999</v>
      </c>
      <c r="E61" s="764">
        <f>(D61*'2.Supuestos para Balance'!C131)+D61</f>
        <v>678.86266799999999</v>
      </c>
      <c r="F61" s="764">
        <f>(E61*'2.Supuestos para Balance'!C131)+E61</f>
        <v>814.63520159999996</v>
      </c>
      <c r="G61" s="764">
        <f>(F61*'2.Supuestos para Balance'!C131)+F61</f>
        <v>977.56224191999991</v>
      </c>
      <c r="H61" s="764">
        <f>(G61*'2.Supuestos para Balance'!C131)+G61</f>
        <v>1173.0746903039999</v>
      </c>
      <c r="I61" s="764">
        <f>(H61*'2.Supuestos para Balance'!C131)+H61</f>
        <v>1407.6896283647998</v>
      </c>
    </row>
    <row r="62" spans="1:9" ht="14.25">
      <c r="A62" s="109">
        <v>2606</v>
      </c>
      <c r="B62" s="766" t="s">
        <v>173</v>
      </c>
      <c r="C62" s="760"/>
      <c r="D62" s="773">
        <v>3045.9707400000002</v>
      </c>
      <c r="E62" s="764">
        <f>(D62*'2.Supuestos para Balance'!C132)+D62</f>
        <v>3106.8901548000003</v>
      </c>
      <c r="F62" s="764">
        <f>(E62*'2.Supuestos para Balance'!C132)+E62</f>
        <v>3169.0279578960003</v>
      </c>
      <c r="G62" s="764">
        <f>(F62*'2.Supuestos para Balance'!C132)+F62</f>
        <v>3232.4085170539201</v>
      </c>
      <c r="H62" s="764">
        <f>(G62*'2.Supuestos para Balance'!C132)+G62</f>
        <v>3297.0566873949983</v>
      </c>
      <c r="I62" s="764">
        <f>(H62*'2.Supuestos para Balance'!C132)+H62</f>
        <v>3362.9978211428984</v>
      </c>
    </row>
    <row r="63" spans="1:9" ht="14.25">
      <c r="A63" s="109">
        <v>2607</v>
      </c>
      <c r="B63" s="766" t="s">
        <v>174</v>
      </c>
      <c r="C63" s="760"/>
      <c r="D63" s="773">
        <v>13292.15739</v>
      </c>
      <c r="E63" s="764">
        <f>(D63*'2.Supuestos para Balance'!C133)+D63</f>
        <v>15950.588868000001</v>
      </c>
      <c r="F63" s="764">
        <f>(E63*'2.Supuestos para Balance'!C133)+E63</f>
        <v>19140.706641600002</v>
      </c>
      <c r="G63" s="764">
        <f>(F63*'2.Supuestos para Balance'!C133)+F63</f>
        <v>22968.847969920003</v>
      </c>
      <c r="H63" s="764">
        <f>(G63*'2.Supuestos para Balance'!C133)+G63</f>
        <v>27562.617563904005</v>
      </c>
      <c r="I63" s="764">
        <f>(H63*'2.Supuestos para Balance'!C133)+H63</f>
        <v>33075.141076684806</v>
      </c>
    </row>
    <row r="64" spans="1:9" ht="14.25">
      <c r="A64" s="109">
        <v>27</v>
      </c>
      <c r="B64" s="763" t="s">
        <v>175</v>
      </c>
      <c r="C64" s="760"/>
      <c r="D64" s="764">
        <v>5000</v>
      </c>
      <c r="E64" s="764">
        <f>+D64+1630</f>
        <v>6630</v>
      </c>
      <c r="F64" s="764">
        <f>(E64*'2.Supuestos para Balance'!C136)+E64</f>
        <v>7425.6</v>
      </c>
      <c r="G64" s="764">
        <f>(F64*'2.Supuestos para Balance'!C136)+F64</f>
        <v>8316.6720000000005</v>
      </c>
      <c r="H64" s="764">
        <f>(G64*'2.Supuestos para Balance'!C136)+G64</f>
        <v>9314.6726400000007</v>
      </c>
      <c r="I64" s="764">
        <f>(H64*'2.Supuestos para Balance'!C136)+H64</f>
        <v>10432.4333568</v>
      </c>
    </row>
    <row r="65" spans="1:10" ht="14.25">
      <c r="A65" s="109">
        <v>28</v>
      </c>
      <c r="B65" s="763" t="s">
        <v>410</v>
      </c>
      <c r="C65" s="760"/>
      <c r="D65" s="764">
        <v>3776</v>
      </c>
      <c r="E65" s="764">
        <f>+D65+1163</f>
        <v>4939</v>
      </c>
      <c r="F65" s="764">
        <f>(E65*'2.Supuestos para Balance'!C137)+E65</f>
        <v>4988.3900000000003</v>
      </c>
      <c r="G65" s="764">
        <f>(F65*'2.Supuestos para Balance'!C137)+F65</f>
        <v>5038.2739000000001</v>
      </c>
      <c r="H65" s="764">
        <f>(G65*'2.Supuestos para Balance'!C137)+G65</f>
        <v>5088.6566389999998</v>
      </c>
      <c r="I65" s="764">
        <f>(H65*'2.Supuestos para Balance'!C137)+H65</f>
        <v>5139.5432053899995</v>
      </c>
    </row>
    <row r="66" spans="1:10" ht="14.25">
      <c r="A66" s="109">
        <v>29</v>
      </c>
      <c r="B66" s="763" t="s">
        <v>176</v>
      </c>
      <c r="C66" s="760"/>
      <c r="D66" s="764">
        <v>3444.0557000000003</v>
      </c>
      <c r="E66" s="764">
        <f>+'4.Proyección Balance'!E163</f>
        <v>3835.5819142044352</v>
      </c>
      <c r="F66" s="764">
        <f>+'4.Proyección Balance'!F163</f>
        <v>4243.7286264387158</v>
      </c>
      <c r="G66" s="764">
        <f>+'4.Proyección Balance'!G163</f>
        <v>4465.0219291932281</v>
      </c>
      <c r="H66" s="764">
        <f>+'4.Proyección Balance'!H163</f>
        <v>4703.9400099948198</v>
      </c>
      <c r="I66" s="764">
        <f>+'4.Proyección Balance'!J163</f>
        <v>4962.0413129029375</v>
      </c>
    </row>
    <row r="67" spans="1:10" ht="15">
      <c r="A67" s="111"/>
      <c r="B67" s="770"/>
      <c r="C67" s="760"/>
      <c r="D67" s="760"/>
      <c r="E67" s="764"/>
      <c r="F67" s="764"/>
      <c r="G67" s="764"/>
      <c r="H67" s="764"/>
      <c r="I67" s="764"/>
    </row>
    <row r="68" spans="1:10" ht="15">
      <c r="A68" s="111"/>
      <c r="B68" s="770" t="s">
        <v>411</v>
      </c>
      <c r="C68" s="760"/>
      <c r="D68" s="771">
        <f>D50+D55+D56+D57+D58+D59+D60+D64+D65+D66</f>
        <v>593038.7493100001</v>
      </c>
      <c r="E68" s="771">
        <f>E50+E55+[1]CONSCOND!D141+E60+E64+E65+E66</f>
        <v>619355.39451620448</v>
      </c>
      <c r="F68" s="771">
        <f>F50+F55+[1]CONSCOND!E141+F60+F64+F65+F66</f>
        <v>667581.97060383495</v>
      </c>
      <c r="G68" s="771">
        <f>G50+G55+[1]CONSCOND!F141+G60+G64+G65+G66</f>
        <v>720528.33048529178</v>
      </c>
      <c r="H68" s="771">
        <f>H50+H55+[1]CONSCOND!G141+H60+H64+H65+H66</f>
        <v>776956.29448780895</v>
      </c>
      <c r="I68" s="771">
        <f>I50+I55+[1]CONSCOND!H141+I60+I64+I65+I66</f>
        <v>839847.67879156373</v>
      </c>
    </row>
    <row r="69" spans="1:10" ht="15">
      <c r="A69" s="111"/>
      <c r="B69" s="770"/>
      <c r="C69" s="760"/>
      <c r="D69" s="760"/>
      <c r="E69" s="764"/>
      <c r="F69" s="764"/>
      <c r="G69" s="764"/>
      <c r="H69" s="764"/>
      <c r="I69" s="764"/>
    </row>
    <row r="70" spans="1:10" ht="15">
      <c r="A70" s="109">
        <v>3</v>
      </c>
      <c r="B70" s="770" t="s">
        <v>177</v>
      </c>
      <c r="C70" s="760"/>
      <c r="D70" s="771">
        <f t="shared" ref="D70:I70" si="7">D45-D68</f>
        <v>48576.194489999907</v>
      </c>
      <c r="E70" s="771">
        <f t="shared" si="7"/>
        <v>64659.596001625177</v>
      </c>
      <c r="F70" s="771">
        <f t="shared" si="7"/>
        <v>70759.50637932017</v>
      </c>
      <c r="G70" s="771">
        <f t="shared" si="7"/>
        <v>77141.32874267688</v>
      </c>
      <c r="H70" s="771">
        <f t="shared" si="7"/>
        <v>86921.969719344168</v>
      </c>
      <c r="I70" s="771">
        <f t="shared" si="7"/>
        <v>93921.095058428356</v>
      </c>
    </row>
    <row r="71" spans="1:10" ht="14.25">
      <c r="A71" s="280"/>
      <c r="B71" s="774"/>
      <c r="C71" s="774"/>
      <c r="D71" s="774"/>
      <c r="E71" s="774"/>
      <c r="F71" s="774"/>
      <c r="G71" s="774"/>
      <c r="H71" s="774"/>
      <c r="I71" s="774"/>
      <c r="J71" s="281"/>
    </row>
    <row r="72" spans="1:10">
      <c r="A72" s="282"/>
      <c r="B72" s="282"/>
      <c r="C72" s="45"/>
      <c r="D72" s="723"/>
      <c r="E72" s="723"/>
      <c r="F72" s="723"/>
      <c r="G72" s="723"/>
      <c r="H72" s="723"/>
      <c r="I72" s="723"/>
      <c r="J72" s="45"/>
    </row>
    <row r="73" spans="1:10">
      <c r="A73" s="113">
        <v>6</v>
      </c>
      <c r="B73" s="113" t="s">
        <v>252</v>
      </c>
      <c r="D73" s="597"/>
      <c r="E73" s="597"/>
      <c r="F73" s="597"/>
      <c r="G73" s="597"/>
      <c r="H73" s="597"/>
      <c r="I73" s="597"/>
    </row>
    <row r="74" spans="1:10">
      <c r="A74" s="113">
        <v>64</v>
      </c>
      <c r="B74" s="113" t="s">
        <v>253</v>
      </c>
      <c r="D74" s="596">
        <f t="shared" ref="D74:I74" si="8">D75+D76+D77+D78</f>
        <v>191234.62082000001</v>
      </c>
      <c r="E74" s="596">
        <f t="shared" si="8"/>
        <v>192458.83218739997</v>
      </c>
      <c r="F74" s="596">
        <f t="shared" si="8"/>
        <v>193696.13514407599</v>
      </c>
      <c r="G74" s="596">
        <f t="shared" si="8"/>
        <v>194946.6860901888</v>
      </c>
      <c r="H74" s="596">
        <f t="shared" si="8"/>
        <v>196210.64375442889</v>
      </c>
      <c r="I74" s="596">
        <f t="shared" si="8"/>
        <v>197488.16924023756</v>
      </c>
    </row>
    <row r="75" spans="1:10">
      <c r="A75" s="113">
        <v>6401</v>
      </c>
      <c r="B75" s="113" t="s">
        <v>254</v>
      </c>
      <c r="D75" s="724">
        <v>1415.7926699999998</v>
      </c>
      <c r="E75" s="596">
        <f>(D75*'2.Supuestos para Balance'!C142)+D75</f>
        <v>1458.2664500999997</v>
      </c>
      <c r="F75" s="596">
        <f>(E75*'2.Supuestos para Balance'!C142)+E75</f>
        <v>1502.0144436029998</v>
      </c>
      <c r="G75" s="596">
        <f>(F75*'2.Supuestos para Balance'!C142)+F75</f>
        <v>1547.0748769110899</v>
      </c>
      <c r="H75" s="596">
        <f>(G75*'2.Supuestos para Balance'!C142)+G75</f>
        <v>1593.4871232184225</v>
      </c>
      <c r="I75" s="596">
        <f>(H75*'2.Supuestos para Balance'!C142)+H75</f>
        <v>1641.2917369149752</v>
      </c>
    </row>
    <row r="76" spans="1:10">
      <c r="A76" s="113">
        <v>6402</v>
      </c>
      <c r="B76" s="113" t="s">
        <v>255</v>
      </c>
      <c r="D76" s="724">
        <v>40305.862979999998</v>
      </c>
      <c r="E76" s="596">
        <f>(D76*'2.Supuestos para Balance'!C143)+D76</f>
        <v>40708.921609799996</v>
      </c>
      <c r="F76" s="596">
        <f>(E76*'2.Supuestos para Balance'!C143)+E76</f>
        <v>41116.010825897996</v>
      </c>
      <c r="G76" s="596">
        <f>(F76*'2.Supuestos para Balance'!C143)+F76</f>
        <v>41527.170934156973</v>
      </c>
      <c r="H76" s="596">
        <f>(G76*'2.Supuestos para Balance'!C143)+G76</f>
        <v>41942.442643498543</v>
      </c>
      <c r="I76" s="596">
        <f>(H76*'2.Supuestos para Balance'!C143)+H76</f>
        <v>42361.867069933527</v>
      </c>
    </row>
    <row r="77" spans="1:10">
      <c r="A77" s="113">
        <v>6403</v>
      </c>
      <c r="B77" s="113" t="s">
        <v>221</v>
      </c>
      <c r="D77" s="724">
        <v>77867.895749999996</v>
      </c>
      <c r="E77" s="596">
        <f>(D77*'2.Supuestos para Balance'!C144)+D77</f>
        <v>78646.574707499996</v>
      </c>
      <c r="F77" s="596">
        <f>(E77*'2.Supuestos para Balance'!C144)+E77</f>
        <v>79433.040454574992</v>
      </c>
      <c r="G77" s="596">
        <f>(F77*'2.Supuestos para Balance'!C144)+F77</f>
        <v>80227.37085912074</v>
      </c>
      <c r="H77" s="596">
        <f>(G77*'2.Supuestos para Balance'!C144)+G77</f>
        <v>81029.644567711948</v>
      </c>
      <c r="I77" s="596">
        <f>(H77*'2.Supuestos para Balance'!C144)+H77</f>
        <v>81839.941013389063</v>
      </c>
    </row>
    <row r="78" spans="1:10">
      <c r="A78" s="113">
        <v>6404</v>
      </c>
      <c r="B78" s="113" t="s">
        <v>256</v>
      </c>
      <c r="C78" s="114"/>
      <c r="D78" s="724">
        <v>71645.06942</v>
      </c>
      <c r="E78" s="596">
        <f>(D78*'2.Supuestos para Balance'!C147)+D78</f>
        <v>71645.06942</v>
      </c>
      <c r="F78" s="596">
        <f>(E78*'2.Supuestos para Balance'!C147)+E78</f>
        <v>71645.06942</v>
      </c>
      <c r="G78" s="596">
        <f>(F78*'2.Supuestos para Balance'!C147)+F78</f>
        <v>71645.06942</v>
      </c>
      <c r="H78" s="596">
        <f>(G78*'2.Supuestos para Balance'!C147)+G78</f>
        <v>71645.06942</v>
      </c>
      <c r="I78" s="596">
        <f>(H78*'2.Supuestos para Balance'!C147)+H78</f>
        <v>71645.06942</v>
      </c>
    </row>
    <row r="79" spans="1:10">
      <c r="B79" s="113"/>
      <c r="C79" s="115"/>
      <c r="D79" s="116"/>
    </row>
    <row r="80" spans="1:10">
      <c r="C80" s="115"/>
      <c r="D80" s="116"/>
    </row>
    <row r="81" spans="3:4">
      <c r="C81" s="115"/>
      <c r="D81" s="116"/>
    </row>
    <row r="82" spans="3:4">
      <c r="C82" s="115"/>
      <c r="D82" s="116"/>
    </row>
    <row r="83" spans="3:4">
      <c r="C83" s="115"/>
      <c r="D83" s="116"/>
    </row>
    <row r="84" spans="3:4">
      <c r="C84" s="115"/>
      <c r="D84" s="116"/>
    </row>
  </sheetData>
  <phoneticPr fontId="8" type="noConversion"/>
  <pageMargins left="0.75" right="0.75" top="1" bottom="1" header="0" footer="0"/>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sheetPr codeName="Hoja6"/>
  <dimension ref="A3:H166"/>
  <sheetViews>
    <sheetView showGridLines="0" topLeftCell="A25" workbookViewId="0">
      <selection activeCell="C79" sqref="C79"/>
    </sheetView>
  </sheetViews>
  <sheetFormatPr baseColWidth="10" defaultRowHeight="12.75"/>
  <cols>
    <col min="1" max="1" width="56.7109375" style="9" customWidth="1"/>
    <col min="2" max="2" width="1.7109375" style="9" customWidth="1"/>
    <col min="3" max="3" width="13.28515625" style="9" customWidth="1"/>
    <col min="4" max="16384" width="11.42578125" style="9"/>
  </cols>
  <sheetData>
    <row r="3" spans="1:8">
      <c r="A3" s="107" t="s">
        <v>403</v>
      </c>
    </row>
    <row r="4" spans="1:8" ht="13.5" thickBot="1">
      <c r="A4" s="133" t="s">
        <v>402</v>
      </c>
    </row>
    <row r="5" spans="1:8" ht="13.5" thickTop="1"/>
    <row r="8" spans="1:8">
      <c r="C8" s="107" t="s">
        <v>258</v>
      </c>
      <c r="D8" s="107" t="s">
        <v>201</v>
      </c>
      <c r="E8" s="107" t="s">
        <v>208</v>
      </c>
      <c r="F8" s="107" t="s">
        <v>209</v>
      </c>
      <c r="G8" s="107" t="s">
        <v>210</v>
      </c>
      <c r="H8" s="107" t="s">
        <v>211</v>
      </c>
    </row>
    <row r="10" spans="1:8">
      <c r="B10" s="118"/>
      <c r="C10" s="7"/>
      <c r="D10" s="7"/>
      <c r="E10" s="119"/>
    </row>
    <row r="11" spans="1:8">
      <c r="A11" s="134" t="s">
        <v>216</v>
      </c>
      <c r="B11" s="120"/>
    </row>
    <row r="12" spans="1:8">
      <c r="A12" s="121"/>
      <c r="B12" s="120"/>
      <c r="C12" s="120"/>
      <c r="D12" s="121"/>
      <c r="E12" s="122"/>
    </row>
    <row r="13" spans="1:8">
      <c r="A13" s="121" t="s">
        <v>405</v>
      </c>
      <c r="B13" s="115"/>
      <c r="C13" s="139">
        <f t="shared" ref="C13:H13" si="0">SUM(C14:C16)</f>
        <v>38542.200839999998</v>
      </c>
      <c r="D13" s="140">
        <f t="shared" si="0"/>
        <v>40572.164853543502</v>
      </c>
      <c r="E13" s="719">
        <f t="shared" si="0"/>
        <v>41546.0444101514</v>
      </c>
      <c r="F13" s="463">
        <f t="shared" si="0"/>
        <v>44609.009295937663</v>
      </c>
      <c r="G13" s="463">
        <f t="shared" si="0"/>
        <v>48016.240519555082</v>
      </c>
      <c r="H13" s="463">
        <f t="shared" si="0"/>
        <v>51786.519739241114</v>
      </c>
    </row>
    <row r="14" spans="1:8">
      <c r="A14" s="135" t="s">
        <v>404</v>
      </c>
      <c r="B14" s="115"/>
      <c r="C14" s="140">
        <v>1368.82933</v>
      </c>
      <c r="D14" s="140">
        <f>+'5.Proyección Ingresos'!B51</f>
        <v>3289.5491451000003</v>
      </c>
      <c r="E14" s="463">
        <f>+'5.Proyección Ingresos'!C51</f>
        <v>3312.2156705277598</v>
      </c>
      <c r="F14" s="463">
        <f>+'5.Proyección Ingresos'!D51</f>
        <v>3590.2858271539048</v>
      </c>
      <c r="G14" s="463">
        <f>+'5.Proyección Ingresos'!E51</f>
        <v>3894.6130529739976</v>
      </c>
      <c r="H14" s="463">
        <f>+'5.Proyección Ingresos'!F51</f>
        <v>4227.7725792476522</v>
      </c>
    </row>
    <row r="15" spans="1:8">
      <c r="A15" s="135" t="s">
        <v>112</v>
      </c>
      <c r="B15" s="120"/>
      <c r="C15" s="140">
        <v>35212.84115</v>
      </c>
      <c r="D15" s="140">
        <f>+'5.Proyección Ingresos'!C33</f>
        <v>35714.191420443502</v>
      </c>
      <c r="E15" s="463">
        <f>+'5.Proyección Ingresos'!D33</f>
        <v>36979.089309223644</v>
      </c>
      <c r="F15" s="463">
        <f>+'5.Proyección Ingresos'!E33</f>
        <v>40014.931924463752</v>
      </c>
      <c r="G15" s="463">
        <f>+'5.Proyección Ingresos'!F33</f>
        <v>43318.594231125084</v>
      </c>
      <c r="H15" s="463">
        <f>+'5.Proyección Ingresos'!G33</f>
        <v>46916.320571628661</v>
      </c>
    </row>
    <row r="16" spans="1:8">
      <c r="A16" s="135" t="s">
        <v>406</v>
      </c>
      <c r="B16" s="120"/>
      <c r="C16" s="182">
        <v>1960.5303600000002</v>
      </c>
      <c r="D16" s="140">
        <f>+'5.Proyección Ingresos'!D67</f>
        <v>1568.4242880000002</v>
      </c>
      <c r="E16" s="463">
        <f>+'5.Proyección Ingresos'!E67</f>
        <v>1254.7394304000002</v>
      </c>
      <c r="F16" s="463">
        <f>+'5.Proyección Ingresos'!F67</f>
        <v>1003.7915443200002</v>
      </c>
      <c r="G16" s="463">
        <f>+'5.Proyección Ingresos'!G67</f>
        <v>803.03323545600017</v>
      </c>
      <c r="H16" s="463">
        <f>+'5.Proyección Ingresos'!H67</f>
        <v>642.42658836480018</v>
      </c>
    </row>
    <row r="17" spans="1:8">
      <c r="A17" s="121" t="s">
        <v>217</v>
      </c>
      <c r="B17" s="115"/>
      <c r="C17" s="180">
        <f t="shared" ref="C17:H17" si="1">SUM(C18:C19)</f>
        <v>11766.62867</v>
      </c>
      <c r="D17" s="181">
        <f t="shared" si="1"/>
        <v>11469.396580113682</v>
      </c>
      <c r="E17" s="720">
        <f t="shared" si="1"/>
        <v>12773.84350313609</v>
      </c>
      <c r="F17" s="720">
        <f t="shared" si="1"/>
        <v>14062.554836114357</v>
      </c>
      <c r="G17" s="720">
        <f t="shared" si="1"/>
        <v>15363.395114844381</v>
      </c>
      <c r="H17" s="720">
        <f t="shared" si="1"/>
        <v>17136.211692043296</v>
      </c>
    </row>
    <row r="18" spans="1:8">
      <c r="A18" s="123" t="s">
        <v>218</v>
      </c>
      <c r="B18" s="115"/>
      <c r="C18" s="140">
        <v>10803.284589999999</v>
      </c>
      <c r="D18" s="140">
        <f>+'6.Proyección Egresos'!B34</f>
        <v>9724.919567649682</v>
      </c>
      <c r="E18" s="463">
        <f>+'6.Proyección Egresos'!C34</f>
        <v>10656.12954847049</v>
      </c>
      <c r="F18" s="463">
        <f>+'6.Proyección Egresos'!D34</f>
        <v>11503.772181925302</v>
      </c>
      <c r="G18" s="463">
        <f>+'6.Proyección Egresos'!E34</f>
        <v>12257.804112636843</v>
      </c>
      <c r="H18" s="463">
        <f>+'6.Proyección Egresos'!F34</f>
        <v>13367.440308777444</v>
      </c>
    </row>
    <row r="19" spans="1:8">
      <c r="A19" s="123" t="s">
        <v>113</v>
      </c>
      <c r="B19" s="115"/>
      <c r="C19" s="140">
        <v>963.34407999999996</v>
      </c>
      <c r="D19" s="140">
        <f>+'6.Proyección Egresos'!B56</f>
        <v>1744.4770124639999</v>
      </c>
      <c r="E19" s="463">
        <f>+'6.Proyección Egresos'!C56</f>
        <v>2117.7139546655999</v>
      </c>
      <c r="F19" s="463">
        <f>+'6.Proyección Egresos'!D56</f>
        <v>2558.7826541890558</v>
      </c>
      <c r="G19" s="463">
        <f>+'6.Proyección Egresos'!E56</f>
        <v>3105.5910022075391</v>
      </c>
      <c r="H19" s="463">
        <f>+'6.Proyección Egresos'!F56</f>
        <v>3768.7713832658533</v>
      </c>
    </row>
    <row r="20" spans="1:8">
      <c r="A20" s="134" t="s">
        <v>220</v>
      </c>
      <c r="B20" s="123"/>
      <c r="C20" s="180">
        <f t="shared" ref="C20:H20" si="2">C13-C17</f>
        <v>26775.572169999999</v>
      </c>
      <c r="D20" s="181">
        <f t="shared" si="2"/>
        <v>29102.768273429821</v>
      </c>
      <c r="E20" s="152">
        <f t="shared" si="2"/>
        <v>28772.200907015311</v>
      </c>
      <c r="F20" s="152">
        <f t="shared" si="2"/>
        <v>30546.454459823304</v>
      </c>
      <c r="G20" s="152">
        <f t="shared" si="2"/>
        <v>32652.845404710701</v>
      </c>
      <c r="H20" s="152">
        <f t="shared" si="2"/>
        <v>34650.308047197817</v>
      </c>
    </row>
    <row r="21" spans="1:8">
      <c r="A21" s="121"/>
      <c r="B21" s="116"/>
      <c r="C21" s="141"/>
      <c r="D21" s="138"/>
      <c r="E21" s="466"/>
      <c r="F21" s="142"/>
      <c r="G21" s="466"/>
      <c r="H21" s="466"/>
    </row>
    <row r="22" spans="1:8">
      <c r="A22" s="121" t="s">
        <v>114</v>
      </c>
      <c r="B22" s="115"/>
      <c r="C22" s="139">
        <f t="shared" ref="C22:H22" si="3">C23+C24+C25</f>
        <v>10534.38206</v>
      </c>
      <c r="D22" s="140">
        <f t="shared" si="3"/>
        <v>16092.657266469001</v>
      </c>
      <c r="E22" s="463">
        <f t="shared" si="3"/>
        <v>17309.975144439675</v>
      </c>
      <c r="F22" s="179">
        <f t="shared" si="3"/>
        <v>18502.714858947398</v>
      </c>
      <c r="G22" s="463">
        <f t="shared" si="3"/>
        <v>19797.339600283463</v>
      </c>
      <c r="H22" s="463">
        <f t="shared" si="3"/>
        <v>21203.614920205742</v>
      </c>
    </row>
    <row r="23" spans="1:8">
      <c r="A23" s="135" t="s">
        <v>115</v>
      </c>
      <c r="B23" s="115"/>
      <c r="C23" s="177">
        <v>1541.4582600000001</v>
      </c>
      <c r="D23" s="140">
        <f>+'5.Proyección Ingresos'!C79</f>
        <v>1668.6285664500001</v>
      </c>
      <c r="E23" s="463">
        <f>+'5.Proyección Ingresos'!D79</f>
        <v>1806.2904231821251</v>
      </c>
      <c r="F23" s="179">
        <f>+'5.Proyección Ingresos'!E79</f>
        <v>1955.3093830946505</v>
      </c>
      <c r="G23" s="463">
        <f>+'5.Proyección Ingresos'!F79</f>
        <v>2116.6224071999591</v>
      </c>
      <c r="H23" s="463">
        <f>+'5.Proyección Ingresos'!G79</f>
        <v>2291.2437557939556</v>
      </c>
    </row>
    <row r="24" spans="1:8">
      <c r="A24" s="135" t="s">
        <v>221</v>
      </c>
      <c r="B24" s="115"/>
      <c r="C24" s="177">
        <v>2885</v>
      </c>
      <c r="D24" s="140">
        <f>+'5.Proyección Ingresos'!C85</f>
        <v>3145.8629882999999</v>
      </c>
      <c r="E24" s="463">
        <f>+'5.Proyección Ingresos'!D85</f>
        <v>3177.3216181829998</v>
      </c>
      <c r="F24" s="179">
        <f>+'5.Proyección Ingresos'!E85</f>
        <v>3209.0948343648297</v>
      </c>
      <c r="G24" s="463">
        <f>+'5.Proyección Ingresos'!F85</f>
        <v>3241.1857827084782</v>
      </c>
      <c r="H24" s="463">
        <f>+'5.Proyección Ingresos'!G85</f>
        <v>3273.5976405355627</v>
      </c>
    </row>
    <row r="25" spans="1:8">
      <c r="A25" s="135" t="s">
        <v>116</v>
      </c>
      <c r="B25" s="120"/>
      <c r="C25" s="177">
        <v>6107.9237999999996</v>
      </c>
      <c r="D25" s="140">
        <f>+'5.Proyección Ingresos'!C90</f>
        <v>11278.165711719001</v>
      </c>
      <c r="E25" s="463">
        <f>+'5.Proyección Ingresos'!D90</f>
        <v>12326.363103074549</v>
      </c>
      <c r="F25" s="179">
        <f>+'5.Proyección Ingresos'!E90</f>
        <v>13338.310641487918</v>
      </c>
      <c r="G25" s="463">
        <f>+'5.Proyección Ingresos'!F90</f>
        <v>14439.531410375028</v>
      </c>
      <c r="H25" s="463">
        <f>+'5.Proyección Ingresos'!G90</f>
        <v>15638.773523876222</v>
      </c>
    </row>
    <row r="26" spans="1:8">
      <c r="A26" s="121" t="s">
        <v>117</v>
      </c>
      <c r="B26" s="115"/>
      <c r="C26" s="139">
        <f t="shared" ref="C26:H26" si="4">C27+C28+C29</f>
        <v>6385.0756499999998</v>
      </c>
      <c r="D26" s="140">
        <f t="shared" si="4"/>
        <v>6911.5896193000008</v>
      </c>
      <c r="E26" s="463">
        <f t="shared" si="4"/>
        <v>7619.0501951190008</v>
      </c>
      <c r="F26" s="179">
        <f t="shared" si="4"/>
        <v>8605.43778202057</v>
      </c>
      <c r="G26" s="463">
        <f t="shared" si="4"/>
        <v>10031.210800935587</v>
      </c>
      <c r="H26" s="463">
        <f t="shared" si="4"/>
        <v>12164.135602776136</v>
      </c>
    </row>
    <row r="27" spans="1:8">
      <c r="A27" s="135" t="s">
        <v>118</v>
      </c>
      <c r="B27" s="115"/>
      <c r="C27" s="177">
        <v>718.11566000000005</v>
      </c>
      <c r="D27" s="140">
        <f>+'5.Proyección Ingresos'!C135</f>
        <v>1005.361924</v>
      </c>
      <c r="E27" s="463">
        <f>+'5.Proyección Ingresos'!D135</f>
        <v>1407.5066936000001</v>
      </c>
      <c r="F27" s="179">
        <f>+'5.Proyección Ingresos'!E135</f>
        <v>1970.5093710400001</v>
      </c>
      <c r="G27" s="463">
        <f>+'5.Proyección Ingresos'!F135</f>
        <v>2758.7131194560002</v>
      </c>
      <c r="H27" s="463">
        <f>+'5.Proyección Ingresos'!G135</f>
        <v>3862.1983672384004</v>
      </c>
    </row>
    <row r="28" spans="1:8">
      <c r="A28" s="135" t="s">
        <v>119</v>
      </c>
      <c r="B28" s="115"/>
      <c r="C28" s="177">
        <v>84.46208</v>
      </c>
      <c r="D28" s="140">
        <f>+'5.Proyección Ingresos'!C136</f>
        <v>156.25484799999998</v>
      </c>
      <c r="E28" s="463">
        <f>+'5.Proyección Ingresos'!D136</f>
        <v>289.07146879999993</v>
      </c>
      <c r="F28" s="179">
        <f>+'5.Proyección Ingresos'!E136</f>
        <v>534.78221727999994</v>
      </c>
      <c r="G28" s="463">
        <f>+'5.Proyección Ingresos'!F136</f>
        <v>989.34710196799983</v>
      </c>
      <c r="H28" s="463">
        <f>+'5.Proyección Ingresos'!G136</f>
        <v>1830.2921386407997</v>
      </c>
    </row>
    <row r="29" spans="1:8">
      <c r="A29" s="135" t="s">
        <v>120</v>
      </c>
      <c r="B29" s="45"/>
      <c r="C29" s="177">
        <v>5582.49791</v>
      </c>
      <c r="D29" s="463">
        <f>+'5.Proyección Ingresos'!C137</f>
        <v>5749.9728473000005</v>
      </c>
      <c r="E29" s="463">
        <f>+'5.Proyección Ingresos'!D137</f>
        <v>5922.4720327190007</v>
      </c>
      <c r="F29" s="463">
        <f>+'5.Proyección Ingresos'!E137</f>
        <v>6100.1461937005706</v>
      </c>
      <c r="G29" s="463">
        <f>+'5.Proyección Ingresos'!F137</f>
        <v>6283.1505795115881</v>
      </c>
      <c r="H29" s="463">
        <f>+'5.Proyección Ingresos'!G137</f>
        <v>6471.6450968969357</v>
      </c>
    </row>
    <row r="30" spans="1:8">
      <c r="A30" s="121" t="s">
        <v>121</v>
      </c>
      <c r="B30" s="145"/>
      <c r="C30" s="463">
        <f t="shared" ref="C30:H30" si="5">C31+C32+C33+C34</f>
        <v>351.63549</v>
      </c>
      <c r="D30" s="463">
        <f t="shared" si="5"/>
        <v>369.21726449999994</v>
      </c>
      <c r="E30" s="463">
        <f t="shared" si="5"/>
        <v>387.67812772499997</v>
      </c>
      <c r="F30" s="463">
        <f t="shared" si="5"/>
        <v>407.06203411125</v>
      </c>
      <c r="G30" s="463">
        <f t="shared" si="5"/>
        <v>427.41513581681249</v>
      </c>
      <c r="H30" s="463">
        <f t="shared" si="5"/>
        <v>448.78589260765307</v>
      </c>
    </row>
    <row r="31" spans="1:8">
      <c r="A31" s="135" t="s">
        <v>113</v>
      </c>
      <c r="B31" s="119"/>
      <c r="C31" s="140">
        <v>14</v>
      </c>
      <c r="D31" s="463">
        <f>+'6.Proyección Egresos'!C69</f>
        <v>14.7</v>
      </c>
      <c r="E31" s="461">
        <f>+'6.Proyección Egresos'!D69</f>
        <v>15.434999999999999</v>
      </c>
      <c r="F31" s="462">
        <f>+'6.Proyección Egresos'!E69</f>
        <v>16.20675</v>
      </c>
      <c r="G31" s="463">
        <f>+'6.Proyección Egresos'!F69</f>
        <v>17.017087499999999</v>
      </c>
      <c r="H31" s="463">
        <f>+'6.Proyección Egresos'!G69</f>
        <v>17.867941875</v>
      </c>
    </row>
    <row r="32" spans="1:8">
      <c r="A32" s="135" t="s">
        <v>122</v>
      </c>
      <c r="B32" s="119"/>
      <c r="C32" s="140">
        <v>8.9554400000000012</v>
      </c>
      <c r="D32" s="176">
        <f>+'6.Proyección Egresos'!C70</f>
        <v>9.4032120000000017</v>
      </c>
      <c r="E32" s="462">
        <f>+'6.Proyección Egresos'!D70</f>
        <v>9.8733726000000015</v>
      </c>
      <c r="F32" s="462">
        <f>+'6.Proyección Egresos'!E70</f>
        <v>10.367041230000002</v>
      </c>
      <c r="G32" s="462">
        <f>+'6.Proyección Egresos'!F70</f>
        <v>10.885393291500002</v>
      </c>
      <c r="H32" s="462">
        <f>+'6.Proyección Egresos'!G70</f>
        <v>11.429662956075001</v>
      </c>
    </row>
    <row r="33" spans="1:8">
      <c r="A33" s="135" t="s">
        <v>123</v>
      </c>
      <c r="B33" s="119"/>
      <c r="C33" s="140">
        <v>23.81776</v>
      </c>
      <c r="D33" s="140">
        <f>+'6.Proyección Egresos'!C71</f>
        <v>25.008648000000001</v>
      </c>
      <c r="E33" s="463">
        <f>+'6.Proyección Egresos'!D71</f>
        <v>26.259080400000002</v>
      </c>
      <c r="F33" s="463">
        <f>+'6.Proyección Egresos'!E71</f>
        <v>27.572034420000001</v>
      </c>
      <c r="G33" s="463">
        <f>+'6.Proyección Egresos'!F71</f>
        <v>28.950636141</v>
      </c>
      <c r="H33" s="463">
        <f>+'6.Proyección Egresos'!G71</f>
        <v>30.398167948050002</v>
      </c>
    </row>
    <row r="34" spans="1:8">
      <c r="A34" s="135" t="s">
        <v>124</v>
      </c>
      <c r="B34" s="119"/>
      <c r="C34" s="140">
        <v>304.86228999999997</v>
      </c>
      <c r="D34" s="140">
        <f>+'6.Proyección Egresos'!C72</f>
        <v>320.10540449999996</v>
      </c>
      <c r="E34" s="463">
        <f>+'6.Proyección Egresos'!D72</f>
        <v>336.11067472499997</v>
      </c>
      <c r="F34" s="463">
        <f>+'6.Proyección Egresos'!E72</f>
        <v>352.91620846124999</v>
      </c>
      <c r="G34" s="463">
        <f>+'6.Proyección Egresos'!F72</f>
        <v>370.56201888431247</v>
      </c>
      <c r="H34" s="463">
        <f>+'6.Proyección Egresos'!G72</f>
        <v>389.09011982852809</v>
      </c>
    </row>
    <row r="35" spans="1:8">
      <c r="A35" s="121" t="s">
        <v>125</v>
      </c>
      <c r="B35" s="119"/>
      <c r="C35" s="139">
        <f t="shared" ref="C35:H35" si="6">C36+C37+C38+C39</f>
        <v>1857.1878699999997</v>
      </c>
      <c r="D35" s="140">
        <f t="shared" si="6"/>
        <v>1898.8962574</v>
      </c>
      <c r="E35" s="463">
        <f t="shared" si="6"/>
        <v>2283.1070886299999</v>
      </c>
      <c r="F35" s="463">
        <f t="shared" si="6"/>
        <v>2758.4297649036998</v>
      </c>
      <c r="G35" s="463">
        <f t="shared" si="6"/>
        <v>3347.5394880794902</v>
      </c>
      <c r="H35" s="463">
        <f t="shared" si="6"/>
        <v>3065.678595939848</v>
      </c>
    </row>
    <row r="36" spans="1:8">
      <c r="A36" s="135" t="s">
        <v>126</v>
      </c>
      <c r="B36" s="145"/>
      <c r="C36" s="177">
        <v>273.06109999999995</v>
      </c>
      <c r="D36" s="463">
        <f>+'5.Proyección Ingresos'!C115</f>
        <v>281.25293299999993</v>
      </c>
      <c r="E36" s="463">
        <f>+'5.Proyección Ingresos'!D115</f>
        <v>289.69052098999992</v>
      </c>
      <c r="F36" s="463">
        <f>+'5.Proyección Ingresos'!E115</f>
        <v>298.38123661969991</v>
      </c>
      <c r="G36" s="463">
        <f>+'5.Proyección Ingresos'!F115</f>
        <v>307.33267371829089</v>
      </c>
      <c r="H36" s="463">
        <f>+'5.Proyección Ingresos'!G115</f>
        <v>313.47932719265668</v>
      </c>
    </row>
    <row r="37" spans="1:8">
      <c r="A37" s="135" t="s">
        <v>127</v>
      </c>
      <c r="B37" s="45"/>
      <c r="C37" s="177">
        <v>538.14519999999993</v>
      </c>
      <c r="D37" s="177">
        <f>+'5.Proyección Ingresos'!C116</f>
        <v>387.46454399999993</v>
      </c>
      <c r="E37" s="463">
        <f>+'5.Proyección Ingresos'!D116</f>
        <v>503.70390719999989</v>
      </c>
      <c r="F37" s="463">
        <f>+'5.Proyección Ingresos'!E116</f>
        <v>654.8150793599998</v>
      </c>
      <c r="G37" s="463">
        <f>+'5.Proyección Ingresos'!F116</f>
        <v>851.25960316799979</v>
      </c>
      <c r="H37" s="463">
        <f>+'5.Proyección Ingresos'!G116</f>
        <v>766.13364285119974</v>
      </c>
    </row>
    <row r="38" spans="1:8">
      <c r="A38" s="135" t="s">
        <v>128</v>
      </c>
      <c r="B38" s="120"/>
      <c r="C38" s="177">
        <v>128.53532000000001</v>
      </c>
      <c r="D38" s="140">
        <f>+'5.Proyección Ingresos'!C117</f>
        <v>92.545430400000015</v>
      </c>
      <c r="E38" s="463">
        <f>+'5.Proyección Ingresos'!D117</f>
        <v>101.79997344000002</v>
      </c>
      <c r="F38" s="179">
        <f>+'5.Proyección Ingresos'!E117</f>
        <v>111.97997078400002</v>
      </c>
      <c r="G38" s="463">
        <f>+'5.Proyección Ingresos'!F117</f>
        <v>123.17796786240002</v>
      </c>
      <c r="H38" s="463">
        <f>+'5.Proyección Ingresos'!G117</f>
        <v>126.87330689827202</v>
      </c>
    </row>
    <row r="39" spans="1:8">
      <c r="A39" s="135" t="s">
        <v>129</v>
      </c>
      <c r="B39" s="115"/>
      <c r="C39" s="177">
        <v>917.44624999999996</v>
      </c>
      <c r="D39" s="140">
        <f>+'5.Proyección Ingresos'!C118</f>
        <v>1137.6333500000001</v>
      </c>
      <c r="E39" s="463">
        <f>+'5.Proyección Ingresos'!D118</f>
        <v>1387.912687</v>
      </c>
      <c r="F39" s="179">
        <f>+'5.Proyección Ingresos'!E118</f>
        <v>1693.25347814</v>
      </c>
      <c r="G39" s="463">
        <f>+'5.Proyección Ingresos'!F118</f>
        <v>2065.7692433307998</v>
      </c>
      <c r="H39" s="463">
        <f>+'5.Proyección Ingresos'!G118</f>
        <v>1859.1923189977197</v>
      </c>
    </row>
    <row r="40" spans="1:8">
      <c r="A40" s="121" t="s">
        <v>130</v>
      </c>
      <c r="B40" s="115"/>
      <c r="C40" s="721">
        <f t="shared" ref="C40:H40" si="7">C41+C42+C43</f>
        <v>63.378929999999997</v>
      </c>
      <c r="D40" s="151">
        <f t="shared" si="7"/>
        <v>57.041037000000003</v>
      </c>
      <c r="E40" s="463">
        <f t="shared" si="7"/>
        <v>52.477754040000008</v>
      </c>
      <c r="F40" s="463">
        <f t="shared" si="7"/>
        <v>48.804311257200006</v>
      </c>
      <c r="G40" s="463">
        <f t="shared" si="7"/>
        <v>51.24452682006001</v>
      </c>
      <c r="H40" s="463">
        <f t="shared" si="7"/>
        <v>53.806753161063007</v>
      </c>
    </row>
    <row r="41" spans="1:8">
      <c r="A41" s="135" t="s">
        <v>131</v>
      </c>
      <c r="B41" s="115"/>
      <c r="C41" s="151">
        <v>0.81298999999999999</v>
      </c>
      <c r="D41" s="460">
        <f>+'6.Proyección Egresos'!C91</f>
        <v>0.73169099999999998</v>
      </c>
      <c r="E41" s="461">
        <f>'6.Proyección Egresos'!D91</f>
        <v>0.67315572000000001</v>
      </c>
      <c r="F41" s="461">
        <f>+'6.Proyección Egresos'!E91</f>
        <v>0.62603481959999996</v>
      </c>
      <c r="G41" s="461">
        <f>+'6.Proyección Egresos'!F91</f>
        <v>0.65733656058000001</v>
      </c>
      <c r="H41" s="461">
        <f>+'6.Proyección Egresos'!G91</f>
        <v>0.69020338860899999</v>
      </c>
    </row>
    <row r="42" spans="1:8">
      <c r="A42" s="135" t="s">
        <v>127</v>
      </c>
      <c r="B42" s="115"/>
      <c r="C42" s="151">
        <v>11.73352</v>
      </c>
      <c r="D42" s="151">
        <f>+'6.Proyección Egresos'!C92</f>
        <v>10.560168000000001</v>
      </c>
      <c r="E42" s="462">
        <f>+'6.Proyección Egresos'!D92</f>
        <v>9.7153545600000015</v>
      </c>
      <c r="F42" s="459">
        <f>+'6.Proyección Egresos'!E92</f>
        <v>9.0352797408000018</v>
      </c>
      <c r="G42" s="462">
        <f>+'6.Proyección Egresos'!F92</f>
        <v>9.4870437278400015</v>
      </c>
      <c r="H42" s="463">
        <f>+'6.Proyección Egresos'!G92</f>
        <v>9.9613959142320017</v>
      </c>
    </row>
    <row r="43" spans="1:8">
      <c r="A43" s="135" t="s">
        <v>128</v>
      </c>
      <c r="B43" s="115"/>
      <c r="C43" s="151">
        <v>50.832419999999999</v>
      </c>
      <c r="D43" s="151">
        <f>+'6.Proyección Egresos'!C93</f>
        <v>45.749178000000001</v>
      </c>
      <c r="E43" s="463">
        <f>+'6.Proyección Egresos'!D93</f>
        <v>42.089243760000002</v>
      </c>
      <c r="F43" s="459">
        <f>+'6.Proyección Egresos'!E93</f>
        <v>39.142996696800004</v>
      </c>
      <c r="G43" s="463">
        <f>+'6.Proyección Egresos'!F93</f>
        <v>41.100146531640007</v>
      </c>
      <c r="H43" s="463">
        <f>+'6.Proyección Egresos'!G93</f>
        <v>43.155153858222008</v>
      </c>
    </row>
    <row r="44" spans="1:8">
      <c r="A44" s="136" t="s">
        <v>222</v>
      </c>
      <c r="B44" s="115"/>
      <c r="C44" s="464">
        <f t="shared" ref="C44:H44" si="8">C20+C22+C26-C30+C35-C40</f>
        <v>45137.203330000004</v>
      </c>
      <c r="D44" s="465">
        <f t="shared" si="8"/>
        <v>53579.653115098823</v>
      </c>
      <c r="E44" s="152">
        <f t="shared" si="8"/>
        <v>55544.177453438984</v>
      </c>
      <c r="F44" s="152">
        <f t="shared" si="8"/>
        <v>59957.170520326523</v>
      </c>
      <c r="G44" s="152">
        <f t="shared" si="8"/>
        <v>65350.275631372373</v>
      </c>
      <c r="H44" s="152">
        <f t="shared" si="8"/>
        <v>70581.144520350834</v>
      </c>
    </row>
    <row r="45" spans="1:8">
      <c r="A45" s="136"/>
      <c r="B45" s="115"/>
      <c r="C45" s="139"/>
      <c r="D45" s="140"/>
      <c r="E45" s="466"/>
      <c r="F45" s="466"/>
      <c r="G45" s="466"/>
      <c r="H45" s="466"/>
    </row>
    <row r="46" spans="1:8">
      <c r="A46" s="121" t="s">
        <v>132</v>
      </c>
      <c r="B46" s="115"/>
      <c r="C46" s="456">
        <f t="shared" ref="C46:H46" si="9">C47+C48+C49+C50+C51+C52</f>
        <v>4224.9522999999999</v>
      </c>
      <c r="D46" s="151">
        <f t="shared" si="9"/>
        <v>4379.2104995175596</v>
      </c>
      <c r="E46" s="463">
        <f t="shared" si="9"/>
        <v>4779.8695973736812</v>
      </c>
      <c r="F46" s="463">
        <f t="shared" si="9"/>
        <v>5149.8501800738632</v>
      </c>
      <c r="G46" s="463">
        <f t="shared" si="9"/>
        <v>5550.6271835440893</v>
      </c>
      <c r="H46" s="463">
        <f t="shared" si="9"/>
        <v>5941.7176449948538</v>
      </c>
    </row>
    <row r="47" spans="1:8">
      <c r="A47" s="135" t="s">
        <v>133</v>
      </c>
      <c r="B47" s="120"/>
      <c r="C47" s="456">
        <v>213.71401</v>
      </c>
      <c r="D47" s="151">
        <f>-'7.Balance Proyectado'!E18*'3.Supuesto para Resultados'!D117</f>
        <v>245.23588876720501</v>
      </c>
      <c r="E47" s="463">
        <f>-'7.Balance Proyectado'!F18*'3.Supuesto para Resultados'!D117</f>
        <v>246.92567823784447</v>
      </c>
      <c r="F47" s="463">
        <f>-'7.Balance Proyectado'!G18*'3.Supuesto para Resultados'!D117</f>
        <v>267.65580841432364</v>
      </c>
      <c r="G47" s="463">
        <f>-'7.Balance Proyectado'!H18*'3.Supuesto para Resultados'!D117</f>
        <v>290.34340309921151</v>
      </c>
      <c r="H47" s="463">
        <f>-'7.Balance Proyectado'!I18*'3.Supuesto para Resultados'!D117</f>
        <v>315.1804457829125</v>
      </c>
    </row>
    <row r="48" spans="1:8">
      <c r="A48" s="135" t="s">
        <v>115</v>
      </c>
      <c r="B48" s="115"/>
      <c r="C48" s="456">
        <v>2912.9562700000001</v>
      </c>
      <c r="D48" s="151">
        <f>-'7.Balance Proyectado'!E24*'3.Supuesto para Resultados'!D118</f>
        <v>3458.6374849271606</v>
      </c>
      <c r="E48" s="463">
        <f>-'7.Balance Proyectado'!F24*'3.Supuesto para Resultados'!D118</f>
        <v>3780.0846849428617</v>
      </c>
      <c r="F48" s="463">
        <f>-'7.Balance Proyectado'!G24*'3.Supuesto para Resultados'!D118</f>
        <v>4090.4152633896283</v>
      </c>
      <c r="G48" s="463">
        <f>-'7.Balance Proyectado'!H24*'3.Supuesto para Resultados'!D118</f>
        <v>4428.1229658483426</v>
      </c>
      <c r="H48" s="463">
        <f>-'7.Balance Proyectado'!I24*'3.Supuesto para Resultados'!D118</f>
        <v>4795.890547322042</v>
      </c>
    </row>
    <row r="49" spans="1:8">
      <c r="A49" s="135" t="s">
        <v>134</v>
      </c>
      <c r="B49" s="115"/>
      <c r="C49" s="456">
        <v>170.2</v>
      </c>
      <c r="D49" s="151">
        <f>-'7.Balance Proyectado'!E30*'3.Supuesto para Resultados'!D119</f>
        <v>173.11798525213459</v>
      </c>
      <c r="E49" s="463">
        <f>-'7.Balance Proyectado'!F30*'3.Supuesto para Resultados'!D119</f>
        <v>198.6901930104606</v>
      </c>
      <c r="F49" s="463">
        <f>-'7.Balance Proyectado'!G30*'3.Supuesto para Resultados'!D119</f>
        <v>206.37294419912581</v>
      </c>
      <c r="G49" s="463">
        <f>-'7.Balance Proyectado'!H30*'3.Supuesto para Resultados'!D119</f>
        <v>219.62730502545944</v>
      </c>
      <c r="H49" s="463">
        <f>-'7.Balance Proyectado'!I30*'3.Supuesto para Resultados'!D119</f>
        <v>224.59480061824272</v>
      </c>
    </row>
    <row r="50" spans="1:8">
      <c r="A50" s="146" t="s">
        <v>407</v>
      </c>
      <c r="B50" s="115"/>
      <c r="C50" s="456">
        <v>648.83702000000005</v>
      </c>
      <c r="D50" s="151">
        <f>-'7.Balance Proyectado'!E32*'3.Supuesto para Resultados'!D120</f>
        <v>227.19084317584495</v>
      </c>
      <c r="E50" s="463">
        <f>-'7.Balance Proyectado'!F32*'3.Supuesto para Resultados'!D120</f>
        <v>283.92736425856089</v>
      </c>
      <c r="F50" s="463">
        <f>-'7.Balance Proyectado'!G32*'3.Supuesto para Resultados'!D120</f>
        <v>311.80692321234534</v>
      </c>
      <c r="G50" s="463">
        <f>-'7.Balance Proyectado'!H32*'3.Supuesto para Resultados'!D120</f>
        <v>338.08252962487427</v>
      </c>
      <c r="H50" s="463">
        <f>-'7.Balance Proyectado'!I32*'3.Supuesto para Resultados'!D120</f>
        <v>335.68947626366617</v>
      </c>
    </row>
    <row r="51" spans="1:8">
      <c r="A51" s="135" t="s">
        <v>135</v>
      </c>
      <c r="B51" s="115"/>
      <c r="C51" s="456">
        <v>67.745000000000005</v>
      </c>
      <c r="D51" s="151">
        <f>-'7.Balance Proyectado'!E44*'3.Supuesto para Resultados'!D121</f>
        <v>61.968671810474696</v>
      </c>
      <c r="E51" s="463">
        <f>-'7.Balance Proyectado'!F44*'3.Supuesto para Resultados'!D121</f>
        <v>55.812307474055224</v>
      </c>
      <c r="F51" s="463">
        <f>-'7.Balance Proyectado'!G44*'3.Supuesto para Resultados'!D121</f>
        <v>57.785461489158344</v>
      </c>
      <c r="G51" s="463">
        <f>-'7.Balance Proyectado'!H44*'3.Supuesto para Resultados'!D121</f>
        <v>57.237948884299286</v>
      </c>
      <c r="H51" s="463">
        <f>-'7.Balance Proyectado'!I44*'3.Supuesto para Resultados'!D121</f>
        <v>51.735072132278404</v>
      </c>
    </row>
    <row r="52" spans="1:8">
      <c r="A52" s="135" t="s">
        <v>122</v>
      </c>
      <c r="B52" s="115"/>
      <c r="C52" s="456">
        <v>211.5</v>
      </c>
      <c r="D52" s="151">
        <f>'7.Balance Proyectado'!E58*'3.Supuesto para Resultados'!D122</f>
        <v>213.05962558473931</v>
      </c>
      <c r="E52" s="463">
        <f>'7.Balance Proyectado'!F58*'3.Supuesto para Resultados'!D122</f>
        <v>214.42936944989791</v>
      </c>
      <c r="F52" s="463">
        <f>'7.Balance Proyectado'!G58*'3.Supuesto para Resultados'!D122</f>
        <v>215.81377936928266</v>
      </c>
      <c r="G52" s="463">
        <f>'7.Balance Proyectado'!H58*'3.Supuesto para Resultados'!D122</f>
        <v>217.21303106190297</v>
      </c>
      <c r="H52" s="463">
        <f>'7.Balance Proyectado'!I58*'3.Supuesto para Resultados'!D122</f>
        <v>218.62730287571262</v>
      </c>
    </row>
    <row r="53" spans="1:8">
      <c r="A53" s="136" t="s">
        <v>223</v>
      </c>
      <c r="B53" s="120"/>
      <c r="C53" s="458">
        <f t="shared" ref="C53:H53" si="10">C44-C46</f>
        <v>40912.251030000007</v>
      </c>
      <c r="D53" s="457">
        <f t="shared" si="10"/>
        <v>49200.442615581262</v>
      </c>
      <c r="E53" s="466">
        <f t="shared" si="10"/>
        <v>50764.307856065301</v>
      </c>
      <c r="F53" s="467">
        <f t="shared" si="10"/>
        <v>54807.320340252656</v>
      </c>
      <c r="G53" s="466">
        <f t="shared" si="10"/>
        <v>59799.64844782828</v>
      </c>
      <c r="H53" s="466">
        <f t="shared" si="10"/>
        <v>64639.426875355981</v>
      </c>
    </row>
    <row r="54" spans="1:8">
      <c r="A54" s="136"/>
      <c r="B54" s="126"/>
      <c r="C54" s="143"/>
      <c r="D54" s="722"/>
      <c r="E54" s="466"/>
      <c r="F54" s="144"/>
      <c r="G54" s="466"/>
      <c r="H54" s="466"/>
    </row>
    <row r="55" spans="1:8">
      <c r="A55" s="121" t="s">
        <v>136</v>
      </c>
      <c r="B55" s="125"/>
      <c r="C55" s="139">
        <f t="shared" ref="C55:H55" si="11">C56+C57+C58+C59+C60+C61+C62</f>
        <v>38036.051039999991</v>
      </c>
      <c r="D55" s="140">
        <f t="shared" si="11"/>
        <v>40531.966141600002</v>
      </c>
      <c r="E55" s="463">
        <f t="shared" si="11"/>
        <v>40894.197743025994</v>
      </c>
      <c r="F55" s="179">
        <f t="shared" si="11"/>
        <v>44900.767357034776</v>
      </c>
      <c r="G55" s="463">
        <f t="shared" si="11"/>
        <v>48649.508653967743</v>
      </c>
      <c r="H55" s="463">
        <f t="shared" si="11"/>
        <v>52511.32305808067</v>
      </c>
    </row>
    <row r="56" spans="1:8">
      <c r="A56" s="137" t="s">
        <v>137</v>
      </c>
      <c r="B56" s="126"/>
      <c r="C56" s="140">
        <v>11505.691939999999</v>
      </c>
      <c r="D56" s="151">
        <f>'6.Proyección Egresos'!C132</f>
        <v>12656.261133999998</v>
      </c>
      <c r="E56" s="463">
        <f>+'6.Proyección Egresos'!D132</f>
        <v>13921.887247399998</v>
      </c>
      <c r="F56" s="179">
        <f>+'6.Proyección Egresos'!E132</f>
        <v>15314.075972139999</v>
      </c>
      <c r="G56" s="463">
        <f>+'6.Proyección Egresos'!F132</f>
        <v>16845.483569354001</v>
      </c>
      <c r="H56" s="463">
        <f>+'6.Proyección Egresos'!G132</f>
        <v>18530.031926289401</v>
      </c>
    </row>
    <row r="57" spans="1:8">
      <c r="A57" s="137" t="s">
        <v>138</v>
      </c>
      <c r="B57" s="126"/>
      <c r="C57" s="140">
        <v>589.48243000000002</v>
      </c>
      <c r="D57" s="140">
        <f>+'6.Proyección Egresos'!C133</f>
        <v>630.74620010000001</v>
      </c>
      <c r="E57" s="463">
        <v>355</v>
      </c>
      <c r="F57" s="179">
        <v>500</v>
      </c>
      <c r="G57" s="463">
        <f>+'6.Proyección Egresos'!F133</f>
        <v>772.69121720910425</v>
      </c>
      <c r="H57" s="463">
        <f>+'6.Proyección Egresos'!G133</f>
        <v>826.7796024137416</v>
      </c>
    </row>
    <row r="58" spans="1:8">
      <c r="A58" s="137" t="s">
        <v>139</v>
      </c>
      <c r="B58" s="126"/>
      <c r="C58" s="140">
        <v>13575.833939999999</v>
      </c>
      <c r="D58" s="140">
        <f>+'6.Proyección Egresos'!C134</f>
        <v>14526.142315799998</v>
      </c>
      <c r="E58" s="463">
        <v>15000</v>
      </c>
      <c r="F58" s="179">
        <v>16150</v>
      </c>
      <c r="G58" s="463">
        <f>+'6.Proyección Egresos'!F134</f>
        <v>17795.148960974577</v>
      </c>
      <c r="H58" s="463">
        <f>+'6.Proyección Egresos'!G134</f>
        <v>19040.809388242797</v>
      </c>
    </row>
    <row r="59" spans="1:8">
      <c r="A59" s="137" t="s">
        <v>140</v>
      </c>
      <c r="B59" s="125"/>
      <c r="C59" s="140">
        <v>4081.9621499999998</v>
      </c>
      <c r="D59" s="140">
        <f>+'6.Proyección Egresos'!C135</f>
        <v>4286.0602575000003</v>
      </c>
      <c r="E59" s="463">
        <v>3000</v>
      </c>
      <c r="F59" s="179">
        <v>3650</v>
      </c>
      <c r="G59" s="463">
        <f>+'6.Proyección Egresos'!F135</f>
        <v>4961.6505055884372</v>
      </c>
      <c r="H59" s="463">
        <f>+'6.Proyección Egresos'!G135</f>
        <v>5209.7330308678593</v>
      </c>
    </row>
    <row r="60" spans="1:8">
      <c r="A60" s="137" t="s">
        <v>141</v>
      </c>
      <c r="B60" s="127"/>
      <c r="C60" s="139">
        <v>2470.17922</v>
      </c>
      <c r="D60" s="140">
        <f>+'4.Proyección Balance'!D90</f>
        <v>2839.8000999999999</v>
      </c>
      <c r="E60" s="463">
        <f>+'4.Proyección Balance'!E90</f>
        <v>2884.8000999999999</v>
      </c>
      <c r="F60" s="179">
        <f>+'4.Proyección Balance'!F90</f>
        <v>3205.4400999999998</v>
      </c>
      <c r="G60" s="463">
        <f>+'4.Proyección Balance'!G90</f>
        <v>1694.2299999999998</v>
      </c>
      <c r="H60" s="463">
        <f>+'4.Proyección Balance'!H90</f>
        <v>1970.1699999999996</v>
      </c>
    </row>
    <row r="61" spans="1:8">
      <c r="A61" s="137" t="s">
        <v>142</v>
      </c>
      <c r="B61" s="120"/>
      <c r="C61" s="139">
        <v>1296.58222</v>
      </c>
      <c r="D61" s="140">
        <f>+'4.Proyección Balance'!D125</f>
        <v>941.14742000000001</v>
      </c>
      <c r="E61" s="463">
        <f>+'4.Proyección Balance'!E125</f>
        <v>941.14742000000001</v>
      </c>
      <c r="F61" s="179">
        <f>+'4.Proyección Balance'!F125</f>
        <v>1146.14742</v>
      </c>
      <c r="G61" s="463">
        <f>+'4.Proyección Balance'!G125</f>
        <v>1497.14742</v>
      </c>
      <c r="H61" s="463">
        <f>+'4.Proyección Balance'!H125</f>
        <v>1698.14742</v>
      </c>
    </row>
    <row r="62" spans="1:8">
      <c r="A62" s="137" t="s">
        <v>143</v>
      </c>
      <c r="B62" s="124"/>
      <c r="C62" s="140">
        <v>4516.3191399999996</v>
      </c>
      <c r="D62" s="140">
        <f>+'6.Proyección Egresos'!C136</f>
        <v>4651.8087141999995</v>
      </c>
      <c r="E62" s="463">
        <f>+'6.Proyección Egresos'!D136</f>
        <v>4791.3629756259998</v>
      </c>
      <c r="F62" s="179">
        <f>+'6.Proyección Egresos'!E136</f>
        <v>4935.1038648947797</v>
      </c>
      <c r="G62" s="463">
        <f>+'6.Proyección Egresos'!F136</f>
        <v>5083.1569808416234</v>
      </c>
      <c r="H62" s="463">
        <f>+'6.Proyección Egresos'!G136</f>
        <v>5235.6516902668718</v>
      </c>
    </row>
    <row r="63" spans="1:8">
      <c r="A63" s="121"/>
      <c r="C63" s="150"/>
      <c r="D63" s="466"/>
      <c r="E63" s="466"/>
      <c r="F63" s="466"/>
      <c r="G63" s="466"/>
      <c r="H63" s="466"/>
    </row>
    <row r="64" spans="1:8">
      <c r="A64" s="134" t="s">
        <v>224</v>
      </c>
      <c r="C64" s="150">
        <f t="shared" ref="C64:H64" si="12">C53-C55</f>
        <v>2876.1999900000155</v>
      </c>
      <c r="D64" s="466">
        <f t="shared" si="12"/>
        <v>8668.4764739812599</v>
      </c>
      <c r="E64" s="466">
        <f t="shared" si="12"/>
        <v>9870.1101130393072</v>
      </c>
      <c r="F64" s="466">
        <f t="shared" si="12"/>
        <v>9906.55298321788</v>
      </c>
      <c r="G64" s="466">
        <f t="shared" si="12"/>
        <v>11150.139793860537</v>
      </c>
      <c r="H64" s="466">
        <f t="shared" si="12"/>
        <v>12128.103817275311</v>
      </c>
    </row>
    <row r="65" spans="1:8">
      <c r="A65" s="134"/>
      <c r="B65" s="117"/>
      <c r="C65" s="150"/>
      <c r="D65" s="466"/>
      <c r="E65" s="466"/>
      <c r="F65" s="466"/>
      <c r="G65" s="466"/>
      <c r="H65" s="466"/>
    </row>
    <row r="66" spans="1:8">
      <c r="A66" s="121" t="s">
        <v>144</v>
      </c>
      <c r="B66" s="117"/>
      <c r="C66" s="182">
        <v>8601.5</v>
      </c>
      <c r="D66" s="463">
        <f>+'5.Proyección Ingresos'!C164</f>
        <v>8945.56</v>
      </c>
      <c r="E66" s="463">
        <f>+'5.Proyección Ingresos'!D164</f>
        <v>9303.3823999999986</v>
      </c>
      <c r="F66" s="463">
        <f>+'5.Proyección Ingresos'!E164</f>
        <v>9675.517695999999</v>
      </c>
      <c r="G66" s="463">
        <f>+'5.Proyección Ingresos'!F164</f>
        <v>10062.538403839999</v>
      </c>
      <c r="H66" s="463">
        <f>+'5.Proyección Ingresos'!G164</f>
        <v>10465.0399399936</v>
      </c>
    </row>
    <row r="67" spans="1:8">
      <c r="A67" s="121" t="s">
        <v>146</v>
      </c>
      <c r="B67" s="120"/>
      <c r="C67" s="140">
        <v>300.39355999999998</v>
      </c>
      <c r="D67" s="462">
        <f>+'6.Proyección Egresos'!C149</f>
        <v>360</v>
      </c>
      <c r="E67" s="462">
        <f>+'6.Proyección Egresos'!D149</f>
        <v>432</v>
      </c>
      <c r="F67" s="463">
        <f>+'6.Proyección Egresos'!E149</f>
        <v>518.4</v>
      </c>
      <c r="G67" s="463">
        <f>+'6.Proyección Egresos'!F149</f>
        <v>622.07999999999993</v>
      </c>
      <c r="H67" s="463">
        <f>+'6.Proyección Egresos'!G149</f>
        <v>746.49599999999987</v>
      </c>
    </row>
    <row r="68" spans="1:8">
      <c r="A68" s="136"/>
      <c r="C68" s="466"/>
      <c r="D68" s="466"/>
      <c r="E68" s="466"/>
      <c r="F68" s="466"/>
      <c r="G68" s="466"/>
      <c r="H68" s="466"/>
    </row>
    <row r="69" spans="1:8">
      <c r="A69" s="136"/>
      <c r="C69" s="466"/>
      <c r="D69" s="466"/>
      <c r="E69" s="466"/>
      <c r="F69" s="466"/>
      <c r="G69" s="466"/>
      <c r="H69" s="466"/>
    </row>
    <row r="70" spans="1:8">
      <c r="A70" s="134" t="s">
        <v>147</v>
      </c>
      <c r="B70" s="124"/>
      <c r="C70" s="466">
        <f t="shared" ref="C70:H70" si="13">C64+C66-C67</f>
        <v>11177.306430000015</v>
      </c>
      <c r="D70" s="466">
        <f t="shared" si="13"/>
        <v>17254.036473981258</v>
      </c>
      <c r="E70" s="466">
        <f t="shared" si="13"/>
        <v>18741.492513039306</v>
      </c>
      <c r="F70" s="466">
        <f t="shared" si="13"/>
        <v>19063.670679217877</v>
      </c>
      <c r="G70" s="466">
        <f t="shared" si="13"/>
        <v>20590.598197700536</v>
      </c>
      <c r="H70" s="466">
        <f t="shared" si="13"/>
        <v>21846.647757268911</v>
      </c>
    </row>
    <row r="71" spans="1:8">
      <c r="A71" s="134"/>
      <c r="B71" s="120"/>
      <c r="C71" s="466"/>
      <c r="D71" s="466"/>
      <c r="E71" s="466"/>
      <c r="F71" s="466"/>
      <c r="G71" s="466"/>
      <c r="H71" s="466"/>
    </row>
    <row r="72" spans="1:8">
      <c r="A72" s="121" t="s">
        <v>148</v>
      </c>
      <c r="B72" s="124"/>
      <c r="C72" s="466">
        <f t="shared" ref="C72:H72" si="14">C70*36.25%</f>
        <v>4051.7735808750053</v>
      </c>
      <c r="D72" s="466">
        <f t="shared" si="14"/>
        <v>6254.588221818206</v>
      </c>
      <c r="E72" s="466">
        <f t="shared" si="14"/>
        <v>6793.7910359767484</v>
      </c>
      <c r="F72" s="466">
        <f t="shared" si="14"/>
        <v>6910.5806212164807</v>
      </c>
      <c r="G72" s="466">
        <f t="shared" si="14"/>
        <v>7464.0918466664443</v>
      </c>
      <c r="H72" s="466">
        <f t="shared" si="14"/>
        <v>7919.4098120099798</v>
      </c>
    </row>
    <row r="73" spans="1:8">
      <c r="A73" s="121"/>
      <c r="B73" s="124"/>
      <c r="C73" s="466"/>
      <c r="D73" s="466"/>
      <c r="E73" s="466"/>
      <c r="F73" s="466"/>
      <c r="G73" s="466"/>
      <c r="H73" s="466"/>
    </row>
    <row r="74" spans="1:8">
      <c r="A74" s="134" t="s">
        <v>149</v>
      </c>
      <c r="C74" s="466">
        <f t="shared" ref="C74:H74" si="15">C70-C72</f>
        <v>7125.5328491250093</v>
      </c>
      <c r="D74" s="466">
        <f t="shared" si="15"/>
        <v>10999.448252163053</v>
      </c>
      <c r="E74" s="466">
        <f t="shared" si="15"/>
        <v>11947.701477062557</v>
      </c>
      <c r="F74" s="466">
        <f t="shared" si="15"/>
        <v>12153.090058001397</v>
      </c>
      <c r="G74" s="466">
        <f t="shared" si="15"/>
        <v>13126.506351034091</v>
      </c>
      <c r="H74" s="466">
        <f t="shared" si="15"/>
        <v>13927.23794525893</v>
      </c>
    </row>
    <row r="79" spans="1:8">
      <c r="A79" s="120"/>
      <c r="B79" s="120"/>
    </row>
    <row r="80" spans="1:8">
      <c r="A80" s="120"/>
      <c r="B80" s="120"/>
    </row>
    <row r="81" spans="1:2">
      <c r="A81" s="120"/>
      <c r="B81" s="120"/>
    </row>
    <row r="82" spans="1:2">
      <c r="A82" s="128"/>
      <c r="B82" s="128"/>
    </row>
    <row r="83" spans="1:2">
      <c r="A83" s="120"/>
      <c r="B83" s="120"/>
    </row>
    <row r="84" spans="1:2">
      <c r="A84" s="120"/>
      <c r="B84" s="120"/>
    </row>
    <row r="85" spans="1:2">
      <c r="A85" s="120"/>
      <c r="B85" s="120"/>
    </row>
    <row r="86" spans="1:2">
      <c r="A86" s="120"/>
      <c r="B86" s="120"/>
    </row>
    <row r="87" spans="1:2">
      <c r="A87" s="120"/>
      <c r="B87" s="120"/>
    </row>
    <row r="88" spans="1:2">
      <c r="A88" s="120"/>
      <c r="B88" s="120"/>
    </row>
    <row r="89" spans="1:2">
      <c r="A89" s="120"/>
      <c r="B89" s="120"/>
    </row>
    <row r="90" spans="1:2">
      <c r="A90" s="120"/>
      <c r="B90" s="120"/>
    </row>
    <row r="91" spans="1:2">
      <c r="A91" s="129"/>
      <c r="B91" s="129"/>
    </row>
    <row r="92" spans="1:2">
      <c r="A92" s="125"/>
      <c r="B92" s="125"/>
    </row>
    <row r="93" spans="1:2">
      <c r="A93" s="125"/>
      <c r="B93" s="125"/>
    </row>
    <row r="94" spans="1:2">
      <c r="A94" s="117"/>
      <c r="B94" s="117"/>
    </row>
    <row r="95" spans="1:2">
      <c r="A95" s="125"/>
      <c r="B95" s="125"/>
    </row>
    <row r="96" spans="1:2">
      <c r="A96" s="125"/>
      <c r="B96" s="125"/>
    </row>
    <row r="97" spans="1:2">
      <c r="A97" s="125"/>
      <c r="B97" s="125"/>
    </row>
    <row r="98" spans="1:2">
      <c r="A98" s="125"/>
      <c r="B98" s="125"/>
    </row>
    <row r="99" spans="1:2">
      <c r="A99" s="125"/>
      <c r="B99" s="125"/>
    </row>
    <row r="100" spans="1:2">
      <c r="A100" s="125"/>
      <c r="B100" s="125"/>
    </row>
    <row r="101" spans="1:2">
      <c r="A101" s="125"/>
      <c r="B101" s="125"/>
    </row>
    <row r="102" spans="1:2">
      <c r="A102" s="125"/>
      <c r="B102" s="125"/>
    </row>
    <row r="103" spans="1:2">
      <c r="A103" s="125"/>
      <c r="B103" s="125"/>
    </row>
    <row r="104" spans="1:2">
      <c r="A104" s="125"/>
      <c r="B104" s="125"/>
    </row>
    <row r="105" spans="1:2">
      <c r="A105" s="125"/>
      <c r="B105" s="125"/>
    </row>
    <row r="106" spans="1:2">
      <c r="A106" s="125"/>
      <c r="B106" s="125"/>
    </row>
    <row r="107" spans="1:2">
      <c r="A107" s="125"/>
      <c r="B107" s="125"/>
    </row>
    <row r="108" spans="1:2">
      <c r="A108" s="130"/>
      <c r="B108" s="130"/>
    </row>
    <row r="109" spans="1:2">
      <c r="A109" s="125"/>
      <c r="B109" s="125"/>
    </row>
    <row r="110" spans="1:2">
      <c r="A110" s="125"/>
      <c r="B110" s="125"/>
    </row>
    <row r="111" spans="1:2">
      <c r="A111" s="125"/>
      <c r="B111" s="125"/>
    </row>
    <row r="112" spans="1:2">
      <c r="A112" s="125"/>
      <c r="B112" s="125"/>
    </row>
    <row r="113" spans="1:2">
      <c r="A113" s="125"/>
      <c r="B113" s="125"/>
    </row>
    <row r="114" spans="1:2">
      <c r="A114" s="125"/>
      <c r="B114" s="125"/>
    </row>
    <row r="115" spans="1:2">
      <c r="A115" s="125"/>
      <c r="B115" s="125"/>
    </row>
    <row r="116" spans="1:2">
      <c r="A116" s="125"/>
      <c r="B116" s="125"/>
    </row>
    <row r="117" spans="1:2">
      <c r="A117" s="125"/>
      <c r="B117" s="125"/>
    </row>
    <row r="118" spans="1:2">
      <c r="A118" s="125"/>
      <c r="B118" s="125"/>
    </row>
    <row r="119" spans="1:2">
      <c r="A119" s="125"/>
      <c r="B119" s="125"/>
    </row>
    <row r="120" spans="1:2">
      <c r="A120" s="125"/>
      <c r="B120" s="125"/>
    </row>
    <row r="121" spans="1:2">
      <c r="A121" s="125"/>
      <c r="B121" s="125"/>
    </row>
    <row r="122" spans="1:2">
      <c r="A122" s="125"/>
      <c r="B122" s="125"/>
    </row>
    <row r="123" spans="1:2">
      <c r="A123" s="125"/>
      <c r="B123" s="125"/>
    </row>
    <row r="124" spans="1:2">
      <c r="A124" s="125"/>
      <c r="B124" s="125"/>
    </row>
    <row r="125" spans="1:2">
      <c r="A125" s="125"/>
      <c r="B125" s="125"/>
    </row>
    <row r="126" spans="1:2">
      <c r="A126" s="125"/>
      <c r="B126" s="125"/>
    </row>
    <row r="127" spans="1:2">
      <c r="A127" s="125"/>
      <c r="B127" s="125"/>
    </row>
    <row r="128" spans="1:2">
      <c r="A128" s="125"/>
      <c r="B128" s="125"/>
    </row>
    <row r="129" spans="1:2">
      <c r="A129" s="125"/>
      <c r="B129" s="125"/>
    </row>
    <row r="130" spans="1:2">
      <c r="A130" s="125"/>
      <c r="B130" s="125"/>
    </row>
    <row r="131" spans="1:2">
      <c r="A131" s="125"/>
      <c r="B131" s="125"/>
    </row>
    <row r="132" spans="1:2">
      <c r="A132" s="125"/>
      <c r="B132" s="125"/>
    </row>
    <row r="133" spans="1:2">
      <c r="A133" s="125"/>
      <c r="B133" s="125"/>
    </row>
    <row r="134" spans="1:2">
      <c r="A134" s="125"/>
      <c r="B134" s="125"/>
    </row>
    <row r="135" spans="1:2">
      <c r="A135" s="125"/>
      <c r="B135" s="125"/>
    </row>
    <row r="136" spans="1:2">
      <c r="A136" s="125"/>
      <c r="B136" s="125"/>
    </row>
    <row r="137" spans="1:2">
      <c r="A137" s="130"/>
      <c r="B137" s="130"/>
    </row>
    <row r="138" spans="1:2">
      <c r="A138" s="125"/>
      <c r="B138" s="125"/>
    </row>
    <row r="139" spans="1:2">
      <c r="A139" s="125"/>
      <c r="B139" s="125"/>
    </row>
    <row r="140" spans="1:2">
      <c r="A140" s="130"/>
      <c r="B140" s="130"/>
    </row>
    <row r="141" spans="1:2">
      <c r="A141" s="125"/>
      <c r="B141" s="125"/>
    </row>
    <row r="142" spans="1:2">
      <c r="A142" s="125"/>
      <c r="B142" s="125"/>
    </row>
    <row r="143" spans="1:2">
      <c r="A143" s="125"/>
      <c r="B143" s="125"/>
    </row>
    <row r="144" spans="1:2">
      <c r="A144" s="125"/>
      <c r="B144" s="125"/>
    </row>
    <row r="145" spans="1:2">
      <c r="A145" s="125"/>
      <c r="B145" s="125"/>
    </row>
    <row r="146" spans="1:2">
      <c r="A146" s="125"/>
      <c r="B146" s="125"/>
    </row>
    <row r="147" spans="1:2">
      <c r="A147" s="125"/>
      <c r="B147" s="125"/>
    </row>
    <row r="148" spans="1:2">
      <c r="A148" s="125"/>
      <c r="B148" s="125"/>
    </row>
    <row r="149" spans="1:2">
      <c r="A149" s="125"/>
      <c r="B149" s="125"/>
    </row>
    <row r="150" spans="1:2">
      <c r="A150" s="130"/>
      <c r="B150" s="130"/>
    </row>
    <row r="151" spans="1:2">
      <c r="A151" s="131"/>
      <c r="B151" s="131"/>
    </row>
    <row r="152" spans="1:2">
      <c r="A152" s="125"/>
      <c r="B152" s="125"/>
    </row>
    <row r="153" spans="1:2">
      <c r="A153" s="125"/>
      <c r="B153" s="125"/>
    </row>
    <row r="154" spans="1:2">
      <c r="A154" s="125"/>
      <c r="B154" s="125"/>
    </row>
    <row r="155" spans="1:2">
      <c r="A155" s="125"/>
      <c r="B155" s="125"/>
    </row>
    <row r="156" spans="1:2">
      <c r="A156" s="130"/>
      <c r="B156" s="130"/>
    </row>
    <row r="157" spans="1:2">
      <c r="A157" s="131"/>
      <c r="B157" s="131"/>
    </row>
    <row r="158" spans="1:2">
      <c r="A158" s="125"/>
      <c r="B158" s="125"/>
    </row>
    <row r="159" spans="1:2">
      <c r="A159" s="131"/>
      <c r="B159" s="131"/>
    </row>
    <row r="160" spans="1:2">
      <c r="A160" s="125"/>
      <c r="B160" s="125"/>
    </row>
    <row r="161" spans="1:2">
      <c r="A161" s="125"/>
      <c r="B161" s="125"/>
    </row>
    <row r="162" spans="1:2">
      <c r="A162" s="125"/>
      <c r="B162" s="125"/>
    </row>
    <row r="163" spans="1:2">
      <c r="A163" s="130"/>
      <c r="B163" s="130"/>
    </row>
    <row r="164" spans="1:2">
      <c r="A164" s="125"/>
      <c r="B164" s="125"/>
    </row>
    <row r="165" spans="1:2">
      <c r="A165" s="125"/>
      <c r="B165" s="125"/>
    </row>
    <row r="166" spans="1:2">
      <c r="A166" s="132"/>
      <c r="B166" s="130"/>
    </row>
  </sheetData>
  <phoneticPr fontId="8" type="noConversion"/>
  <pageMargins left="0.75" right="0.75" top="1" bottom="1" header="0" footer="0"/>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Introducción</vt:lpstr>
      <vt:lpstr>1.Instrucciones</vt:lpstr>
      <vt:lpstr>3.Supuesto para Resultados</vt:lpstr>
      <vt:lpstr>2.Supuestos para Balance</vt:lpstr>
      <vt:lpstr>4.Proyección Balance</vt:lpstr>
      <vt:lpstr>5.Proyección Ingresos</vt:lpstr>
      <vt:lpstr>6.Proyección Egresos</vt:lpstr>
      <vt:lpstr>7.Balance Proyectado</vt:lpstr>
      <vt:lpstr>8.Estado de Resultado proyectad</vt:lpstr>
      <vt:lpstr>9.Cash Flow</vt:lpstr>
      <vt:lpstr>10.Valoración</vt:lpstr>
      <vt:lpstr>11.Anexo _Macrofinancieros</vt:lpstr>
      <vt:lpstr>12.Anexo_Macroeconómicos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Cecilia Jacho Toapanta</dc:creator>
  <cp:lastModifiedBy>silgivar</cp:lastModifiedBy>
  <cp:lastPrinted>2005-11-13T07:47:28Z</cp:lastPrinted>
  <dcterms:created xsi:type="dcterms:W3CDTF">2005-10-24T01:44:35Z</dcterms:created>
  <dcterms:modified xsi:type="dcterms:W3CDTF">2010-06-23T16:14:47Z</dcterms:modified>
</cp:coreProperties>
</file>