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480" windowHeight="8415" activeTab="1"/>
  </bookViews>
  <sheets>
    <sheet name="PRESTAMOS ANEXO 1" sheetId="2" r:id="rId1"/>
    <sheet name="ANALÌTICA- ANEXO 2" sheetId="1" r:id="rId2"/>
    <sheet name="MUES faCTURAS cOMPRAS(Anexo 3) " sheetId="3" r:id="rId3"/>
    <sheet name="Muestra compr retenci(Anexo4)" sheetId="4" r:id="rId4"/>
    <sheet name="HON. PROF-ANEXO 5 " sheetId="5" r:id="rId5"/>
    <sheet name="SERV BASICOS Anexo 6" sheetId="6" r:id="rId6"/>
    <sheet name="MAnt y ReparAnexo 7" sheetId="8" r:id="rId7"/>
    <sheet name="Publicidad,sumnistros,Anexo 8-9" sheetId="9" r:id="rId8"/>
    <sheet name="ANEXO 10" sheetId="13" r:id="rId9"/>
    <sheet name="ANEXO 11" sheetId="10" r:id="rId10"/>
    <sheet name="BG" sheetId="14" r:id="rId11"/>
  </sheets>
  <definedNames>
    <definedName name="_xlnm._FilterDatabase" localSheetId="1" hidden="1">'ANALÌTICA- ANEXO 2'!$A$6:$O$46</definedName>
    <definedName name="_xlnm._FilterDatabase" localSheetId="3" hidden="1">'Muestra compr retenci(Anexo4)'!$A$7:$AC$94</definedName>
    <definedName name="_xlnm._FilterDatabase" localSheetId="0" hidden="1">'PRESTAMOS ANEXO 1'!$A$5:$N$205</definedName>
    <definedName name="_xlnm.Print_Area" localSheetId="7">'Publicidad,sumnistros,Anexo 8-9'!$B$1:$X$75</definedName>
    <definedName name="_xlnm.Print_Area" localSheetId="5">'SERV BASICOS Anexo 6'!$A$1:$AC$123</definedName>
    <definedName name="_xlnm.Print_Titles" localSheetId="1">'ANALÌTICA- ANEXO 2'!$1:$6</definedName>
    <definedName name="_xlnm.Print_Titles" localSheetId="9">'ANEXO 11'!$A$2:$IV$7</definedName>
    <definedName name="_xlnm.Print_Titles" localSheetId="2">'MUES faCTURAS cOMPRAS(Anexo 3) '!$A$1:$IV$5</definedName>
    <definedName name="_xlnm.Print_Titles" localSheetId="3">'Muestra compr retenci(Anexo4)'!$A$1:$IV$7</definedName>
    <definedName name="_xlnm.Print_Titles" localSheetId="0">'PRESTAMOS ANEXO 1'!$A$2:$IV$5</definedName>
    <definedName name="_xlnm.Print_Titles" localSheetId="5">'SERV BASICOS Anexo 6'!$A$3:$IV$3</definedName>
  </definedNames>
  <calcPr calcId="124519"/>
</workbook>
</file>

<file path=xl/calcChain.xml><?xml version="1.0" encoding="utf-8"?>
<calcChain xmlns="http://schemas.openxmlformats.org/spreadsheetml/2006/main">
  <c r="C217" i="14"/>
  <c r="C208"/>
  <c r="C201"/>
  <c r="D220" s="1"/>
  <c r="C177"/>
  <c r="C170"/>
  <c r="C153"/>
  <c r="C147"/>
  <c r="D194" s="1"/>
  <c r="D222" s="1"/>
  <c r="C118"/>
  <c r="C111"/>
  <c r="C103"/>
  <c r="C96"/>
  <c r="C90"/>
  <c r="C84"/>
  <c r="C79"/>
  <c r="C35"/>
  <c r="C28"/>
  <c r="C23"/>
  <c r="D22"/>
  <c r="C19"/>
  <c r="D18"/>
  <c r="C13"/>
  <c r="C11"/>
  <c r="D10"/>
  <c r="D121" s="1"/>
  <c r="C93" i="10"/>
  <c r="C87"/>
  <c r="C83"/>
  <c r="C80"/>
  <c r="C76"/>
  <c r="C53"/>
  <c r="C39"/>
  <c r="C31"/>
  <c r="D29"/>
  <c r="C22"/>
  <c r="C12"/>
  <c r="D10"/>
  <c r="D121" s="1"/>
  <c r="E75" i="9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H55"/>
  <c r="M55" s="1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M16"/>
  <c r="I11"/>
  <c r="I10"/>
  <c r="I9"/>
  <c r="I8"/>
  <c r="D60" i="8"/>
  <c r="D53"/>
  <c r="L52"/>
  <c r="J52"/>
  <c r="H52"/>
  <c r="L51"/>
  <c r="J51"/>
  <c r="H51"/>
  <c r="L50"/>
  <c r="J50"/>
  <c r="H50"/>
  <c r="L49"/>
  <c r="J49"/>
  <c r="H49"/>
  <c r="L48"/>
  <c r="J48"/>
  <c r="H48"/>
  <c r="L47"/>
  <c r="J47"/>
  <c r="H47"/>
  <c r="L46"/>
  <c r="J46"/>
  <c r="H46"/>
  <c r="L45"/>
  <c r="J45"/>
  <c r="H45"/>
  <c r="L42"/>
  <c r="D38"/>
  <c r="H36"/>
  <c r="G35"/>
  <c r="H35" s="1"/>
  <c r="G34"/>
  <c r="H34" s="1"/>
  <c r="H33"/>
  <c r="L30"/>
  <c r="D25"/>
  <c r="H15"/>
  <c r="E15"/>
  <c r="J11"/>
  <c r="H7"/>
  <c r="P5"/>
  <c r="D121" i="6"/>
  <c r="D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L82"/>
  <c r="D78"/>
  <c r="L63"/>
  <c r="D59"/>
  <c r="J58"/>
  <c r="G58"/>
  <c r="H58" s="1"/>
  <c r="J57"/>
  <c r="G57"/>
  <c r="H57" s="1"/>
  <c r="J56"/>
  <c r="G56"/>
  <c r="H56" s="1"/>
  <c r="J55"/>
  <c r="G55"/>
  <c r="H55" s="1"/>
  <c r="J54"/>
  <c r="G54"/>
  <c r="H54" s="1"/>
  <c r="J53"/>
  <c r="G53"/>
  <c r="H53" s="1"/>
  <c r="J52"/>
  <c r="G52"/>
  <c r="H52" s="1"/>
  <c r="J51"/>
  <c r="G51"/>
  <c r="H51" s="1"/>
  <c r="J50"/>
  <c r="G50"/>
  <c r="H50" s="1"/>
  <c r="J49"/>
  <c r="G49"/>
  <c r="H49" s="1"/>
  <c r="J48"/>
  <c r="G48"/>
  <c r="H48" s="1"/>
  <c r="J47"/>
  <c r="G47"/>
  <c r="H47" s="1"/>
  <c r="L44"/>
  <c r="D41"/>
  <c r="J40"/>
  <c r="J39"/>
  <c r="J38"/>
  <c r="J37"/>
  <c r="J36"/>
  <c r="J35"/>
  <c r="J34"/>
  <c r="J33"/>
  <c r="J32"/>
  <c r="J31"/>
  <c r="J30"/>
  <c r="J29"/>
  <c r="J28"/>
  <c r="L25"/>
  <c r="D22"/>
  <c r="J14"/>
  <c r="L7"/>
  <c r="G11" i="5"/>
  <c r="J6"/>
  <c r="J8" i="4"/>
  <c r="K8"/>
  <c r="R8"/>
  <c r="V8"/>
  <c r="X8"/>
  <c r="J9"/>
  <c r="K9"/>
  <c r="S9"/>
  <c r="X9"/>
  <c r="J10"/>
  <c r="K10"/>
  <c r="X10"/>
  <c r="J11"/>
  <c r="K11"/>
  <c r="X11"/>
  <c r="H12"/>
  <c r="J12"/>
  <c r="K12"/>
  <c r="R12"/>
  <c r="X12"/>
  <c r="H13"/>
  <c r="J13"/>
  <c r="K13"/>
  <c r="R13"/>
  <c r="X13"/>
  <c r="H14"/>
  <c r="J14"/>
  <c r="K14"/>
  <c r="R14"/>
  <c r="X14"/>
  <c r="H15"/>
  <c r="J15"/>
  <c r="K15"/>
  <c r="R15"/>
  <c r="X15"/>
  <c r="H16"/>
  <c r="J16"/>
  <c r="K16"/>
  <c r="R16"/>
  <c r="X16"/>
  <c r="H17"/>
  <c r="J17"/>
  <c r="K17"/>
  <c r="R17"/>
  <c r="X17"/>
  <c r="J18"/>
  <c r="K18"/>
  <c r="X18"/>
  <c r="J19"/>
  <c r="K19"/>
  <c r="X19"/>
  <c r="J20"/>
  <c r="K20"/>
  <c r="X20"/>
  <c r="H21"/>
  <c r="J21"/>
  <c r="K21"/>
  <c r="X21"/>
  <c r="J22"/>
  <c r="K22"/>
  <c r="X22"/>
  <c r="J23"/>
  <c r="K23"/>
  <c r="X23"/>
  <c r="J24"/>
  <c r="K24"/>
  <c r="X24"/>
  <c r="J25"/>
  <c r="K25"/>
  <c r="Q25"/>
  <c r="X25"/>
  <c r="J26"/>
  <c r="K26"/>
  <c r="X26"/>
  <c r="J27"/>
  <c r="K27"/>
  <c r="V27"/>
  <c r="X27"/>
  <c r="J28"/>
  <c r="K28"/>
  <c r="X28"/>
  <c r="J29"/>
  <c r="K29"/>
  <c r="X29"/>
  <c r="J30"/>
  <c r="K30"/>
  <c r="X30"/>
  <c r="J31"/>
  <c r="K31"/>
  <c r="X31"/>
  <c r="J32"/>
  <c r="K32"/>
  <c r="X32"/>
  <c r="J33"/>
  <c r="K33"/>
  <c r="W33"/>
  <c r="X33"/>
  <c r="J34"/>
  <c r="K34"/>
  <c r="X34"/>
  <c r="J35"/>
  <c r="K35"/>
  <c r="Q35"/>
  <c r="R35"/>
  <c r="X35"/>
  <c r="J36"/>
  <c r="K36"/>
  <c r="X36"/>
  <c r="J37"/>
  <c r="K37"/>
  <c r="W37"/>
  <c r="X37"/>
  <c r="J38"/>
  <c r="K38"/>
  <c r="X38"/>
  <c r="J39"/>
  <c r="K39"/>
  <c r="X39"/>
  <c r="J40"/>
  <c r="K40"/>
  <c r="X40"/>
  <c r="J41"/>
  <c r="K41"/>
  <c r="W41"/>
  <c r="X41"/>
  <c r="H42"/>
  <c r="J42"/>
  <c r="K42"/>
  <c r="H43"/>
  <c r="J43"/>
  <c r="K43"/>
  <c r="J44"/>
  <c r="K44"/>
  <c r="X44"/>
  <c r="J45"/>
  <c r="K45"/>
  <c r="X45"/>
  <c r="J46"/>
  <c r="K46"/>
  <c r="X46"/>
  <c r="J47"/>
  <c r="K47"/>
  <c r="X47"/>
  <c r="J48"/>
  <c r="K48"/>
  <c r="X48"/>
  <c r="J49"/>
  <c r="K49"/>
  <c r="X49"/>
  <c r="J50"/>
  <c r="K50"/>
  <c r="X50"/>
  <c r="J51"/>
  <c r="K51"/>
  <c r="X51"/>
  <c r="J52"/>
  <c r="K52"/>
  <c r="X52"/>
  <c r="J53"/>
  <c r="K53"/>
  <c r="X53"/>
  <c r="J54"/>
  <c r="K54"/>
  <c r="X54"/>
  <c r="J55"/>
  <c r="K55"/>
  <c r="X55"/>
  <c r="J56"/>
  <c r="K56"/>
  <c r="X56"/>
  <c r="J57"/>
  <c r="K57"/>
  <c r="X57"/>
  <c r="J58"/>
  <c r="K58"/>
  <c r="X58"/>
  <c r="J59"/>
  <c r="K59"/>
  <c r="X59"/>
  <c r="J60"/>
  <c r="K60"/>
  <c r="Q60"/>
  <c r="X60"/>
  <c r="J61"/>
  <c r="K61"/>
  <c r="X61"/>
  <c r="I62"/>
  <c r="J62"/>
  <c r="K62"/>
  <c r="X62"/>
  <c r="J63"/>
  <c r="K63"/>
  <c r="X63"/>
  <c r="J64"/>
  <c r="K64"/>
  <c r="X64"/>
  <c r="J65"/>
  <c r="K65"/>
  <c r="X65"/>
  <c r="I66"/>
  <c r="J66"/>
  <c r="K66"/>
  <c r="X66"/>
  <c r="J67"/>
  <c r="K67"/>
  <c r="X67"/>
  <c r="J68"/>
  <c r="K68"/>
  <c r="X68"/>
  <c r="J69"/>
  <c r="K69"/>
  <c r="X69"/>
  <c r="J70"/>
  <c r="K70"/>
  <c r="X70"/>
  <c r="J71"/>
  <c r="K71"/>
  <c r="X71"/>
  <c r="J72"/>
  <c r="K72"/>
  <c r="X72"/>
  <c r="J73"/>
  <c r="K73"/>
  <c r="X73"/>
  <c r="J74"/>
  <c r="K74"/>
  <c r="X74"/>
  <c r="J75"/>
  <c r="K75"/>
  <c r="X75"/>
  <c r="J76"/>
  <c r="K76"/>
  <c r="X76"/>
  <c r="J77"/>
  <c r="K77"/>
  <c r="X77"/>
  <c r="J78"/>
  <c r="K78"/>
  <c r="X78"/>
  <c r="J79"/>
  <c r="K79"/>
  <c r="X79"/>
  <c r="J80"/>
  <c r="K80"/>
  <c r="X80"/>
  <c r="J81"/>
  <c r="K81"/>
  <c r="S81"/>
  <c r="X81"/>
  <c r="J82"/>
  <c r="K82"/>
  <c r="S82"/>
  <c r="X82"/>
  <c r="J83"/>
  <c r="K83"/>
  <c r="X83"/>
  <c r="J84"/>
  <c r="K84"/>
  <c r="X84"/>
  <c r="J85"/>
  <c r="K85"/>
  <c r="W85"/>
  <c r="X85"/>
  <c r="J86"/>
  <c r="K86"/>
  <c r="V86"/>
  <c r="X86"/>
  <c r="J87"/>
  <c r="K87"/>
  <c r="S87"/>
  <c r="W87"/>
  <c r="X87"/>
  <c r="J88"/>
  <c r="K88"/>
  <c r="S88"/>
  <c r="X88"/>
  <c r="J89"/>
  <c r="K89"/>
  <c r="W89"/>
  <c r="X89"/>
  <c r="J90"/>
  <c r="K90"/>
  <c r="Q90"/>
  <c r="X90"/>
  <c r="I91"/>
  <c r="J91"/>
  <c r="K91"/>
  <c r="Q91"/>
  <c r="X91"/>
  <c r="J92"/>
  <c r="K92"/>
  <c r="V92"/>
  <c r="X92"/>
  <c r="J93"/>
  <c r="K93"/>
  <c r="X93"/>
  <c r="J94"/>
  <c r="K94"/>
  <c r="S94"/>
  <c r="X94"/>
  <c r="G85" i="1"/>
  <c r="G105"/>
  <c r="G94"/>
  <c r="C136"/>
  <c r="G132"/>
  <c r="G135" s="1"/>
  <c r="G139" s="1"/>
  <c r="J101"/>
  <c r="L101" s="1"/>
  <c r="G101"/>
  <c r="H101" s="1"/>
  <c r="G99"/>
  <c r="I99" s="1"/>
  <c r="R97"/>
  <c r="S97" s="1"/>
  <c r="N97"/>
  <c r="O97" s="1"/>
  <c r="J97"/>
  <c r="L97" s="1"/>
  <c r="G97"/>
  <c r="H97" s="1"/>
  <c r="D94"/>
  <c r="L93"/>
  <c r="K93"/>
  <c r="G93"/>
  <c r="H93" s="1"/>
  <c r="J92"/>
  <c r="L92" s="1"/>
  <c r="G92"/>
  <c r="H92" s="1"/>
  <c r="J91"/>
  <c r="L91" s="1"/>
  <c r="G91"/>
  <c r="H91" s="1"/>
  <c r="J90"/>
  <c r="J94" s="1"/>
  <c r="G90"/>
  <c r="H90" s="1"/>
  <c r="H94" s="1"/>
  <c r="J87"/>
  <c r="L87" s="1"/>
  <c r="G87"/>
  <c r="H87" s="1"/>
  <c r="D85"/>
  <c r="J83"/>
  <c r="G83"/>
  <c r="I83" s="1"/>
  <c r="J82"/>
  <c r="G82"/>
  <c r="I82" s="1"/>
  <c r="J81"/>
  <c r="G81"/>
  <c r="I81" s="1"/>
  <c r="J80"/>
  <c r="G80"/>
  <c r="I80" s="1"/>
  <c r="J79"/>
  <c r="G79"/>
  <c r="I79" s="1"/>
  <c r="J78"/>
  <c r="G78"/>
  <c r="I78" s="1"/>
  <c r="J77"/>
  <c r="J85" s="1"/>
  <c r="G77"/>
  <c r="I77" s="1"/>
  <c r="I85" s="1"/>
  <c r="Q71"/>
  <c r="D71"/>
  <c r="D70"/>
  <c r="Q69"/>
  <c r="E69"/>
  <c r="L69" s="1"/>
  <c r="M68"/>
  <c r="N68" s="1"/>
  <c r="O68" s="1"/>
  <c r="L68"/>
  <c r="K68"/>
  <c r="G68"/>
  <c r="I68" s="1"/>
  <c r="D67"/>
  <c r="G67" s="1"/>
  <c r="I67" s="1"/>
  <c r="M66"/>
  <c r="D66"/>
  <c r="G66" s="1"/>
  <c r="I66" s="1"/>
  <c r="J65"/>
  <c r="L65" s="1"/>
  <c r="G65"/>
  <c r="H65" s="1"/>
  <c r="J64"/>
  <c r="L64" s="1"/>
  <c r="G64"/>
  <c r="H64" s="1"/>
  <c r="J63"/>
  <c r="L63" s="1"/>
  <c r="G63"/>
  <c r="H63" s="1"/>
  <c r="J62"/>
  <c r="L62" s="1"/>
  <c r="G62"/>
  <c r="H62" s="1"/>
  <c r="L61"/>
  <c r="K61"/>
  <c r="G61"/>
  <c r="I61" s="1"/>
  <c r="J60"/>
  <c r="K60" s="1"/>
  <c r="G60"/>
  <c r="I60" s="1"/>
  <c r="J59"/>
  <c r="K59" s="1"/>
  <c r="G59"/>
  <c r="I59" s="1"/>
  <c r="R58"/>
  <c r="S58" s="1"/>
  <c r="J58"/>
  <c r="L58" s="1"/>
  <c r="G58"/>
  <c r="I58" s="1"/>
  <c r="R57"/>
  <c r="S57" s="1"/>
  <c r="J57"/>
  <c r="L57" s="1"/>
  <c r="G57"/>
  <c r="I57" s="1"/>
  <c r="R56"/>
  <c r="S56" s="1"/>
  <c r="O56"/>
  <c r="J56"/>
  <c r="L56" s="1"/>
  <c r="G56"/>
  <c r="I56" s="1"/>
  <c r="R55"/>
  <c r="S55" s="1"/>
  <c r="N55"/>
  <c r="O55" s="1"/>
  <c r="J55"/>
  <c r="L55" s="1"/>
  <c r="G55"/>
  <c r="I55" s="1"/>
  <c r="R54"/>
  <c r="S54" s="1"/>
  <c r="N54"/>
  <c r="O54" s="1"/>
  <c r="J54"/>
  <c r="L54" s="1"/>
  <c r="G54"/>
  <c r="I54" s="1"/>
  <c r="R53"/>
  <c r="S53" s="1"/>
  <c r="N53"/>
  <c r="O53" s="1"/>
  <c r="J53"/>
  <c r="L53" s="1"/>
  <c r="G53"/>
  <c r="I53" s="1"/>
  <c r="R52"/>
  <c r="S52" s="1"/>
  <c r="N52"/>
  <c r="O52" s="1"/>
  <c r="J52"/>
  <c r="L52" s="1"/>
  <c r="G52"/>
  <c r="I52" s="1"/>
  <c r="R51"/>
  <c r="S51" s="1"/>
  <c r="N51"/>
  <c r="O51" s="1"/>
  <c r="J51"/>
  <c r="L51" s="1"/>
  <c r="G51"/>
  <c r="I51" s="1"/>
  <c r="R50"/>
  <c r="S50" s="1"/>
  <c r="N50"/>
  <c r="J50"/>
  <c r="J75" s="1"/>
  <c r="G50"/>
  <c r="L46"/>
  <c r="K46"/>
  <c r="G46"/>
  <c r="I46" s="1"/>
  <c r="D45"/>
  <c r="L44"/>
  <c r="K44"/>
  <c r="G44"/>
  <c r="I44" s="1"/>
  <c r="D43"/>
  <c r="G43" s="1"/>
  <c r="H43" s="1"/>
  <c r="L42"/>
  <c r="K42"/>
  <c r="G42"/>
  <c r="H42" s="1"/>
  <c r="Q41"/>
  <c r="E41"/>
  <c r="R41" s="1"/>
  <c r="S41" s="1"/>
  <c r="M40"/>
  <c r="D40"/>
  <c r="N40" s="1"/>
  <c r="J39"/>
  <c r="G39"/>
  <c r="I39" s="1"/>
  <c r="J38"/>
  <c r="G38"/>
  <c r="I38" s="1"/>
  <c r="J37"/>
  <c r="K37" s="1"/>
  <c r="G37"/>
  <c r="H37" s="1"/>
  <c r="J36"/>
  <c r="M36" s="1"/>
  <c r="D36"/>
  <c r="K36" s="1"/>
  <c r="J35"/>
  <c r="G35"/>
  <c r="I35" s="1"/>
  <c r="J34"/>
  <c r="G34"/>
  <c r="I34" s="1"/>
  <c r="J33"/>
  <c r="G33"/>
  <c r="I33" s="1"/>
  <c r="J32"/>
  <c r="G32"/>
  <c r="I32" s="1"/>
  <c r="J31"/>
  <c r="G31"/>
  <c r="I31" s="1"/>
  <c r="J30"/>
  <c r="G30"/>
  <c r="I30" s="1"/>
  <c r="J29"/>
  <c r="G29"/>
  <c r="I29" s="1"/>
  <c r="J28"/>
  <c r="G28"/>
  <c r="I28" s="1"/>
  <c r="J27"/>
  <c r="G27"/>
  <c r="I27" s="1"/>
  <c r="D26"/>
  <c r="L26" s="1"/>
  <c r="D25"/>
  <c r="L25" s="1"/>
  <c r="D24"/>
  <c r="L24" s="1"/>
  <c r="D23"/>
  <c r="G23" s="1"/>
  <c r="I23" s="1"/>
  <c r="D22"/>
  <c r="L22" s="1"/>
  <c r="J21"/>
  <c r="D21"/>
  <c r="J20"/>
  <c r="D20"/>
  <c r="K20" s="1"/>
  <c r="D19"/>
  <c r="L19" s="1"/>
  <c r="D18"/>
  <c r="L18" s="1"/>
  <c r="J17"/>
  <c r="D17"/>
  <c r="D16"/>
  <c r="J15"/>
  <c r="D15"/>
  <c r="K15" s="1"/>
  <c r="J14"/>
  <c r="D14"/>
  <c r="J13"/>
  <c r="D13"/>
  <c r="K13" s="1"/>
  <c r="J12"/>
  <c r="L12" s="1"/>
  <c r="G12"/>
  <c r="I12" s="1"/>
  <c r="J11"/>
  <c r="L11" s="1"/>
  <c r="G11"/>
  <c r="I11" s="1"/>
  <c r="J10"/>
  <c r="L10" s="1"/>
  <c r="G10"/>
  <c r="I10" s="1"/>
  <c r="J9"/>
  <c r="L9" s="1"/>
  <c r="G9"/>
  <c r="I9" s="1"/>
  <c r="J8"/>
  <c r="M8" s="1"/>
  <c r="D8"/>
  <c r="AE5"/>
  <c r="Q67" s="1"/>
  <c r="Z5"/>
  <c r="M26" s="1"/>
  <c r="D122" i="10" l="1"/>
  <c r="D123" s="1"/>
  <c r="I55" i="9"/>
  <c r="H10" i="1"/>
  <c r="H12"/>
  <c r="M17"/>
  <c r="G18"/>
  <c r="I18" s="1"/>
  <c r="G20"/>
  <c r="I20" s="1"/>
  <c r="M21"/>
  <c r="G22"/>
  <c r="I22" s="1"/>
  <c r="G24"/>
  <c r="I24" s="1"/>
  <c r="G26"/>
  <c r="H26" s="1"/>
  <c r="H28"/>
  <c r="H30"/>
  <c r="H32"/>
  <c r="H34"/>
  <c r="G36"/>
  <c r="H36" s="1"/>
  <c r="Q36"/>
  <c r="H38"/>
  <c r="G40"/>
  <c r="H40" s="1"/>
  <c r="H44"/>
  <c r="H51"/>
  <c r="H53"/>
  <c r="H55"/>
  <c r="H57"/>
  <c r="K58"/>
  <c r="Q21"/>
  <c r="L23"/>
  <c r="Q26"/>
  <c r="R26" s="1"/>
  <c r="D48"/>
  <c r="H9"/>
  <c r="N9" s="1"/>
  <c r="O9" s="1"/>
  <c r="N10"/>
  <c r="O10" s="1"/>
  <c r="H11"/>
  <c r="N11" s="1"/>
  <c r="O11" s="1"/>
  <c r="N12"/>
  <c r="O12" s="1"/>
  <c r="G13"/>
  <c r="I13" s="1"/>
  <c r="M14"/>
  <c r="Q14" s="1"/>
  <c r="R14" s="1"/>
  <c r="S14" s="1"/>
  <c r="G15"/>
  <c r="I15" s="1"/>
  <c r="G19"/>
  <c r="I19" s="1"/>
  <c r="G25"/>
  <c r="H25" s="1"/>
  <c r="N25" s="1"/>
  <c r="O25" s="1"/>
  <c r="H27"/>
  <c r="M28"/>
  <c r="Q28" s="1"/>
  <c r="R28" s="1"/>
  <c r="S28" s="1"/>
  <c r="H29"/>
  <c r="M30"/>
  <c r="Q30" s="1"/>
  <c r="R30" s="1"/>
  <c r="S30" s="1"/>
  <c r="H31"/>
  <c r="M32"/>
  <c r="Q32" s="1"/>
  <c r="R32" s="1"/>
  <c r="S32" s="1"/>
  <c r="H33"/>
  <c r="M34"/>
  <c r="Q34" s="1"/>
  <c r="R34" s="1"/>
  <c r="S34" s="1"/>
  <c r="H35"/>
  <c r="R36"/>
  <c r="S36" s="1"/>
  <c r="M37"/>
  <c r="Q37" s="1"/>
  <c r="R37" s="1"/>
  <c r="S37" s="1"/>
  <c r="M38"/>
  <c r="Q38" s="1"/>
  <c r="R38" s="1"/>
  <c r="S38" s="1"/>
  <c r="H39"/>
  <c r="L40"/>
  <c r="G41"/>
  <c r="H41" s="1"/>
  <c r="K50"/>
  <c r="K52"/>
  <c r="P52" s="1"/>
  <c r="K54"/>
  <c r="P54" s="1"/>
  <c r="K56"/>
  <c r="N57"/>
  <c r="O57" s="1"/>
  <c r="T57" s="1"/>
  <c r="P68"/>
  <c r="N101"/>
  <c r="O101" s="1"/>
  <c r="Q17"/>
  <c r="M27"/>
  <c r="Q27" s="1"/>
  <c r="R27" s="1"/>
  <c r="S27" s="1"/>
  <c r="M29"/>
  <c r="Q29" s="1"/>
  <c r="R29" s="1"/>
  <c r="S29" s="1"/>
  <c r="M31"/>
  <c r="Q31" s="1"/>
  <c r="R31" s="1"/>
  <c r="S31" s="1"/>
  <c r="M33"/>
  <c r="Q33" s="1"/>
  <c r="R33" s="1"/>
  <c r="S33" s="1"/>
  <c r="M35"/>
  <c r="Q35" s="1"/>
  <c r="R35" s="1"/>
  <c r="S35" s="1"/>
  <c r="M39"/>
  <c r="Q39" s="1"/>
  <c r="R39" s="1"/>
  <c r="S39" s="1"/>
  <c r="Q40"/>
  <c r="R40" s="1"/>
  <c r="L41"/>
  <c r="R17"/>
  <c r="R21"/>
  <c r="S26"/>
  <c r="N26"/>
  <c r="S40"/>
  <c r="I25"/>
  <c r="I26"/>
  <c r="L27"/>
  <c r="N27" s="1"/>
  <c r="O27" s="1"/>
  <c r="T27" s="1"/>
  <c r="L28"/>
  <c r="N28" s="1"/>
  <c r="O28" s="1"/>
  <c r="T28" s="1"/>
  <c r="L29"/>
  <c r="N29" s="1"/>
  <c r="O29" s="1"/>
  <c r="T29" s="1"/>
  <c r="L30"/>
  <c r="N30" s="1"/>
  <c r="O30" s="1"/>
  <c r="T30" s="1"/>
  <c r="L31"/>
  <c r="N31" s="1"/>
  <c r="O31" s="1"/>
  <c r="T31" s="1"/>
  <c r="L32"/>
  <c r="N32" s="1"/>
  <c r="O32" s="1"/>
  <c r="T32" s="1"/>
  <c r="L33"/>
  <c r="N33" s="1"/>
  <c r="O33" s="1"/>
  <c r="T33" s="1"/>
  <c r="L34"/>
  <c r="N34" s="1"/>
  <c r="O34" s="1"/>
  <c r="T34" s="1"/>
  <c r="L35"/>
  <c r="N35" s="1"/>
  <c r="O35" s="1"/>
  <c r="T35" s="1"/>
  <c r="I36"/>
  <c r="I37"/>
  <c r="G8"/>
  <c r="J48"/>
  <c r="L8"/>
  <c r="K9"/>
  <c r="M9"/>
  <c r="Q9" s="1"/>
  <c r="K10"/>
  <c r="P10" s="1"/>
  <c r="M10"/>
  <c r="Q10" s="1"/>
  <c r="R10" s="1"/>
  <c r="S10" s="1"/>
  <c r="T10" s="1"/>
  <c r="K11"/>
  <c r="M11"/>
  <c r="Q11" s="1"/>
  <c r="R11" s="1"/>
  <c r="S11" s="1"/>
  <c r="K12"/>
  <c r="P12" s="1"/>
  <c r="M12"/>
  <c r="Q12" s="1"/>
  <c r="R12" s="1"/>
  <c r="S12" s="1"/>
  <c r="T12" s="1"/>
  <c r="H13"/>
  <c r="L13"/>
  <c r="N13" s="1"/>
  <c r="O13" s="1"/>
  <c r="P13" s="1"/>
  <c r="G14"/>
  <c r="K14"/>
  <c r="H15"/>
  <c r="L15"/>
  <c r="G16"/>
  <c r="L16"/>
  <c r="G17"/>
  <c r="K17"/>
  <c r="S17"/>
  <c r="H18"/>
  <c r="N18" s="1"/>
  <c r="O18" s="1"/>
  <c r="K18"/>
  <c r="M18"/>
  <c r="Q18" s="1"/>
  <c r="R18" s="1"/>
  <c r="S18" s="1"/>
  <c r="H19"/>
  <c r="N19" s="1"/>
  <c r="O19" s="1"/>
  <c r="K19"/>
  <c r="M19"/>
  <c r="Q19" s="1"/>
  <c r="R19" s="1"/>
  <c r="S19" s="1"/>
  <c r="H20"/>
  <c r="L20"/>
  <c r="G21"/>
  <c r="K21"/>
  <c r="S21"/>
  <c r="H22"/>
  <c r="N22" s="1"/>
  <c r="O22" s="1"/>
  <c r="K22"/>
  <c r="M22"/>
  <c r="Q22" s="1"/>
  <c r="R22" s="1"/>
  <c r="S22" s="1"/>
  <c r="H23"/>
  <c r="N23" s="1"/>
  <c r="O23" s="1"/>
  <c r="K23"/>
  <c r="M23"/>
  <c r="Q23" s="1"/>
  <c r="R23" s="1"/>
  <c r="S23" s="1"/>
  <c r="H24"/>
  <c r="N24" s="1"/>
  <c r="O24" s="1"/>
  <c r="K24"/>
  <c r="M24"/>
  <c r="Q24" s="1"/>
  <c r="R24" s="1"/>
  <c r="S24" s="1"/>
  <c r="K25"/>
  <c r="M25"/>
  <c r="Q25" s="1"/>
  <c r="R25" s="1"/>
  <c r="S25" s="1"/>
  <c r="K26"/>
  <c r="O26"/>
  <c r="T26" s="1"/>
  <c r="K27"/>
  <c r="P27" s="1"/>
  <c r="K28"/>
  <c r="P28" s="1"/>
  <c r="K29"/>
  <c r="P29" s="1"/>
  <c r="K30"/>
  <c r="P30" s="1"/>
  <c r="K31"/>
  <c r="P31" s="1"/>
  <c r="K32"/>
  <c r="P32" s="1"/>
  <c r="K33"/>
  <c r="P33" s="1"/>
  <c r="K34"/>
  <c r="P34" s="1"/>
  <c r="K35"/>
  <c r="P35" s="1"/>
  <c r="L36"/>
  <c r="N36"/>
  <c r="O36" s="1"/>
  <c r="T36" s="1"/>
  <c r="L37"/>
  <c r="N37" s="1"/>
  <c r="O37" s="1"/>
  <c r="T37" s="1"/>
  <c r="L38"/>
  <c r="N38" s="1"/>
  <c r="O38" s="1"/>
  <c r="T38" s="1"/>
  <c r="L39"/>
  <c r="N39" s="1"/>
  <c r="O39" s="1"/>
  <c r="T39" s="1"/>
  <c r="I40"/>
  <c r="I41"/>
  <c r="I42"/>
  <c r="I43"/>
  <c r="M59"/>
  <c r="Q59" s="1"/>
  <c r="Q66"/>
  <c r="R66" s="1"/>
  <c r="S66" s="1"/>
  <c r="Q68"/>
  <c r="R68" s="1"/>
  <c r="S68" s="1"/>
  <c r="M78"/>
  <c r="Q78" s="1"/>
  <c r="R78" s="1"/>
  <c r="S78" s="1"/>
  <c r="M79"/>
  <c r="Q79" s="1"/>
  <c r="R79" s="1"/>
  <c r="S79" s="1"/>
  <c r="M80"/>
  <c r="Q80" s="1"/>
  <c r="R80" s="1"/>
  <c r="S80" s="1"/>
  <c r="M81"/>
  <c r="Q81" s="1"/>
  <c r="R81" s="1"/>
  <c r="S81" s="1"/>
  <c r="M82"/>
  <c r="Q82" s="1"/>
  <c r="R82" s="1"/>
  <c r="S82" s="1"/>
  <c r="M83"/>
  <c r="Q83" s="1"/>
  <c r="R83" s="1"/>
  <c r="S83" s="1"/>
  <c r="N93"/>
  <c r="O93" s="1"/>
  <c r="M93"/>
  <c r="Q93" s="1"/>
  <c r="R93" s="1"/>
  <c r="S93" s="1"/>
  <c r="M58"/>
  <c r="M45"/>
  <c r="Q45" s="1"/>
  <c r="M44"/>
  <c r="M61"/>
  <c r="Q61" s="1"/>
  <c r="R61" s="1"/>
  <c r="S61" s="1"/>
  <c r="M46"/>
  <c r="M43"/>
  <c r="Q43" s="1"/>
  <c r="R43" s="1"/>
  <c r="S43" s="1"/>
  <c r="K43"/>
  <c r="K8"/>
  <c r="R8"/>
  <c r="M13"/>
  <c r="Q13" s="1"/>
  <c r="R13" s="1"/>
  <c r="S13" s="1"/>
  <c r="L14"/>
  <c r="M15"/>
  <c r="Q15" s="1"/>
  <c r="R15" s="1"/>
  <c r="S15" s="1"/>
  <c r="K16"/>
  <c r="M16"/>
  <c r="Q16" s="1"/>
  <c r="R16" s="1"/>
  <c r="S16" s="1"/>
  <c r="L17"/>
  <c r="M20"/>
  <c r="Q20" s="1"/>
  <c r="R20" s="1"/>
  <c r="S20" s="1"/>
  <c r="L21"/>
  <c r="K38"/>
  <c r="P38" s="1"/>
  <c r="K39"/>
  <c r="P39" s="1"/>
  <c r="K40"/>
  <c r="O40"/>
  <c r="T40" s="1"/>
  <c r="K41"/>
  <c r="N41"/>
  <c r="O41" s="1"/>
  <c r="T41" s="1"/>
  <c r="M42"/>
  <c r="L43"/>
  <c r="M60"/>
  <c r="Q60" s="1"/>
  <c r="R60" s="1"/>
  <c r="S60" s="1"/>
  <c r="N62"/>
  <c r="O62" s="1"/>
  <c r="N63"/>
  <c r="O63" s="1"/>
  <c r="N64"/>
  <c r="O64" s="1"/>
  <c r="N65"/>
  <c r="O65" s="1"/>
  <c r="T68"/>
  <c r="N87"/>
  <c r="O87" s="1"/>
  <c r="N91"/>
  <c r="O91" s="1"/>
  <c r="N92"/>
  <c r="O92" s="1"/>
  <c r="P93"/>
  <c r="G45"/>
  <c r="L45"/>
  <c r="N45"/>
  <c r="R45"/>
  <c r="S45" s="1"/>
  <c r="H46"/>
  <c r="H50"/>
  <c r="L50"/>
  <c r="O50"/>
  <c r="K51"/>
  <c r="P51" s="1"/>
  <c r="H52"/>
  <c r="K53"/>
  <c r="P53" s="1"/>
  <c r="H54"/>
  <c r="K55"/>
  <c r="P55" s="1"/>
  <c r="H56"/>
  <c r="K57"/>
  <c r="P57" s="1"/>
  <c r="M57"/>
  <c r="H58"/>
  <c r="N58" s="1"/>
  <c r="H59"/>
  <c r="L59"/>
  <c r="N59" s="1"/>
  <c r="O59" s="1"/>
  <c r="H60"/>
  <c r="L60"/>
  <c r="N60" s="1"/>
  <c r="O60" s="1"/>
  <c r="T60" s="1"/>
  <c r="H61"/>
  <c r="N61" s="1"/>
  <c r="O61" s="1"/>
  <c r="I62"/>
  <c r="K62"/>
  <c r="P62" s="1"/>
  <c r="M62"/>
  <c r="Q62" s="1"/>
  <c r="R62" s="1"/>
  <c r="S62" s="1"/>
  <c r="I63"/>
  <c r="K63"/>
  <c r="P63" s="1"/>
  <c r="M63"/>
  <c r="Q63" s="1"/>
  <c r="R63" s="1"/>
  <c r="S63" s="1"/>
  <c r="I64"/>
  <c r="K64"/>
  <c r="P64" s="1"/>
  <c r="M64"/>
  <c r="Q64" s="1"/>
  <c r="R64" s="1"/>
  <c r="S64" s="1"/>
  <c r="I65"/>
  <c r="K65"/>
  <c r="P65" s="1"/>
  <c r="M65"/>
  <c r="Q65" s="1"/>
  <c r="R65" s="1"/>
  <c r="S65" s="1"/>
  <c r="H66"/>
  <c r="K66"/>
  <c r="H67"/>
  <c r="K67"/>
  <c r="N67"/>
  <c r="R67"/>
  <c r="S67" s="1"/>
  <c r="H68"/>
  <c r="K69"/>
  <c r="N69"/>
  <c r="O69" s="1"/>
  <c r="R69"/>
  <c r="S69" s="1"/>
  <c r="E70"/>
  <c r="E71" s="1"/>
  <c r="E72" s="1"/>
  <c r="G71"/>
  <c r="D75"/>
  <c r="H77"/>
  <c r="L77"/>
  <c r="H78"/>
  <c r="L78"/>
  <c r="H79"/>
  <c r="L79"/>
  <c r="H80"/>
  <c r="L80"/>
  <c r="H81"/>
  <c r="L81"/>
  <c r="H82"/>
  <c r="L82"/>
  <c r="H83"/>
  <c r="L83"/>
  <c r="I87"/>
  <c r="K87"/>
  <c r="P87" s="1"/>
  <c r="M87"/>
  <c r="Q87" s="1"/>
  <c r="R87" s="1"/>
  <c r="S87" s="1"/>
  <c r="I90"/>
  <c r="K90"/>
  <c r="M90"/>
  <c r="I91"/>
  <c r="K91"/>
  <c r="P91" s="1"/>
  <c r="M91"/>
  <c r="Q91" s="1"/>
  <c r="R91" s="1"/>
  <c r="S91" s="1"/>
  <c r="I92"/>
  <c r="K92"/>
  <c r="P92" s="1"/>
  <c r="M92"/>
  <c r="Q92" s="1"/>
  <c r="R92" s="1"/>
  <c r="S92" s="1"/>
  <c r="I93"/>
  <c r="I97"/>
  <c r="K97"/>
  <c r="P97" s="1"/>
  <c r="H99"/>
  <c r="I101"/>
  <c r="K101"/>
  <c r="P101" s="1"/>
  <c r="M101"/>
  <c r="Q101" s="1"/>
  <c r="R101" s="1"/>
  <c r="S101" s="1"/>
  <c r="T101" s="1"/>
  <c r="C138" s="1"/>
  <c r="K45"/>
  <c r="O45"/>
  <c r="I50"/>
  <c r="P50"/>
  <c r="L66"/>
  <c r="N66"/>
  <c r="O66" s="1"/>
  <c r="T66" s="1"/>
  <c r="L67"/>
  <c r="O67"/>
  <c r="G69"/>
  <c r="G70"/>
  <c r="N71"/>
  <c r="O71" s="1"/>
  <c r="K77"/>
  <c r="M77"/>
  <c r="K78"/>
  <c r="K79"/>
  <c r="K80"/>
  <c r="K81"/>
  <c r="K82"/>
  <c r="K83"/>
  <c r="L90"/>
  <c r="D124" i="10" l="1"/>
  <c r="D125" s="1"/>
  <c r="T69" i="1"/>
  <c r="P41"/>
  <c r="P40"/>
  <c r="T11"/>
  <c r="K71"/>
  <c r="L70"/>
  <c r="P45"/>
  <c r="N83"/>
  <c r="O83" s="1"/>
  <c r="T83" s="1"/>
  <c r="N82"/>
  <c r="O82" s="1"/>
  <c r="T82" s="1"/>
  <c r="N81"/>
  <c r="O81" s="1"/>
  <c r="T81" s="1"/>
  <c r="N80"/>
  <c r="O80" s="1"/>
  <c r="T80" s="1"/>
  <c r="N79"/>
  <c r="O79" s="1"/>
  <c r="T79" s="1"/>
  <c r="N78"/>
  <c r="O78" s="1"/>
  <c r="T78" s="1"/>
  <c r="N70"/>
  <c r="O70" s="1"/>
  <c r="N43"/>
  <c r="O43" s="1"/>
  <c r="N15"/>
  <c r="O15" s="1"/>
  <c r="P11"/>
  <c r="P9"/>
  <c r="T24"/>
  <c r="T22"/>
  <c r="T19"/>
  <c r="T61"/>
  <c r="P61"/>
  <c r="T23"/>
  <c r="T18"/>
  <c r="K85"/>
  <c r="I69"/>
  <c r="H69"/>
  <c r="K94"/>
  <c r="L85"/>
  <c r="N77"/>
  <c r="H71"/>
  <c r="I71"/>
  <c r="R72"/>
  <c r="S72" s="1"/>
  <c r="L72"/>
  <c r="G72"/>
  <c r="E73"/>
  <c r="N72"/>
  <c r="O72" s="1"/>
  <c r="T72" s="1"/>
  <c r="K72"/>
  <c r="P72" s="1"/>
  <c r="H45"/>
  <c r="I45"/>
  <c r="Q42"/>
  <c r="R42" s="1"/>
  <c r="S42" s="1"/>
  <c r="N42"/>
  <c r="O42" s="1"/>
  <c r="K48"/>
  <c r="H16"/>
  <c r="I16"/>
  <c r="H14"/>
  <c r="I14"/>
  <c r="L48"/>
  <c r="N8"/>
  <c r="G48"/>
  <c r="I8"/>
  <c r="P71"/>
  <c r="T92"/>
  <c r="T87"/>
  <c r="C137" s="1"/>
  <c r="T65"/>
  <c r="T63"/>
  <c r="P59"/>
  <c r="N14"/>
  <c r="O14" s="1"/>
  <c r="T14" s="1"/>
  <c r="T43"/>
  <c r="T93"/>
  <c r="P60"/>
  <c r="P26"/>
  <c r="P24"/>
  <c r="P23"/>
  <c r="P22"/>
  <c r="N20"/>
  <c r="O20" s="1"/>
  <c r="P19"/>
  <c r="P18"/>
  <c r="P37"/>
  <c r="L94"/>
  <c r="N90"/>
  <c r="Q77"/>
  <c r="M85"/>
  <c r="I70"/>
  <c r="H70"/>
  <c r="M94"/>
  <c r="Q90"/>
  <c r="N46"/>
  <c r="O46" s="1"/>
  <c r="Q46"/>
  <c r="R46" s="1"/>
  <c r="S46" s="1"/>
  <c r="Q44"/>
  <c r="R44" s="1"/>
  <c r="S44" s="1"/>
  <c r="N44"/>
  <c r="O44" s="1"/>
  <c r="Q75"/>
  <c r="R59"/>
  <c r="H21"/>
  <c r="I21"/>
  <c r="H17"/>
  <c r="I17"/>
  <c r="Q48"/>
  <c r="R9"/>
  <c r="S9" s="1"/>
  <c r="T9" s="1"/>
  <c r="T67"/>
  <c r="T45"/>
  <c r="I94"/>
  <c r="H85"/>
  <c r="L71"/>
  <c r="K70"/>
  <c r="P70" s="1"/>
  <c r="P69"/>
  <c r="P67"/>
  <c r="P66"/>
  <c r="M75"/>
  <c r="T91"/>
  <c r="R71"/>
  <c r="S71" s="1"/>
  <c r="T71" s="1"/>
  <c r="T64"/>
  <c r="T62"/>
  <c r="N21"/>
  <c r="O21" s="1"/>
  <c r="T21" s="1"/>
  <c r="N17"/>
  <c r="O17" s="1"/>
  <c r="T17" s="1"/>
  <c r="R48"/>
  <c r="M48"/>
  <c r="P43"/>
  <c r="R70"/>
  <c r="S70" s="1"/>
  <c r="T70" s="1"/>
  <c r="T25"/>
  <c r="P25"/>
  <c r="N16"/>
  <c r="O16" s="1"/>
  <c r="T16" s="1"/>
  <c r="T15"/>
  <c r="P14"/>
  <c r="T13"/>
  <c r="S8"/>
  <c r="S48" s="1"/>
  <c r="P36"/>
  <c r="P15"/>
  <c r="P78" l="1"/>
  <c r="P82"/>
  <c r="P83"/>
  <c r="P80"/>
  <c r="P81"/>
  <c r="P79"/>
  <c r="T46"/>
  <c r="P46"/>
  <c r="Q85"/>
  <c r="R77"/>
  <c r="N48"/>
  <c r="O8"/>
  <c r="T42"/>
  <c r="P42"/>
  <c r="R73"/>
  <c r="S73" s="1"/>
  <c r="L73"/>
  <c r="L75" s="1"/>
  <c r="G73"/>
  <c r="N73"/>
  <c r="O73" s="1"/>
  <c r="K73"/>
  <c r="N85"/>
  <c r="O77"/>
  <c r="P17"/>
  <c r="P21"/>
  <c r="P16"/>
  <c r="I48"/>
  <c r="N75"/>
  <c r="S59"/>
  <c r="R75"/>
  <c r="T44"/>
  <c r="P44"/>
  <c r="R90"/>
  <c r="Q94"/>
  <c r="N94"/>
  <c r="O90"/>
  <c r="T20"/>
  <c r="P20"/>
  <c r="I72"/>
  <c r="H72"/>
  <c r="H48"/>
  <c r="O94" l="1"/>
  <c r="P90"/>
  <c r="P94" s="1"/>
  <c r="T73"/>
  <c r="O75"/>
  <c r="O48"/>
  <c r="T8"/>
  <c r="T48" s="1"/>
  <c r="C132" s="1"/>
  <c r="P8"/>
  <c r="P48" s="1"/>
  <c r="R85"/>
  <c r="S77"/>
  <c r="S85" s="1"/>
  <c r="R94"/>
  <c r="S90"/>
  <c r="S94" s="1"/>
  <c r="S75"/>
  <c r="T59"/>
  <c r="T75" s="1"/>
  <c r="C133" s="1"/>
  <c r="O85"/>
  <c r="T77"/>
  <c r="T85" s="1"/>
  <c r="C134" s="1"/>
  <c r="P77"/>
  <c r="P85" s="1"/>
  <c r="P73"/>
  <c r="P75" s="1"/>
  <c r="K75"/>
  <c r="I73"/>
  <c r="I75" s="1"/>
  <c r="H73"/>
  <c r="H75" s="1"/>
  <c r="G75"/>
  <c r="T90" l="1"/>
  <c r="T94" s="1"/>
  <c r="C135" s="1"/>
  <c r="C140" s="1"/>
</calcChain>
</file>

<file path=xl/comments1.xml><?xml version="1.0" encoding="utf-8"?>
<comments xmlns="http://schemas.openxmlformats.org/spreadsheetml/2006/main">
  <authors>
    <author>Elizabeth</author>
    <author>Karol</author>
    <author>User</author>
  </authors>
  <commentList>
    <comment ref="D36" authorId="0">
      <text>
        <r>
          <rPr>
            <b/>
            <sz val="8"/>
            <color indexed="81"/>
            <rFont val="Tahoma"/>
            <family val="2"/>
          </rPr>
          <t>Elizabeth:</t>
        </r>
        <r>
          <rPr>
            <sz val="8"/>
            <color indexed="81"/>
            <rFont val="Tahoma"/>
            <family val="2"/>
          </rPr>
          <t xml:space="preserve">
dado de baja 05/05/08
</t>
        </r>
      </text>
    </comment>
    <comment ref="B50" authorId="0">
      <text>
        <r>
          <rPr>
            <b/>
            <sz val="8"/>
            <color indexed="81"/>
            <rFont val="Tahoma"/>
            <family val="2"/>
          </rPr>
          <t>Elizabeth:</t>
        </r>
        <r>
          <rPr>
            <sz val="8"/>
            <color indexed="81"/>
            <rFont val="Tahoma"/>
            <family val="2"/>
          </rPr>
          <t xml:space="preserve">
DAR DE BAJA</t>
        </r>
      </text>
    </comment>
    <comment ref="O58" authorId="1">
      <text>
        <r>
          <rPr>
            <b/>
            <sz val="8"/>
            <color indexed="81"/>
            <rFont val="Tahoma"/>
            <family val="2"/>
          </rPr>
          <t xml:space="preserve">Karol:
tenia 55.20, pero se dio de baja
</t>
        </r>
      </text>
    </comment>
    <comment ref="B82" authorId="2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PRESIDENCIA
</t>
        </r>
      </text>
    </comment>
    <comment ref="D84" authorId="0">
      <text>
        <r>
          <rPr>
            <b/>
            <sz val="8"/>
            <color indexed="81"/>
            <rFont val="Tahoma"/>
            <family val="2"/>
          </rPr>
          <t>Elizabeth:</t>
        </r>
        <r>
          <rPr>
            <sz val="8"/>
            <color indexed="81"/>
            <rFont val="Tahoma"/>
            <family val="2"/>
          </rPr>
          <t xml:space="preserve">
NO SE HABIA DEPRECIADO NINGÙN AÑO. SE TRASLADÒ AL COMPLEJO Y SE CARGÒ EL TOTAL DE LA DEP AL GASTO ANUAL</t>
        </r>
      </text>
    </comment>
    <comment ref="B91" authorId="0">
      <text>
        <r>
          <rPr>
            <b/>
            <sz val="8"/>
            <color indexed="81"/>
            <rFont val="Tahoma"/>
            <family val="2"/>
          </rPr>
          <t>Elizabeth:</t>
        </r>
        <r>
          <rPr>
            <sz val="8"/>
            <color indexed="81"/>
            <rFont val="Tahoma"/>
            <family val="2"/>
          </rPr>
          <t xml:space="preserve">
RECLASIFICAR A MUEBLES COMPLEJO</t>
        </r>
      </text>
    </comment>
  </commentList>
</comments>
</file>

<file path=xl/comments2.xml><?xml version="1.0" encoding="utf-8"?>
<comments xmlns="http://schemas.openxmlformats.org/spreadsheetml/2006/main">
  <authors>
    <author>pentium</author>
    <author>Pentium</author>
  </authors>
  <commentList>
    <comment ref="C81" authorId="0">
      <text>
        <r>
          <rPr>
            <b/>
            <sz val="8"/>
            <color indexed="81"/>
            <rFont val="Tahoma"/>
          </rPr>
          <t>pentium:</t>
        </r>
        <r>
          <rPr>
            <sz val="8"/>
            <color indexed="81"/>
            <rFont val="Tahoma"/>
          </rPr>
          <t xml:space="preserve">
INTERRESES PROVISIONADOS DE INVERSION COOP 5 DE AGOSTO</t>
        </r>
      </text>
    </comment>
    <comment ref="C83" authorId="0">
      <text>
        <r>
          <rPr>
            <b/>
            <sz val="8"/>
            <color indexed="81"/>
            <rFont val="Tahoma"/>
          </rPr>
          <t>pentium:</t>
        </r>
        <r>
          <rPr>
            <sz val="8"/>
            <color indexed="81"/>
            <rFont val="Tahoma"/>
          </rPr>
          <t xml:space="preserve">
RIZZO
</t>
        </r>
      </text>
    </comment>
    <comment ref="C158" authorId="1">
      <text>
        <r>
          <rPr>
            <sz val="8"/>
            <color indexed="81"/>
            <rFont val="Tahoma"/>
          </rPr>
          <t xml:space="preserve">PAGO DE CAJA DEL 
</t>
        </r>
      </text>
    </comment>
  </commentList>
</comments>
</file>

<file path=xl/sharedStrings.xml><?xml version="1.0" encoding="utf-8"?>
<sst xmlns="http://schemas.openxmlformats.org/spreadsheetml/2006/main" count="5547" uniqueCount="1048">
  <si>
    <t>Enero</t>
  </si>
  <si>
    <t>abril</t>
  </si>
  <si>
    <t>JULIO</t>
  </si>
  <si>
    <t>OCTUBRE</t>
  </si>
  <si>
    <t>Febrero</t>
  </si>
  <si>
    <t>mayo</t>
  </si>
  <si>
    <t>AGOSTO</t>
  </si>
  <si>
    <t>NOVIEMBRE</t>
  </si>
  <si>
    <t>ANALÍTICA DE DEPRECIACION DE ACTIVOS FIJOS</t>
  </si>
  <si>
    <t>marzo</t>
  </si>
  <si>
    <t>junio</t>
  </si>
  <si>
    <t>SEPTIEMBRE</t>
  </si>
  <si>
    <t>DICIEMBRE</t>
  </si>
  <si>
    <t>AL 31 DE DICIEMBRE  DEL 2008</t>
  </si>
  <si>
    <t>TOTAL DIAS ENERO-JUNIO</t>
  </si>
  <si>
    <t>TOTAL DIAS JULIO-DIC</t>
  </si>
  <si>
    <t>ACTIVO FIJO</t>
  </si>
  <si>
    <t>VALOR</t>
  </si>
  <si>
    <t>% DEP</t>
  </si>
  <si>
    <t xml:space="preserve"> FECHA ADQ</t>
  </si>
  <si>
    <t>VALOR DEP.  ANUAL</t>
  </si>
  <si>
    <t>VALOR DEP. SEMES</t>
  </si>
  <si>
    <t>VALOR DEP.  MENSUAL</t>
  </si>
  <si>
    <t>DIAS/ DEP AL 31/12/07</t>
  </si>
  <si>
    <t>VALOR ACTIVO AL 31/12/07</t>
  </si>
  <si>
    <t>DEP ACUM  AL 31/12/07</t>
  </si>
  <si>
    <t>DIAS/ DEP AL 30/06/08</t>
  </si>
  <si>
    <t>DEP/ACUM JUNIO 2008</t>
  </si>
  <si>
    <t>VALOR ACTIVO AL 30/06/08</t>
  </si>
  <si>
    <t>DEP SEMESTRAL 2008-01</t>
  </si>
  <si>
    <t>DIAS/ DEP AL 31/12/08</t>
  </si>
  <si>
    <t>DEP/ACUM DIC 2008</t>
  </si>
  <si>
    <t>VALOR ACTIVO AL 31/12/08</t>
  </si>
  <si>
    <t>DEP SEMESTRAL 2008-02</t>
  </si>
  <si>
    <t>MUEBLES Y ENSERES</t>
  </si>
  <si>
    <t>Archivador</t>
  </si>
  <si>
    <t>4 CAJONES METALICOS/TAMAÑO OFICIO</t>
  </si>
  <si>
    <t xml:space="preserve">Televisor </t>
  </si>
  <si>
    <t>LG</t>
  </si>
  <si>
    <t>Soporte de TV</t>
  </si>
  <si>
    <t>Cafetera</t>
  </si>
  <si>
    <t xml:space="preserve">OSTER </t>
  </si>
  <si>
    <t xml:space="preserve">Dispensador </t>
  </si>
  <si>
    <t>GE/ SALA DE ESPERA</t>
  </si>
  <si>
    <t>Escritorios</t>
  </si>
  <si>
    <t xml:space="preserve"> Compact y Modulo Pedestal</t>
  </si>
  <si>
    <t xml:space="preserve">Escritorio </t>
  </si>
  <si>
    <t>Compact Ejecutivo</t>
  </si>
  <si>
    <t xml:space="preserve">Esfera </t>
  </si>
  <si>
    <t>Media Luna y Pata Tabula</t>
  </si>
  <si>
    <t xml:space="preserve">Mesa de Trabajo </t>
  </si>
  <si>
    <t>(1.65*0.50) (Ventanilla)</t>
  </si>
  <si>
    <t>Modulos Colgantes</t>
  </si>
  <si>
    <t>Cajones</t>
  </si>
  <si>
    <t>(1.20*0.60) (C. Vigilancia)</t>
  </si>
  <si>
    <t>Papelografo</t>
  </si>
  <si>
    <t>Cartelera verde</t>
  </si>
  <si>
    <t xml:space="preserve">Sillon </t>
  </si>
  <si>
    <t>Carolina Gerencia</t>
  </si>
  <si>
    <t>Sillas</t>
  </si>
  <si>
    <t xml:space="preserve"> Grafitty</t>
  </si>
  <si>
    <t xml:space="preserve">Sillas </t>
  </si>
  <si>
    <t>Pentium en Yute</t>
  </si>
  <si>
    <t>Presidencial</t>
  </si>
  <si>
    <t>Sillon</t>
  </si>
  <si>
    <t xml:space="preserve"> Triple ERGOFLEX</t>
  </si>
  <si>
    <t xml:space="preserve">Sillones </t>
  </si>
  <si>
    <t>Doble ERGOFLEX</t>
  </si>
  <si>
    <t>Perchas</t>
  </si>
  <si>
    <t>4 metalicas 113*210*30 6 repisas</t>
  </si>
  <si>
    <t xml:space="preserve">Tostadora </t>
  </si>
  <si>
    <t>Oster</t>
  </si>
  <si>
    <t>Cartelera</t>
  </si>
  <si>
    <t xml:space="preserve"> Roja</t>
  </si>
  <si>
    <t>Percha</t>
  </si>
  <si>
    <t xml:space="preserve"> 113*30*240 </t>
  </si>
  <si>
    <t>Ticketera</t>
  </si>
  <si>
    <t>Triplex S/B</t>
  </si>
  <si>
    <t xml:space="preserve">Microondas </t>
  </si>
  <si>
    <t>Kor 63 DB Daewo</t>
  </si>
  <si>
    <t>Duplex Ergoflex</t>
  </si>
  <si>
    <t>Mesa de Sesiones</t>
  </si>
  <si>
    <t xml:space="preserve"> Tipo ATU (3.20*1*1.20)</t>
  </si>
  <si>
    <t>Dispensador de Agua</t>
  </si>
  <si>
    <t>(Sala de Sesiones)</t>
  </si>
  <si>
    <t xml:space="preserve">Perchas </t>
  </si>
  <si>
    <t>1.12 x 2.40 x0.30</t>
  </si>
  <si>
    <t xml:space="preserve">Reloj tarjetero </t>
  </si>
  <si>
    <t>control personal</t>
  </si>
  <si>
    <t>120x 112x30</t>
  </si>
  <si>
    <t>Surtidor de Agua</t>
  </si>
  <si>
    <t>ENFR. GXCF05D BLANCO G.E</t>
  </si>
  <si>
    <t>Sillas negras (ergonòmicas)</t>
  </si>
  <si>
    <t>Apolonia</t>
  </si>
  <si>
    <t>Mesas de Trabajo</t>
  </si>
  <si>
    <t>x4</t>
  </si>
  <si>
    <t>Archivadores de Madera</t>
  </si>
  <si>
    <t>x3</t>
  </si>
  <si>
    <t>Vitrinas con cajones</t>
  </si>
  <si>
    <t>Archivadores rojos</t>
  </si>
  <si>
    <t xml:space="preserve"> 4 cajones x2</t>
  </si>
  <si>
    <t>MUEBLES  Y ENSERES AL 31/12/08</t>
  </si>
  <si>
    <t>EQUIPOS DE COMPUTACIÓN Y SOFTWARE</t>
  </si>
  <si>
    <t>Impresora</t>
  </si>
  <si>
    <t xml:space="preserve"> HP-LASER 1000</t>
  </si>
  <si>
    <t xml:space="preserve">Computadora </t>
  </si>
  <si>
    <t>Pentium 4  (Ger- Complejo)</t>
  </si>
  <si>
    <t xml:space="preserve">Impresora </t>
  </si>
  <si>
    <t>LEXMARK 5150</t>
  </si>
  <si>
    <t>Telefonos</t>
  </si>
  <si>
    <t>Servicomputer (Internet)</t>
  </si>
  <si>
    <t>Epson Lx-300 (Aux. Contable)</t>
  </si>
  <si>
    <t>Pentium 4 (Ventanilla)</t>
  </si>
  <si>
    <t xml:space="preserve">Computadora  </t>
  </si>
  <si>
    <t>Pentium 4 (Aux. Cont)</t>
  </si>
  <si>
    <t xml:space="preserve"> Epson LX 300 Matricial (Contador)</t>
  </si>
  <si>
    <t>Computadora</t>
  </si>
  <si>
    <t xml:space="preserve"> Intel Pentium 4 (Presidencia)</t>
  </si>
  <si>
    <t>Amplificador</t>
  </si>
  <si>
    <t>ce 44712</t>
  </si>
  <si>
    <t>Parlantes</t>
  </si>
  <si>
    <t>ce 44716</t>
  </si>
  <si>
    <t xml:space="preserve"> Intel Pentium 4 (Contadora)</t>
  </si>
  <si>
    <t xml:space="preserve"> Epson lx 300 USB paralelo</t>
  </si>
  <si>
    <t xml:space="preserve"> Pentium 4 (Gerente)</t>
  </si>
  <si>
    <t>Epson LX 30+11 Usb ventanilla</t>
  </si>
  <si>
    <t xml:space="preserve"> HP Laser jet P1006</t>
  </si>
  <si>
    <t>HP Laser jet P1005</t>
  </si>
  <si>
    <t>Matricial lx-300+II</t>
  </si>
  <si>
    <t xml:space="preserve">Central Telefònica </t>
  </si>
  <si>
    <t>ce 54738</t>
  </si>
  <si>
    <t>Computador</t>
  </si>
  <si>
    <t>ce 54739</t>
  </si>
  <si>
    <t>Central Telefònica -Instalaciòn</t>
  </si>
  <si>
    <t>ce 54954</t>
  </si>
  <si>
    <t>ce 57657</t>
  </si>
  <si>
    <t>ce 57753( nueva-contdora)</t>
  </si>
  <si>
    <t>EQUIPOS DE COMPUTACIÓN Y SOFTWARE  AL 31/12/08</t>
  </si>
  <si>
    <t xml:space="preserve"> EQUIPOS DE OFICINA</t>
  </si>
  <si>
    <t xml:space="preserve">FAX </t>
  </si>
  <si>
    <t>Panasonic</t>
  </si>
  <si>
    <t xml:space="preserve">Grabadora </t>
  </si>
  <si>
    <t>Periodistica</t>
  </si>
  <si>
    <t>Megafono</t>
  </si>
  <si>
    <t xml:space="preserve">Cámara </t>
  </si>
  <si>
    <t>KODAK</t>
  </si>
  <si>
    <t>ACONDICIONADOR DE AIRE</t>
  </si>
  <si>
    <t>SPLINT PANASONIC / 24000 BTU</t>
  </si>
  <si>
    <t>Aire Acondicionado</t>
  </si>
  <si>
    <t>CONFORRSTAR 36000 BTU</t>
  </si>
  <si>
    <t>Fotocopiadora Digital</t>
  </si>
  <si>
    <t xml:space="preserve">Toshiba </t>
  </si>
  <si>
    <t>Refrigeradora</t>
  </si>
  <si>
    <t>CE 57769</t>
  </si>
  <si>
    <t>EQUIPOS DE OFICINA AL 31/12/07</t>
  </si>
  <si>
    <t>EDIFICIO</t>
  </si>
  <si>
    <t>COMPLEJO DEPORTIVO</t>
  </si>
  <si>
    <t>MUEBLES Y EQUIPOS COMPLEJO</t>
  </si>
  <si>
    <t>Perezosas</t>
  </si>
  <si>
    <t>complejo</t>
  </si>
  <si>
    <t>ATRIL</t>
  </si>
  <si>
    <t>COLOR CAE BARNIZADO</t>
  </si>
  <si>
    <t>Durex</t>
  </si>
  <si>
    <t>KV-29FS150 SONY/ complejo</t>
  </si>
  <si>
    <t>MUEBLES Y EQUIPOS COMPLEJO AL 31/12/07</t>
  </si>
  <si>
    <t>EQUIPOS DE COMPUTACIÒN COMPLEJO</t>
  </si>
  <si>
    <t xml:space="preserve"> Epson Lx-300 (Ventanilla)</t>
  </si>
  <si>
    <t>Programas socios complejo</t>
  </si>
  <si>
    <t>Sistema de seguridad</t>
  </si>
  <si>
    <t>equipos, camaras de vigilancia, alarmas,dispositivos</t>
  </si>
  <si>
    <t>CUENTA</t>
  </si>
  <si>
    <t>DEP SEM</t>
  </si>
  <si>
    <t>MUEBLES DE OFICINA</t>
  </si>
  <si>
    <t>Equipo de computacion</t>
  </si>
  <si>
    <t>EQUIPOS DE COMPUTACIÒN</t>
  </si>
  <si>
    <t>Muebles y enseres</t>
  </si>
  <si>
    <t>EQUIPOS DE OFICINA</t>
  </si>
  <si>
    <t>Equipo de Computacion</t>
  </si>
  <si>
    <t>SISTEMA DE SEGURIDAD</t>
  </si>
  <si>
    <t>Anexo No. 2  Depreciación de Activos Fijos de la Cooperativa Mathews Ltda.</t>
  </si>
  <si>
    <t>COOPERATIVA DE AHORRO Y CREDITO "MATHEWS" Ltda.</t>
  </si>
  <si>
    <t>Se dieron de baja:</t>
  </si>
  <si>
    <t>DESCRIPCIÓN</t>
  </si>
  <si>
    <t>TOTAL</t>
  </si>
  <si>
    <t>Anexo No. 1 Requisitos para obtener Préstamos</t>
  </si>
  <si>
    <t>Requisitos Solicitud de Préstamos</t>
  </si>
  <si>
    <t>Ser 
socio</t>
  </si>
  <si>
    <r>
      <t xml:space="preserve">Posee ahorros
 </t>
    </r>
    <r>
      <rPr>
        <b/>
        <sz val="11"/>
        <color indexed="8"/>
        <rFont val="Calibri"/>
        <family val="2"/>
      </rPr>
      <t>&gt;</t>
    </r>
    <r>
      <rPr>
        <b/>
        <sz val="11"/>
        <color indexed="8"/>
        <rFont val="Calibri"/>
        <family val="2"/>
      </rPr>
      <t>33,33% que solicita</t>
    </r>
  </si>
  <si>
    <t>Esta al día 
Compromisos de Cooperativa</t>
  </si>
  <si>
    <t>Información
Personal</t>
  </si>
  <si>
    <t xml:space="preserve">Valor </t>
  </si>
  <si>
    <t>Ahorros y
 Cert. Aportacion</t>
  </si>
  <si>
    <t>Firma
 Solicitante</t>
  </si>
  <si>
    <t>Firma Comisión 
de Crédito</t>
  </si>
  <si>
    <t>Firma 
Gerente</t>
  </si>
  <si>
    <t xml:space="preserve">No. Muestra </t>
  </si>
  <si>
    <t>No. 
De socio</t>
  </si>
  <si>
    <t>TIPO DE 
PRÉSTAMO</t>
  </si>
  <si>
    <t xml:space="preserve"> Valor </t>
  </si>
  <si>
    <t>Requisito
 hasta $3.500,00</t>
  </si>
  <si>
    <t>Motivo</t>
  </si>
  <si>
    <t>ORDINARIO</t>
  </si>
  <si>
    <t>√</t>
  </si>
  <si>
    <t>ok</t>
  </si>
  <si>
    <t>si</t>
  </si>
  <si>
    <t>x</t>
  </si>
  <si>
    <t>Elaborado por:   autoras</t>
  </si>
  <si>
    <t>Anexo No. 3  Muestra para Revisión de Requisitos Comprobantes de Ventas</t>
  </si>
  <si>
    <t>REQUISITOS DEL REGLAMENTO COMPROBANTE DE VENTA (COMPRAS REALIZADAS DE LA COOP.)</t>
  </si>
  <si>
    <t>No.</t>
  </si>
  <si>
    <t>FECHA CE</t>
  </si>
  <si>
    <t>COMP.
EGRESO</t>
  </si>
  <si>
    <t>FECHA COMP VTA</t>
  </si>
  <si>
    <t>RUC</t>
  </si>
  <si>
    <t>Existencia 
Legal</t>
  </si>
  <si>
    <t># Autorización</t>
  </si>
  <si>
    <t>FACTURA- NOTA DE VENTA</t>
  </si>
  <si>
    <t>NOTAS DE CREDITO</t>
  </si>
  <si>
    <t>LIQUIDACION DE COMPRA</t>
  </si>
  <si>
    <t>CONCEPTO</t>
  </si>
  <si>
    <t>COD RET</t>
  </si>
  <si>
    <t>COD IVA</t>
  </si>
  <si>
    <t>FECHA DE CADUCIDAD</t>
  </si>
  <si>
    <t>DATOS DE IMPRENTA</t>
  </si>
  <si>
    <t>NUMERO</t>
  </si>
  <si>
    <t>SERIE</t>
  </si>
  <si>
    <t>SECUENCIAL</t>
  </si>
  <si>
    <t>SEC</t>
  </si>
  <si>
    <t>0922452909001</t>
  </si>
  <si>
    <t>SI</t>
  </si>
  <si>
    <t>1105829410</t>
  </si>
  <si>
    <t>001</t>
  </si>
  <si>
    <t>0000163</t>
  </si>
  <si>
    <t>recarga de cartuchos</t>
  </si>
  <si>
    <t>OK</t>
  </si>
  <si>
    <t>0904466166</t>
  </si>
  <si>
    <t>1105699641</t>
  </si>
  <si>
    <t>001008</t>
  </si>
  <si>
    <t>Reparación de Baños</t>
  </si>
  <si>
    <t>0992122935001</t>
  </si>
  <si>
    <t>1106265203</t>
  </si>
  <si>
    <t>0372552</t>
  </si>
  <si>
    <t>internet</t>
  </si>
  <si>
    <t>0990808171001</t>
  </si>
  <si>
    <t>1106341510</t>
  </si>
  <si>
    <t>007516</t>
  </si>
  <si>
    <t xml:space="preserve">publicida de bingos/radio y television </t>
  </si>
  <si>
    <t>1791256115001</t>
  </si>
  <si>
    <t>1106177869</t>
  </si>
  <si>
    <t>190</t>
  </si>
  <si>
    <t>2898881</t>
  </si>
  <si>
    <t>otecel</t>
  </si>
  <si>
    <t>2899830</t>
  </si>
  <si>
    <t>2901346</t>
  </si>
  <si>
    <t>2901130</t>
  </si>
  <si>
    <t>2900611</t>
  </si>
  <si>
    <t>2898490</t>
  </si>
  <si>
    <t>2899153</t>
  </si>
  <si>
    <t>0904354081001</t>
  </si>
  <si>
    <t>1106085753</t>
  </si>
  <si>
    <t>0001203</t>
  </si>
  <si>
    <t xml:space="preserve">inprecin de tablas de bingos </t>
  </si>
  <si>
    <t>1790403343001</t>
  </si>
  <si>
    <t>1106209295</t>
  </si>
  <si>
    <t>002</t>
  </si>
  <si>
    <t>0039388</t>
  </si>
  <si>
    <t xml:space="preserve">servicio monitores </t>
  </si>
  <si>
    <t>0991477292001</t>
  </si>
  <si>
    <t>1106379142</t>
  </si>
  <si>
    <t>0013870</t>
  </si>
  <si>
    <t>suministros</t>
  </si>
  <si>
    <t>0991432248001</t>
  </si>
  <si>
    <t>1105441427</t>
  </si>
  <si>
    <t>0003932</t>
  </si>
  <si>
    <t xml:space="preserve"> compras de los regalos del bingo        </t>
  </si>
  <si>
    <t>1105441428</t>
  </si>
  <si>
    <t>0012945</t>
  </si>
  <si>
    <t>compras de regalos del bingo</t>
  </si>
  <si>
    <t>1105441429</t>
  </si>
  <si>
    <t>0152938</t>
  </si>
  <si>
    <t>compras de los regalos del bingo</t>
  </si>
  <si>
    <t>1106256185</t>
  </si>
  <si>
    <t>003</t>
  </si>
  <si>
    <t>0032853</t>
  </si>
  <si>
    <t>compra de regalos del bingo</t>
  </si>
  <si>
    <t>1106256186</t>
  </si>
  <si>
    <t>0032855</t>
  </si>
  <si>
    <t>conpras de regalos del bingo</t>
  </si>
  <si>
    <t>0909923179001</t>
  </si>
  <si>
    <t>1106304833</t>
  </si>
  <si>
    <t>0000076</t>
  </si>
  <si>
    <t>mantenimiento de copmplejo</t>
  </si>
  <si>
    <t>0990005923001</t>
  </si>
  <si>
    <t>1106227699</t>
  </si>
  <si>
    <t>0024680</t>
  </si>
  <si>
    <t xml:space="preserve">compra auto para bingo </t>
  </si>
  <si>
    <t>0990179085001</t>
  </si>
  <si>
    <t>1105366377</t>
  </si>
  <si>
    <t>013</t>
  </si>
  <si>
    <t>0212692</t>
  </si>
  <si>
    <t xml:space="preserve">compra de archivadores ideal </t>
  </si>
  <si>
    <t>1792162068001</t>
  </si>
  <si>
    <t>1108357768</t>
  </si>
  <si>
    <t>077</t>
  </si>
  <si>
    <t>0168880</t>
  </si>
  <si>
    <t>teléfono</t>
  </si>
  <si>
    <t>0992316284001</t>
  </si>
  <si>
    <t>1106245600</t>
  </si>
  <si>
    <t>1033092</t>
  </si>
  <si>
    <t>luz</t>
  </si>
  <si>
    <t>0853076</t>
  </si>
  <si>
    <t>luz complejo</t>
  </si>
  <si>
    <t>1201231568001</t>
  </si>
  <si>
    <t>1105628528</t>
  </si>
  <si>
    <t>000109</t>
  </si>
  <si>
    <t>liquidar ant alquiler disjoker bigo</t>
  </si>
  <si>
    <t>0090011214001</t>
  </si>
  <si>
    <t>1105254416</t>
  </si>
  <si>
    <t>044</t>
  </si>
  <si>
    <t>0000310</t>
  </si>
  <si>
    <t xml:space="preserve">diferencia en comp de camisetas </t>
  </si>
  <si>
    <t>0912873544001</t>
  </si>
  <si>
    <t>1106440979</t>
  </si>
  <si>
    <t>0008560</t>
  </si>
  <si>
    <t>alquiler de carpas y sillas</t>
  </si>
  <si>
    <t>313-329</t>
  </si>
  <si>
    <t>503-523</t>
  </si>
  <si>
    <t>0991468587001</t>
  </si>
  <si>
    <t>1105290977</t>
  </si>
  <si>
    <t>0014311</t>
  </si>
  <si>
    <t xml:space="preserve">mantenimiento de 3 impresoras </t>
  </si>
  <si>
    <t>0990320160001</t>
  </si>
  <si>
    <t>0001009</t>
  </si>
  <si>
    <t>30 fotos bingos</t>
  </si>
  <si>
    <t>0008598</t>
  </si>
  <si>
    <t xml:space="preserve">alquiler de sillas plasticas bingo </t>
  </si>
  <si>
    <t>0905304176001</t>
  </si>
  <si>
    <t>1106094070</t>
  </si>
  <si>
    <t>0013155</t>
  </si>
  <si>
    <t xml:space="preserve">compras de impresorasfact </t>
  </si>
  <si>
    <t>1201732318001</t>
  </si>
  <si>
    <t>1106218063</t>
  </si>
  <si>
    <t>0042782</t>
  </si>
  <si>
    <t>compras de colas y cervezas para el bingo</t>
  </si>
  <si>
    <t>0001010</t>
  </si>
  <si>
    <t xml:space="preserve">trasporte viaje a cantones </t>
  </si>
  <si>
    <t>0991421343001</t>
  </si>
  <si>
    <t>1106444260</t>
  </si>
  <si>
    <t>0333985</t>
  </si>
  <si>
    <t>paquetes bolos agua bingo</t>
  </si>
  <si>
    <t>0991368604001</t>
  </si>
  <si>
    <t>1105702061</t>
  </si>
  <si>
    <t>008</t>
  </si>
  <si>
    <t>0168665</t>
  </si>
  <si>
    <t>comida personal administrativo</t>
  </si>
  <si>
    <t>513-533</t>
  </si>
  <si>
    <t>0992155825001</t>
  </si>
  <si>
    <t>1106190224</t>
  </si>
  <si>
    <t>0125639</t>
  </si>
  <si>
    <t>pavos</t>
  </si>
  <si>
    <t>1105758408</t>
  </si>
  <si>
    <t>0012046</t>
  </si>
  <si>
    <t xml:space="preserve">registrar notas de creditos </t>
  </si>
  <si>
    <t>0125283</t>
  </si>
  <si>
    <t>0012043</t>
  </si>
  <si>
    <t>0125037</t>
  </si>
  <si>
    <t>0012041</t>
  </si>
  <si>
    <t>0125886</t>
  </si>
  <si>
    <t>0012048</t>
  </si>
  <si>
    <t>0126247</t>
  </si>
  <si>
    <t>0012050</t>
  </si>
  <si>
    <t>0126369</t>
  </si>
  <si>
    <t>0012052</t>
  </si>
  <si>
    <t>0126727</t>
  </si>
  <si>
    <t>0012054</t>
  </si>
  <si>
    <t>0126984</t>
  </si>
  <si>
    <t>0012055</t>
  </si>
  <si>
    <t>0127326</t>
  </si>
  <si>
    <t>0012058</t>
  </si>
  <si>
    <t>0128850</t>
  </si>
  <si>
    <t>0012065</t>
  </si>
  <si>
    <t>0128318</t>
  </si>
  <si>
    <t>0012066</t>
  </si>
  <si>
    <t>0128182</t>
  </si>
  <si>
    <t>0012064</t>
  </si>
  <si>
    <t>0128060</t>
  </si>
  <si>
    <t>0012062</t>
  </si>
  <si>
    <t>0127905</t>
  </si>
  <si>
    <t>0012060</t>
  </si>
  <si>
    <t>0127750</t>
  </si>
  <si>
    <t>0012082</t>
  </si>
  <si>
    <t>0127550</t>
  </si>
  <si>
    <t>0012056</t>
  </si>
  <si>
    <t>0013985</t>
  </si>
  <si>
    <t>compras de suministros fact</t>
  </si>
  <si>
    <t>1106005290</t>
  </si>
  <si>
    <t>0004093</t>
  </si>
  <si>
    <t xml:space="preserve">imprecion de 3 blocks de comprobantes </t>
  </si>
  <si>
    <t>0990551731001</t>
  </si>
  <si>
    <t>1105822629</t>
  </si>
  <si>
    <t>117463</t>
  </si>
  <si>
    <t>panes de pascua</t>
  </si>
  <si>
    <t>0014427</t>
  </si>
  <si>
    <t xml:space="preserve">compras de impresoras fact </t>
  </si>
  <si>
    <t>0992153563001</t>
  </si>
  <si>
    <t>1105447316</t>
  </si>
  <si>
    <t>004</t>
  </si>
  <si>
    <t>3703138</t>
  </si>
  <si>
    <t>pago del agua</t>
  </si>
  <si>
    <t>0001011</t>
  </si>
  <si>
    <t xml:space="preserve">liquidacion ayuda social </t>
  </si>
  <si>
    <t>0001012</t>
  </si>
  <si>
    <t xml:space="preserve">Mantenimiento de Baños </t>
  </si>
  <si>
    <t>0001013</t>
  </si>
  <si>
    <t xml:space="preserve">liquides pago  sec acministracion </t>
  </si>
  <si>
    <t>0990008604001</t>
  </si>
  <si>
    <t>1105654130</t>
  </si>
  <si>
    <t>047</t>
  </si>
  <si>
    <t>0015014</t>
  </si>
  <si>
    <t>compra de refrijeradora</t>
  </si>
  <si>
    <t>0001015</t>
  </si>
  <si>
    <t xml:space="preserve">refrigerios curso de coperativismo y asamblea </t>
  </si>
  <si>
    <t>0917377665001</t>
  </si>
  <si>
    <t>1105824232</t>
  </si>
  <si>
    <t>0000472</t>
  </si>
  <si>
    <t xml:space="preserve">mantenimiento del sistema </t>
  </si>
  <si>
    <t>0001018</t>
  </si>
  <si>
    <t>0001016</t>
  </si>
  <si>
    <t>intalacion de ceramica y compra sacos bonder</t>
  </si>
  <si>
    <t>0128195</t>
  </si>
  <si>
    <t>pollos</t>
  </si>
  <si>
    <t>0130931</t>
  </si>
  <si>
    <t>1200973194001</t>
  </si>
  <si>
    <t>1106505802</t>
  </si>
  <si>
    <t>0000022</t>
  </si>
  <si>
    <t>liquidacion organisacion de eventos navideños</t>
  </si>
  <si>
    <t>0990004196001</t>
  </si>
  <si>
    <t>1105403885</t>
  </si>
  <si>
    <t>076</t>
  </si>
  <si>
    <t>048</t>
  </si>
  <si>
    <t>0060378</t>
  </si>
  <si>
    <t xml:space="preserve">compras de varias intalaciones ceramica </t>
  </si>
  <si>
    <t>1106499309</t>
  </si>
  <si>
    <t>0001477</t>
  </si>
  <si>
    <t xml:space="preserve">Mantenimiento y Reparaciones </t>
  </si>
  <si>
    <r>
      <rPr>
        <b/>
        <sz val="11"/>
        <color indexed="8"/>
        <rFont val="Arial"/>
        <family val="2"/>
      </rPr>
      <t>Elaborado Por:</t>
    </r>
    <r>
      <rPr>
        <sz val="11"/>
        <color indexed="8"/>
        <rFont val="Arial"/>
        <family val="2"/>
      </rPr>
      <t xml:space="preserve"> Las Autoras</t>
    </r>
  </si>
  <si>
    <t>0001471</t>
  </si>
  <si>
    <t>Falta Firma</t>
  </si>
  <si>
    <t>0001474</t>
  </si>
  <si>
    <t>001476</t>
  </si>
  <si>
    <t>1106126361</t>
  </si>
  <si>
    <t>001475</t>
  </si>
  <si>
    <t>0001470</t>
  </si>
  <si>
    <t>0001478</t>
  </si>
  <si>
    <t>0001467</t>
  </si>
  <si>
    <t>0001469</t>
  </si>
  <si>
    <t>0001468</t>
  </si>
  <si>
    <t>0001460</t>
  </si>
  <si>
    <t>0001466</t>
  </si>
  <si>
    <t>0001465</t>
  </si>
  <si>
    <t>0001462</t>
  </si>
  <si>
    <t>1106499308</t>
  </si>
  <si>
    <t>0001459</t>
  </si>
  <si>
    <t>0001451</t>
  </si>
  <si>
    <t>0001453</t>
  </si>
  <si>
    <t>0001454</t>
  </si>
  <si>
    <t>0001452</t>
  </si>
  <si>
    <t>0001455</t>
  </si>
  <si>
    <t>0001456</t>
  </si>
  <si>
    <t>0001457</t>
  </si>
  <si>
    <t>0001458</t>
  </si>
  <si>
    <t>001449</t>
  </si>
  <si>
    <t>001448</t>
  </si>
  <si>
    <t>001447</t>
  </si>
  <si>
    <t>001446</t>
  </si>
  <si>
    <t>001445</t>
  </si>
  <si>
    <t>001444</t>
  </si>
  <si>
    <t>001441</t>
  </si>
  <si>
    <t>001442</t>
  </si>
  <si>
    <t>001443</t>
  </si>
  <si>
    <t>0001472</t>
  </si>
  <si>
    <t>001440</t>
  </si>
  <si>
    <t>001438</t>
  </si>
  <si>
    <t>001436</t>
  </si>
  <si>
    <t>001437</t>
  </si>
  <si>
    <t>001433</t>
  </si>
  <si>
    <t>001432</t>
  </si>
  <si>
    <t>001430</t>
  </si>
  <si>
    <t>001429</t>
  </si>
  <si>
    <t>No se hizo 
retención
 Asumió la Coop.</t>
  </si>
  <si>
    <t>001427</t>
  </si>
  <si>
    <t>001425</t>
  </si>
  <si>
    <t>001424</t>
  </si>
  <si>
    <t>001419</t>
  </si>
  <si>
    <t>001420</t>
  </si>
  <si>
    <t>001418</t>
  </si>
  <si>
    <t>001414</t>
  </si>
  <si>
    <t>001416</t>
  </si>
  <si>
    <t>001415</t>
  </si>
  <si>
    <t>001423</t>
  </si>
  <si>
    <t>001421</t>
  </si>
  <si>
    <t>001413</t>
  </si>
  <si>
    <t>001411</t>
  </si>
  <si>
    <t>001410</t>
  </si>
  <si>
    <t>001408</t>
  </si>
  <si>
    <t>001407</t>
  </si>
  <si>
    <t>001406</t>
  </si>
  <si>
    <t>001404</t>
  </si>
  <si>
    <t>001409</t>
  </si>
  <si>
    <t>001403</t>
  </si>
  <si>
    <t>001402</t>
  </si>
  <si>
    <t>001401</t>
  </si>
  <si>
    <t>001399</t>
  </si>
  <si>
    <t>AUTORIZACION</t>
  </si>
  <si>
    <t>FECHA</t>
  </si>
  <si>
    <t>Requisitos 
de Llenado</t>
  </si>
  <si>
    <t>COD RET IVA</t>
  </si>
  <si>
    <t>TOTAL RETENCION</t>
  </si>
  <si>
    <t>Retención IVA</t>
  </si>
  <si>
    <t>RETENCION 15%</t>
  </si>
  <si>
    <t>Retención Imp. Renta</t>
  </si>
  <si>
    <t>COMPROBANTE RETENCION</t>
  </si>
  <si>
    <t>SUBTOTAL</t>
  </si>
  <si>
    <t>IVA 12%</t>
  </si>
  <si>
    <t>BASE 0</t>
  </si>
  <si>
    <t>BASE 12</t>
  </si>
  <si>
    <t>BASE RETENCION</t>
  </si>
  <si>
    <t>COMPROBANTE DE EGRESO</t>
  </si>
  <si>
    <t>REQUISITOS REGLAMENTO COMPROBANTES DE RETENCCION</t>
  </si>
  <si>
    <t>Anexo No. 4  Muestra para Revisión de Requisitos Comprobantes de Retención</t>
  </si>
  <si>
    <t>Anexo No. 5  Revisión de Requisitos de Comprobantes de Ventas y Retención de Honorarios Profesionales</t>
  </si>
  <si>
    <t>6319     HONORARIOS A PROFESIONALES</t>
  </si>
  <si>
    <t>Valor en libros:</t>
  </si>
  <si>
    <t>Valor según Auditoría:</t>
  </si>
  <si>
    <t>Fecha</t>
  </si>
  <si>
    <t>Comprob. de Egreso</t>
  </si>
  <si>
    <t>BASE
 RETENCIÒN</t>
  </si>
  <si>
    <t>IVA 
TARIFA 12%</t>
  </si>
  <si>
    <t>RETENCION
 8%</t>
  </si>
  <si>
    <t>RET. IVA 
100%</t>
  </si>
  <si>
    <t>Total a
 pagar</t>
  </si>
  <si>
    <t>N° 
RETENCION</t>
  </si>
  <si>
    <t xml:space="preserve">Autorización </t>
  </si>
  <si>
    <t>Ruc</t>
  </si>
  <si>
    <t>Nombre - Emisor</t>
  </si>
  <si>
    <t>Nombre - Documento</t>
  </si>
  <si>
    <t>Numeración Fact.</t>
  </si>
  <si>
    <t>Dirección Matriz Emisor</t>
  </si>
  <si>
    <t xml:space="preserve">Fecha
 caducidad </t>
  </si>
  <si>
    <t>Datos de la Imprenta</t>
  </si>
  <si>
    <t>Destinatarios
 ejemplares</t>
  </si>
  <si>
    <t>Autorización imprenta</t>
  </si>
  <si>
    <t>Nombre</t>
  </si>
  <si>
    <t>Fiscalización Obras Complejo</t>
  </si>
  <si>
    <t>FA</t>
  </si>
  <si>
    <t>002-001-0000001</t>
  </si>
  <si>
    <t>HONORARIOS AUDITORIA EEFF 2007</t>
  </si>
  <si>
    <t>Anexo No. 6  Revisión de Requisitos de Comprobantes de Ventas y Retención de los Servicios Básicos</t>
  </si>
  <si>
    <t>6201     AGUA COMPLEJO</t>
  </si>
  <si>
    <t>Comprobante de Egreso</t>
  </si>
  <si>
    <t>BASE 
RETENCIÒN</t>
  </si>
  <si>
    <t>RETENCION
%</t>
  </si>
  <si>
    <t>VALOR
RETENCION</t>
  </si>
  <si>
    <t>N°
RETENCION</t>
  </si>
  <si>
    <t>Datos de 
la Imprenta</t>
  </si>
  <si>
    <t>% de Retención</t>
  </si>
  <si>
    <t>Agua Potable Complejo</t>
  </si>
  <si>
    <t>003-004-1122108</t>
  </si>
  <si>
    <t>Agua Complejo</t>
  </si>
  <si>
    <t>003-004-1515093</t>
  </si>
  <si>
    <t>Interagua</t>
  </si>
  <si>
    <t>003-004-0251417</t>
  </si>
  <si>
    <t>INTERAGUA</t>
  </si>
  <si>
    <t>AGUA COMPLEJO</t>
  </si>
  <si>
    <t>agua</t>
  </si>
  <si>
    <t>agua complejo</t>
  </si>
  <si>
    <t>Intergua</t>
  </si>
  <si>
    <t>003-004-0625429</t>
  </si>
  <si>
    <t>6202     LUZ COMPLEJO</t>
  </si>
  <si>
    <t>BASE
RETENCIÒN</t>
  </si>
  <si>
    <t>IVA 
ARIFA 12%</t>
  </si>
  <si>
    <t>Retención
IR %</t>
  </si>
  <si>
    <t>Destinatarios y ejemplares</t>
  </si>
  <si>
    <t>Energía eléctrica complejo</t>
  </si>
  <si>
    <t>002-001-1248065</t>
  </si>
  <si>
    <t>Energía</t>
  </si>
  <si>
    <t>002-001-1424419</t>
  </si>
  <si>
    <t>Energía Eléctrica</t>
  </si>
  <si>
    <t>002-001-1924818</t>
  </si>
  <si>
    <t>002-001-2426224</t>
  </si>
  <si>
    <t>ENERGÌA ELECTRICA COMPLEJO</t>
  </si>
  <si>
    <t>ENERGIA ELECTRICA COMPLEJO</t>
  </si>
  <si>
    <t>ENERGIA COMPLEJO</t>
  </si>
  <si>
    <t>LA CATEG-COMPLEJO</t>
  </si>
  <si>
    <t>PROVISION ENERGIA ELECTRICA</t>
  </si>
  <si>
    <t>energia electrica</t>
  </si>
  <si>
    <t>-</t>
  </si>
  <si>
    <t>No se entrego a tiempo</t>
  </si>
  <si>
    <t>6212     TELEFONO COMPLEJO</t>
  </si>
  <si>
    <t>Destinatarios
ejemplares</t>
  </si>
  <si>
    <t>Pacifictel</t>
  </si>
  <si>
    <t>001-004-7413695</t>
  </si>
  <si>
    <t>001-004-7804408</t>
  </si>
  <si>
    <t>001-004-8506413</t>
  </si>
  <si>
    <t>PAGO PACIFICTEL</t>
  </si>
  <si>
    <t>PACIFICTEL</t>
  </si>
  <si>
    <t>pacifictel</t>
  </si>
  <si>
    <t>Codigo</t>
  </si>
  <si>
    <t>Cuenta:</t>
  </si>
  <si>
    <t>ENERGIA Y AGUA</t>
  </si>
  <si>
    <t>COMPROBANTE EGRESO</t>
  </si>
  <si>
    <t>BASE RETENCIÒN</t>
  </si>
  <si>
    <t>valor iva</t>
  </si>
  <si>
    <t xml:space="preserve">TOTAL </t>
  </si>
  <si>
    <t>valor Retención IR</t>
  </si>
  <si>
    <t>N° RETENCION</t>
  </si>
  <si>
    <t>Autoriz comp. Ret</t>
  </si>
  <si>
    <t>Nombres - Emisor</t>
  </si>
  <si>
    <t xml:space="preserve">Nombre de Doct. </t>
  </si>
  <si>
    <t>Numero de Comp- Vta.</t>
  </si>
  <si>
    <t>Direccion Matriz Emisor</t>
  </si>
  <si>
    <t>Fecha de caducidad F/</t>
  </si>
  <si>
    <t>Datos  imprenta  Autorizacion, RUC,Nombre</t>
  </si>
  <si>
    <t>002-001-1749099</t>
  </si>
  <si>
    <t>Luz</t>
  </si>
  <si>
    <t>002-001-2250003</t>
  </si>
  <si>
    <t>002-001-2755380</t>
  </si>
  <si>
    <t>002-001-2935648</t>
  </si>
  <si>
    <t>ENERGIA ELECTRICA</t>
  </si>
  <si>
    <t>002-001-3456163</t>
  </si>
  <si>
    <t>PAGO LUZ</t>
  </si>
  <si>
    <t>002-001-3973934</t>
  </si>
  <si>
    <t>LA CATEG-OFICINA</t>
  </si>
  <si>
    <t>002-001-4492764</t>
  </si>
  <si>
    <t>LUZ OFICINA</t>
  </si>
  <si>
    <t>002-001-5013022</t>
  </si>
  <si>
    <t>ENERGIA DE OFICINA</t>
  </si>
  <si>
    <t>002-001-5538110</t>
  </si>
  <si>
    <t>002-001-6064070</t>
  </si>
  <si>
    <t>luz oficina</t>
  </si>
  <si>
    <t>CATEG</t>
  </si>
  <si>
    <t>002-001-503659</t>
  </si>
  <si>
    <t>002-001-39791</t>
  </si>
  <si>
    <t>CORREOS Y TELEFONOS</t>
  </si>
  <si>
    <t>total</t>
  </si>
  <si>
    <t>Fecha de
caduciidad</t>
  </si>
  <si>
    <t>los destinatarios originales y copias</t>
  </si>
  <si>
    <t>001-004-6410035</t>
  </si>
  <si>
    <t>001-004-6316195</t>
  </si>
  <si>
    <t>Telefonía Pacifictel</t>
  </si>
  <si>
    <t>001-004-7897628</t>
  </si>
  <si>
    <t>001-004-8412962</t>
  </si>
  <si>
    <t>PACIICTEL -OFICINA</t>
  </si>
  <si>
    <t>TELEFONO</t>
  </si>
  <si>
    <t xml:space="preserve">TELEFONO </t>
  </si>
  <si>
    <t>PACIFICTEL OFICINA</t>
  </si>
  <si>
    <t>telefono oficina</t>
  </si>
  <si>
    <t>LUZ COMPLEJO</t>
  </si>
  <si>
    <t>TELEFONO COMPLEJO</t>
  </si>
  <si>
    <t>Anexo No. 7 Revisión de Requisitos de Comprobantes de Ventas y Retención de Manenimiento y Reparaciones</t>
  </si>
  <si>
    <t>6203     MANTENIMIENTO DE PISCINAS</t>
  </si>
  <si>
    <t>6209     MANT. Y ADECUACIONES-COMPLEJO</t>
  </si>
  <si>
    <t>IVA TARIFA
 12%</t>
  </si>
  <si>
    <t>RETENCION 
1%</t>
  </si>
  <si>
    <t>RETENCION
 2%</t>
  </si>
  <si>
    <t>RET. IVA
70%</t>
  </si>
  <si>
    <t>Datos de la
 Imprenta</t>
  </si>
  <si>
    <t>MANTENIMIENTO complejo, piscinas etc</t>
  </si>
  <si>
    <t>MANTERIALES PARA MANTENIMIENTO COMPLEJO</t>
  </si>
  <si>
    <t>mantenimiento complejo</t>
  </si>
  <si>
    <t>Gastos Varios complejos</t>
  </si>
  <si>
    <t>076-43-0027446</t>
  </si>
  <si>
    <t>Manternimiento piscinas, Mant. Complejo, digitación sistemas, salvavidas</t>
  </si>
  <si>
    <t>001-001-0000054</t>
  </si>
  <si>
    <t>Mant. Complejo Materiales eléctricos</t>
  </si>
  <si>
    <t>001-001-0000670</t>
  </si>
  <si>
    <t>Arreglos Complejo</t>
  </si>
  <si>
    <t>LIQ COMP</t>
  </si>
  <si>
    <t>001-001-0000866</t>
  </si>
  <si>
    <t>Arreglo tobogán</t>
  </si>
  <si>
    <t>001-001-0000888</t>
  </si>
  <si>
    <t>PINTURA COMPLEJO</t>
  </si>
  <si>
    <t>TECHO PARA EL COMPLEJO</t>
  </si>
  <si>
    <t>No se entregó a tiempo</t>
  </si>
  <si>
    <t>TRABAKOS EN EL COMPLEJO</t>
  </si>
  <si>
    <t>M. O PINTAR COMPLEJO</t>
  </si>
  <si>
    <t>ARRELOS DE LUZ Y ADECUACION ALMACENAR SILLAS</t>
  </si>
  <si>
    <t>MANT. DE OFICINA Y ADECAUCIONES</t>
  </si>
  <si>
    <t>Subtotal</t>
  </si>
  <si>
    <t>Ret. Iva %</t>
  </si>
  <si>
    <t>VALOR RET. IVA 100%</t>
  </si>
  <si>
    <t>Fecha de caduciidad</t>
  </si>
  <si>
    <t>Mant. Adecuaciones</t>
  </si>
  <si>
    <t>liq comp</t>
  </si>
  <si>
    <t>REPARACION Y CAMBIO PLANCHAS DE YESO OFICINA</t>
  </si>
  <si>
    <t>MANTENIMIENTO DE MUEBLES Y EQUIPOS</t>
  </si>
  <si>
    <t>Total</t>
  </si>
  <si>
    <t>mantenimiento aire acondicionado</t>
  </si>
  <si>
    <t>FACTURA</t>
  </si>
  <si>
    <t>MANTENIMIENTO DE COPIADORA</t>
  </si>
  <si>
    <t>MANTENIMIENTO DE EQUIPOS</t>
  </si>
  <si>
    <t>MANTENIMIENTO IMORESORA</t>
  </si>
  <si>
    <t>MANTENIMIENTO DE COMPUTADOR</t>
  </si>
  <si>
    <t>LIQ.EN COMPRA</t>
  </si>
  <si>
    <t>mant. Rep.comp. piezas copiadora</t>
  </si>
  <si>
    <t>MANTENIMIENTO DE PISCINAS</t>
  </si>
  <si>
    <t>MANT. Y ADECUACIONES-COMPLEJO</t>
  </si>
  <si>
    <t>Anexo No. 8 Revisión de Requisitos de Comprobantes de Ventas y Retención de Publicidad y Propaganda</t>
  </si>
  <si>
    <t>PUBLICIDAD Y PROPAGANDA</t>
  </si>
  <si>
    <t>Espacio Publicitario</t>
  </si>
  <si>
    <t>001-001-062597</t>
  </si>
  <si>
    <t>001-001-007516</t>
  </si>
  <si>
    <t>elaboraciòn de pancartas</t>
  </si>
  <si>
    <t>LIQUIDACION</t>
  </si>
  <si>
    <t>001-001-0000855</t>
  </si>
  <si>
    <t>POR COMPRA DE UN PORTABANNER</t>
  </si>
  <si>
    <t>001-001-0000857</t>
  </si>
  <si>
    <t>ANEXO 9. REVISION DE REQUISITOS DE COMPROBANTES DE VENTA Y RETENCION DE SUMINISTROS DE OFICINA</t>
  </si>
  <si>
    <t xml:space="preserve"> SUMINISTROS DIVERSOS DE OFICINA</t>
  </si>
  <si>
    <t>Suministros de oficina</t>
  </si>
  <si>
    <t>001-001-000440</t>
  </si>
  <si>
    <t>SUMINISTROS- BLOCK DE COMPROBANTES</t>
  </si>
  <si>
    <t>SUMINISTROS DE OFICINA</t>
  </si>
  <si>
    <t>POR SUMINISTROS</t>
  </si>
  <si>
    <t>suministros de oficina</t>
  </si>
  <si>
    <t>n/c suministros trocarsa fact 13544</t>
  </si>
  <si>
    <t xml:space="preserve">   09/12/2008</t>
  </si>
  <si>
    <t>01-001-000425</t>
  </si>
  <si>
    <t>Suminitros de oficina</t>
  </si>
  <si>
    <t>001-001-000430</t>
  </si>
  <si>
    <t>Tinta, sobres</t>
  </si>
  <si>
    <t>N/V</t>
  </si>
  <si>
    <t>019-004-0321829</t>
  </si>
  <si>
    <t>Sum. Oficina</t>
  </si>
  <si>
    <t>001-001-00433</t>
  </si>
  <si>
    <t>Blocks de Comprobante de Retención</t>
  </si>
  <si>
    <t>001-001-0003651</t>
  </si>
  <si>
    <t>Tarjetas de Control de Ingresos</t>
  </si>
  <si>
    <t>001-001-0000013</t>
  </si>
  <si>
    <t>Kardex para préstamos</t>
  </si>
  <si>
    <t>001-001-0000014</t>
  </si>
  <si>
    <t>Sum Oficina Facturas</t>
  </si>
  <si>
    <t>001-001-0003701</t>
  </si>
  <si>
    <t>Impresión Kardex, hojas de préstamo</t>
  </si>
  <si>
    <t>001-001-0000017</t>
  </si>
  <si>
    <t>Impresión boletos para bingo</t>
  </si>
  <si>
    <t>001-001-0000018</t>
  </si>
  <si>
    <t>Resmas, cinta</t>
  </si>
  <si>
    <t>001-001-000436</t>
  </si>
  <si>
    <t>Impresión tarjetas de control</t>
  </si>
  <si>
    <t>001-001-0000019</t>
  </si>
  <si>
    <t>SUMIMISTROS OFICINA</t>
  </si>
  <si>
    <t>BLOK LETRA DE CAMBIO</t>
  </si>
  <si>
    <t>SUMINITROS DE OFICINA</t>
  </si>
  <si>
    <t>RECARGA DE TONNER</t>
  </si>
  <si>
    <t>IMPRESIÓN DE SOLICITUDES DE PTMOS</t>
  </si>
  <si>
    <t>IMPRESIÓN DE HOJAS PARA LIBRETA</t>
  </si>
  <si>
    <t>IMPRESIÓN BOLETOS BINGO</t>
  </si>
  <si>
    <t>COMPRA TONER</t>
  </si>
  <si>
    <t>COMPRA Y RECARGA DE TONER</t>
  </si>
  <si>
    <t>IMPRESION DE TARJETA</t>
  </si>
  <si>
    <t>compra de toner</t>
  </si>
  <si>
    <t>Anillados</t>
  </si>
  <si>
    <t>001-001-0001928</t>
  </si>
  <si>
    <t>Papel, hojas</t>
  </si>
  <si>
    <t>001-025-0019140</t>
  </si>
  <si>
    <t>CUADERNO</t>
  </si>
  <si>
    <t>recarga de cartucho</t>
  </si>
  <si>
    <t>impresión de solicitudes afiliacion</t>
  </si>
  <si>
    <t>Agenda-Lady</t>
  </si>
  <si>
    <t>007-017-0057483</t>
  </si>
  <si>
    <t>Serpentinas, globos</t>
  </si>
  <si>
    <t>V/V</t>
  </si>
  <si>
    <t>001-008-261319</t>
  </si>
  <si>
    <t>Solic. Préstamos</t>
  </si>
  <si>
    <t>001-001-0000015</t>
  </si>
  <si>
    <t>Sum. Limpieza</t>
  </si>
  <si>
    <t>010-001-0006215</t>
  </si>
  <si>
    <t>DVD+RW</t>
  </si>
  <si>
    <t>COMPRA DE TONNER</t>
  </si>
  <si>
    <t>COMPRA MICROFONO</t>
  </si>
  <si>
    <t>Anexo No. 11  Estado de Resultados Cooperativa Mathews Ltda.</t>
  </si>
  <si>
    <t>Cooperativa de Ahorro y Crédito "MATHEWS &amp; G" Ltda.</t>
  </si>
  <si>
    <t>ESTADO DE RESULTADOS</t>
  </si>
  <si>
    <t>Al 31 de Diciembre del 2008</t>
  </si>
  <si>
    <t>5     CUENTAS DE RESULTADOS ACRREDORES</t>
  </si>
  <si>
    <t>51     CORRIENTES</t>
  </si>
  <si>
    <t>5101     INTERESES POR PRESTAMOS</t>
  </si>
  <si>
    <t>5102     INTERESES EN LIBRETAS DE AHORRO</t>
  </si>
  <si>
    <t>5103     INTERESES EN INVERSION</t>
  </si>
  <si>
    <t>5105     INGRESOS PARA GASTOS ADMINISTRATIVOS</t>
  </si>
  <si>
    <t>5106     OTROS INGRESOS</t>
  </si>
  <si>
    <t>5107     INTERES GANADO EN CUENTA CTE.</t>
  </si>
  <si>
    <t>5108     INTERESES GANADOS EN INVERSIONES</t>
  </si>
  <si>
    <t>5111     MULTAS PERSONAL ADMINISTRATIVO</t>
  </si>
  <si>
    <t>52     INGRESOS DEL COMPLEJO</t>
  </si>
  <si>
    <t>5201     INGRESOS POR MANTENIMIENTO DEL COMPLEJO</t>
  </si>
  <si>
    <t>5202     INGRESOS INVITADOS COMPLEJO</t>
  </si>
  <si>
    <t>5205     INGRESOS POR ALQUILER-EVENTOS</t>
  </si>
  <si>
    <t>5206     OTROS INGRESOS COMPLEJO</t>
  </si>
  <si>
    <t>6     CUENTAS DE RESULTADOS DEUDORAS</t>
  </si>
  <si>
    <t>61     CORRIENTES</t>
  </si>
  <si>
    <t>6101     INTERES EN AHORROS DE SOCIOS</t>
  </si>
  <si>
    <t>6102     INTERES EN CERTIF. APORTACION-SOCIOS</t>
  </si>
  <si>
    <t>6103     INTERES EN CERTIF. APORT. TERRENOS</t>
  </si>
  <si>
    <t>6104     CUENTAS INCOBRABLES</t>
  </si>
  <si>
    <t>6105     GTOS. INTERESES PRESTAMO</t>
  </si>
  <si>
    <t>6106     INCENTIVOS A SOCIOS</t>
  </si>
  <si>
    <t>62     GASTOS DEL COMPLEJO</t>
  </si>
  <si>
    <t>6204     SERVICIO SEGURIDAD PRIVADA COMPLEJO</t>
  </si>
  <si>
    <t>6205     SERVICIOS OCASIONALES COMPLEJO</t>
  </si>
  <si>
    <t>6206     GASTOS DE LIMPIEZA COMPLEJO</t>
  </si>
  <si>
    <t>6207     GASTOS VARIOS-COMPLEJO</t>
  </si>
  <si>
    <t>6208     GASTOS POR EMISION CREDENCIALES COMPLEJO</t>
  </si>
  <si>
    <t>6210     MANTENIMIENTO PROGRAMA COMPLEJO</t>
  </si>
  <si>
    <t>6211     ACTIVIDADES DEPORTIVAS</t>
  </si>
  <si>
    <t>63     GASTOS DEL PERSONAL</t>
  </si>
  <si>
    <t>6301     REMUNERACIONES</t>
  </si>
  <si>
    <t>6304     DECIMOCUARTO SUELDO</t>
  </si>
  <si>
    <t>6306     DECIMOTERCER SUELDO</t>
  </si>
  <si>
    <t>6308     FONDOS DE RESERVA</t>
  </si>
  <si>
    <t>6309     APORTES PATRONAL IESS 12.15%</t>
  </si>
  <si>
    <t>6310     HORAS EXTRAS</t>
  </si>
  <si>
    <t>6312     VACACIONES</t>
  </si>
  <si>
    <t>6313     SERVICIOS OCASIONALES</t>
  </si>
  <si>
    <t>6314     CAPACITACION</t>
  </si>
  <si>
    <t>6315     VIATICOS Y MOVILIZACION</t>
  </si>
  <si>
    <t>6316     SERVICIOS PRESTADOS</t>
  </si>
  <si>
    <t>6317     GASTOS DE REPRESENTACIOM</t>
  </si>
  <si>
    <t>6318     LIQUIDACION EX-EMPLEADOS</t>
  </si>
  <si>
    <t>6321     UNIFORMES</t>
  </si>
  <si>
    <t>6322     BONIFICACION POR DESEMPEÑO DEL PERSONAL</t>
  </si>
  <si>
    <t>6323     VIATICOS A DELEGADOS CANTONALES</t>
  </si>
  <si>
    <t>6324     MOVILIZACIÓN POR TRÁMITE</t>
  </si>
  <si>
    <t>6326     RESPONSABILIDAD</t>
  </si>
  <si>
    <t>6327     COMBUSTIBLE</t>
  </si>
  <si>
    <t>64     CONSEJO DE ADMINISTRACION</t>
  </si>
  <si>
    <t>6401     DIETAS CONSEJO DE ADMINISTRACION</t>
  </si>
  <si>
    <t>6402     VIATICOS CONSEJO DE ADMINISTRACION</t>
  </si>
  <si>
    <t>65     CONSEJO DE VIGILANCIA</t>
  </si>
  <si>
    <t>6501     DIETAS CONSEJO DE VIGILANCIA</t>
  </si>
  <si>
    <t>66     OTRAS COMISIONES</t>
  </si>
  <si>
    <t>6601     DIETAS OTRAS COMISIONES</t>
  </si>
  <si>
    <t>6602     VIATICOS OTRAS COMISIONES</t>
  </si>
  <si>
    <t>67     OTROS GASTOS</t>
  </si>
  <si>
    <t>6701     GASTOS DE ASAMBLEA</t>
  </si>
  <si>
    <t>6703     OTROS EGRESOS EXTRAORDINARIOS</t>
  </si>
  <si>
    <t>6704     BONIFICACION FIN DE AÑO DIRECTIVOS</t>
  </si>
  <si>
    <t>6705     GASTOS POR ELECCIONES</t>
  </si>
  <si>
    <t>68     GASTOS DE OPERACION</t>
  </si>
  <si>
    <t>6801     PUBLICIDAD Y PROPAGANDA</t>
  </si>
  <si>
    <t>6802     SERVICIO DE GUARDIANIA</t>
  </si>
  <si>
    <t>6803     ENERGIA Y AGUA</t>
  </si>
  <si>
    <t>6804     CORREOS Y TELEFONOS</t>
  </si>
  <si>
    <t>6806     GASTOS BANCARIOS</t>
  </si>
  <si>
    <t>6807     SERVICIO DE SEGURIDAD Y VIGILANCIA</t>
  </si>
  <si>
    <t>6808     GASTOS JUDICIALES</t>
  </si>
  <si>
    <t>6810     SUMINISTROS DIVERSOS DE OFICINA</t>
  </si>
  <si>
    <t>6811     MANT. DE OFICINA Y ADECAUCIONES</t>
  </si>
  <si>
    <t>6812     MANTENIMIENTO DE MUEBLES Y EQUIPOS</t>
  </si>
  <si>
    <t>6813     IMPUESTOS Y CONTRIBUCIONES</t>
  </si>
  <si>
    <t>6814     GASTOS FIN DE AÑO</t>
  </si>
  <si>
    <t>6815     MISCELANEOS</t>
  </si>
  <si>
    <t>6817     POLIZA DE FIDELIDAD</t>
  </si>
  <si>
    <t>6818     GASTOS DE DEPRECIACION</t>
  </si>
  <si>
    <t>6819     OTROS GASTOS DE OFICINA</t>
  </si>
  <si>
    <t>6820     REFRIGERIOS</t>
  </si>
  <si>
    <t>6821     INSTALACIONES</t>
  </si>
  <si>
    <t>6822     ACTUALIZACION DE SISTEMAS Y PROGRAMAS</t>
  </si>
  <si>
    <t>6823     GTOS. SERVICIOS DE INTERNET</t>
  </si>
  <si>
    <t>6824     GASTOS POR BAJA DE ACTIVOS</t>
  </si>
  <si>
    <t>6825     ALIMENTACION PERSONAL</t>
  </si>
  <si>
    <t>6826     GASTOS VARIOS ESTADOS DE CUENTA</t>
  </si>
  <si>
    <t>UTILIDAD ANTES DE PARTICIPACIÒN TRABAJADORES</t>
  </si>
  <si>
    <t>15% PARTICIPACIÒN TRABAJADORES</t>
  </si>
  <si>
    <t>UTILIDAD ANTES DE IMPUESTOS</t>
  </si>
  <si>
    <t>25%  OBLIGACIONES POR PAGAR (I R)</t>
  </si>
  <si>
    <t>Sr. Dennis Palacios</t>
  </si>
  <si>
    <t>Econ. Carolina Fajardo</t>
  </si>
  <si>
    <t xml:space="preserve">        PRESIDENTE</t>
  </si>
  <si>
    <t>GERENTE GENERAL</t>
  </si>
  <si>
    <t>C. P.A. Carlota Mejia</t>
  </si>
  <si>
    <t xml:space="preserve"> Ing. Gladis Alvarez</t>
  </si>
  <si>
    <t xml:space="preserve">        CONTADORA                                                </t>
  </si>
  <si>
    <t>PDTA. CONSEJO DE VIGILANCIA</t>
  </si>
  <si>
    <t>Cooperativa de Ahorro y Crédito "Dr. Cornelio Sáenz Vera" Ltda.</t>
  </si>
  <si>
    <t>BALANCE GENERAL</t>
  </si>
  <si>
    <t>30 de Junio del 2008</t>
  </si>
  <si>
    <t>1   ACTIVOS</t>
  </si>
  <si>
    <t>11   FONDOS DISPONIBLES</t>
  </si>
  <si>
    <t>1101   CAJA GENERAL</t>
  </si>
  <si>
    <t>110102   CAJA CHICA</t>
  </si>
  <si>
    <t>1103   BANCOS CUENTAS CORRIENTES</t>
  </si>
  <si>
    <t>110301   BANCO DEL PICHINCHA 600688-6</t>
  </si>
  <si>
    <t>110303   BANCO AMAZONAS</t>
  </si>
  <si>
    <t>110403    PROCREDIT</t>
  </si>
  <si>
    <t>13       INVERSIONES</t>
  </si>
  <si>
    <t>1301   INVERSIONES VARIAS</t>
  </si>
  <si>
    <t>130103   INVERSIONES TEMPORALES</t>
  </si>
  <si>
    <t>14   CARTERA DE CREDITO</t>
  </si>
  <si>
    <t>1401   CARTERA DE CREDITO POR VENCER</t>
  </si>
  <si>
    <t>140101   CREDITO SOBRE FIRMAS (PRESTAMOS)</t>
  </si>
  <si>
    <t>140102   PROVISION CTAS. INCOBRABLES</t>
  </si>
  <si>
    <t>16   EXIGIBLE</t>
  </si>
  <si>
    <t>1601   CUENTAS POR COBRAR EMPLEADOS</t>
  </si>
  <si>
    <t>160108   RAMIREZ ROSADO APOLONIA</t>
  </si>
  <si>
    <t>160113   SORIANO MOREIRA BELEN</t>
  </si>
  <si>
    <t>160114   GOMEZ VISCAINO GONZALO</t>
  </si>
  <si>
    <t>160118   ZAMBRANO WONSANG YUSIANG</t>
  </si>
  <si>
    <t>160120   FERRIN LUNA GRETA</t>
  </si>
  <si>
    <t>160121   ESPINOZA TIGUA KAROL</t>
  </si>
  <si>
    <t>1602   CUENTAS X COBRAR UNIDADES DE SALUD</t>
  </si>
  <si>
    <t>160201   DIRECCION PROV. DE SALUD GUAYAS</t>
  </si>
  <si>
    <t>160202   HOSPITAL DEL NINO</t>
  </si>
  <si>
    <t>160203   HOSPITAL GUAYAQUIL</t>
  </si>
  <si>
    <t>160205   SUBSECRETARIA DE SALUD</t>
  </si>
  <si>
    <t>160206   HOSPITAL MAT. INF. STA. MARIANITA</t>
  </si>
  <si>
    <t>160207   HOSPITAL DE INFECTOLOGIA</t>
  </si>
  <si>
    <t>160208   HOSPITAL LEON BECERRA MILAGRO</t>
  </si>
  <si>
    <t>160209   HOSPITAL ALFREDO VALENZUELA</t>
  </si>
  <si>
    <t>160210   HOSPITAL DE MANGLARALTO</t>
  </si>
  <si>
    <t>160211   HOSPITAL DE PLAYAS</t>
  </si>
  <si>
    <t>160212   HOSPITAL DE LA LIBERTAD</t>
  </si>
  <si>
    <t>160213   HOSPITAL DE EL TRIUNFO</t>
  </si>
  <si>
    <t>160214   HOSPITAL DE BALZAR</t>
  </si>
  <si>
    <t>160215   HOSPITAL DE DAULE</t>
  </si>
  <si>
    <t>160216   HOSPITAL DE URBINA JADO</t>
  </si>
  <si>
    <t>160217   HOSPITAL DE NARANJAL</t>
  </si>
  <si>
    <t>160218   HOSPITAL DE SALINAS</t>
  </si>
  <si>
    <t>160219   HOSPITAL DE NARANJITO</t>
  </si>
  <si>
    <t>160220   HOSP. MAT. INFANTIL DEL GUASMO</t>
  </si>
  <si>
    <t>160221   HOSPITAL DE YAGUACHI</t>
  </si>
  <si>
    <t>160222   SERVICIOS OCASIONALES *FONIN(</t>
  </si>
  <si>
    <t>160224   CENTRO DE SALUD # 3</t>
  </si>
  <si>
    <t>160225   CENTRO DE SALUD # 4</t>
  </si>
  <si>
    <t>160228   CENTRO DE SALUD # 13</t>
  </si>
  <si>
    <t>160229   CENTRO DE SALUD DE DURAN</t>
  </si>
  <si>
    <t>160230   CENTRO DE SALUD DE SAMBORONDON</t>
  </si>
  <si>
    <t>160231   CENTRO DE SALUD SAUCES III</t>
  </si>
  <si>
    <t>160232   CENTRO DE S. METROP. MAPASINGUE</t>
  </si>
  <si>
    <t>160234   CENTRO DE S. SANTIAGO DE GQUIL.</t>
  </si>
  <si>
    <t>160235   CENTRO DE S. MARTHA DE ROLDOS</t>
  </si>
  <si>
    <t>160239   CENTRO DE SALUD FERTIZA</t>
  </si>
  <si>
    <t>160240   CENTRO DE SALUD PEDRO CARBO</t>
  </si>
  <si>
    <t>160241   CENTRO DE SALUD SANTA LUCIA</t>
  </si>
  <si>
    <t>160242   CENTRO DE E. MALARIA</t>
  </si>
  <si>
    <t>160243   CENTRO DE SALUD BASTION POPULAR</t>
  </si>
  <si>
    <t>160244   CENTRO FCO. JACOME</t>
  </si>
  <si>
    <t>160245   CENTRO BAQUERIZO MORENO</t>
  </si>
  <si>
    <t>160246   CENTRO STA. ELENA</t>
  </si>
  <si>
    <t>160247   HOSPITAL EL EMPALME</t>
  </si>
  <si>
    <t>1603   OTRAS CUENTAS POR COBRAR</t>
  </si>
  <si>
    <t>160304   OTRAS CUENTAS POR COBRAR</t>
  </si>
  <si>
    <t>160305   INTERES ACUMULADO POR COBRAR</t>
  </si>
  <si>
    <t>160306   OTROS DEUDORES</t>
  </si>
  <si>
    <t>160307   VALORES ACUMULADOS POR COBRAR</t>
  </si>
  <si>
    <t>1604   QUINCENA</t>
  </si>
  <si>
    <t>160405   RAMIREZ ROSADO APOLONIA</t>
  </si>
  <si>
    <t>160410   SORIANO MOREIRA DAYSI</t>
  </si>
  <si>
    <t>160417   ZAMBRANO WONSANG YUSIANG</t>
  </si>
  <si>
    <t>160419   FERRIN LUNA GRETA</t>
  </si>
  <si>
    <t>160420  ESPINOZA TIGUA KAROL</t>
  </si>
  <si>
    <t>1605    ANTICIPOS</t>
  </si>
  <si>
    <t>160501   ANTICIPOS CONTRACTUALES</t>
  </si>
  <si>
    <t>160502   ANTICIPOS DIETAS CONSEJO Y COMISIONES</t>
  </si>
  <si>
    <t>160505    ANTICIPOS VI'ATICOS</t>
  </si>
  <si>
    <t>18   ACTIVOS FIJOS</t>
  </si>
  <si>
    <t>1801   TERRENOS</t>
  </si>
  <si>
    <t>180101   TERRENOS NO UTILIZADOS POR ENTIDAD</t>
  </si>
  <si>
    <t>180102    OTROS ACTIVOS</t>
  </si>
  <si>
    <t>180103   TERRENOS BRISAS DEL RIO</t>
  </si>
  <si>
    <t>180104   CONSTRUCCIONES EN PROCESO</t>
  </si>
  <si>
    <t>180105    EDIFICIO- COMPLEJO DEPORTIVO</t>
  </si>
  <si>
    <t>1802   BIENES MUEBLES</t>
  </si>
  <si>
    <t>180201   MUEBLES Y EQUIPOS</t>
  </si>
  <si>
    <t>180202   BIBLIOTECA</t>
  </si>
  <si>
    <t>180203   SISTEMA DE SEGURIDAD</t>
  </si>
  <si>
    <t>180204   PROGRAMA SOCIOS COMPLEJO SOCIAL</t>
  </si>
  <si>
    <t>180205   MUEBLES Y EQUIPOS COMPLEJO</t>
  </si>
  <si>
    <t>1803   DEPRECIACIONES</t>
  </si>
  <si>
    <t>180301   DEPREC ACUMULADA MUEBLES Y EQUIPOS</t>
  </si>
  <si>
    <t>180302    DEPRECIACION ACUM. DE MUEBLES Y EQUIPOS COMPLEJO</t>
  </si>
  <si>
    <t>180303    DEPRECIACION ACUMULADA EDIFICIO COMPLEJO</t>
  </si>
  <si>
    <t>19   ACTIVOS DIFERIDOS</t>
  </si>
  <si>
    <t>1901   DIVERSOS ACTIVOS</t>
  </si>
  <si>
    <t>190101   OTROS ACTIVOS</t>
  </si>
  <si>
    <t xml:space="preserve">TOTAL DE ACTIVOS </t>
  </si>
  <si>
    <t>2   PASIVOS</t>
  </si>
  <si>
    <t>24   DEP. DE AHORROS A PLAZO Y GARANTIA</t>
  </si>
  <si>
    <t>2401   LIBRETAS ORDINARIAS DE AHORROS</t>
  </si>
  <si>
    <t>240101   AHORROS</t>
  </si>
  <si>
    <t>240102   RECAUDACIÓN PARA TERRENOS</t>
  </si>
  <si>
    <t>26   CUENTAS POR PAGAR</t>
  </si>
  <si>
    <t>2601   OBLIGACIONES PATRONALES</t>
  </si>
  <si>
    <t>260101   APORTE INDIV IESS 9.35%</t>
  </si>
  <si>
    <t>260102   PARTICIPACION EMPLEADOS EN EXCEDENTES</t>
  </si>
  <si>
    <t>260103   OBLIGACIONES ACUMULADA POR PAGAR</t>
  </si>
  <si>
    <t>260104   DECIMO TERCER SUELDO</t>
  </si>
  <si>
    <t>260105   OTROS ACREEDORES</t>
  </si>
  <si>
    <t>260106   INT.POR PAGAR SOCIOS AHORROS</t>
  </si>
  <si>
    <t>260107   INT.POR PAGAR SOCIOS CERT.APORTAC</t>
  </si>
  <si>
    <t>260108   DECIMO CUARTO SUELDO</t>
  </si>
  <si>
    <t>260109   VACACIONES</t>
  </si>
  <si>
    <t>260110   APORTE PATRONAL</t>
  </si>
  <si>
    <t>260111   FONDOS DE RESERVA</t>
  </si>
  <si>
    <t>260112  CUENTAS POR PAGAR-TERRENOS</t>
  </si>
  <si>
    <t>260113   PRESTAMOS QUIROGRAFARIOS</t>
  </si>
  <si>
    <t>260114   CUENTAS POR PAGAR-CONSTRUCCIÓN</t>
  </si>
  <si>
    <t>2602   RETENCIONES</t>
  </si>
  <si>
    <t>260202   RETENCION EN LA FUENTE</t>
  </si>
  <si>
    <t>260203   RETENCION IVA</t>
  </si>
  <si>
    <t>2608   CUENTAS POR PAGAR VARIAS</t>
  </si>
  <si>
    <t>260801   FONDO PARA FUTURAS CONSTRUCCIONES</t>
  </si>
  <si>
    <t>260803   FONDOS SOLIDARIOS</t>
  </si>
  <si>
    <t>260805   EMPRESAS COMERCIALES-MACROVISIÓN</t>
  </si>
  <si>
    <t>260810    INTERESES POR PAGAR</t>
  </si>
  <si>
    <t>260812   REFORMA ESTATUTOS</t>
  </si>
  <si>
    <t>260813   TOUR</t>
  </si>
  <si>
    <t>260814   TELEFONO CELULAR</t>
  </si>
  <si>
    <t>260815   BINGO</t>
  </si>
  <si>
    <t>260817   SEGURO PRESTAMO</t>
  </si>
  <si>
    <t>260818   JUBILACION</t>
  </si>
  <si>
    <t>260820   RIFA</t>
  </si>
  <si>
    <t>260821   DEPOSITOS POR REGISTRAR</t>
  </si>
  <si>
    <t>260822  MORTUORIA</t>
  </si>
  <si>
    <t>260823   OTRAS CUENTAS POR PAGAR</t>
  </si>
  <si>
    <t>TOTAL DE PASIVOS</t>
  </si>
  <si>
    <t>3   CAPITAL</t>
  </si>
  <si>
    <t>31   CAPITAL SOCIAL</t>
  </si>
  <si>
    <t>3101   CERTIFICADOS DE APORTACION SOCIOS</t>
  </si>
  <si>
    <t>3103   MULTAS</t>
  </si>
  <si>
    <t>3104   CUOTAS DE INSCRIPCION</t>
  </si>
  <si>
    <t>3105   REINVERSION</t>
  </si>
  <si>
    <t>32   RESERVAS</t>
  </si>
  <si>
    <t>3201   RESERVAS DE CAPITAL</t>
  </si>
  <si>
    <t>3202   RESERVA LEGAL</t>
  </si>
  <si>
    <t>3203   RESERVA PREV. ASISTENCIA SOCIAL</t>
  </si>
  <si>
    <t>3204   RESERVA PARA CONTINGENCIAS</t>
  </si>
  <si>
    <t>3205   RESERVA PARA CUENTAS INCOBRABLES</t>
  </si>
  <si>
    <t>3206   RESERVA ESPECIAL PARA EDUCACION</t>
  </si>
  <si>
    <t>3208   RESERVA POR CONSTRUCCION DEL COMPLEJO</t>
  </si>
  <si>
    <t>33   RESULTADOS</t>
  </si>
  <si>
    <t>3302   EXCEDENTES EJERCICIOS ANTERIORES</t>
  </si>
  <si>
    <t>3303    RESULTADO EJERCICIO ACTUAL</t>
  </si>
  <si>
    <t>TOTAL DE PATRIMONIO</t>
  </si>
  <si>
    <t xml:space="preserve">TOTAL DE PASIVO - PATRIMONIO: </t>
  </si>
  <si>
    <t xml:space="preserve">               PRESIDENTE</t>
  </si>
  <si>
    <t xml:space="preserve">                  CONTADORA</t>
  </si>
</sst>
</file>

<file path=xl/styles.xml><?xml version="1.0" encoding="utf-8"?>
<styleSheet xmlns="http://schemas.openxmlformats.org/spreadsheetml/2006/main">
  <numFmts count="4">
    <numFmt numFmtId="164" formatCode="#,##0.00_ ;\-#,##0.00\ "/>
    <numFmt numFmtId="165" formatCode="0.0000%"/>
    <numFmt numFmtId="166" formatCode="[$$-300A]\ #,##0.00"/>
    <numFmt numFmtId="167" formatCode="dd/mm/yyyy;@"/>
  </numFmts>
  <fonts count="57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Verdana"/>
      <family val="2"/>
    </font>
    <font>
      <sz val="12"/>
      <name val="Arial"/>
      <family val="2"/>
    </font>
    <font>
      <b/>
      <sz val="10"/>
      <color indexed="8"/>
      <name val="Calibri"/>
      <family val="2"/>
    </font>
    <font>
      <sz val="10"/>
      <color indexed="8"/>
      <name val="MS Sans Serif"/>
      <family val="2"/>
    </font>
    <font>
      <b/>
      <sz val="10"/>
      <name val="Calibri"/>
      <family val="2"/>
    </font>
    <font>
      <b/>
      <sz val="10"/>
      <color indexed="8"/>
      <name val="MS Sans Serif"/>
      <family val="2"/>
    </font>
    <font>
      <b/>
      <sz val="10"/>
      <name val="Verdana"/>
      <family val="2"/>
    </font>
    <font>
      <sz val="10"/>
      <name val="Calibri"/>
      <family val="2"/>
    </font>
    <font>
      <b/>
      <sz val="10"/>
      <name val="MS Sans Serif"/>
      <family val="2"/>
    </font>
    <font>
      <sz val="10"/>
      <color indexed="8"/>
      <name val="Calibri"/>
      <family val="2"/>
    </font>
    <font>
      <sz val="9"/>
      <color indexed="8"/>
      <name val="Verdana"/>
      <family val="2"/>
    </font>
    <font>
      <sz val="10"/>
      <name val="MS Sans Serif"/>
      <family val="2"/>
    </font>
    <font>
      <sz val="9"/>
      <name val="Verdana"/>
      <family val="2"/>
    </font>
    <font>
      <b/>
      <sz val="12"/>
      <name val="Calibri"/>
      <family val="2"/>
    </font>
    <font>
      <b/>
      <sz val="9"/>
      <name val="Arial"/>
      <family val="2"/>
    </font>
    <font>
      <b/>
      <sz val="11"/>
      <color indexed="8"/>
      <name val="Verdana"/>
      <family val="2"/>
    </font>
    <font>
      <b/>
      <i/>
      <sz val="11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9"/>
      <color indexed="8"/>
      <name val="Verdana"/>
      <family val="2"/>
    </font>
    <font>
      <sz val="9"/>
      <color theme="1"/>
      <name val="Verdana"/>
      <family val="2"/>
    </font>
    <font>
      <b/>
      <sz val="9.85"/>
      <color indexed="8"/>
      <name val="Verdana"/>
      <family val="2"/>
    </font>
    <font>
      <sz val="10"/>
      <color indexed="8"/>
      <name val="Book Antiqua"/>
      <family val="1"/>
    </font>
    <font>
      <b/>
      <i/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sz val="9"/>
      <color indexed="8"/>
      <name val="Book Antiqua"/>
      <family val="1"/>
    </font>
    <font>
      <b/>
      <sz val="8"/>
      <color indexed="81"/>
      <name val="Tahoma"/>
    </font>
    <font>
      <sz val="8"/>
      <color indexed="81"/>
      <name val="Tahoma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6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0" fillId="0" borderId="0" xfId="0" applyBorder="1"/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5" xfId="0" applyBorder="1" applyAlignment="1"/>
    <xf numFmtId="0" fontId="0" fillId="0" borderId="6" xfId="0" applyBorder="1" applyAlignment="1"/>
    <xf numFmtId="2" fontId="0" fillId="0" borderId="6" xfId="0" applyNumberFormat="1" applyBorder="1" applyAlignment="1"/>
    <xf numFmtId="9" fontId="0" fillId="0" borderId="6" xfId="0" applyNumberFormat="1" applyBorder="1" applyAlignment="1"/>
    <xf numFmtId="14" fontId="0" fillId="0" borderId="6" xfId="0" applyNumberFormat="1" applyBorder="1" applyAlignment="1">
      <alignment horizontal="center"/>
    </xf>
    <xf numFmtId="2" fontId="3" fillId="0" borderId="6" xfId="0" applyNumberFormat="1" applyFont="1" applyFill="1" applyBorder="1" applyAlignment="1"/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wrapText="1"/>
    </xf>
    <xf numFmtId="2" fontId="3" fillId="0" borderId="6" xfId="0" applyNumberFormat="1" applyFont="1" applyBorder="1" applyAlignment="1"/>
    <xf numFmtId="2" fontId="0" fillId="0" borderId="7" xfId="0" applyNumberFormat="1" applyBorder="1"/>
    <xf numFmtId="1" fontId="0" fillId="0" borderId="7" xfId="0" applyNumberFormat="1" applyBorder="1"/>
    <xf numFmtId="0" fontId="4" fillId="0" borderId="8" xfId="0" applyFont="1" applyFill="1" applyBorder="1" applyAlignment="1"/>
    <xf numFmtId="0" fontId="0" fillId="0" borderId="7" xfId="0" applyBorder="1" applyAlignment="1"/>
    <xf numFmtId="2" fontId="0" fillId="0" borderId="7" xfId="0" applyNumberFormat="1" applyBorder="1" applyAlignment="1"/>
    <xf numFmtId="9" fontId="3" fillId="0" borderId="7" xfId="0" applyNumberFormat="1" applyFont="1" applyBorder="1" applyAlignment="1"/>
    <xf numFmtId="14" fontId="0" fillId="0" borderId="7" xfId="0" applyNumberFormat="1" applyBorder="1" applyAlignment="1">
      <alignment horizontal="center"/>
    </xf>
    <xf numFmtId="164" fontId="0" fillId="0" borderId="7" xfId="1" applyNumberFormat="1" applyFont="1" applyBorder="1" applyAlignment="1"/>
    <xf numFmtId="2" fontId="3" fillId="0" borderId="7" xfId="0" applyNumberFormat="1" applyFont="1" applyBorder="1" applyAlignment="1"/>
    <xf numFmtId="0" fontId="3" fillId="0" borderId="7" xfId="0" applyFont="1" applyBorder="1" applyAlignment="1">
      <alignment wrapText="1"/>
    </xf>
    <xf numFmtId="9" fontId="0" fillId="0" borderId="7" xfId="0" applyNumberFormat="1" applyBorder="1" applyAlignment="1"/>
    <xf numFmtId="2" fontId="3" fillId="0" borderId="7" xfId="0" applyNumberFormat="1" applyFont="1" applyFill="1" applyBorder="1" applyAlignment="1"/>
    <xf numFmtId="0" fontId="0" fillId="0" borderId="0" xfId="0" applyFill="1"/>
    <xf numFmtId="0" fontId="3" fillId="0" borderId="7" xfId="0" applyFont="1" applyBorder="1" applyAlignment="1"/>
    <xf numFmtId="14" fontId="3" fillId="0" borderId="7" xfId="0" applyNumberFormat="1" applyFont="1" applyBorder="1" applyAlignment="1">
      <alignment horizontal="center"/>
    </xf>
    <xf numFmtId="0" fontId="3" fillId="0" borderId="8" xfId="0" applyFont="1" applyFill="1" applyBorder="1" applyAlignment="1"/>
    <xf numFmtId="2" fontId="3" fillId="0" borderId="7" xfId="1" applyNumberFormat="1" applyFont="1" applyBorder="1" applyAlignment="1"/>
    <xf numFmtId="164" fontId="3" fillId="0" borderId="7" xfId="1" applyNumberFormat="1" applyFont="1" applyBorder="1" applyAlignment="1"/>
    <xf numFmtId="0" fontId="3" fillId="0" borderId="7" xfId="0" applyFont="1" applyFill="1" applyBorder="1" applyAlignment="1"/>
    <xf numFmtId="14" fontId="3" fillId="0" borderId="7" xfId="0" applyNumberFormat="1" applyFont="1" applyFill="1" applyBorder="1" applyAlignment="1">
      <alignment horizontal="center"/>
    </xf>
    <xf numFmtId="9" fontId="3" fillId="0" borderId="7" xfId="0" applyNumberFormat="1" applyFont="1" applyFill="1" applyBorder="1" applyAlignment="1"/>
    <xf numFmtId="2" fontId="0" fillId="0" borderId="7" xfId="0" applyNumberFormat="1" applyFill="1" applyBorder="1" applyAlignment="1"/>
    <xf numFmtId="0" fontId="3" fillId="0" borderId="7" xfId="0" applyFont="1" applyFill="1" applyBorder="1" applyAlignment="1">
      <alignment wrapText="1"/>
    </xf>
    <xf numFmtId="2" fontId="3" fillId="0" borderId="6" xfId="0" applyNumberFormat="1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2" fontId="0" fillId="0" borderId="7" xfId="0" applyNumberFormat="1" applyFill="1" applyBorder="1"/>
    <xf numFmtId="1" fontId="0" fillId="0" borderId="7" xfId="0" applyNumberFormat="1" applyFill="1" applyBorder="1"/>
    <xf numFmtId="0" fontId="0" fillId="0" borderId="7" xfId="0" applyFill="1" applyBorder="1" applyAlignment="1"/>
    <xf numFmtId="14" fontId="0" fillId="0" borderId="7" xfId="0" applyNumberFormat="1" applyFill="1" applyBorder="1" applyAlignment="1">
      <alignment horizontal="center"/>
    </xf>
    <xf numFmtId="164" fontId="0" fillId="0" borderId="7" xfId="1" applyNumberFormat="1" applyFont="1" applyFill="1" applyBorder="1" applyAlignment="1"/>
    <xf numFmtId="9" fontId="0" fillId="0" borderId="7" xfId="0" applyNumberFormat="1" applyFill="1" applyBorder="1" applyAlignment="1"/>
    <xf numFmtId="2" fontId="3" fillId="0" borderId="7" xfId="1" applyNumberFormat="1" applyFont="1" applyFill="1" applyBorder="1" applyAlignment="1"/>
    <xf numFmtId="164" fontId="3" fillId="0" borderId="7" xfId="1" applyNumberFormat="1" applyFont="1" applyFill="1" applyBorder="1" applyAlignment="1"/>
    <xf numFmtId="0" fontId="4" fillId="0" borderId="7" xfId="0" applyFont="1" applyFill="1" applyBorder="1" applyAlignment="1"/>
    <xf numFmtId="2" fontId="5" fillId="0" borderId="7" xfId="0" applyNumberFormat="1" applyFont="1" applyFill="1" applyBorder="1" applyAlignment="1"/>
    <xf numFmtId="0" fontId="0" fillId="3" borderId="8" xfId="0" applyFill="1" applyBorder="1" applyAlignment="1"/>
    <xf numFmtId="0" fontId="0" fillId="3" borderId="7" xfId="0" applyFill="1" applyBorder="1" applyAlignment="1"/>
    <xf numFmtId="2" fontId="3" fillId="3" borderId="7" xfId="0" applyNumberFormat="1" applyFont="1" applyFill="1" applyBorder="1" applyAlignment="1"/>
    <xf numFmtId="9" fontId="3" fillId="3" borderId="7" xfId="0" applyNumberFormat="1" applyFont="1" applyFill="1" applyBorder="1" applyAlignment="1"/>
    <xf numFmtId="14" fontId="0" fillId="3" borderId="7" xfId="0" applyNumberFormat="1" applyFill="1" applyBorder="1" applyAlignment="1"/>
    <xf numFmtId="0" fontId="0" fillId="3" borderId="9" xfId="0" applyFill="1" applyBorder="1" applyAlignment="1"/>
    <xf numFmtId="0" fontId="0" fillId="3" borderId="10" xfId="0" applyFill="1" applyBorder="1" applyAlignment="1"/>
    <xf numFmtId="2" fontId="3" fillId="3" borderId="10" xfId="0" applyNumberFormat="1" applyFont="1" applyFill="1" applyBorder="1" applyAlignment="1"/>
    <xf numFmtId="9" fontId="3" fillId="3" borderId="10" xfId="0" applyNumberFormat="1" applyFont="1" applyFill="1" applyBorder="1" applyAlignment="1"/>
    <xf numFmtId="14" fontId="0" fillId="3" borderId="10" xfId="0" applyNumberFormat="1" applyFill="1" applyBorder="1" applyAlignment="1"/>
    <xf numFmtId="0" fontId="0" fillId="0" borderId="9" xfId="0" applyBorder="1" applyAlignment="1"/>
    <xf numFmtId="0" fontId="0" fillId="0" borderId="10" xfId="0" applyBorder="1" applyAlignment="1"/>
    <xf numFmtId="2" fontId="3" fillId="0" borderId="10" xfId="0" applyNumberFormat="1" applyFont="1" applyBorder="1" applyAlignment="1"/>
    <xf numFmtId="9" fontId="3" fillId="0" borderId="10" xfId="0" applyNumberFormat="1" applyFont="1" applyBorder="1" applyAlignment="1"/>
    <xf numFmtId="14" fontId="0" fillId="0" borderId="10" xfId="0" applyNumberFormat="1" applyBorder="1" applyAlignment="1"/>
    <xf numFmtId="0" fontId="3" fillId="0" borderId="10" xfId="0" applyFont="1" applyBorder="1" applyAlignment="1">
      <alignment wrapText="1"/>
    </xf>
    <xf numFmtId="2" fontId="0" fillId="0" borderId="10" xfId="0" applyNumberFormat="1" applyBorder="1" applyAlignment="1"/>
    <xf numFmtId="0" fontId="3" fillId="0" borderId="10" xfId="0" applyFont="1" applyBorder="1" applyAlignment="1"/>
    <xf numFmtId="0" fontId="0" fillId="0" borderId="10" xfId="0" applyBorder="1"/>
    <xf numFmtId="0" fontId="2" fillId="0" borderId="11" xfId="0" applyFont="1" applyBorder="1" applyAlignment="1"/>
    <xf numFmtId="0" fontId="2" fillId="0" borderId="3" xfId="0" applyFont="1" applyBorder="1" applyAlignment="1"/>
    <xf numFmtId="2" fontId="2" fillId="0" borderId="3" xfId="0" applyNumberFormat="1" applyFont="1" applyBorder="1" applyAlignment="1"/>
    <xf numFmtId="9" fontId="3" fillId="0" borderId="3" xfId="0" applyNumberFormat="1" applyFont="1" applyBorder="1" applyAlignment="1"/>
    <xf numFmtId="14" fontId="0" fillId="0" borderId="3" xfId="0" applyNumberFormat="1" applyBorder="1" applyAlignment="1"/>
    <xf numFmtId="2" fontId="2" fillId="0" borderId="12" xfId="0" applyNumberFormat="1" applyFont="1" applyBorder="1" applyAlignment="1"/>
    <xf numFmtId="0" fontId="3" fillId="0" borderId="0" xfId="0" applyFont="1" applyFill="1"/>
    <xf numFmtId="0" fontId="4" fillId="0" borderId="15" xfId="0" applyFont="1" applyFill="1" applyBorder="1" applyAlignment="1"/>
    <xf numFmtId="0" fontId="3" fillId="0" borderId="16" xfId="0" applyFont="1" applyFill="1" applyBorder="1" applyAlignment="1"/>
    <xf numFmtId="2" fontId="2" fillId="0" borderId="16" xfId="0" applyNumberFormat="1" applyFont="1" applyFill="1" applyBorder="1" applyAlignment="1"/>
    <xf numFmtId="165" fontId="3" fillId="0" borderId="16" xfId="0" applyNumberFormat="1" applyFont="1" applyFill="1" applyBorder="1" applyAlignment="1"/>
    <xf numFmtId="14" fontId="3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/>
    <xf numFmtId="0" fontId="3" fillId="0" borderId="17" xfId="0" applyFont="1" applyFill="1" applyBorder="1" applyAlignment="1"/>
    <xf numFmtId="2" fontId="3" fillId="0" borderId="7" xfId="0" applyNumberFormat="1" applyFont="1" applyFill="1" applyBorder="1"/>
    <xf numFmtId="1" fontId="3" fillId="0" borderId="7" xfId="0" applyNumberFormat="1" applyFont="1" applyFill="1" applyBorder="1"/>
    <xf numFmtId="2" fontId="2" fillId="0" borderId="7" xfId="0" applyNumberFormat="1" applyFont="1" applyFill="1" applyBorder="1" applyAlignment="1"/>
    <xf numFmtId="165" fontId="0" fillId="0" borderId="7" xfId="0" applyNumberFormat="1" applyFill="1" applyBorder="1" applyAlignment="1"/>
    <xf numFmtId="0" fontId="3" fillId="0" borderId="18" xfId="0" applyFont="1" applyFill="1" applyBorder="1" applyAlignment="1">
      <alignment wrapText="1"/>
    </xf>
    <xf numFmtId="0" fontId="0" fillId="0" borderId="8" xfId="0" applyFill="1" applyBorder="1" applyAlignment="1"/>
    <xf numFmtId="0" fontId="0" fillId="0" borderId="18" xfId="0" applyFill="1" applyBorder="1" applyAlignment="1"/>
    <xf numFmtId="2" fontId="0" fillId="0" borderId="6" xfId="0" applyNumberFormat="1" applyFill="1" applyBorder="1" applyAlignment="1"/>
    <xf numFmtId="0" fontId="0" fillId="0" borderId="6" xfId="0" applyFill="1" applyBorder="1" applyAlignment="1"/>
    <xf numFmtId="2" fontId="2" fillId="0" borderId="7" xfId="0" applyNumberFormat="1" applyFont="1" applyBorder="1" applyAlignment="1"/>
    <xf numFmtId="165" fontId="0" fillId="0" borderId="7" xfId="0" applyNumberFormat="1" applyBorder="1" applyAlignment="1"/>
    <xf numFmtId="2" fontId="0" fillId="0" borderId="0" xfId="0" applyNumberFormat="1"/>
    <xf numFmtId="0" fontId="4" fillId="3" borderId="8" xfId="0" applyFont="1" applyFill="1" applyBorder="1" applyAlignment="1"/>
    <xf numFmtId="2" fontId="2" fillId="3" borderId="7" xfId="0" applyNumberFormat="1" applyFont="1" applyFill="1" applyBorder="1" applyAlignment="1"/>
    <xf numFmtId="165" fontId="0" fillId="3" borderId="7" xfId="0" applyNumberFormat="1" applyFill="1" applyBorder="1" applyAlignment="1"/>
    <xf numFmtId="14" fontId="0" fillId="3" borderId="7" xfId="0" applyNumberFormat="1" applyFill="1" applyBorder="1" applyAlignment="1">
      <alignment horizontal="center"/>
    </xf>
    <xf numFmtId="0" fontId="0" fillId="0" borderId="7" xfId="0" applyBorder="1"/>
    <xf numFmtId="2" fontId="2" fillId="3" borderId="10" xfId="0" applyNumberFormat="1" applyFont="1" applyFill="1" applyBorder="1" applyAlignment="1"/>
    <xf numFmtId="165" fontId="0" fillId="3" borderId="10" xfId="0" applyNumberFormat="1" applyFill="1" applyBorder="1" applyAlignment="1"/>
    <xf numFmtId="14" fontId="0" fillId="3" borderId="10" xfId="0" applyNumberFormat="1" applyFill="1" applyBorder="1" applyAlignment="1">
      <alignment horizontal="center"/>
    </xf>
    <xf numFmtId="2" fontId="0" fillId="0" borderId="10" xfId="0" applyNumberFormat="1" applyBorder="1"/>
    <xf numFmtId="0" fontId="0" fillId="0" borderId="20" xfId="0" applyBorder="1" applyAlignment="1"/>
    <xf numFmtId="2" fontId="0" fillId="0" borderId="20" xfId="0" applyNumberFormat="1" applyBorder="1" applyAlignment="1"/>
    <xf numFmtId="2" fontId="3" fillId="0" borderId="20" xfId="0" applyNumberFormat="1" applyFont="1" applyFill="1" applyBorder="1" applyAlignment="1"/>
    <xf numFmtId="2" fontId="3" fillId="0" borderId="20" xfId="0" applyNumberFormat="1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2" fontId="2" fillId="0" borderId="22" xfId="0" applyNumberFormat="1" applyFont="1" applyBorder="1" applyAlignment="1"/>
    <xf numFmtId="0" fontId="0" fillId="0" borderId="22" xfId="0" applyBorder="1" applyAlignment="1"/>
    <xf numFmtId="0" fontId="0" fillId="0" borderId="16" xfId="0" applyBorder="1" applyAlignment="1"/>
    <xf numFmtId="2" fontId="2" fillId="0" borderId="16" xfId="0" applyNumberFormat="1" applyFont="1" applyBorder="1" applyAlignment="1"/>
    <xf numFmtId="9" fontId="0" fillId="0" borderId="16" xfId="0" applyNumberFormat="1" applyBorder="1" applyAlignment="1"/>
    <xf numFmtId="2" fontId="0" fillId="0" borderId="16" xfId="0" applyNumberFormat="1" applyBorder="1" applyAlignment="1"/>
    <xf numFmtId="1" fontId="3" fillId="0" borderId="16" xfId="0" applyNumberFormat="1" applyFont="1" applyBorder="1" applyAlignment="1">
      <alignment wrapText="1"/>
    </xf>
    <xf numFmtId="1" fontId="3" fillId="0" borderId="7" xfId="0" applyNumberFormat="1" applyFont="1" applyBorder="1" applyAlignment="1">
      <alignment wrapText="1"/>
    </xf>
    <xf numFmtId="1" fontId="3" fillId="0" borderId="7" xfId="0" applyNumberFormat="1" applyFont="1" applyBorder="1" applyAlignment="1"/>
    <xf numFmtId="1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/>
    <xf numFmtId="9" fontId="0" fillId="3" borderId="7" xfId="0" applyNumberFormat="1" applyFill="1" applyBorder="1" applyAlignment="1"/>
    <xf numFmtId="0" fontId="0" fillId="0" borderId="11" xfId="0" applyBorder="1" applyAlignment="1"/>
    <xf numFmtId="0" fontId="0" fillId="0" borderId="3" xfId="0" applyBorder="1" applyAlignment="1"/>
    <xf numFmtId="9" fontId="0" fillId="0" borderId="3" xfId="0" applyNumberFormat="1" applyBorder="1" applyAlignment="1"/>
    <xf numFmtId="2" fontId="0" fillId="0" borderId="3" xfId="0" applyNumberFormat="1" applyBorder="1" applyAlignment="1"/>
    <xf numFmtId="0" fontId="3" fillId="0" borderId="3" xfId="0" applyFont="1" applyBorder="1" applyAlignment="1"/>
    <xf numFmtId="2" fontId="3" fillId="0" borderId="3" xfId="0" applyNumberFormat="1" applyFont="1" applyBorder="1" applyAlignment="1"/>
    <xf numFmtId="2" fontId="3" fillId="0" borderId="3" xfId="0" applyNumberFormat="1" applyFont="1" applyFill="1" applyBorder="1" applyAlignment="1"/>
    <xf numFmtId="0" fontId="3" fillId="0" borderId="16" xfId="0" applyFont="1" applyBorder="1" applyAlignment="1"/>
    <xf numFmtId="2" fontId="3" fillId="0" borderId="16" xfId="0" applyNumberFormat="1" applyFont="1" applyBorder="1" applyAlignment="1"/>
    <xf numFmtId="9" fontId="3" fillId="0" borderId="16" xfId="0" applyNumberFormat="1" applyFont="1" applyBorder="1" applyAlignment="1"/>
    <xf numFmtId="14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wrapText="1"/>
    </xf>
    <xf numFmtId="2" fontId="3" fillId="0" borderId="16" xfId="0" applyNumberFormat="1" applyFont="1" applyBorder="1" applyAlignment="1">
      <alignment wrapText="1"/>
    </xf>
    <xf numFmtId="2" fontId="0" fillId="0" borderId="16" xfId="0" applyNumberFormat="1" applyBorder="1"/>
    <xf numFmtId="0" fontId="0" fillId="0" borderId="16" xfId="0" applyBorder="1"/>
    <xf numFmtId="2" fontId="0" fillId="0" borderId="23" xfId="0" applyNumberFormat="1" applyBorder="1"/>
    <xf numFmtId="2" fontId="3" fillId="0" borderId="7" xfId="0" applyNumberFormat="1" applyFont="1" applyFill="1" applyBorder="1" applyAlignment="1">
      <alignment wrapText="1"/>
    </xf>
    <xf numFmtId="2" fontId="3" fillId="0" borderId="24" xfId="0" applyNumberFormat="1" applyFont="1" applyFill="1" applyBorder="1"/>
    <xf numFmtId="2" fontId="0" fillId="0" borderId="24" xfId="0" applyNumberFormat="1" applyFill="1" applyBorder="1"/>
    <xf numFmtId="0" fontId="4" fillId="0" borderId="19" xfId="0" applyFont="1" applyFill="1" applyBorder="1" applyAlignment="1"/>
    <xf numFmtId="9" fontId="3" fillId="0" borderId="20" xfId="0" applyNumberFormat="1" applyFont="1" applyBorder="1" applyAlignment="1"/>
    <xf numFmtId="14" fontId="0" fillId="0" borderId="20" xfId="0" applyNumberFormat="1" applyBorder="1" applyAlignment="1">
      <alignment horizontal="center"/>
    </xf>
    <xf numFmtId="164" fontId="0" fillId="0" borderId="20" xfId="1" applyNumberFormat="1" applyFont="1" applyBorder="1" applyAlignment="1"/>
    <xf numFmtId="164" fontId="3" fillId="0" borderId="20" xfId="0" applyNumberFormat="1" applyFont="1" applyBorder="1" applyAlignment="1"/>
    <xf numFmtId="0" fontId="3" fillId="0" borderId="20" xfId="0" applyFont="1" applyBorder="1" applyAlignment="1">
      <alignment wrapText="1"/>
    </xf>
    <xf numFmtId="2" fontId="3" fillId="0" borderId="20" xfId="0" applyNumberFormat="1" applyFont="1" applyBorder="1" applyAlignment="1">
      <alignment wrapText="1"/>
    </xf>
    <xf numFmtId="2" fontId="0" fillId="0" borderId="20" xfId="0" applyNumberFormat="1" applyBorder="1"/>
    <xf numFmtId="0" fontId="0" fillId="0" borderId="20" xfId="0" applyBorder="1"/>
    <xf numFmtId="2" fontId="0" fillId="0" borderId="25" xfId="0" applyNumberFormat="1" applyBorder="1"/>
    <xf numFmtId="0" fontId="2" fillId="0" borderId="21" xfId="0" applyFont="1" applyBorder="1"/>
    <xf numFmtId="0" fontId="2" fillId="0" borderId="22" xfId="0" applyFont="1" applyBorder="1"/>
    <xf numFmtId="2" fontId="2" fillId="0" borderId="22" xfId="0" applyNumberFormat="1" applyFont="1" applyBorder="1"/>
    <xf numFmtId="0" fontId="0" fillId="0" borderId="22" xfId="0" applyBorder="1"/>
    <xf numFmtId="0" fontId="0" fillId="0" borderId="0" xfId="0" applyFill="1" applyBorder="1"/>
    <xf numFmtId="0" fontId="3" fillId="0" borderId="0" xfId="0" applyFont="1" applyFill="1" applyBorder="1" applyAlignment="1"/>
    <xf numFmtId="2" fontId="2" fillId="0" borderId="0" xfId="0" applyNumberFormat="1" applyFont="1" applyFill="1" applyBorder="1" applyAlignment="1"/>
    <xf numFmtId="165" fontId="0" fillId="0" borderId="0" xfId="0" applyNumberFormat="1" applyBorder="1" applyAlignment="1"/>
    <xf numFmtId="14" fontId="3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/>
    <xf numFmtId="2" fontId="3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0" fillId="0" borderId="0" xfId="0" applyBorder="1" applyAlignment="1"/>
    <xf numFmtId="2" fontId="3" fillId="0" borderId="0" xfId="0" applyNumberFormat="1" applyFont="1" applyBorder="1" applyAlignment="1"/>
    <xf numFmtId="2" fontId="0" fillId="0" borderId="0" xfId="0" applyNumberFormat="1" applyBorder="1"/>
    <xf numFmtId="1" fontId="0" fillId="0" borderId="0" xfId="0" applyNumberFormat="1" applyBorder="1"/>
    <xf numFmtId="10" fontId="0" fillId="0" borderId="7" xfId="0" applyNumberFormat="1" applyBorder="1" applyAlignment="1"/>
    <xf numFmtId="14" fontId="0" fillId="0" borderId="7" xfId="0" applyNumberFormat="1" applyBorder="1" applyAlignment="1"/>
    <xf numFmtId="2" fontId="3" fillId="0" borderId="7" xfId="0" applyNumberFormat="1" applyFont="1" applyBorder="1" applyAlignment="1">
      <alignment wrapText="1"/>
    </xf>
    <xf numFmtId="2" fontId="3" fillId="0" borderId="0" xfId="0" applyNumberFormat="1" applyFont="1"/>
    <xf numFmtId="2" fontId="2" fillId="0" borderId="0" xfId="0" applyNumberFormat="1" applyFont="1"/>
    <xf numFmtId="4" fontId="0" fillId="0" borderId="0" xfId="0" applyNumberFormat="1"/>
    <xf numFmtId="165" fontId="0" fillId="0" borderId="10" xfId="0" applyNumberFormat="1" applyBorder="1" applyAlignment="1"/>
    <xf numFmtId="2" fontId="3" fillId="0" borderId="10" xfId="0" applyNumberFormat="1" applyFont="1" applyFill="1" applyBorder="1" applyAlignment="1"/>
    <xf numFmtId="0" fontId="2" fillId="0" borderId="26" xfId="0" applyFont="1" applyBorder="1" applyAlignment="1"/>
    <xf numFmtId="2" fontId="2" fillId="0" borderId="26" xfId="0" applyNumberFormat="1" applyFont="1" applyBorder="1" applyAlignment="1"/>
    <xf numFmtId="0" fontId="0" fillId="0" borderId="26" xfId="0" applyBorder="1" applyAlignment="1"/>
    <xf numFmtId="2" fontId="0" fillId="0" borderId="6" xfId="0" applyNumberFormat="1" applyBorder="1"/>
    <xf numFmtId="1" fontId="0" fillId="0" borderId="6" xfId="0" applyNumberFormat="1" applyBorder="1"/>
    <xf numFmtId="0" fontId="0" fillId="0" borderId="27" xfId="0" applyBorder="1"/>
    <xf numFmtId="0" fontId="0" fillId="0" borderId="4" xfId="0" applyBorder="1"/>
    <xf numFmtId="2" fontId="0" fillId="0" borderId="28" xfId="0" applyNumberFormat="1" applyBorder="1"/>
    <xf numFmtId="2" fontId="0" fillId="0" borderId="24" xfId="0" applyNumberFormat="1" applyBorder="1"/>
    <xf numFmtId="0" fontId="0" fillId="0" borderId="8" xfId="0" applyBorder="1" applyAlignment="1"/>
    <xf numFmtId="0" fontId="0" fillId="0" borderId="29" xfId="0" applyBorder="1"/>
    <xf numFmtId="0" fontId="0" fillId="0" borderId="14" xfId="0" applyBorder="1"/>
    <xf numFmtId="0" fontId="2" fillId="0" borderId="30" xfId="0" applyFont="1" applyBorder="1" applyAlignment="1"/>
    <xf numFmtId="2" fontId="2" fillId="0" borderId="31" xfId="0" applyNumberFormat="1" applyFont="1" applyBorder="1" applyAlignment="1"/>
    <xf numFmtId="2" fontId="2" fillId="0" borderId="32" xfId="0" applyNumberFormat="1" applyFont="1" applyBorder="1" applyAlignment="1"/>
    <xf numFmtId="2" fontId="0" fillId="0" borderId="14" xfId="0" applyNumberFormat="1" applyBorder="1"/>
    <xf numFmtId="0" fontId="0" fillId="0" borderId="13" xfId="0" applyBorder="1" applyAlignment="1"/>
    <xf numFmtId="2" fontId="2" fillId="0" borderId="32" xfId="0" applyNumberFormat="1" applyFont="1" applyBorder="1"/>
    <xf numFmtId="0" fontId="0" fillId="0" borderId="13" xfId="0" applyBorder="1"/>
    <xf numFmtId="0" fontId="2" fillId="0" borderId="13" xfId="0" applyFont="1" applyBorder="1"/>
    <xf numFmtId="0" fontId="4" fillId="0" borderId="13" xfId="0" applyFont="1" applyFill="1" applyBorder="1" applyAlignment="1"/>
    <xf numFmtId="0" fontId="0" fillId="0" borderId="24" xfId="0" applyBorder="1"/>
    <xf numFmtId="2" fontId="3" fillId="0" borderId="20" xfId="1" applyNumberFormat="1" applyFont="1" applyBorder="1" applyAlignment="1"/>
    <xf numFmtId="164" fontId="3" fillId="0" borderId="20" xfId="1" applyNumberFormat="1" applyFont="1" applyBorder="1" applyAlignment="1"/>
    <xf numFmtId="1" fontId="0" fillId="0" borderId="20" xfId="0" applyNumberFormat="1" applyBorder="1"/>
    <xf numFmtId="0" fontId="2" fillId="0" borderId="1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0" xfId="0" applyFont="1" applyBorder="1" applyAlignment="1"/>
    <xf numFmtId="0" fontId="2" fillId="0" borderId="14" xfId="0" applyFont="1" applyBorder="1" applyAlignment="1"/>
    <xf numFmtId="0" fontId="9" fillId="0" borderId="0" xfId="2" applyFont="1"/>
    <xf numFmtId="0" fontId="1" fillId="0" borderId="0" xfId="2"/>
    <xf numFmtId="0" fontId="9" fillId="0" borderId="7" xfId="2" applyFont="1" applyBorder="1" applyAlignment="1">
      <alignment horizontal="center"/>
    </xf>
    <xf numFmtId="0" fontId="9" fillId="0" borderId="7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18" xfId="2" applyFont="1" applyBorder="1" applyAlignment="1">
      <alignment horizontal="center"/>
    </xf>
    <xf numFmtId="0" fontId="9" fillId="0" borderId="33" xfId="2" applyFont="1" applyBorder="1" applyAlignment="1">
      <alignment horizontal="center"/>
    </xf>
    <xf numFmtId="0" fontId="1" fillId="0" borderId="7" xfId="2" applyBorder="1" applyAlignment="1">
      <alignment horizontal="center"/>
    </xf>
    <xf numFmtId="0" fontId="9" fillId="0" borderId="7" xfId="2" applyFont="1" applyBorder="1"/>
    <xf numFmtId="0" fontId="9" fillId="0" borderId="7" xfId="2" applyFont="1" applyBorder="1" applyAlignment="1">
      <alignment wrapText="1"/>
    </xf>
    <xf numFmtId="0" fontId="9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 wrapText="1"/>
    </xf>
    <xf numFmtId="0" fontId="11" fillId="0" borderId="7" xfId="2" applyFont="1" applyBorder="1"/>
    <xf numFmtId="0" fontId="12" fillId="0" borderId="7" xfId="2" applyFont="1" applyBorder="1"/>
    <xf numFmtId="4" fontId="11" fillId="0" borderId="7" xfId="2" applyNumberFormat="1" applyFont="1" applyBorder="1"/>
    <xf numFmtId="0" fontId="11" fillId="0" borderId="0" xfId="2" applyFont="1"/>
    <xf numFmtId="0" fontId="12" fillId="4" borderId="7" xfId="2" applyFont="1" applyFill="1" applyBorder="1"/>
    <xf numFmtId="0" fontId="13" fillId="5" borderId="0" xfId="2" applyFont="1" applyFill="1"/>
    <xf numFmtId="0" fontId="14" fillId="5" borderId="0" xfId="2" applyFont="1" applyFill="1"/>
    <xf numFmtId="0" fontId="14" fillId="0" borderId="0" xfId="2" applyFont="1"/>
    <xf numFmtId="0" fontId="13" fillId="6" borderId="34" xfId="2" applyFont="1" applyFill="1" applyBorder="1" applyAlignment="1">
      <alignment horizontal="center"/>
    </xf>
    <xf numFmtId="0" fontId="13" fillId="6" borderId="35" xfId="2" applyFont="1" applyFill="1" applyBorder="1" applyAlignment="1">
      <alignment horizontal="center"/>
    </xf>
    <xf numFmtId="0" fontId="13" fillId="6" borderId="36" xfId="2" applyFont="1" applyFill="1" applyBorder="1" applyAlignment="1">
      <alignment horizontal="center"/>
    </xf>
    <xf numFmtId="0" fontId="2" fillId="0" borderId="15" xfId="2" applyFont="1" applyBorder="1" applyAlignment="1">
      <alignment horizontal="center" shrinkToFit="1"/>
    </xf>
    <xf numFmtId="0" fontId="2" fillId="0" borderId="16" xfId="2" applyFont="1" applyBorder="1" applyAlignment="1">
      <alignment horizontal="center" wrapText="1"/>
    </xf>
    <xf numFmtId="0" fontId="2" fillId="0" borderId="37" xfId="2" applyFont="1" applyBorder="1" applyAlignment="1">
      <alignment horizontal="center" wrapText="1"/>
    </xf>
    <xf numFmtId="0" fontId="2" fillId="0" borderId="16" xfId="2" applyFont="1" applyBorder="1" applyAlignment="1">
      <alignment horizontal="center" vertical="center" wrapText="1" shrinkToFit="1"/>
    </xf>
    <xf numFmtId="0" fontId="2" fillId="0" borderId="16" xfId="2" applyFont="1" applyBorder="1" applyAlignment="1">
      <alignment horizontal="center"/>
    </xf>
    <xf numFmtId="0" fontId="2" fillId="0" borderId="17" xfId="2" applyFont="1" applyBorder="1" applyAlignment="1">
      <alignment horizontal="center" wrapText="1"/>
    </xf>
    <xf numFmtId="0" fontId="2" fillId="0" borderId="38" xfId="2" applyFont="1" applyBorder="1" applyAlignment="1">
      <alignment horizontal="center" wrapText="1"/>
    </xf>
    <xf numFmtId="0" fontId="2" fillId="0" borderId="39" xfId="2" applyFont="1" applyBorder="1" applyAlignment="1">
      <alignment horizontal="center" wrapText="1"/>
    </xf>
    <xf numFmtId="0" fontId="2" fillId="0" borderId="16" xfId="2" applyFont="1" applyBorder="1"/>
    <xf numFmtId="0" fontId="2" fillId="0" borderId="37" xfId="2" applyFont="1" applyBorder="1" applyAlignment="1">
      <alignment horizontal="center" vertical="center" wrapText="1"/>
    </xf>
    <xf numFmtId="0" fontId="13" fillId="0" borderId="0" xfId="2" applyFont="1"/>
    <xf numFmtId="0" fontId="2" fillId="0" borderId="8" xfId="2" applyFont="1" applyBorder="1" applyAlignment="1">
      <alignment horizontal="center" shrinkToFit="1"/>
    </xf>
    <xf numFmtId="0" fontId="2" fillId="0" borderId="7" xfId="2" applyFont="1" applyBorder="1" applyAlignment="1">
      <alignment horizontal="center" wrapText="1"/>
    </xf>
    <xf numFmtId="0" fontId="2" fillId="0" borderId="6" xfId="2" applyFont="1" applyBorder="1" applyAlignment="1">
      <alignment horizontal="center" wrapText="1"/>
    </xf>
    <xf numFmtId="0" fontId="2" fillId="0" borderId="7" xfId="2" applyFont="1" applyBorder="1" applyAlignment="1">
      <alignment horizontal="center" vertical="center" wrapText="1" shrinkToFit="1"/>
    </xf>
    <xf numFmtId="0" fontId="2" fillId="0" borderId="7" xfId="2" applyFont="1" applyBorder="1"/>
    <xf numFmtId="0" fontId="2" fillId="0" borderId="7" xfId="2" applyFont="1" applyBorder="1" applyAlignment="1">
      <alignment horizontal="center"/>
    </xf>
    <xf numFmtId="0" fontId="2" fillId="0" borderId="6" xfId="2" applyFont="1" applyBorder="1" applyAlignment="1">
      <alignment horizontal="center" vertical="center" wrapText="1"/>
    </xf>
    <xf numFmtId="0" fontId="14" fillId="0" borderId="10" xfId="2" applyFont="1" applyBorder="1"/>
    <xf numFmtId="14" fontId="14" fillId="0" borderId="33" xfId="2" applyNumberFormat="1" applyFont="1" applyBorder="1"/>
    <xf numFmtId="0" fontId="14" fillId="0" borderId="7" xfId="2" applyFont="1" applyBorder="1"/>
    <xf numFmtId="14" fontId="14" fillId="0" borderId="7" xfId="2" applyNumberFormat="1" applyFont="1" applyBorder="1"/>
    <xf numFmtId="49" fontId="14" fillId="0" borderId="7" xfId="2" applyNumberFormat="1" applyFont="1" applyBorder="1"/>
    <xf numFmtId="0" fontId="14" fillId="0" borderId="40" xfId="2" applyFont="1" applyBorder="1"/>
    <xf numFmtId="0" fontId="14" fillId="0" borderId="7" xfId="2" applyNumberFormat="1" applyFont="1" applyBorder="1"/>
    <xf numFmtId="14" fontId="14" fillId="0" borderId="33" xfId="2" applyNumberFormat="1" applyFont="1" applyFill="1" applyBorder="1"/>
    <xf numFmtId="49" fontId="14" fillId="0" borderId="7" xfId="2" applyNumberFormat="1" applyFont="1" applyFill="1" applyBorder="1"/>
    <xf numFmtId="49" fontId="3" fillId="0" borderId="7" xfId="2" applyNumberFormat="1" applyFont="1" applyBorder="1"/>
    <xf numFmtId="0" fontId="3" fillId="0" borderId="7" xfId="2" applyFont="1" applyBorder="1"/>
    <xf numFmtId="0" fontId="14" fillId="0" borderId="7" xfId="2" applyFont="1" applyFill="1" applyBorder="1"/>
    <xf numFmtId="14" fontId="14" fillId="0" borderId="7" xfId="2" applyNumberFormat="1" applyFont="1" applyFill="1" applyBorder="1"/>
    <xf numFmtId="49" fontId="3" fillId="0" borderId="7" xfId="2" applyNumberFormat="1" applyFont="1" applyFill="1" applyBorder="1"/>
    <xf numFmtId="0" fontId="3" fillId="0" borderId="7" xfId="2" applyFont="1" applyFill="1" applyBorder="1"/>
    <xf numFmtId="0" fontId="14" fillId="0" borderId="6" xfId="2" applyFont="1" applyBorder="1"/>
    <xf numFmtId="14" fontId="14" fillId="0" borderId="41" xfId="2" applyNumberFormat="1" applyFont="1" applyFill="1" applyBorder="1"/>
    <xf numFmtId="0" fontId="14" fillId="0" borderId="20" xfId="2" applyFont="1" applyBorder="1"/>
    <xf numFmtId="14" fontId="14" fillId="0" borderId="20" xfId="2" applyNumberFormat="1" applyFont="1" applyBorder="1"/>
    <xf numFmtId="49" fontId="14" fillId="0" borderId="20" xfId="2" applyNumberFormat="1" applyFont="1" applyBorder="1"/>
    <xf numFmtId="0" fontId="15" fillId="0" borderId="0" xfId="2" applyFont="1"/>
    <xf numFmtId="0" fontId="15" fillId="5" borderId="0" xfId="2" applyFont="1" applyFill="1"/>
    <xf numFmtId="0" fontId="18" fillId="0" borderId="0" xfId="2" applyFont="1"/>
    <xf numFmtId="0" fontId="18" fillId="5" borderId="0" xfId="2" applyFont="1" applyFill="1"/>
    <xf numFmtId="0" fontId="18" fillId="0" borderId="25" xfId="2" applyFont="1" applyBorder="1"/>
    <xf numFmtId="0" fontId="18" fillId="0" borderId="20" xfId="2" applyFont="1" applyBorder="1"/>
    <xf numFmtId="49" fontId="18" fillId="0" borderId="20" xfId="2" applyNumberFormat="1" applyFont="1" applyBorder="1"/>
    <xf numFmtId="14" fontId="18" fillId="0" borderId="20" xfId="2" applyNumberFormat="1" applyFont="1" applyBorder="1"/>
    <xf numFmtId="166" fontId="18" fillId="0" borderId="20" xfId="2" applyNumberFormat="1" applyFont="1" applyBorder="1"/>
    <xf numFmtId="14" fontId="18" fillId="0" borderId="41" xfId="2" applyNumberFormat="1" applyFont="1" applyFill="1" applyBorder="1"/>
    <xf numFmtId="0" fontId="18" fillId="0" borderId="7" xfId="2" applyFont="1" applyBorder="1"/>
    <xf numFmtId="0" fontId="18" fillId="0" borderId="24" xfId="2" applyFont="1" applyBorder="1"/>
    <xf numFmtId="49" fontId="18" fillId="0" borderId="7" xfId="2" applyNumberFormat="1" applyFont="1" applyBorder="1"/>
    <xf numFmtId="14" fontId="18" fillId="0" borderId="7" xfId="2" applyNumberFormat="1" applyFont="1" applyBorder="1"/>
    <xf numFmtId="166" fontId="18" fillId="0" borderId="7" xfId="2" applyNumberFormat="1" applyFont="1" applyBorder="1"/>
    <xf numFmtId="14" fontId="18" fillId="0" borderId="33" xfId="2" applyNumberFormat="1" applyFont="1" applyFill="1" applyBorder="1"/>
    <xf numFmtId="0" fontId="18" fillId="7" borderId="24" xfId="2" applyFont="1" applyFill="1" applyBorder="1"/>
    <xf numFmtId="0" fontId="18" fillId="7" borderId="7" xfId="2" applyFont="1" applyFill="1" applyBorder="1"/>
    <xf numFmtId="49" fontId="18" fillId="7" borderId="7" xfId="2" applyNumberFormat="1" applyFont="1" applyFill="1" applyBorder="1"/>
    <xf numFmtId="14" fontId="18" fillId="7" borderId="7" xfId="2" applyNumberFormat="1" applyFont="1" applyFill="1" applyBorder="1"/>
    <xf numFmtId="166" fontId="18" fillId="7" borderId="7" xfId="2" applyNumberFormat="1" applyFont="1" applyFill="1" applyBorder="1"/>
    <xf numFmtId="14" fontId="18" fillId="7" borderId="33" xfId="2" applyNumberFormat="1" applyFont="1" applyFill="1" applyBorder="1"/>
    <xf numFmtId="49" fontId="19" fillId="0" borderId="7" xfId="2" applyNumberFormat="1" applyFont="1" applyBorder="1"/>
    <xf numFmtId="2" fontId="20" fillId="0" borderId="7" xfId="2" applyNumberFormat="1" applyFont="1" applyBorder="1"/>
    <xf numFmtId="2" fontId="18" fillId="0" borderId="7" xfId="2" applyNumberFormat="1" applyFont="1" applyBorder="1"/>
    <xf numFmtId="0" fontId="18" fillId="0" borderId="7" xfId="2" applyFont="1" applyFill="1" applyBorder="1"/>
    <xf numFmtId="49" fontId="18" fillId="0" borderId="7" xfId="2" applyNumberFormat="1" applyFont="1" applyFill="1" applyBorder="1"/>
    <xf numFmtId="14" fontId="18" fillId="0" borderId="7" xfId="2" applyNumberFormat="1" applyFont="1" applyFill="1" applyBorder="1"/>
    <xf numFmtId="166" fontId="18" fillId="0" borderId="7" xfId="2" applyNumberFormat="1" applyFont="1" applyFill="1" applyBorder="1"/>
    <xf numFmtId="49" fontId="19" fillId="0" borderId="7" xfId="2" applyNumberFormat="1" applyFont="1" applyFill="1" applyBorder="1"/>
    <xf numFmtId="0" fontId="18" fillId="0" borderId="24" xfId="2" applyFont="1" applyFill="1" applyBorder="1"/>
    <xf numFmtId="0" fontId="18" fillId="7" borderId="24" xfId="2" applyFont="1" applyFill="1" applyBorder="1" applyAlignment="1">
      <alignment wrapText="1"/>
    </xf>
    <xf numFmtId="49" fontId="19" fillId="7" borderId="7" xfId="2" applyNumberFormat="1" applyFont="1" applyFill="1" applyBorder="1"/>
    <xf numFmtId="166" fontId="21" fillId="0" borderId="7" xfId="2" applyNumberFormat="1" applyFont="1" applyBorder="1"/>
    <xf numFmtId="14" fontId="18" fillId="0" borderId="33" xfId="2" applyNumberFormat="1" applyFont="1" applyBorder="1"/>
    <xf numFmtId="0" fontId="18" fillId="0" borderId="24" xfId="2" applyFont="1" applyFill="1" applyBorder="1" applyAlignment="1">
      <alignment wrapText="1"/>
    </xf>
    <xf numFmtId="2" fontId="18" fillId="0" borderId="7" xfId="2" applyNumberFormat="1" applyFont="1" applyFill="1" applyBorder="1"/>
    <xf numFmtId="0" fontId="18" fillId="0" borderId="7" xfId="2" applyNumberFormat="1" applyFont="1" applyBorder="1"/>
    <xf numFmtId="0" fontId="21" fillId="0" borderId="0" xfId="2" applyFont="1"/>
    <xf numFmtId="0" fontId="21" fillId="5" borderId="0" xfId="2" applyFont="1" applyFill="1"/>
    <xf numFmtId="0" fontId="22" fillId="0" borderId="24" xfId="2" applyFont="1" applyBorder="1" applyAlignment="1">
      <alignment horizontal="center"/>
    </xf>
    <xf numFmtId="0" fontId="23" fillId="0" borderId="7" xfId="2" applyFont="1" applyBorder="1" applyAlignment="1">
      <alignment horizontal="center" wrapText="1"/>
    </xf>
    <xf numFmtId="0" fontId="24" fillId="0" borderId="7" xfId="2" applyFont="1" applyBorder="1" applyAlignment="1">
      <alignment horizontal="center" wrapText="1"/>
    </xf>
    <xf numFmtId="9" fontId="23" fillId="0" borderId="7" xfId="2" applyNumberFormat="1" applyFont="1" applyBorder="1" applyAlignment="1">
      <alignment wrapText="1"/>
    </xf>
    <xf numFmtId="0" fontId="25" fillId="0" borderId="7" xfId="2" applyFont="1" applyBorder="1"/>
    <xf numFmtId="0" fontId="25" fillId="0" borderId="7" xfId="2" applyFont="1" applyBorder="1" applyAlignment="1">
      <alignment horizontal="center" wrapText="1"/>
    </xf>
    <xf numFmtId="0" fontId="25" fillId="0" borderId="7" xfId="2" applyFont="1" applyBorder="1" applyAlignment="1">
      <alignment horizontal="center"/>
    </xf>
    <xf numFmtId="0" fontId="23" fillId="0" borderId="33" xfId="2" applyFont="1" applyBorder="1" applyAlignment="1">
      <alignment horizontal="center" shrinkToFit="1"/>
    </xf>
    <xf numFmtId="0" fontId="22" fillId="0" borderId="7" xfId="2" applyFont="1" applyBorder="1" applyAlignment="1">
      <alignment horizontal="center"/>
    </xf>
    <xf numFmtId="0" fontId="22" fillId="0" borderId="23" xfId="2" applyFont="1" applyBorder="1" applyAlignment="1">
      <alignment horizontal="center" wrapText="1"/>
    </xf>
    <xf numFmtId="0" fontId="23" fillId="0" borderId="16" xfId="2" applyFont="1" applyBorder="1" applyAlignment="1">
      <alignment horizontal="center" wrapText="1"/>
    </xf>
    <xf numFmtId="0" fontId="24" fillId="0" borderId="16" xfId="2" applyFont="1" applyBorder="1" applyAlignment="1">
      <alignment horizontal="center" wrapText="1"/>
    </xf>
    <xf numFmtId="0" fontId="22" fillId="0" borderId="16" xfId="2" applyFont="1" applyBorder="1" applyAlignment="1">
      <alignment horizontal="center"/>
    </xf>
    <xf numFmtId="0" fontId="25" fillId="0" borderId="16" xfId="2" applyFont="1" applyBorder="1" applyAlignment="1">
      <alignment horizontal="center"/>
    </xf>
    <xf numFmtId="0" fontId="25" fillId="0" borderId="16" xfId="2" applyFont="1" applyBorder="1" applyAlignment="1">
      <alignment horizontal="center" wrapText="1"/>
    </xf>
    <xf numFmtId="0" fontId="23" fillId="0" borderId="39" xfId="2" applyFont="1" applyBorder="1" applyAlignment="1">
      <alignment horizontal="center" shrinkToFit="1"/>
    </xf>
    <xf numFmtId="0" fontId="26" fillId="8" borderId="4" xfId="2" applyFont="1" applyFill="1" applyBorder="1" applyAlignment="1">
      <alignment horizontal="center"/>
    </xf>
    <xf numFmtId="0" fontId="26" fillId="8" borderId="27" xfId="2" applyFont="1" applyFill="1" applyBorder="1" applyAlignment="1">
      <alignment horizontal="center"/>
    </xf>
    <xf numFmtId="0" fontId="26" fillId="8" borderId="2" xfId="2" applyFont="1" applyFill="1" applyBorder="1" applyAlignment="1">
      <alignment horizontal="center"/>
    </xf>
    <xf numFmtId="0" fontId="26" fillId="5" borderId="0" xfId="2" applyFont="1" applyFill="1"/>
    <xf numFmtId="0" fontId="27" fillId="0" borderId="0" xfId="0" applyFont="1"/>
    <xf numFmtId="0" fontId="0" fillId="0" borderId="0" xfId="0" applyAlignment="1"/>
    <xf numFmtId="0" fontId="28" fillId="0" borderId="0" xfId="0" applyFont="1" applyFill="1" applyAlignment="1">
      <alignment vertical="center"/>
    </xf>
    <xf numFmtId="0" fontId="27" fillId="0" borderId="0" xfId="0" applyFont="1" applyFill="1"/>
    <xf numFmtId="4" fontId="29" fillId="0" borderId="0" xfId="0" applyNumberFormat="1" applyFont="1" applyFill="1" applyAlignment="1">
      <alignment vertical="center"/>
    </xf>
    <xf numFmtId="0" fontId="30" fillId="0" borderId="0" xfId="0" applyFont="1"/>
    <xf numFmtId="0" fontId="31" fillId="0" borderId="0" xfId="0" applyFont="1"/>
    <xf numFmtId="0" fontId="31" fillId="0" borderId="0" xfId="3" applyFont="1" applyFill="1" applyAlignment="1">
      <alignment horizontal="right"/>
    </xf>
    <xf numFmtId="4" fontId="31" fillId="0" borderId="0" xfId="4" applyNumberFormat="1" applyFont="1" applyFill="1" applyAlignment="1">
      <alignment vertical="center"/>
    </xf>
    <xf numFmtId="0" fontId="31" fillId="0" borderId="0" xfId="0" applyFont="1" applyFill="1"/>
    <xf numFmtId="4" fontId="33" fillId="0" borderId="0" xfId="5" applyNumberFormat="1" applyFont="1" applyFill="1" applyBorder="1"/>
    <xf numFmtId="167" fontId="2" fillId="0" borderId="7" xfId="3" applyNumberFormat="1" applyFont="1" applyFill="1" applyBorder="1" applyAlignment="1">
      <alignment horizontal="center"/>
    </xf>
    <xf numFmtId="167" fontId="2" fillId="0" borderId="7" xfId="3" applyNumberFormat="1" applyFont="1" applyFill="1" applyBorder="1" applyAlignment="1">
      <alignment wrapText="1"/>
    </xf>
    <xf numFmtId="167" fontId="2" fillId="0" borderId="7" xfId="3" applyNumberFormat="1" applyFont="1" applyFill="1" applyBorder="1" applyAlignment="1"/>
    <xf numFmtId="0" fontId="2" fillId="0" borderId="7" xfId="3" applyFont="1" applyFill="1" applyBorder="1" applyAlignment="1">
      <alignment horizontal="center" wrapText="1"/>
    </xf>
    <xf numFmtId="0" fontId="2" fillId="0" borderId="7" xfId="3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167" fontId="8" fillId="0" borderId="7" xfId="3" applyNumberFormat="1" applyFont="1" applyFill="1" applyBorder="1"/>
    <xf numFmtId="0" fontId="8" fillId="0" borderId="7" xfId="3" applyFont="1" applyFill="1" applyBorder="1" applyAlignment="1"/>
    <xf numFmtId="0" fontId="8" fillId="0" borderId="7" xfId="3" applyFont="1" applyFill="1" applyBorder="1"/>
    <xf numFmtId="4" fontId="8" fillId="0" borderId="7" xfId="3" applyNumberFormat="1" applyFont="1" applyFill="1" applyBorder="1"/>
    <xf numFmtId="0" fontId="8" fillId="0" borderId="0" xfId="3" applyFont="1" applyFill="1"/>
    <xf numFmtId="4" fontId="34" fillId="0" borderId="0" xfId="0" applyNumberFormat="1" applyFont="1"/>
    <xf numFmtId="0" fontId="35" fillId="0" borderId="0" xfId="0" applyFont="1" applyFill="1" applyAlignment="1">
      <alignment vertical="center"/>
    </xf>
    <xf numFmtId="4" fontId="35" fillId="0" borderId="0" xfId="0" applyNumberFormat="1" applyFont="1" applyFill="1" applyAlignment="1">
      <alignment vertical="center"/>
    </xf>
    <xf numFmtId="4" fontId="33" fillId="0" borderId="0" xfId="3" applyNumberFormat="1" applyFont="1" applyFill="1" applyAlignment="1">
      <alignment vertical="center"/>
    </xf>
    <xf numFmtId="0" fontId="33" fillId="0" borderId="0" xfId="3" applyFont="1" applyFill="1" applyAlignment="1">
      <alignment horizontal="right"/>
    </xf>
    <xf numFmtId="0" fontId="33" fillId="0" borderId="0" xfId="0" applyFont="1" applyFill="1"/>
    <xf numFmtId="4" fontId="33" fillId="0" borderId="0" xfId="0" applyNumberFormat="1" applyFont="1" applyFill="1"/>
    <xf numFmtId="167" fontId="2" fillId="0" borderId="10" xfId="3" applyNumberFormat="1" applyFont="1" applyFill="1" applyBorder="1" applyAlignment="1">
      <alignment horizontal="center"/>
    </xf>
    <xf numFmtId="167" fontId="2" fillId="0" borderId="10" xfId="3" applyNumberFormat="1" applyFont="1" applyFill="1" applyBorder="1" applyAlignment="1">
      <alignment wrapText="1"/>
    </xf>
    <xf numFmtId="167" fontId="2" fillId="0" borderId="10" xfId="3" applyNumberFormat="1" applyFont="1" applyFill="1" applyBorder="1" applyAlignment="1"/>
    <xf numFmtId="167" fontId="2" fillId="0" borderId="10" xfId="3" applyNumberFormat="1" applyFont="1" applyFill="1" applyBorder="1" applyAlignment="1">
      <alignment horizontal="center" wrapText="1"/>
    </xf>
    <xf numFmtId="0" fontId="2" fillId="0" borderId="10" xfId="3" applyFont="1" applyFill="1" applyBorder="1" applyAlignment="1">
      <alignment horizontal="center"/>
    </xf>
    <xf numFmtId="0" fontId="2" fillId="0" borderId="10" xfId="3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33" fillId="0" borderId="7" xfId="24" applyFont="1" applyFill="1" applyBorder="1" applyAlignment="1">
      <alignment horizontal="center" wrapText="1"/>
    </xf>
    <xf numFmtId="0" fontId="2" fillId="0" borderId="0" xfId="0" applyFont="1" applyFill="1"/>
    <xf numFmtId="167" fontId="2" fillId="0" borderId="6" xfId="3" applyNumberFormat="1" applyFont="1" applyFill="1" applyBorder="1" applyAlignment="1">
      <alignment horizontal="center"/>
    </xf>
    <xf numFmtId="167" fontId="2" fillId="0" borderId="6" xfId="3" applyNumberFormat="1" applyFont="1" applyFill="1" applyBorder="1" applyAlignment="1">
      <alignment wrapText="1"/>
    </xf>
    <xf numFmtId="167" fontId="2" fillId="0" borderId="6" xfId="3" applyNumberFormat="1" applyFont="1" applyFill="1" applyBorder="1" applyAlignment="1"/>
    <xf numFmtId="167" fontId="2" fillId="0" borderId="6" xfId="3" applyNumberFormat="1" applyFont="1" applyFill="1" applyBorder="1" applyAlignment="1">
      <alignment horizontal="center" wrapText="1"/>
    </xf>
    <xf numFmtId="0" fontId="2" fillId="0" borderId="6" xfId="3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167" fontId="3" fillId="0" borderId="7" xfId="3" applyNumberFormat="1" applyFont="1" applyFill="1" applyBorder="1"/>
    <xf numFmtId="0" fontId="3" fillId="0" borderId="7" xfId="3" applyFont="1" applyFill="1" applyBorder="1" applyAlignment="1"/>
    <xf numFmtId="0" fontId="3" fillId="0" borderId="7" xfId="3" applyFont="1" applyFill="1" applyBorder="1"/>
    <xf numFmtId="4" fontId="3" fillId="0" borderId="7" xfId="3" applyNumberFormat="1" applyFont="1" applyFill="1" applyBorder="1"/>
    <xf numFmtId="0" fontId="36" fillId="0" borderId="7" xfId="25" applyFont="1" applyFill="1" applyBorder="1"/>
    <xf numFmtId="0" fontId="3" fillId="0" borderId="0" xfId="3" applyFont="1" applyFill="1"/>
    <xf numFmtId="0" fontId="2" fillId="0" borderId="0" xfId="3" applyFont="1" applyFill="1"/>
    <xf numFmtId="0" fontId="3" fillId="0" borderId="0" xfId="0" applyFont="1" applyFill="1" applyAlignment="1"/>
    <xf numFmtId="0" fontId="37" fillId="0" borderId="0" xfId="0" applyFont="1" applyFill="1"/>
    <xf numFmtId="0" fontId="33" fillId="0" borderId="10" xfId="24" applyFont="1" applyFill="1" applyBorder="1" applyAlignment="1">
      <alignment horizontal="center" wrapText="1"/>
    </xf>
    <xf numFmtId="0" fontId="33" fillId="0" borderId="6" xfId="24" applyFont="1" applyFill="1" applyBorder="1" applyAlignment="1">
      <alignment horizontal="center" wrapText="1"/>
    </xf>
    <xf numFmtId="167" fontId="3" fillId="0" borderId="0" xfId="3" applyNumberFormat="1" applyFont="1" applyFill="1"/>
    <xf numFmtId="0" fontId="3" fillId="0" borderId="0" xfId="3" applyFont="1" applyFill="1" applyAlignment="1"/>
    <xf numFmtId="2" fontId="3" fillId="0" borderId="7" xfId="3" applyNumberFormat="1" applyFont="1" applyFill="1" applyBorder="1"/>
    <xf numFmtId="0" fontId="3" fillId="0" borderId="0" xfId="3" applyFont="1" applyFill="1" applyBorder="1"/>
    <xf numFmtId="0" fontId="36" fillId="0" borderId="0" xfId="0" applyFont="1" applyFill="1"/>
    <xf numFmtId="0" fontId="33" fillId="0" borderId="0" xfId="3" applyFont="1" applyFill="1" applyAlignment="1">
      <alignment vertical="center"/>
    </xf>
    <xf numFmtId="0" fontId="33" fillId="0" borderId="0" xfId="3" applyFont="1" applyFill="1"/>
    <xf numFmtId="0" fontId="33" fillId="0" borderId="7" xfId="24" applyFont="1" applyFill="1" applyBorder="1" applyAlignment="1">
      <alignment horizontal="center" wrapText="1"/>
    </xf>
    <xf numFmtId="0" fontId="33" fillId="0" borderId="7" xfId="24" applyFont="1" applyFill="1" applyBorder="1" applyAlignment="1">
      <alignment wrapText="1"/>
    </xf>
    <xf numFmtId="0" fontId="33" fillId="0" borderId="0" xfId="24" applyFont="1" applyFill="1"/>
    <xf numFmtId="167" fontId="36" fillId="0" borderId="7" xfId="18" applyNumberFormat="1" applyFont="1" applyFill="1" applyBorder="1"/>
    <xf numFmtId="0" fontId="36" fillId="0" borderId="7" xfId="18" applyFont="1" applyFill="1" applyBorder="1"/>
    <xf numFmtId="4" fontId="36" fillId="0" borderId="7" xfId="18" applyNumberFormat="1" applyFont="1" applyFill="1" applyBorder="1"/>
    <xf numFmtId="4" fontId="36" fillId="0" borderId="7" xfId="24" applyNumberFormat="1" applyFont="1" applyFill="1" applyBorder="1"/>
    <xf numFmtId="4" fontId="3" fillId="0" borderId="7" xfId="17" applyNumberFormat="1" applyFont="1" applyFill="1" applyBorder="1"/>
    <xf numFmtId="0" fontId="36" fillId="0" borderId="7" xfId="18" applyNumberFormat="1" applyFont="1" applyFill="1" applyBorder="1"/>
    <xf numFmtId="0" fontId="36" fillId="0" borderId="0" xfId="24" applyFont="1" applyFill="1"/>
    <xf numFmtId="0" fontId="36" fillId="0" borderId="7" xfId="24" applyNumberFormat="1" applyFont="1" applyFill="1" applyBorder="1"/>
    <xf numFmtId="4" fontId="36" fillId="0" borderId="0" xfId="0" applyNumberFormat="1" applyFont="1" applyFill="1"/>
    <xf numFmtId="0" fontId="31" fillId="0" borderId="0" xfId="26" applyFont="1"/>
    <xf numFmtId="0" fontId="38" fillId="0" borderId="0" xfId="0" applyFont="1"/>
    <xf numFmtId="0" fontId="38" fillId="0" borderId="0" xfId="26" applyFont="1"/>
    <xf numFmtId="0" fontId="31" fillId="0" borderId="0" xfId="4" applyFont="1"/>
    <xf numFmtId="0" fontId="31" fillId="0" borderId="0" xfId="4" applyFont="1" applyFill="1"/>
    <xf numFmtId="4" fontId="31" fillId="0" borderId="0" xfId="4" applyNumberFormat="1" applyFont="1" applyFill="1"/>
    <xf numFmtId="0" fontId="31" fillId="0" borderId="0" xfId="4" applyFont="1" applyFill="1" applyAlignment="1">
      <alignment vertical="center"/>
    </xf>
    <xf numFmtId="4" fontId="31" fillId="0" borderId="0" xfId="3" applyNumberFormat="1" applyFont="1" applyFill="1" applyAlignment="1">
      <alignment vertical="center"/>
    </xf>
    <xf numFmtId="0" fontId="33" fillId="0" borderId="7" xfId="7" applyFont="1" applyBorder="1" applyAlignment="1">
      <alignment horizontal="center"/>
    </xf>
    <xf numFmtId="0" fontId="33" fillId="0" borderId="7" xfId="7" applyFont="1" applyBorder="1" applyAlignment="1">
      <alignment horizontal="center" wrapText="1"/>
    </xf>
    <xf numFmtId="0" fontId="33" fillId="0" borderId="7" xfId="7" applyFont="1" applyBorder="1" applyAlignment="1">
      <alignment wrapText="1"/>
    </xf>
    <xf numFmtId="0" fontId="33" fillId="0" borderId="7" xfId="7" applyFont="1" applyFill="1" applyBorder="1" applyAlignment="1">
      <alignment horizontal="center" wrapText="1"/>
    </xf>
    <xf numFmtId="0" fontId="38" fillId="0" borderId="0" xfId="7" applyFont="1"/>
    <xf numFmtId="167" fontId="36" fillId="0" borderId="7" xfId="13" applyNumberFormat="1" applyFont="1" applyFill="1" applyBorder="1"/>
    <xf numFmtId="0" fontId="36" fillId="0" borderId="7" xfId="13" applyFont="1" applyFill="1" applyBorder="1"/>
    <xf numFmtId="4" fontId="36" fillId="0" borderId="7" xfId="13" applyNumberFormat="1" applyFont="1" applyFill="1" applyBorder="1"/>
    <xf numFmtId="0" fontId="36" fillId="0" borderId="0" xfId="7" applyFont="1" applyFill="1"/>
    <xf numFmtId="0" fontId="36" fillId="0" borderId="0" xfId="0" applyFont="1" applyFill="1" applyBorder="1"/>
    <xf numFmtId="0" fontId="36" fillId="0" borderId="0" xfId="25" applyFont="1" applyFill="1" applyBorder="1"/>
    <xf numFmtId="0" fontId="3" fillId="0" borderId="0" xfId="0" applyFont="1" applyFill="1" applyBorder="1"/>
    <xf numFmtId="0" fontId="10" fillId="9" borderId="11" xfId="0" applyFont="1" applyFill="1" applyBorder="1" applyAlignment="1">
      <alignment horizontal="center"/>
    </xf>
    <xf numFmtId="0" fontId="10" fillId="9" borderId="3" xfId="0" applyFont="1" applyFill="1" applyBorder="1"/>
    <xf numFmtId="0" fontId="10" fillId="9" borderId="12" xfId="0" applyFont="1" applyFill="1" applyBorder="1" applyAlignment="1">
      <alignment horizontal="center"/>
    </xf>
    <xf numFmtId="0" fontId="0" fillId="9" borderId="6" xfId="0" applyFill="1" applyBorder="1" applyAlignment="1">
      <alignment horizontal="center" vertical="center"/>
    </xf>
    <xf numFmtId="0" fontId="39" fillId="9" borderId="6" xfId="0" applyFont="1" applyFill="1" applyBorder="1" applyAlignment="1">
      <alignment vertical="center"/>
    </xf>
    <xf numFmtId="4" fontId="39" fillId="9" borderId="6" xfId="0" applyNumberFormat="1" applyFont="1" applyFill="1" applyBorder="1" applyAlignment="1">
      <alignment vertical="center"/>
    </xf>
    <xf numFmtId="0" fontId="0" fillId="9" borderId="7" xfId="0" applyFill="1" applyBorder="1" applyAlignment="1">
      <alignment horizontal="center" vertical="center"/>
    </xf>
    <xf numFmtId="0" fontId="39" fillId="9" borderId="7" xfId="0" applyFont="1" applyFill="1" applyBorder="1" applyAlignment="1">
      <alignment vertical="center"/>
    </xf>
    <xf numFmtId="4" fontId="39" fillId="9" borderId="7" xfId="0" applyNumberFormat="1" applyFont="1" applyFill="1" applyBorder="1" applyAlignment="1">
      <alignment vertical="center"/>
    </xf>
    <xf numFmtId="0" fontId="10" fillId="9" borderId="7" xfId="0" applyFont="1" applyFill="1" applyBorder="1" applyAlignment="1">
      <alignment horizontal="center"/>
    </xf>
    <xf numFmtId="0" fontId="0" fillId="9" borderId="7" xfId="0" applyFill="1" applyBorder="1"/>
    <xf numFmtId="4" fontId="10" fillId="9" borderId="7" xfId="0" applyNumberFormat="1" applyFont="1" applyFill="1" applyBorder="1"/>
    <xf numFmtId="0" fontId="40" fillId="0" borderId="0" xfId="0" applyFont="1" applyFill="1"/>
    <xf numFmtId="4" fontId="41" fillId="0" borderId="0" xfId="0" applyNumberFormat="1" applyFont="1" applyFill="1" applyBorder="1" applyAlignment="1">
      <alignment vertical="center"/>
    </xf>
    <xf numFmtId="4" fontId="40" fillId="0" borderId="0" xfId="0" applyNumberFormat="1" applyFont="1" applyFill="1"/>
    <xf numFmtId="4" fontId="41" fillId="0" borderId="42" xfId="0" applyNumberFormat="1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4" fontId="41" fillId="0" borderId="0" xfId="0" applyNumberFormat="1" applyFont="1" applyFill="1" applyAlignment="1">
      <alignment vertical="center"/>
    </xf>
    <xf numFmtId="167" fontId="2" fillId="0" borderId="15" xfId="3" applyNumberFormat="1" applyFont="1" applyFill="1" applyBorder="1" applyAlignment="1">
      <alignment horizontal="center"/>
    </xf>
    <xf numFmtId="167" fontId="2" fillId="0" borderId="16" xfId="3" applyNumberFormat="1" applyFont="1" applyFill="1" applyBorder="1" applyAlignment="1">
      <alignment wrapText="1"/>
    </xf>
    <xf numFmtId="167" fontId="2" fillId="0" borderId="16" xfId="3" applyNumberFormat="1" applyFont="1" applyFill="1" applyBorder="1" applyAlignment="1"/>
    <xf numFmtId="0" fontId="2" fillId="0" borderId="16" xfId="3" applyFont="1" applyFill="1" applyBorder="1" applyAlignment="1">
      <alignment horizontal="center" wrapText="1"/>
    </xf>
    <xf numFmtId="0" fontId="2" fillId="0" borderId="16" xfId="3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33" fillId="0" borderId="23" xfId="19" applyFont="1" applyFill="1" applyBorder="1" applyAlignment="1">
      <alignment horizontal="center" wrapText="1"/>
    </xf>
    <xf numFmtId="167" fontId="2" fillId="0" borderId="8" xfId="3" applyNumberFormat="1" applyFont="1" applyFill="1" applyBorder="1" applyAlignment="1">
      <alignment horizontal="center"/>
    </xf>
    <xf numFmtId="0" fontId="33" fillId="0" borderId="24" xfId="19" applyFont="1" applyFill="1" applyBorder="1" applyAlignment="1">
      <alignment horizontal="center" wrapText="1"/>
    </xf>
    <xf numFmtId="167" fontId="3" fillId="0" borderId="8" xfId="3" applyNumberFormat="1" applyFont="1" applyFill="1" applyBorder="1"/>
    <xf numFmtId="4" fontId="3" fillId="0" borderId="7" xfId="3" applyNumberFormat="1" applyFont="1" applyFill="1" applyBorder="1" applyAlignment="1">
      <alignment horizontal="right"/>
    </xf>
    <xf numFmtId="1" fontId="3" fillId="0" borderId="7" xfId="3" applyNumberFormat="1" applyFont="1" applyFill="1" applyBorder="1" applyAlignment="1">
      <alignment horizontal="right"/>
    </xf>
    <xf numFmtId="0" fontId="36" fillId="0" borderId="24" xfId="25" applyFont="1" applyFill="1" applyBorder="1"/>
    <xf numFmtId="4" fontId="3" fillId="0" borderId="7" xfId="0" applyNumberFormat="1" applyFont="1" applyFill="1" applyBorder="1"/>
    <xf numFmtId="167" fontId="3" fillId="0" borderId="19" xfId="3" applyNumberFormat="1" applyFont="1" applyFill="1" applyBorder="1"/>
    <xf numFmtId="0" fontId="3" fillId="0" borderId="20" xfId="3" applyFont="1" applyFill="1" applyBorder="1" applyAlignment="1"/>
    <xf numFmtId="0" fontId="3" fillId="0" borderId="20" xfId="3" applyFont="1" applyFill="1" applyBorder="1"/>
    <xf numFmtId="4" fontId="3" fillId="0" borderId="20" xfId="3" applyNumberFormat="1" applyFont="1" applyFill="1" applyBorder="1"/>
    <xf numFmtId="4" fontId="3" fillId="0" borderId="20" xfId="3" applyNumberFormat="1" applyFont="1" applyFill="1" applyBorder="1" applyAlignment="1">
      <alignment horizontal="right"/>
    </xf>
    <xf numFmtId="1" fontId="3" fillId="0" borderId="20" xfId="3" applyNumberFormat="1" applyFont="1" applyFill="1" applyBorder="1" applyAlignment="1">
      <alignment horizontal="right"/>
    </xf>
    <xf numFmtId="2" fontId="2" fillId="0" borderId="0" xfId="0" applyNumberFormat="1" applyFont="1" applyFill="1"/>
    <xf numFmtId="0" fontId="3" fillId="0" borderId="0" xfId="0" applyFont="1" applyFill="1" applyAlignment="1">
      <alignment horizontal="right"/>
    </xf>
    <xf numFmtId="0" fontId="42" fillId="0" borderId="0" xfId="0" applyFont="1" applyFill="1"/>
    <xf numFmtId="0" fontId="42" fillId="0" borderId="0" xfId="3" applyFont="1" applyFill="1"/>
    <xf numFmtId="0" fontId="33" fillId="0" borderId="0" xfId="26" applyFont="1" applyFill="1"/>
    <xf numFmtId="0" fontId="36" fillId="0" borderId="0" xfId="26" applyFont="1" applyFill="1"/>
    <xf numFmtId="0" fontId="33" fillId="0" borderId="0" xfId="4" applyFont="1" applyFill="1"/>
    <xf numFmtId="4" fontId="33" fillId="0" borderId="0" xfId="4" applyNumberFormat="1" applyFont="1" applyFill="1"/>
    <xf numFmtId="0" fontId="33" fillId="0" borderId="0" xfId="4" applyFont="1" applyFill="1" applyAlignment="1">
      <alignment vertical="center"/>
    </xf>
    <xf numFmtId="4" fontId="33" fillId="0" borderId="0" xfId="4" applyNumberFormat="1" applyFont="1" applyFill="1" applyAlignment="1">
      <alignment vertical="center"/>
    </xf>
    <xf numFmtId="0" fontId="42" fillId="0" borderId="0" xfId="3" applyFont="1" applyFill="1" applyAlignment="1">
      <alignment vertical="center"/>
    </xf>
    <xf numFmtId="4" fontId="33" fillId="0" borderId="0" xfId="11" applyNumberFormat="1" applyFont="1" applyFill="1" applyAlignment="1">
      <alignment vertical="center"/>
    </xf>
    <xf numFmtId="0" fontId="33" fillId="0" borderId="43" xfId="19" applyFont="1" applyFill="1" applyBorder="1" applyAlignment="1">
      <alignment horizontal="center"/>
    </xf>
    <xf numFmtId="0" fontId="33" fillId="0" borderId="37" xfId="19" applyFont="1" applyFill="1" applyBorder="1" applyAlignment="1">
      <alignment horizontal="center" wrapText="1"/>
    </xf>
    <xf numFmtId="0" fontId="33" fillId="0" borderId="37" xfId="19" applyFont="1" applyFill="1" applyBorder="1" applyAlignment="1">
      <alignment wrapText="1"/>
    </xf>
    <xf numFmtId="0" fontId="36" fillId="0" borderId="37" xfId="19" applyFont="1" applyFill="1" applyBorder="1"/>
    <xf numFmtId="0" fontId="33" fillId="0" borderId="44" xfId="19" applyFont="1" applyFill="1" applyBorder="1" applyAlignment="1">
      <alignment horizontal="center" wrapText="1"/>
    </xf>
    <xf numFmtId="0" fontId="36" fillId="0" borderId="0" xfId="15" applyFont="1" applyFill="1"/>
    <xf numFmtId="167" fontId="36" fillId="0" borderId="8" xfId="15" applyNumberFormat="1" applyFont="1" applyFill="1" applyBorder="1"/>
    <xf numFmtId="0" fontId="36" fillId="0" borderId="7" xfId="15" applyFont="1" applyFill="1" applyBorder="1"/>
    <xf numFmtId="4" fontId="36" fillId="0" borderId="7" xfId="15" applyNumberFormat="1" applyFont="1" applyFill="1" applyBorder="1"/>
    <xf numFmtId="4" fontId="36" fillId="0" borderId="7" xfId="19" applyNumberFormat="1" applyFont="1" applyFill="1" applyBorder="1"/>
    <xf numFmtId="1" fontId="36" fillId="0" borderId="7" xfId="15" applyNumberFormat="1" applyFont="1" applyFill="1" applyBorder="1"/>
    <xf numFmtId="0" fontId="36" fillId="0" borderId="24" xfId="19" applyFont="1" applyFill="1" applyBorder="1"/>
    <xf numFmtId="0" fontId="36" fillId="0" borderId="7" xfId="19" applyFont="1" applyFill="1" applyBorder="1"/>
    <xf numFmtId="0" fontId="36" fillId="0" borderId="7" xfId="19" applyFont="1" applyFill="1" applyBorder="1" applyAlignment="1">
      <alignment vertical="center"/>
    </xf>
    <xf numFmtId="4" fontId="36" fillId="0" borderId="7" xfId="19" applyNumberFormat="1" applyFont="1" applyFill="1" applyBorder="1" applyAlignment="1">
      <alignment vertical="center"/>
    </xf>
    <xf numFmtId="167" fontId="36" fillId="0" borderId="19" xfId="15" applyNumberFormat="1" applyFont="1" applyFill="1" applyBorder="1"/>
    <xf numFmtId="0" fontId="36" fillId="0" borderId="20" xfId="15" applyFont="1" applyFill="1" applyBorder="1"/>
    <xf numFmtId="0" fontId="36" fillId="0" borderId="20" xfId="19" applyFont="1" applyFill="1" applyBorder="1"/>
    <xf numFmtId="4" fontId="36" fillId="0" borderId="20" xfId="19" applyNumberFormat="1" applyFont="1" applyFill="1" applyBorder="1"/>
    <xf numFmtId="0" fontId="36" fillId="0" borderId="20" xfId="19" applyFont="1" applyFill="1" applyBorder="1" applyAlignment="1">
      <alignment vertical="center"/>
    </xf>
    <xf numFmtId="4" fontId="36" fillId="0" borderId="20" xfId="19" applyNumberFormat="1" applyFont="1" applyFill="1" applyBorder="1" applyAlignment="1">
      <alignment vertical="center"/>
    </xf>
    <xf numFmtId="0" fontId="36" fillId="0" borderId="25" xfId="19" applyFont="1" applyFill="1" applyBorder="1"/>
    <xf numFmtId="167" fontId="36" fillId="0" borderId="0" xfId="15" applyNumberFormat="1" applyFont="1" applyFill="1" applyBorder="1"/>
    <xf numFmtId="0" fontId="36" fillId="0" borderId="0" xfId="15" applyFont="1" applyFill="1" applyBorder="1"/>
    <xf numFmtId="0" fontId="33" fillId="0" borderId="0" xfId="15" applyFont="1" applyFill="1" applyBorder="1"/>
    <xf numFmtId="0" fontId="36" fillId="0" borderId="0" xfId="19" applyFont="1" applyFill="1" applyBorder="1"/>
    <xf numFmtId="4" fontId="36" fillId="0" borderId="0" xfId="19" applyNumberFormat="1" applyFont="1" applyFill="1" applyBorder="1"/>
    <xf numFmtId="0" fontId="36" fillId="0" borderId="0" xfId="19" applyFont="1" applyFill="1" applyBorder="1" applyAlignment="1">
      <alignment vertical="center"/>
    </xf>
    <xf numFmtId="4" fontId="36" fillId="0" borderId="0" xfId="19" applyNumberFormat="1" applyFont="1" applyFill="1" applyBorder="1" applyAlignment="1">
      <alignment vertical="center"/>
    </xf>
    <xf numFmtId="0" fontId="36" fillId="0" borderId="0" xfId="20" applyFont="1" applyFill="1"/>
    <xf numFmtId="0" fontId="33" fillId="0" borderId="0" xfId="20" applyFont="1" applyFill="1" applyAlignment="1">
      <alignment vertical="center"/>
    </xf>
    <xf numFmtId="4" fontId="33" fillId="0" borderId="0" xfId="20" applyNumberFormat="1" applyFont="1" applyFill="1" applyAlignment="1">
      <alignment vertical="center"/>
    </xf>
    <xf numFmtId="0" fontId="33" fillId="0" borderId="43" xfId="21" applyFont="1" applyFill="1" applyBorder="1" applyAlignment="1">
      <alignment horizontal="center"/>
    </xf>
    <xf numFmtId="0" fontId="33" fillId="0" borderId="37" xfId="21" applyFont="1" applyFill="1" applyBorder="1" applyAlignment="1">
      <alignment horizontal="center" wrapText="1"/>
    </xf>
    <xf numFmtId="0" fontId="33" fillId="0" borderId="37" xfId="21" applyFont="1" applyFill="1" applyBorder="1" applyAlignment="1">
      <alignment wrapText="1"/>
    </xf>
    <xf numFmtId="0" fontId="36" fillId="0" borderId="37" xfId="21" applyFont="1" applyFill="1" applyBorder="1"/>
    <xf numFmtId="0" fontId="33" fillId="0" borderId="44" xfId="21" applyFont="1" applyFill="1" applyBorder="1" applyAlignment="1">
      <alignment horizontal="center" wrapText="1"/>
    </xf>
    <xf numFmtId="0" fontId="36" fillId="0" borderId="0" xfId="16" applyFont="1" applyFill="1"/>
    <xf numFmtId="167" fontId="36" fillId="0" borderId="7" xfId="16" applyNumberFormat="1" applyFont="1" applyFill="1" applyBorder="1"/>
    <xf numFmtId="0" fontId="36" fillId="0" borderId="7" xfId="16" applyFont="1" applyFill="1" applyBorder="1"/>
    <xf numFmtId="4" fontId="36" fillId="0" borderId="7" xfId="16" applyNumberFormat="1" applyFont="1" applyFill="1" applyBorder="1"/>
    <xf numFmtId="4" fontId="36" fillId="0" borderId="7" xfId="21" applyNumberFormat="1" applyFont="1" applyFill="1" applyBorder="1"/>
    <xf numFmtId="0" fontId="36" fillId="0" borderId="7" xfId="21" applyFont="1" applyFill="1" applyBorder="1"/>
    <xf numFmtId="0" fontId="36" fillId="0" borderId="7" xfId="21" applyFont="1" applyFill="1" applyBorder="1" applyAlignment="1">
      <alignment vertical="center"/>
    </xf>
    <xf numFmtId="4" fontId="36" fillId="0" borderId="7" xfId="21" applyNumberFormat="1" applyFont="1" applyFill="1" applyBorder="1" applyAlignment="1">
      <alignment vertical="center"/>
    </xf>
    <xf numFmtId="4" fontId="33" fillId="0" borderId="7" xfId="16" applyNumberFormat="1" applyFont="1" applyFill="1" applyBorder="1"/>
    <xf numFmtId="0" fontId="27" fillId="0" borderId="0" xfId="3" applyFont="1" applyFill="1"/>
    <xf numFmtId="0" fontId="2" fillId="0" borderId="0" xfId="26" applyFont="1" applyFill="1"/>
    <xf numFmtId="0" fontId="3" fillId="0" borderId="0" xfId="26" applyFont="1" applyFill="1"/>
    <xf numFmtId="0" fontId="27" fillId="0" borderId="0" xfId="3" applyFont="1" applyFill="1" applyAlignment="1">
      <alignment vertical="center"/>
    </xf>
    <xf numFmtId="4" fontId="2" fillId="0" borderId="0" xfId="3" applyNumberFormat="1" applyFont="1" applyFill="1" applyAlignment="1">
      <alignment vertical="center"/>
    </xf>
    <xf numFmtId="0" fontId="2" fillId="0" borderId="0" xfId="3" applyFont="1" applyFill="1" applyAlignment="1">
      <alignment horizontal="right"/>
    </xf>
    <xf numFmtId="4" fontId="2" fillId="0" borderId="0" xfId="27" applyNumberFormat="1" applyFont="1" applyFill="1" applyAlignment="1">
      <alignment vertical="center"/>
    </xf>
    <xf numFmtId="4" fontId="2" fillId="0" borderId="0" xfId="5" applyNumberFormat="1" applyFont="1" applyFill="1" applyBorder="1"/>
    <xf numFmtId="0" fontId="3" fillId="0" borderId="0" xfId="6" applyFont="1" applyFill="1"/>
    <xf numFmtId="0" fontId="2" fillId="0" borderId="43" xfId="6" applyFont="1" applyFill="1" applyBorder="1" applyAlignment="1">
      <alignment horizontal="center"/>
    </xf>
    <xf numFmtId="0" fontId="2" fillId="0" borderId="37" xfId="6" applyFont="1" applyFill="1" applyBorder="1" applyAlignment="1">
      <alignment horizontal="center" wrapText="1"/>
    </xf>
    <xf numFmtId="0" fontId="2" fillId="0" borderId="37" xfId="6" applyFont="1" applyFill="1" applyBorder="1" applyAlignment="1">
      <alignment wrapText="1"/>
    </xf>
    <xf numFmtId="0" fontId="3" fillId="0" borderId="37" xfId="6" applyFont="1" applyFill="1" applyBorder="1"/>
    <xf numFmtId="0" fontId="2" fillId="0" borderId="44" xfId="6" applyFont="1" applyFill="1" applyBorder="1" applyAlignment="1">
      <alignment horizontal="center" wrapText="1"/>
    </xf>
    <xf numFmtId="167" fontId="3" fillId="0" borderId="7" xfId="12" applyNumberFormat="1" applyFont="1" applyFill="1" applyBorder="1"/>
    <xf numFmtId="0" fontId="3" fillId="0" borderId="7" xfId="12" applyFont="1" applyFill="1" applyBorder="1"/>
    <xf numFmtId="4" fontId="3" fillId="0" borderId="7" xfId="12" applyNumberFormat="1" applyFont="1" applyFill="1" applyBorder="1"/>
    <xf numFmtId="2" fontId="3" fillId="0" borderId="7" xfId="6" applyNumberFormat="1" applyFont="1" applyFill="1" applyBorder="1"/>
    <xf numFmtId="0" fontId="3" fillId="0" borderId="7" xfId="6" applyFont="1" applyFill="1" applyBorder="1"/>
    <xf numFmtId="14" fontId="3" fillId="0" borderId="7" xfId="6" applyNumberFormat="1" applyFont="1" applyFill="1" applyBorder="1" applyAlignment="1">
      <alignment horizontal="center"/>
    </xf>
    <xf numFmtId="0" fontId="3" fillId="0" borderId="7" xfId="6" applyFont="1" applyFill="1" applyBorder="1" applyAlignment="1">
      <alignment horizontal="left"/>
    </xf>
    <xf numFmtId="167" fontId="3" fillId="0" borderId="0" xfId="12" applyNumberFormat="1" applyFont="1" applyFill="1" applyBorder="1"/>
    <xf numFmtId="0" fontId="3" fillId="0" borderId="0" xfId="12" applyFont="1" applyFill="1" applyBorder="1"/>
    <xf numFmtId="2" fontId="3" fillId="0" borderId="0" xfId="6" applyNumberFormat="1" applyFont="1" applyFill="1" applyBorder="1"/>
    <xf numFmtId="0" fontId="3" fillId="0" borderId="0" xfId="25" applyNumberFormat="1" applyFont="1" applyFill="1" applyBorder="1"/>
    <xf numFmtId="0" fontId="3" fillId="0" borderId="0" xfId="6" applyFont="1" applyFill="1" applyBorder="1"/>
    <xf numFmtId="0" fontId="3" fillId="0" borderId="0" xfId="6" applyFont="1" applyFill="1" applyBorder="1" applyAlignment="1">
      <alignment horizontal="left"/>
    </xf>
    <xf numFmtId="14" fontId="3" fillId="0" borderId="0" xfId="6" applyNumberFormat="1" applyFont="1" applyFill="1" applyBorder="1" applyAlignment="1">
      <alignment horizontal="center"/>
    </xf>
    <xf numFmtId="0" fontId="2" fillId="0" borderId="0" xfId="23" applyFont="1" applyFill="1"/>
    <xf numFmtId="4" fontId="2" fillId="0" borderId="0" xfId="9" applyNumberFormat="1" applyFont="1" applyFill="1" applyAlignment="1">
      <alignment vertical="center"/>
    </xf>
    <xf numFmtId="4" fontId="2" fillId="0" borderId="0" xfId="9" applyNumberFormat="1" applyFont="1" applyFill="1"/>
    <xf numFmtId="0" fontId="2" fillId="0" borderId="0" xfId="9" applyFont="1" applyFill="1"/>
    <xf numFmtId="4" fontId="2" fillId="0" borderId="0" xfId="9" applyNumberFormat="1" applyFont="1" applyFill="1" applyBorder="1" applyAlignment="1">
      <alignment vertical="center"/>
    </xf>
    <xf numFmtId="4" fontId="2" fillId="0" borderId="0" xfId="23" applyNumberFormat="1" applyFont="1" applyFill="1" applyAlignment="1">
      <alignment vertical="center"/>
    </xf>
    <xf numFmtId="0" fontId="2" fillId="0" borderId="43" xfId="10" applyFont="1" applyFill="1" applyBorder="1" applyAlignment="1">
      <alignment horizontal="center"/>
    </xf>
    <xf numFmtId="0" fontId="2" fillId="0" borderId="37" xfId="10" applyFont="1" applyFill="1" applyBorder="1" applyAlignment="1">
      <alignment horizontal="center" wrapText="1"/>
    </xf>
    <xf numFmtId="0" fontId="2" fillId="0" borderId="37" xfId="10" applyFont="1" applyFill="1" applyBorder="1" applyAlignment="1">
      <alignment wrapText="1"/>
    </xf>
    <xf numFmtId="0" fontId="3" fillId="0" borderId="37" xfId="10" applyFont="1" applyFill="1" applyBorder="1"/>
    <xf numFmtId="0" fontId="43" fillId="0" borderId="37" xfId="10" applyFont="1" applyFill="1" applyBorder="1" applyAlignment="1">
      <alignment horizontal="center" wrapText="1"/>
    </xf>
    <xf numFmtId="0" fontId="2" fillId="0" borderId="44" xfId="10" applyFont="1" applyFill="1" applyBorder="1" applyAlignment="1">
      <alignment horizontal="center" wrapText="1"/>
    </xf>
    <xf numFmtId="0" fontId="3" fillId="0" borderId="0" xfId="10" applyFont="1" applyFill="1"/>
    <xf numFmtId="167" fontId="3" fillId="0" borderId="7" xfId="14" applyNumberFormat="1" applyFont="1" applyFill="1" applyBorder="1"/>
    <xf numFmtId="0" fontId="3" fillId="0" borderId="7" xfId="14" applyFont="1" applyFill="1" applyBorder="1"/>
    <xf numFmtId="4" fontId="3" fillId="0" borderId="7" xfId="14" applyNumberFormat="1" applyFont="1" applyFill="1" applyBorder="1"/>
    <xf numFmtId="0" fontId="3" fillId="0" borderId="24" xfId="19" applyFont="1" applyFill="1" applyBorder="1"/>
    <xf numFmtId="0" fontId="3" fillId="0" borderId="0" xfId="14" applyFont="1" applyFill="1"/>
    <xf numFmtId="0" fontId="3" fillId="0" borderId="7" xfId="0" applyFont="1" applyFill="1" applyBorder="1"/>
    <xf numFmtId="0" fontId="44" fillId="0" borderId="0" xfId="0" applyFont="1" applyFill="1" applyAlignment="1">
      <alignment horizontal="centerContinuous"/>
    </xf>
    <xf numFmtId="0" fontId="45" fillId="0" borderId="0" xfId="0" applyFont="1" applyFill="1" applyAlignment="1">
      <alignment horizontal="centerContinuous"/>
    </xf>
    <xf numFmtId="0" fontId="46" fillId="0" borderId="0" xfId="0" applyFont="1" applyFill="1" applyAlignment="1">
      <alignment horizontal="centerContinuous"/>
    </xf>
    <xf numFmtId="0" fontId="47" fillId="0" borderId="0" xfId="0" applyFont="1" applyFill="1" applyAlignment="1">
      <alignment horizontal="centerContinuous"/>
    </xf>
    <xf numFmtId="14" fontId="46" fillId="0" borderId="0" xfId="0" applyNumberFormat="1" applyFont="1" applyFill="1" applyAlignment="1">
      <alignment horizontal="centerContinuous"/>
    </xf>
    <xf numFmtId="14" fontId="47" fillId="0" borderId="0" xfId="0" applyNumberFormat="1" applyFont="1" applyFill="1" applyAlignment="1">
      <alignment horizontal="centerContinuous"/>
    </xf>
    <xf numFmtId="0" fontId="48" fillId="0" borderId="0" xfId="0" applyFont="1" applyFill="1" applyAlignment="1">
      <alignment vertical="center"/>
    </xf>
    <xf numFmtId="0" fontId="47" fillId="0" borderId="0" xfId="0" applyFont="1" applyFill="1"/>
    <xf numFmtId="4" fontId="48" fillId="0" borderId="0" xfId="0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6" fillId="0" borderId="0" xfId="0" applyFont="1" applyFill="1"/>
    <xf numFmtId="4" fontId="39" fillId="0" borderId="0" xfId="0" applyNumberFormat="1" applyFont="1" applyFill="1" applyAlignment="1">
      <alignment vertical="center"/>
    </xf>
    <xf numFmtId="4" fontId="47" fillId="0" borderId="0" xfId="0" applyNumberFormat="1" applyFont="1" applyFill="1"/>
    <xf numFmtId="4" fontId="46" fillId="0" borderId="0" xfId="0" applyNumberFormat="1" applyFont="1" applyFill="1"/>
    <xf numFmtId="4" fontId="49" fillId="0" borderId="0" xfId="0" applyNumberFormat="1" applyFont="1" applyFill="1" applyAlignment="1">
      <alignment vertical="center"/>
    </xf>
    <xf numFmtId="0" fontId="46" fillId="0" borderId="22" xfId="0" applyFont="1" applyFill="1" applyBorder="1"/>
    <xf numFmtId="4" fontId="50" fillId="0" borderId="0" xfId="0" applyNumberFormat="1" applyFont="1" applyFill="1" applyAlignment="1">
      <alignment vertical="center"/>
    </xf>
    <xf numFmtId="2" fontId="47" fillId="0" borderId="22" xfId="0" applyNumberFormat="1" applyFont="1" applyFill="1" applyBorder="1"/>
    <xf numFmtId="2" fontId="47" fillId="0" borderId="0" xfId="0" applyNumberFormat="1" applyFont="1" applyFill="1"/>
    <xf numFmtId="0" fontId="51" fillId="0" borderId="0" xfId="0" applyFont="1"/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53" fillId="0" borderId="0" xfId="0" applyFont="1"/>
    <xf numFmtId="0" fontId="54" fillId="0" borderId="0" xfId="0" applyFont="1"/>
    <xf numFmtId="4" fontId="53" fillId="0" borderId="0" xfId="0" applyNumberFormat="1" applyFont="1"/>
    <xf numFmtId="4" fontId="51" fillId="0" borderId="0" xfId="0" applyNumberFormat="1" applyFont="1"/>
    <xf numFmtId="14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4" fontId="53" fillId="0" borderId="45" xfId="0" applyNumberFormat="1" applyFont="1" applyBorder="1"/>
    <xf numFmtId="0" fontId="51" fillId="0" borderId="0" xfId="0" applyFont="1" applyBorder="1"/>
    <xf numFmtId="0" fontId="51" fillId="0" borderId="22" xfId="0" applyFont="1" applyBorder="1"/>
    <xf numFmtId="0" fontId="53" fillId="0" borderId="45" xfId="0" applyFont="1" applyBorder="1"/>
    <xf numFmtId="0" fontId="51" fillId="0" borderId="0" xfId="0" applyFont="1" applyAlignment="1">
      <alignment horizontal="center"/>
    </xf>
    <xf numFmtId="0" fontId="53" fillId="0" borderId="0" xfId="0" applyFont="1" applyAlignment="1">
      <alignment horizontal="left"/>
    </xf>
  </cellXfs>
  <cellStyles count="28">
    <cellStyle name="Euro" xfId="1"/>
    <cellStyle name="Normal" xfId="0" builtinId="0"/>
    <cellStyle name="Normal 10" xfId="6"/>
    <cellStyle name="Normal 11" xfId="4"/>
    <cellStyle name="Normal 12" xfId="7"/>
    <cellStyle name="Normal 13" xfId="8"/>
    <cellStyle name="Normal 17" xfId="9"/>
    <cellStyle name="Normal 18" xfId="10"/>
    <cellStyle name="Normal 19" xfId="11"/>
    <cellStyle name="Normal 2" xfId="2"/>
    <cellStyle name="Normal 2 10" xfId="12"/>
    <cellStyle name="Normal 2 12" xfId="13"/>
    <cellStyle name="Normal 2 18" xfId="14"/>
    <cellStyle name="Normal 2 2" xfId="3"/>
    <cellStyle name="Normal 2 20" xfId="15"/>
    <cellStyle name="Normal 2 22" xfId="16"/>
    <cellStyle name="Normal 2 28" xfId="17"/>
    <cellStyle name="Normal 2 3" xfId="18"/>
    <cellStyle name="Normal 20" xfId="19"/>
    <cellStyle name="Normal 21" xfId="20"/>
    <cellStyle name="Normal 22" xfId="21"/>
    <cellStyle name="Normal 23" xfId="22"/>
    <cellStyle name="Normal 29" xfId="23"/>
    <cellStyle name="Normal 3" xfId="24"/>
    <cellStyle name="Normal 4" xfId="25"/>
    <cellStyle name="Normal 7" xfId="5"/>
    <cellStyle name="Normal 8" xfId="26"/>
    <cellStyle name="Normal 9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733425</xdr:colOff>
      <xdr:row>47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 l="30139" t="14429" r="32013" b="13753"/>
        <a:stretch>
          <a:fillRect/>
        </a:stretch>
      </xdr:blipFill>
      <xdr:spPr bwMode="auto">
        <a:xfrm>
          <a:off x="762000" y="485775"/>
          <a:ext cx="5305425" cy="727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676275</xdr:colOff>
      <xdr:row>1</xdr:row>
      <xdr:rowOff>47625</xdr:rowOff>
    </xdr:from>
    <xdr:to>
      <xdr:col>6</xdr:col>
      <xdr:colOff>9525</xdr:colOff>
      <xdr:row>3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438275" y="209550"/>
          <a:ext cx="3143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C" sz="1200" b="1" i="0" strike="noStrike">
              <a:solidFill>
                <a:srgbClr val="000000"/>
              </a:solidFill>
              <a:latin typeface="Arial"/>
              <a:cs typeface="Arial"/>
            </a:rPr>
            <a:t>Anexo No. 10  Solicitud de Préstamos</a:t>
          </a:r>
        </a:p>
        <a:p>
          <a:pPr algn="l" rtl="1">
            <a:defRPr sz="1000"/>
          </a:pPr>
          <a:endParaRPr lang="es-EC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131</xdr:row>
      <xdr:rowOff>0</xdr:rowOff>
    </xdr:from>
    <xdr:to>
      <xdr:col>3</xdr:col>
      <xdr:colOff>304800</xdr:colOff>
      <xdr:row>131</xdr:row>
      <xdr:rowOff>0</xdr:rowOff>
    </xdr:to>
    <xdr:sp macro="" textlink="">
      <xdr:nvSpPr>
        <xdr:cNvPr id="2" name="2 Conector recto"/>
        <xdr:cNvSpPr>
          <a:spLocks noChangeShapeType="1"/>
        </xdr:cNvSpPr>
      </xdr:nvSpPr>
      <xdr:spPr bwMode="auto">
        <a:xfrm>
          <a:off x="3476625" y="212979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131</xdr:row>
      <xdr:rowOff>9525</xdr:rowOff>
    </xdr:from>
    <xdr:to>
      <xdr:col>0</xdr:col>
      <xdr:colOff>1828800</xdr:colOff>
      <xdr:row>131</xdr:row>
      <xdr:rowOff>9525</xdr:rowOff>
    </xdr:to>
    <xdr:sp macro="" textlink="">
      <xdr:nvSpPr>
        <xdr:cNvPr id="3" name="3 Conector recto"/>
        <xdr:cNvSpPr>
          <a:spLocks noChangeShapeType="1"/>
        </xdr:cNvSpPr>
      </xdr:nvSpPr>
      <xdr:spPr bwMode="auto">
        <a:xfrm>
          <a:off x="0" y="2130742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137</xdr:row>
      <xdr:rowOff>152400</xdr:rowOff>
    </xdr:from>
    <xdr:to>
      <xdr:col>0</xdr:col>
      <xdr:colOff>1952625</xdr:colOff>
      <xdr:row>137</xdr:row>
      <xdr:rowOff>152400</xdr:rowOff>
    </xdr:to>
    <xdr:sp macro="" textlink="">
      <xdr:nvSpPr>
        <xdr:cNvPr id="4" name="4 Conector recto"/>
        <xdr:cNvSpPr>
          <a:spLocks noChangeShapeType="1"/>
        </xdr:cNvSpPr>
      </xdr:nvSpPr>
      <xdr:spPr bwMode="auto">
        <a:xfrm>
          <a:off x="123825" y="2242185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3390900</xdr:colOff>
      <xdr:row>138</xdr:row>
      <xdr:rowOff>9525</xdr:rowOff>
    </xdr:from>
    <xdr:to>
      <xdr:col>3</xdr:col>
      <xdr:colOff>295275</xdr:colOff>
      <xdr:row>138</xdr:row>
      <xdr:rowOff>9525</xdr:rowOff>
    </xdr:to>
    <xdr:sp macro="" textlink="">
      <xdr:nvSpPr>
        <xdr:cNvPr id="5" name="5 Conector recto"/>
        <xdr:cNvSpPr>
          <a:spLocks noChangeShapeType="1"/>
        </xdr:cNvSpPr>
      </xdr:nvSpPr>
      <xdr:spPr bwMode="auto">
        <a:xfrm>
          <a:off x="3390900" y="22440900"/>
          <a:ext cx="2114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25"/>
  <sheetViews>
    <sheetView showGridLines="0" zoomScaleSheetLayoutView="100" workbookViewId="0">
      <selection activeCell="E26" sqref="E26"/>
    </sheetView>
  </sheetViews>
  <sheetFormatPr baseColWidth="10" defaultRowHeight="15"/>
  <cols>
    <col min="1" max="1" width="11.42578125" style="219"/>
    <col min="2" max="2" width="8.28515625" style="219" customWidth="1"/>
    <col min="3" max="6" width="11.42578125" style="219"/>
    <col min="7" max="8" width="0" style="219" hidden="1" customWidth="1"/>
    <col min="9" max="9" width="10.5703125" style="219" customWidth="1"/>
    <col min="10" max="10" width="11.42578125" style="219"/>
    <col min="11" max="11" width="9.28515625" style="219" customWidth="1"/>
    <col min="12" max="12" width="6.28515625" style="219" customWidth="1"/>
    <col min="13" max="13" width="13.140625" style="219" customWidth="1"/>
    <col min="14" max="14" width="16.7109375" style="219" customWidth="1"/>
    <col min="15" max="257" width="11.42578125" style="219"/>
    <col min="258" max="258" width="8.28515625" style="219" customWidth="1"/>
    <col min="259" max="262" width="11.42578125" style="219"/>
    <col min="263" max="264" width="0" style="219" hidden="1" customWidth="1"/>
    <col min="265" max="265" width="10.5703125" style="219" customWidth="1"/>
    <col min="266" max="266" width="11.42578125" style="219"/>
    <col min="267" max="267" width="9.28515625" style="219" customWidth="1"/>
    <col min="268" max="268" width="6.28515625" style="219" customWidth="1"/>
    <col min="269" max="269" width="13.140625" style="219" customWidth="1"/>
    <col min="270" max="270" width="16.7109375" style="219" customWidth="1"/>
    <col min="271" max="513" width="11.42578125" style="219"/>
    <col min="514" max="514" width="8.28515625" style="219" customWidth="1"/>
    <col min="515" max="518" width="11.42578125" style="219"/>
    <col min="519" max="520" width="0" style="219" hidden="1" customWidth="1"/>
    <col min="521" max="521" width="10.5703125" style="219" customWidth="1"/>
    <col min="522" max="522" width="11.42578125" style="219"/>
    <col min="523" max="523" width="9.28515625" style="219" customWidth="1"/>
    <col min="524" max="524" width="6.28515625" style="219" customWidth="1"/>
    <col min="525" max="525" width="13.140625" style="219" customWidth="1"/>
    <col min="526" max="526" width="16.7109375" style="219" customWidth="1"/>
    <col min="527" max="769" width="11.42578125" style="219"/>
    <col min="770" max="770" width="8.28515625" style="219" customWidth="1"/>
    <col min="771" max="774" width="11.42578125" style="219"/>
    <col min="775" max="776" width="0" style="219" hidden="1" customWidth="1"/>
    <col min="777" max="777" width="10.5703125" style="219" customWidth="1"/>
    <col min="778" max="778" width="11.42578125" style="219"/>
    <col min="779" max="779" width="9.28515625" style="219" customWidth="1"/>
    <col min="780" max="780" width="6.28515625" style="219" customWidth="1"/>
    <col min="781" max="781" width="13.140625" style="219" customWidth="1"/>
    <col min="782" max="782" width="16.7109375" style="219" customWidth="1"/>
    <col min="783" max="1025" width="11.42578125" style="219"/>
    <col min="1026" max="1026" width="8.28515625" style="219" customWidth="1"/>
    <col min="1027" max="1030" width="11.42578125" style="219"/>
    <col min="1031" max="1032" width="0" style="219" hidden="1" customWidth="1"/>
    <col min="1033" max="1033" width="10.5703125" style="219" customWidth="1"/>
    <col min="1034" max="1034" width="11.42578125" style="219"/>
    <col min="1035" max="1035" width="9.28515625" style="219" customWidth="1"/>
    <col min="1036" max="1036" width="6.28515625" style="219" customWidth="1"/>
    <col min="1037" max="1037" width="13.140625" style="219" customWidth="1"/>
    <col min="1038" max="1038" width="16.7109375" style="219" customWidth="1"/>
    <col min="1039" max="1281" width="11.42578125" style="219"/>
    <col min="1282" max="1282" width="8.28515625" style="219" customWidth="1"/>
    <col min="1283" max="1286" width="11.42578125" style="219"/>
    <col min="1287" max="1288" width="0" style="219" hidden="1" customWidth="1"/>
    <col min="1289" max="1289" width="10.5703125" style="219" customWidth="1"/>
    <col min="1290" max="1290" width="11.42578125" style="219"/>
    <col min="1291" max="1291" width="9.28515625" style="219" customWidth="1"/>
    <col min="1292" max="1292" width="6.28515625" style="219" customWidth="1"/>
    <col min="1293" max="1293" width="13.140625" style="219" customWidth="1"/>
    <col min="1294" max="1294" width="16.7109375" style="219" customWidth="1"/>
    <col min="1295" max="1537" width="11.42578125" style="219"/>
    <col min="1538" max="1538" width="8.28515625" style="219" customWidth="1"/>
    <col min="1539" max="1542" width="11.42578125" style="219"/>
    <col min="1543" max="1544" width="0" style="219" hidden="1" customWidth="1"/>
    <col min="1545" max="1545" width="10.5703125" style="219" customWidth="1"/>
    <col min="1546" max="1546" width="11.42578125" style="219"/>
    <col min="1547" max="1547" width="9.28515625" style="219" customWidth="1"/>
    <col min="1548" max="1548" width="6.28515625" style="219" customWidth="1"/>
    <col min="1549" max="1549" width="13.140625" style="219" customWidth="1"/>
    <col min="1550" max="1550" width="16.7109375" style="219" customWidth="1"/>
    <col min="1551" max="1793" width="11.42578125" style="219"/>
    <col min="1794" max="1794" width="8.28515625" style="219" customWidth="1"/>
    <col min="1795" max="1798" width="11.42578125" style="219"/>
    <col min="1799" max="1800" width="0" style="219" hidden="1" customWidth="1"/>
    <col min="1801" max="1801" width="10.5703125" style="219" customWidth="1"/>
    <col min="1802" max="1802" width="11.42578125" style="219"/>
    <col min="1803" max="1803" width="9.28515625" style="219" customWidth="1"/>
    <col min="1804" max="1804" width="6.28515625" style="219" customWidth="1"/>
    <col min="1805" max="1805" width="13.140625" style="219" customWidth="1"/>
    <col min="1806" max="1806" width="16.7109375" style="219" customWidth="1"/>
    <col min="1807" max="2049" width="11.42578125" style="219"/>
    <col min="2050" max="2050" width="8.28515625" style="219" customWidth="1"/>
    <col min="2051" max="2054" width="11.42578125" style="219"/>
    <col min="2055" max="2056" width="0" style="219" hidden="1" customWidth="1"/>
    <col min="2057" max="2057" width="10.5703125" style="219" customWidth="1"/>
    <col min="2058" max="2058" width="11.42578125" style="219"/>
    <col min="2059" max="2059" width="9.28515625" style="219" customWidth="1"/>
    <col min="2060" max="2060" width="6.28515625" style="219" customWidth="1"/>
    <col min="2061" max="2061" width="13.140625" style="219" customWidth="1"/>
    <col min="2062" max="2062" width="16.7109375" style="219" customWidth="1"/>
    <col min="2063" max="2305" width="11.42578125" style="219"/>
    <col min="2306" max="2306" width="8.28515625" style="219" customWidth="1"/>
    <col min="2307" max="2310" width="11.42578125" style="219"/>
    <col min="2311" max="2312" width="0" style="219" hidden="1" customWidth="1"/>
    <col min="2313" max="2313" width="10.5703125" style="219" customWidth="1"/>
    <col min="2314" max="2314" width="11.42578125" style="219"/>
    <col min="2315" max="2315" width="9.28515625" style="219" customWidth="1"/>
    <col min="2316" max="2316" width="6.28515625" style="219" customWidth="1"/>
    <col min="2317" max="2317" width="13.140625" style="219" customWidth="1"/>
    <col min="2318" max="2318" width="16.7109375" style="219" customWidth="1"/>
    <col min="2319" max="2561" width="11.42578125" style="219"/>
    <col min="2562" max="2562" width="8.28515625" style="219" customWidth="1"/>
    <col min="2563" max="2566" width="11.42578125" style="219"/>
    <col min="2567" max="2568" width="0" style="219" hidden="1" customWidth="1"/>
    <col min="2569" max="2569" width="10.5703125" style="219" customWidth="1"/>
    <col min="2570" max="2570" width="11.42578125" style="219"/>
    <col min="2571" max="2571" width="9.28515625" style="219" customWidth="1"/>
    <col min="2572" max="2572" width="6.28515625" style="219" customWidth="1"/>
    <col min="2573" max="2573" width="13.140625" style="219" customWidth="1"/>
    <col min="2574" max="2574" width="16.7109375" style="219" customWidth="1"/>
    <col min="2575" max="2817" width="11.42578125" style="219"/>
    <col min="2818" max="2818" width="8.28515625" style="219" customWidth="1"/>
    <col min="2819" max="2822" width="11.42578125" style="219"/>
    <col min="2823" max="2824" width="0" style="219" hidden="1" customWidth="1"/>
    <col min="2825" max="2825" width="10.5703125" style="219" customWidth="1"/>
    <col min="2826" max="2826" width="11.42578125" style="219"/>
    <col min="2827" max="2827" width="9.28515625" style="219" customWidth="1"/>
    <col min="2828" max="2828" width="6.28515625" style="219" customWidth="1"/>
    <col min="2829" max="2829" width="13.140625" style="219" customWidth="1"/>
    <col min="2830" max="2830" width="16.7109375" style="219" customWidth="1"/>
    <col min="2831" max="3073" width="11.42578125" style="219"/>
    <col min="3074" max="3074" width="8.28515625" style="219" customWidth="1"/>
    <col min="3075" max="3078" width="11.42578125" style="219"/>
    <col min="3079" max="3080" width="0" style="219" hidden="1" customWidth="1"/>
    <col min="3081" max="3081" width="10.5703125" style="219" customWidth="1"/>
    <col min="3082" max="3082" width="11.42578125" style="219"/>
    <col min="3083" max="3083" width="9.28515625" style="219" customWidth="1"/>
    <col min="3084" max="3084" width="6.28515625" style="219" customWidth="1"/>
    <col min="3085" max="3085" width="13.140625" style="219" customWidth="1"/>
    <col min="3086" max="3086" width="16.7109375" style="219" customWidth="1"/>
    <col min="3087" max="3329" width="11.42578125" style="219"/>
    <col min="3330" max="3330" width="8.28515625" style="219" customWidth="1"/>
    <col min="3331" max="3334" width="11.42578125" style="219"/>
    <col min="3335" max="3336" width="0" style="219" hidden="1" customWidth="1"/>
    <col min="3337" max="3337" width="10.5703125" style="219" customWidth="1"/>
    <col min="3338" max="3338" width="11.42578125" style="219"/>
    <col min="3339" max="3339" width="9.28515625" style="219" customWidth="1"/>
    <col min="3340" max="3340" width="6.28515625" style="219" customWidth="1"/>
    <col min="3341" max="3341" width="13.140625" style="219" customWidth="1"/>
    <col min="3342" max="3342" width="16.7109375" style="219" customWidth="1"/>
    <col min="3343" max="3585" width="11.42578125" style="219"/>
    <col min="3586" max="3586" width="8.28515625" style="219" customWidth="1"/>
    <col min="3587" max="3590" width="11.42578125" style="219"/>
    <col min="3591" max="3592" width="0" style="219" hidden="1" customWidth="1"/>
    <col min="3593" max="3593" width="10.5703125" style="219" customWidth="1"/>
    <col min="3594" max="3594" width="11.42578125" style="219"/>
    <col min="3595" max="3595" width="9.28515625" style="219" customWidth="1"/>
    <col min="3596" max="3596" width="6.28515625" style="219" customWidth="1"/>
    <col min="3597" max="3597" width="13.140625" style="219" customWidth="1"/>
    <col min="3598" max="3598" width="16.7109375" style="219" customWidth="1"/>
    <col min="3599" max="3841" width="11.42578125" style="219"/>
    <col min="3842" max="3842" width="8.28515625" style="219" customWidth="1"/>
    <col min="3843" max="3846" width="11.42578125" style="219"/>
    <col min="3847" max="3848" width="0" style="219" hidden="1" customWidth="1"/>
    <col min="3849" max="3849" width="10.5703125" style="219" customWidth="1"/>
    <col min="3850" max="3850" width="11.42578125" style="219"/>
    <col min="3851" max="3851" width="9.28515625" style="219" customWidth="1"/>
    <col min="3852" max="3852" width="6.28515625" style="219" customWidth="1"/>
    <col min="3853" max="3853" width="13.140625" style="219" customWidth="1"/>
    <col min="3854" max="3854" width="16.7109375" style="219" customWidth="1"/>
    <col min="3855" max="4097" width="11.42578125" style="219"/>
    <col min="4098" max="4098" width="8.28515625" style="219" customWidth="1"/>
    <col min="4099" max="4102" width="11.42578125" style="219"/>
    <col min="4103" max="4104" width="0" style="219" hidden="1" customWidth="1"/>
    <col min="4105" max="4105" width="10.5703125" style="219" customWidth="1"/>
    <col min="4106" max="4106" width="11.42578125" style="219"/>
    <col min="4107" max="4107" width="9.28515625" style="219" customWidth="1"/>
    <col min="4108" max="4108" width="6.28515625" style="219" customWidth="1"/>
    <col min="4109" max="4109" width="13.140625" style="219" customWidth="1"/>
    <col min="4110" max="4110" width="16.7109375" style="219" customWidth="1"/>
    <col min="4111" max="4353" width="11.42578125" style="219"/>
    <col min="4354" max="4354" width="8.28515625" style="219" customWidth="1"/>
    <col min="4355" max="4358" width="11.42578125" style="219"/>
    <col min="4359" max="4360" width="0" style="219" hidden="1" customWidth="1"/>
    <col min="4361" max="4361" width="10.5703125" style="219" customWidth="1"/>
    <col min="4362" max="4362" width="11.42578125" style="219"/>
    <col min="4363" max="4363" width="9.28515625" style="219" customWidth="1"/>
    <col min="4364" max="4364" width="6.28515625" style="219" customWidth="1"/>
    <col min="4365" max="4365" width="13.140625" style="219" customWidth="1"/>
    <col min="4366" max="4366" width="16.7109375" style="219" customWidth="1"/>
    <col min="4367" max="4609" width="11.42578125" style="219"/>
    <col min="4610" max="4610" width="8.28515625" style="219" customWidth="1"/>
    <col min="4611" max="4614" width="11.42578125" style="219"/>
    <col min="4615" max="4616" width="0" style="219" hidden="1" customWidth="1"/>
    <col min="4617" max="4617" width="10.5703125" style="219" customWidth="1"/>
    <col min="4618" max="4618" width="11.42578125" style="219"/>
    <col min="4619" max="4619" width="9.28515625" style="219" customWidth="1"/>
    <col min="4620" max="4620" width="6.28515625" style="219" customWidth="1"/>
    <col min="4621" max="4621" width="13.140625" style="219" customWidth="1"/>
    <col min="4622" max="4622" width="16.7109375" style="219" customWidth="1"/>
    <col min="4623" max="4865" width="11.42578125" style="219"/>
    <col min="4866" max="4866" width="8.28515625" style="219" customWidth="1"/>
    <col min="4867" max="4870" width="11.42578125" style="219"/>
    <col min="4871" max="4872" width="0" style="219" hidden="1" customWidth="1"/>
    <col min="4873" max="4873" width="10.5703125" style="219" customWidth="1"/>
    <col min="4874" max="4874" width="11.42578125" style="219"/>
    <col min="4875" max="4875" width="9.28515625" style="219" customWidth="1"/>
    <col min="4876" max="4876" width="6.28515625" style="219" customWidth="1"/>
    <col min="4877" max="4877" width="13.140625" style="219" customWidth="1"/>
    <col min="4878" max="4878" width="16.7109375" style="219" customWidth="1"/>
    <col min="4879" max="5121" width="11.42578125" style="219"/>
    <col min="5122" max="5122" width="8.28515625" style="219" customWidth="1"/>
    <col min="5123" max="5126" width="11.42578125" style="219"/>
    <col min="5127" max="5128" width="0" style="219" hidden="1" customWidth="1"/>
    <col min="5129" max="5129" width="10.5703125" style="219" customWidth="1"/>
    <col min="5130" max="5130" width="11.42578125" style="219"/>
    <col min="5131" max="5131" width="9.28515625" style="219" customWidth="1"/>
    <col min="5132" max="5132" width="6.28515625" style="219" customWidth="1"/>
    <col min="5133" max="5133" width="13.140625" style="219" customWidth="1"/>
    <col min="5134" max="5134" width="16.7109375" style="219" customWidth="1"/>
    <col min="5135" max="5377" width="11.42578125" style="219"/>
    <col min="5378" max="5378" width="8.28515625" style="219" customWidth="1"/>
    <col min="5379" max="5382" width="11.42578125" style="219"/>
    <col min="5383" max="5384" width="0" style="219" hidden="1" customWidth="1"/>
    <col min="5385" max="5385" width="10.5703125" style="219" customWidth="1"/>
    <col min="5386" max="5386" width="11.42578125" style="219"/>
    <col min="5387" max="5387" width="9.28515625" style="219" customWidth="1"/>
    <col min="5388" max="5388" width="6.28515625" style="219" customWidth="1"/>
    <col min="5389" max="5389" width="13.140625" style="219" customWidth="1"/>
    <col min="5390" max="5390" width="16.7109375" style="219" customWidth="1"/>
    <col min="5391" max="5633" width="11.42578125" style="219"/>
    <col min="5634" max="5634" width="8.28515625" style="219" customWidth="1"/>
    <col min="5635" max="5638" width="11.42578125" style="219"/>
    <col min="5639" max="5640" width="0" style="219" hidden="1" customWidth="1"/>
    <col min="5641" max="5641" width="10.5703125" style="219" customWidth="1"/>
    <col min="5642" max="5642" width="11.42578125" style="219"/>
    <col min="5643" max="5643" width="9.28515625" style="219" customWidth="1"/>
    <col min="5644" max="5644" width="6.28515625" style="219" customWidth="1"/>
    <col min="5645" max="5645" width="13.140625" style="219" customWidth="1"/>
    <col min="5646" max="5646" width="16.7109375" style="219" customWidth="1"/>
    <col min="5647" max="5889" width="11.42578125" style="219"/>
    <col min="5890" max="5890" width="8.28515625" style="219" customWidth="1"/>
    <col min="5891" max="5894" width="11.42578125" style="219"/>
    <col min="5895" max="5896" width="0" style="219" hidden="1" customWidth="1"/>
    <col min="5897" max="5897" width="10.5703125" style="219" customWidth="1"/>
    <col min="5898" max="5898" width="11.42578125" style="219"/>
    <col min="5899" max="5899" width="9.28515625" style="219" customWidth="1"/>
    <col min="5900" max="5900" width="6.28515625" style="219" customWidth="1"/>
    <col min="5901" max="5901" width="13.140625" style="219" customWidth="1"/>
    <col min="5902" max="5902" width="16.7109375" style="219" customWidth="1"/>
    <col min="5903" max="6145" width="11.42578125" style="219"/>
    <col min="6146" max="6146" width="8.28515625" style="219" customWidth="1"/>
    <col min="6147" max="6150" width="11.42578125" style="219"/>
    <col min="6151" max="6152" width="0" style="219" hidden="1" customWidth="1"/>
    <col min="6153" max="6153" width="10.5703125" style="219" customWidth="1"/>
    <col min="6154" max="6154" width="11.42578125" style="219"/>
    <col min="6155" max="6155" width="9.28515625" style="219" customWidth="1"/>
    <col min="6156" max="6156" width="6.28515625" style="219" customWidth="1"/>
    <col min="6157" max="6157" width="13.140625" style="219" customWidth="1"/>
    <col min="6158" max="6158" width="16.7109375" style="219" customWidth="1"/>
    <col min="6159" max="6401" width="11.42578125" style="219"/>
    <col min="6402" max="6402" width="8.28515625" style="219" customWidth="1"/>
    <col min="6403" max="6406" width="11.42578125" style="219"/>
    <col min="6407" max="6408" width="0" style="219" hidden="1" customWidth="1"/>
    <col min="6409" max="6409" width="10.5703125" style="219" customWidth="1"/>
    <col min="6410" max="6410" width="11.42578125" style="219"/>
    <col min="6411" max="6411" width="9.28515625" style="219" customWidth="1"/>
    <col min="6412" max="6412" width="6.28515625" style="219" customWidth="1"/>
    <col min="6413" max="6413" width="13.140625" style="219" customWidth="1"/>
    <col min="6414" max="6414" width="16.7109375" style="219" customWidth="1"/>
    <col min="6415" max="6657" width="11.42578125" style="219"/>
    <col min="6658" max="6658" width="8.28515625" style="219" customWidth="1"/>
    <col min="6659" max="6662" width="11.42578125" style="219"/>
    <col min="6663" max="6664" width="0" style="219" hidden="1" customWidth="1"/>
    <col min="6665" max="6665" width="10.5703125" style="219" customWidth="1"/>
    <col min="6666" max="6666" width="11.42578125" style="219"/>
    <col min="6667" max="6667" width="9.28515625" style="219" customWidth="1"/>
    <col min="6668" max="6668" width="6.28515625" style="219" customWidth="1"/>
    <col min="6669" max="6669" width="13.140625" style="219" customWidth="1"/>
    <col min="6670" max="6670" width="16.7109375" style="219" customWidth="1"/>
    <col min="6671" max="6913" width="11.42578125" style="219"/>
    <col min="6914" max="6914" width="8.28515625" style="219" customWidth="1"/>
    <col min="6915" max="6918" width="11.42578125" style="219"/>
    <col min="6919" max="6920" width="0" style="219" hidden="1" customWidth="1"/>
    <col min="6921" max="6921" width="10.5703125" style="219" customWidth="1"/>
    <col min="6922" max="6922" width="11.42578125" style="219"/>
    <col min="6923" max="6923" width="9.28515625" style="219" customWidth="1"/>
    <col min="6924" max="6924" width="6.28515625" style="219" customWidth="1"/>
    <col min="6925" max="6925" width="13.140625" style="219" customWidth="1"/>
    <col min="6926" max="6926" width="16.7109375" style="219" customWidth="1"/>
    <col min="6927" max="7169" width="11.42578125" style="219"/>
    <col min="7170" max="7170" width="8.28515625" style="219" customWidth="1"/>
    <col min="7171" max="7174" width="11.42578125" style="219"/>
    <col min="7175" max="7176" width="0" style="219" hidden="1" customWidth="1"/>
    <col min="7177" max="7177" width="10.5703125" style="219" customWidth="1"/>
    <col min="7178" max="7178" width="11.42578125" style="219"/>
    <col min="7179" max="7179" width="9.28515625" style="219" customWidth="1"/>
    <col min="7180" max="7180" width="6.28515625" style="219" customWidth="1"/>
    <col min="7181" max="7181" width="13.140625" style="219" customWidth="1"/>
    <col min="7182" max="7182" width="16.7109375" style="219" customWidth="1"/>
    <col min="7183" max="7425" width="11.42578125" style="219"/>
    <col min="7426" max="7426" width="8.28515625" style="219" customWidth="1"/>
    <col min="7427" max="7430" width="11.42578125" style="219"/>
    <col min="7431" max="7432" width="0" style="219" hidden="1" customWidth="1"/>
    <col min="7433" max="7433" width="10.5703125" style="219" customWidth="1"/>
    <col min="7434" max="7434" width="11.42578125" style="219"/>
    <col min="7435" max="7435" width="9.28515625" style="219" customWidth="1"/>
    <col min="7436" max="7436" width="6.28515625" style="219" customWidth="1"/>
    <col min="7437" max="7437" width="13.140625" style="219" customWidth="1"/>
    <col min="7438" max="7438" width="16.7109375" style="219" customWidth="1"/>
    <col min="7439" max="7681" width="11.42578125" style="219"/>
    <col min="7682" max="7682" width="8.28515625" style="219" customWidth="1"/>
    <col min="7683" max="7686" width="11.42578125" style="219"/>
    <col min="7687" max="7688" width="0" style="219" hidden="1" customWidth="1"/>
    <col min="7689" max="7689" width="10.5703125" style="219" customWidth="1"/>
    <col min="7690" max="7690" width="11.42578125" style="219"/>
    <col min="7691" max="7691" width="9.28515625" style="219" customWidth="1"/>
    <col min="7692" max="7692" width="6.28515625" style="219" customWidth="1"/>
    <col min="7693" max="7693" width="13.140625" style="219" customWidth="1"/>
    <col min="7694" max="7694" width="16.7109375" style="219" customWidth="1"/>
    <col min="7695" max="7937" width="11.42578125" style="219"/>
    <col min="7938" max="7938" width="8.28515625" style="219" customWidth="1"/>
    <col min="7939" max="7942" width="11.42578125" style="219"/>
    <col min="7943" max="7944" width="0" style="219" hidden="1" customWidth="1"/>
    <col min="7945" max="7945" width="10.5703125" style="219" customWidth="1"/>
    <col min="7946" max="7946" width="11.42578125" style="219"/>
    <col min="7947" max="7947" width="9.28515625" style="219" customWidth="1"/>
    <col min="7948" max="7948" width="6.28515625" style="219" customWidth="1"/>
    <col min="7949" max="7949" width="13.140625" style="219" customWidth="1"/>
    <col min="7950" max="7950" width="16.7109375" style="219" customWidth="1"/>
    <col min="7951" max="8193" width="11.42578125" style="219"/>
    <col min="8194" max="8194" width="8.28515625" style="219" customWidth="1"/>
    <col min="8195" max="8198" width="11.42578125" style="219"/>
    <col min="8199" max="8200" width="0" style="219" hidden="1" customWidth="1"/>
    <col min="8201" max="8201" width="10.5703125" style="219" customWidth="1"/>
    <col min="8202" max="8202" width="11.42578125" style="219"/>
    <col min="8203" max="8203" width="9.28515625" style="219" customWidth="1"/>
    <col min="8204" max="8204" width="6.28515625" style="219" customWidth="1"/>
    <col min="8205" max="8205" width="13.140625" style="219" customWidth="1"/>
    <col min="8206" max="8206" width="16.7109375" style="219" customWidth="1"/>
    <col min="8207" max="8449" width="11.42578125" style="219"/>
    <col min="8450" max="8450" width="8.28515625" style="219" customWidth="1"/>
    <col min="8451" max="8454" width="11.42578125" style="219"/>
    <col min="8455" max="8456" width="0" style="219" hidden="1" customWidth="1"/>
    <col min="8457" max="8457" width="10.5703125" style="219" customWidth="1"/>
    <col min="8458" max="8458" width="11.42578125" style="219"/>
    <col min="8459" max="8459" width="9.28515625" style="219" customWidth="1"/>
    <col min="8460" max="8460" width="6.28515625" style="219" customWidth="1"/>
    <col min="8461" max="8461" width="13.140625" style="219" customWidth="1"/>
    <col min="8462" max="8462" width="16.7109375" style="219" customWidth="1"/>
    <col min="8463" max="8705" width="11.42578125" style="219"/>
    <col min="8706" max="8706" width="8.28515625" style="219" customWidth="1"/>
    <col min="8707" max="8710" width="11.42578125" style="219"/>
    <col min="8711" max="8712" width="0" style="219" hidden="1" customWidth="1"/>
    <col min="8713" max="8713" width="10.5703125" style="219" customWidth="1"/>
    <col min="8714" max="8714" width="11.42578125" style="219"/>
    <col min="8715" max="8715" width="9.28515625" style="219" customWidth="1"/>
    <col min="8716" max="8716" width="6.28515625" style="219" customWidth="1"/>
    <col min="8717" max="8717" width="13.140625" style="219" customWidth="1"/>
    <col min="8718" max="8718" width="16.7109375" style="219" customWidth="1"/>
    <col min="8719" max="8961" width="11.42578125" style="219"/>
    <col min="8962" max="8962" width="8.28515625" style="219" customWidth="1"/>
    <col min="8963" max="8966" width="11.42578125" style="219"/>
    <col min="8967" max="8968" width="0" style="219" hidden="1" customWidth="1"/>
    <col min="8969" max="8969" width="10.5703125" style="219" customWidth="1"/>
    <col min="8970" max="8970" width="11.42578125" style="219"/>
    <col min="8971" max="8971" width="9.28515625" style="219" customWidth="1"/>
    <col min="8972" max="8972" width="6.28515625" style="219" customWidth="1"/>
    <col min="8973" max="8973" width="13.140625" style="219" customWidth="1"/>
    <col min="8974" max="8974" width="16.7109375" style="219" customWidth="1"/>
    <col min="8975" max="9217" width="11.42578125" style="219"/>
    <col min="9218" max="9218" width="8.28515625" style="219" customWidth="1"/>
    <col min="9219" max="9222" width="11.42578125" style="219"/>
    <col min="9223" max="9224" width="0" style="219" hidden="1" customWidth="1"/>
    <col min="9225" max="9225" width="10.5703125" style="219" customWidth="1"/>
    <col min="9226" max="9226" width="11.42578125" style="219"/>
    <col min="9227" max="9227" width="9.28515625" style="219" customWidth="1"/>
    <col min="9228" max="9228" width="6.28515625" style="219" customWidth="1"/>
    <col min="9229" max="9229" width="13.140625" style="219" customWidth="1"/>
    <col min="9230" max="9230" width="16.7109375" style="219" customWidth="1"/>
    <col min="9231" max="9473" width="11.42578125" style="219"/>
    <col min="9474" max="9474" width="8.28515625" style="219" customWidth="1"/>
    <col min="9475" max="9478" width="11.42578125" style="219"/>
    <col min="9479" max="9480" width="0" style="219" hidden="1" customWidth="1"/>
    <col min="9481" max="9481" width="10.5703125" style="219" customWidth="1"/>
    <col min="9482" max="9482" width="11.42578125" style="219"/>
    <col min="9483" max="9483" width="9.28515625" style="219" customWidth="1"/>
    <col min="9484" max="9484" width="6.28515625" style="219" customWidth="1"/>
    <col min="9485" max="9485" width="13.140625" style="219" customWidth="1"/>
    <col min="9486" max="9486" width="16.7109375" style="219" customWidth="1"/>
    <col min="9487" max="9729" width="11.42578125" style="219"/>
    <col min="9730" max="9730" width="8.28515625" style="219" customWidth="1"/>
    <col min="9731" max="9734" width="11.42578125" style="219"/>
    <col min="9735" max="9736" width="0" style="219" hidden="1" customWidth="1"/>
    <col min="9737" max="9737" width="10.5703125" style="219" customWidth="1"/>
    <col min="9738" max="9738" width="11.42578125" style="219"/>
    <col min="9739" max="9739" width="9.28515625" style="219" customWidth="1"/>
    <col min="9740" max="9740" width="6.28515625" style="219" customWidth="1"/>
    <col min="9741" max="9741" width="13.140625" style="219" customWidth="1"/>
    <col min="9742" max="9742" width="16.7109375" style="219" customWidth="1"/>
    <col min="9743" max="9985" width="11.42578125" style="219"/>
    <col min="9986" max="9986" width="8.28515625" style="219" customWidth="1"/>
    <col min="9987" max="9990" width="11.42578125" style="219"/>
    <col min="9991" max="9992" width="0" style="219" hidden="1" customWidth="1"/>
    <col min="9993" max="9993" width="10.5703125" style="219" customWidth="1"/>
    <col min="9994" max="9994" width="11.42578125" style="219"/>
    <col min="9995" max="9995" width="9.28515625" style="219" customWidth="1"/>
    <col min="9996" max="9996" width="6.28515625" style="219" customWidth="1"/>
    <col min="9997" max="9997" width="13.140625" style="219" customWidth="1"/>
    <col min="9998" max="9998" width="16.7109375" style="219" customWidth="1"/>
    <col min="9999" max="10241" width="11.42578125" style="219"/>
    <col min="10242" max="10242" width="8.28515625" style="219" customWidth="1"/>
    <col min="10243" max="10246" width="11.42578125" style="219"/>
    <col min="10247" max="10248" width="0" style="219" hidden="1" customWidth="1"/>
    <col min="10249" max="10249" width="10.5703125" style="219" customWidth="1"/>
    <col min="10250" max="10250" width="11.42578125" style="219"/>
    <col min="10251" max="10251" width="9.28515625" style="219" customWidth="1"/>
    <col min="10252" max="10252" width="6.28515625" style="219" customWidth="1"/>
    <col min="10253" max="10253" width="13.140625" style="219" customWidth="1"/>
    <col min="10254" max="10254" width="16.7109375" style="219" customWidth="1"/>
    <col min="10255" max="10497" width="11.42578125" style="219"/>
    <col min="10498" max="10498" width="8.28515625" style="219" customWidth="1"/>
    <col min="10499" max="10502" width="11.42578125" style="219"/>
    <col min="10503" max="10504" width="0" style="219" hidden="1" customWidth="1"/>
    <col min="10505" max="10505" width="10.5703125" style="219" customWidth="1"/>
    <col min="10506" max="10506" width="11.42578125" style="219"/>
    <col min="10507" max="10507" width="9.28515625" style="219" customWidth="1"/>
    <col min="10508" max="10508" width="6.28515625" style="219" customWidth="1"/>
    <col min="10509" max="10509" width="13.140625" style="219" customWidth="1"/>
    <col min="10510" max="10510" width="16.7109375" style="219" customWidth="1"/>
    <col min="10511" max="10753" width="11.42578125" style="219"/>
    <col min="10754" max="10754" width="8.28515625" style="219" customWidth="1"/>
    <col min="10755" max="10758" width="11.42578125" style="219"/>
    <col min="10759" max="10760" width="0" style="219" hidden="1" customWidth="1"/>
    <col min="10761" max="10761" width="10.5703125" style="219" customWidth="1"/>
    <col min="10762" max="10762" width="11.42578125" style="219"/>
    <col min="10763" max="10763" width="9.28515625" style="219" customWidth="1"/>
    <col min="10764" max="10764" width="6.28515625" style="219" customWidth="1"/>
    <col min="10765" max="10765" width="13.140625" style="219" customWidth="1"/>
    <col min="10766" max="10766" width="16.7109375" style="219" customWidth="1"/>
    <col min="10767" max="11009" width="11.42578125" style="219"/>
    <col min="11010" max="11010" width="8.28515625" style="219" customWidth="1"/>
    <col min="11011" max="11014" width="11.42578125" style="219"/>
    <col min="11015" max="11016" width="0" style="219" hidden="1" customWidth="1"/>
    <col min="11017" max="11017" width="10.5703125" style="219" customWidth="1"/>
    <col min="11018" max="11018" width="11.42578125" style="219"/>
    <col min="11019" max="11019" width="9.28515625" style="219" customWidth="1"/>
    <col min="11020" max="11020" width="6.28515625" style="219" customWidth="1"/>
    <col min="11021" max="11021" width="13.140625" style="219" customWidth="1"/>
    <col min="11022" max="11022" width="16.7109375" style="219" customWidth="1"/>
    <col min="11023" max="11265" width="11.42578125" style="219"/>
    <col min="11266" max="11266" width="8.28515625" style="219" customWidth="1"/>
    <col min="11267" max="11270" width="11.42578125" style="219"/>
    <col min="11271" max="11272" width="0" style="219" hidden="1" customWidth="1"/>
    <col min="11273" max="11273" width="10.5703125" style="219" customWidth="1"/>
    <col min="11274" max="11274" width="11.42578125" style="219"/>
    <col min="11275" max="11275" width="9.28515625" style="219" customWidth="1"/>
    <col min="11276" max="11276" width="6.28515625" style="219" customWidth="1"/>
    <col min="11277" max="11277" width="13.140625" style="219" customWidth="1"/>
    <col min="11278" max="11278" width="16.7109375" style="219" customWidth="1"/>
    <col min="11279" max="11521" width="11.42578125" style="219"/>
    <col min="11522" max="11522" width="8.28515625" style="219" customWidth="1"/>
    <col min="11523" max="11526" width="11.42578125" style="219"/>
    <col min="11527" max="11528" width="0" style="219" hidden="1" customWidth="1"/>
    <col min="11529" max="11529" width="10.5703125" style="219" customWidth="1"/>
    <col min="11530" max="11530" width="11.42578125" style="219"/>
    <col min="11531" max="11531" width="9.28515625" style="219" customWidth="1"/>
    <col min="11532" max="11532" width="6.28515625" style="219" customWidth="1"/>
    <col min="11533" max="11533" width="13.140625" style="219" customWidth="1"/>
    <col min="11534" max="11534" width="16.7109375" style="219" customWidth="1"/>
    <col min="11535" max="11777" width="11.42578125" style="219"/>
    <col min="11778" max="11778" width="8.28515625" style="219" customWidth="1"/>
    <col min="11779" max="11782" width="11.42578125" style="219"/>
    <col min="11783" max="11784" width="0" style="219" hidden="1" customWidth="1"/>
    <col min="11785" max="11785" width="10.5703125" style="219" customWidth="1"/>
    <col min="11786" max="11786" width="11.42578125" style="219"/>
    <col min="11787" max="11787" width="9.28515625" style="219" customWidth="1"/>
    <col min="11788" max="11788" width="6.28515625" style="219" customWidth="1"/>
    <col min="11789" max="11789" width="13.140625" style="219" customWidth="1"/>
    <col min="11790" max="11790" width="16.7109375" style="219" customWidth="1"/>
    <col min="11791" max="12033" width="11.42578125" style="219"/>
    <col min="12034" max="12034" width="8.28515625" style="219" customWidth="1"/>
    <col min="12035" max="12038" width="11.42578125" style="219"/>
    <col min="12039" max="12040" width="0" style="219" hidden="1" customWidth="1"/>
    <col min="12041" max="12041" width="10.5703125" style="219" customWidth="1"/>
    <col min="12042" max="12042" width="11.42578125" style="219"/>
    <col min="12043" max="12043" width="9.28515625" style="219" customWidth="1"/>
    <col min="12044" max="12044" width="6.28515625" style="219" customWidth="1"/>
    <col min="12045" max="12045" width="13.140625" style="219" customWidth="1"/>
    <col min="12046" max="12046" width="16.7109375" style="219" customWidth="1"/>
    <col min="12047" max="12289" width="11.42578125" style="219"/>
    <col min="12290" max="12290" width="8.28515625" style="219" customWidth="1"/>
    <col min="12291" max="12294" width="11.42578125" style="219"/>
    <col min="12295" max="12296" width="0" style="219" hidden="1" customWidth="1"/>
    <col min="12297" max="12297" width="10.5703125" style="219" customWidth="1"/>
    <col min="12298" max="12298" width="11.42578125" style="219"/>
    <col min="12299" max="12299" width="9.28515625" style="219" customWidth="1"/>
    <col min="12300" max="12300" width="6.28515625" style="219" customWidth="1"/>
    <col min="12301" max="12301" width="13.140625" style="219" customWidth="1"/>
    <col min="12302" max="12302" width="16.7109375" style="219" customWidth="1"/>
    <col min="12303" max="12545" width="11.42578125" style="219"/>
    <col min="12546" max="12546" width="8.28515625" style="219" customWidth="1"/>
    <col min="12547" max="12550" width="11.42578125" style="219"/>
    <col min="12551" max="12552" width="0" style="219" hidden="1" customWidth="1"/>
    <col min="12553" max="12553" width="10.5703125" style="219" customWidth="1"/>
    <col min="12554" max="12554" width="11.42578125" style="219"/>
    <col min="12555" max="12555" width="9.28515625" style="219" customWidth="1"/>
    <col min="12556" max="12556" width="6.28515625" style="219" customWidth="1"/>
    <col min="12557" max="12557" width="13.140625" style="219" customWidth="1"/>
    <col min="12558" max="12558" width="16.7109375" style="219" customWidth="1"/>
    <col min="12559" max="12801" width="11.42578125" style="219"/>
    <col min="12802" max="12802" width="8.28515625" style="219" customWidth="1"/>
    <col min="12803" max="12806" width="11.42578125" style="219"/>
    <col min="12807" max="12808" width="0" style="219" hidden="1" customWidth="1"/>
    <col min="12809" max="12809" width="10.5703125" style="219" customWidth="1"/>
    <col min="12810" max="12810" width="11.42578125" style="219"/>
    <col min="12811" max="12811" width="9.28515625" style="219" customWidth="1"/>
    <col min="12812" max="12812" width="6.28515625" style="219" customWidth="1"/>
    <col min="12813" max="12813" width="13.140625" style="219" customWidth="1"/>
    <col min="12814" max="12814" width="16.7109375" style="219" customWidth="1"/>
    <col min="12815" max="13057" width="11.42578125" style="219"/>
    <col min="13058" max="13058" width="8.28515625" style="219" customWidth="1"/>
    <col min="13059" max="13062" width="11.42578125" style="219"/>
    <col min="13063" max="13064" width="0" style="219" hidden="1" customWidth="1"/>
    <col min="13065" max="13065" width="10.5703125" style="219" customWidth="1"/>
    <col min="13066" max="13066" width="11.42578125" style="219"/>
    <col min="13067" max="13067" width="9.28515625" style="219" customWidth="1"/>
    <col min="13068" max="13068" width="6.28515625" style="219" customWidth="1"/>
    <col min="13069" max="13069" width="13.140625" style="219" customWidth="1"/>
    <col min="13070" max="13070" width="16.7109375" style="219" customWidth="1"/>
    <col min="13071" max="13313" width="11.42578125" style="219"/>
    <col min="13314" max="13314" width="8.28515625" style="219" customWidth="1"/>
    <col min="13315" max="13318" width="11.42578125" style="219"/>
    <col min="13319" max="13320" width="0" style="219" hidden="1" customWidth="1"/>
    <col min="13321" max="13321" width="10.5703125" style="219" customWidth="1"/>
    <col min="13322" max="13322" width="11.42578125" style="219"/>
    <col min="13323" max="13323" width="9.28515625" style="219" customWidth="1"/>
    <col min="13324" max="13324" width="6.28515625" style="219" customWidth="1"/>
    <col min="13325" max="13325" width="13.140625" style="219" customWidth="1"/>
    <col min="13326" max="13326" width="16.7109375" style="219" customWidth="1"/>
    <col min="13327" max="13569" width="11.42578125" style="219"/>
    <col min="13570" max="13570" width="8.28515625" style="219" customWidth="1"/>
    <col min="13571" max="13574" width="11.42578125" style="219"/>
    <col min="13575" max="13576" width="0" style="219" hidden="1" customWidth="1"/>
    <col min="13577" max="13577" width="10.5703125" style="219" customWidth="1"/>
    <col min="13578" max="13578" width="11.42578125" style="219"/>
    <col min="13579" max="13579" width="9.28515625" style="219" customWidth="1"/>
    <col min="13580" max="13580" width="6.28515625" style="219" customWidth="1"/>
    <col min="13581" max="13581" width="13.140625" style="219" customWidth="1"/>
    <col min="13582" max="13582" width="16.7109375" style="219" customWidth="1"/>
    <col min="13583" max="13825" width="11.42578125" style="219"/>
    <col min="13826" max="13826" width="8.28515625" style="219" customWidth="1"/>
    <col min="13827" max="13830" width="11.42578125" style="219"/>
    <col min="13831" max="13832" width="0" style="219" hidden="1" customWidth="1"/>
    <col min="13833" max="13833" width="10.5703125" style="219" customWidth="1"/>
    <col min="13834" max="13834" width="11.42578125" style="219"/>
    <col min="13835" max="13835" width="9.28515625" style="219" customWidth="1"/>
    <col min="13836" max="13836" width="6.28515625" style="219" customWidth="1"/>
    <col min="13837" max="13837" width="13.140625" style="219" customWidth="1"/>
    <col min="13838" max="13838" width="16.7109375" style="219" customWidth="1"/>
    <col min="13839" max="14081" width="11.42578125" style="219"/>
    <col min="14082" max="14082" width="8.28515625" style="219" customWidth="1"/>
    <col min="14083" max="14086" width="11.42578125" style="219"/>
    <col min="14087" max="14088" width="0" style="219" hidden="1" customWidth="1"/>
    <col min="14089" max="14089" width="10.5703125" style="219" customWidth="1"/>
    <col min="14090" max="14090" width="11.42578125" style="219"/>
    <col min="14091" max="14091" width="9.28515625" style="219" customWidth="1"/>
    <col min="14092" max="14092" width="6.28515625" style="219" customWidth="1"/>
    <col min="14093" max="14093" width="13.140625" style="219" customWidth="1"/>
    <col min="14094" max="14094" width="16.7109375" style="219" customWidth="1"/>
    <col min="14095" max="14337" width="11.42578125" style="219"/>
    <col min="14338" max="14338" width="8.28515625" style="219" customWidth="1"/>
    <col min="14339" max="14342" width="11.42578125" style="219"/>
    <col min="14343" max="14344" width="0" style="219" hidden="1" customWidth="1"/>
    <col min="14345" max="14345" width="10.5703125" style="219" customWidth="1"/>
    <col min="14346" max="14346" width="11.42578125" style="219"/>
    <col min="14347" max="14347" width="9.28515625" style="219" customWidth="1"/>
    <col min="14348" max="14348" width="6.28515625" style="219" customWidth="1"/>
    <col min="14349" max="14349" width="13.140625" style="219" customWidth="1"/>
    <col min="14350" max="14350" width="16.7109375" style="219" customWidth="1"/>
    <col min="14351" max="14593" width="11.42578125" style="219"/>
    <col min="14594" max="14594" width="8.28515625" style="219" customWidth="1"/>
    <col min="14595" max="14598" width="11.42578125" style="219"/>
    <col min="14599" max="14600" width="0" style="219" hidden="1" customWidth="1"/>
    <col min="14601" max="14601" width="10.5703125" style="219" customWidth="1"/>
    <col min="14602" max="14602" width="11.42578125" style="219"/>
    <col min="14603" max="14603" width="9.28515625" style="219" customWidth="1"/>
    <col min="14604" max="14604" width="6.28515625" style="219" customWidth="1"/>
    <col min="14605" max="14605" width="13.140625" style="219" customWidth="1"/>
    <col min="14606" max="14606" width="16.7109375" style="219" customWidth="1"/>
    <col min="14607" max="14849" width="11.42578125" style="219"/>
    <col min="14850" max="14850" width="8.28515625" style="219" customWidth="1"/>
    <col min="14851" max="14854" width="11.42578125" style="219"/>
    <col min="14855" max="14856" width="0" style="219" hidden="1" customWidth="1"/>
    <col min="14857" max="14857" width="10.5703125" style="219" customWidth="1"/>
    <col min="14858" max="14858" width="11.42578125" style="219"/>
    <col min="14859" max="14859" width="9.28515625" style="219" customWidth="1"/>
    <col min="14860" max="14860" width="6.28515625" style="219" customWidth="1"/>
    <col min="14861" max="14861" width="13.140625" style="219" customWidth="1"/>
    <col min="14862" max="14862" width="16.7109375" style="219" customWidth="1"/>
    <col min="14863" max="15105" width="11.42578125" style="219"/>
    <col min="15106" max="15106" width="8.28515625" style="219" customWidth="1"/>
    <col min="15107" max="15110" width="11.42578125" style="219"/>
    <col min="15111" max="15112" width="0" style="219" hidden="1" customWidth="1"/>
    <col min="15113" max="15113" width="10.5703125" style="219" customWidth="1"/>
    <col min="15114" max="15114" width="11.42578125" style="219"/>
    <col min="15115" max="15115" width="9.28515625" style="219" customWidth="1"/>
    <col min="15116" max="15116" width="6.28515625" style="219" customWidth="1"/>
    <col min="15117" max="15117" width="13.140625" style="219" customWidth="1"/>
    <col min="15118" max="15118" width="16.7109375" style="219" customWidth="1"/>
    <col min="15119" max="15361" width="11.42578125" style="219"/>
    <col min="15362" max="15362" width="8.28515625" style="219" customWidth="1"/>
    <col min="15363" max="15366" width="11.42578125" style="219"/>
    <col min="15367" max="15368" width="0" style="219" hidden="1" customWidth="1"/>
    <col min="15369" max="15369" width="10.5703125" style="219" customWidth="1"/>
    <col min="15370" max="15370" width="11.42578125" style="219"/>
    <col min="15371" max="15371" width="9.28515625" style="219" customWidth="1"/>
    <col min="15372" max="15372" width="6.28515625" style="219" customWidth="1"/>
    <col min="15373" max="15373" width="13.140625" style="219" customWidth="1"/>
    <col min="15374" max="15374" width="16.7109375" style="219" customWidth="1"/>
    <col min="15375" max="15617" width="11.42578125" style="219"/>
    <col min="15618" max="15618" width="8.28515625" style="219" customWidth="1"/>
    <col min="15619" max="15622" width="11.42578125" style="219"/>
    <col min="15623" max="15624" width="0" style="219" hidden="1" customWidth="1"/>
    <col min="15625" max="15625" width="10.5703125" style="219" customWidth="1"/>
    <col min="15626" max="15626" width="11.42578125" style="219"/>
    <col min="15627" max="15627" width="9.28515625" style="219" customWidth="1"/>
    <col min="15628" max="15628" width="6.28515625" style="219" customWidth="1"/>
    <col min="15629" max="15629" width="13.140625" style="219" customWidth="1"/>
    <col min="15630" max="15630" width="16.7109375" style="219" customWidth="1"/>
    <col min="15631" max="15873" width="11.42578125" style="219"/>
    <col min="15874" max="15874" width="8.28515625" style="219" customWidth="1"/>
    <col min="15875" max="15878" width="11.42578125" style="219"/>
    <col min="15879" max="15880" width="0" style="219" hidden="1" customWidth="1"/>
    <col min="15881" max="15881" width="10.5703125" style="219" customWidth="1"/>
    <col min="15882" max="15882" width="11.42578125" style="219"/>
    <col min="15883" max="15883" width="9.28515625" style="219" customWidth="1"/>
    <col min="15884" max="15884" width="6.28515625" style="219" customWidth="1"/>
    <col min="15885" max="15885" width="13.140625" style="219" customWidth="1"/>
    <col min="15886" max="15886" width="16.7109375" style="219" customWidth="1"/>
    <col min="15887" max="16129" width="11.42578125" style="219"/>
    <col min="16130" max="16130" width="8.28515625" style="219" customWidth="1"/>
    <col min="16131" max="16134" width="11.42578125" style="219"/>
    <col min="16135" max="16136" width="0" style="219" hidden="1" customWidth="1"/>
    <col min="16137" max="16137" width="10.5703125" style="219" customWidth="1"/>
    <col min="16138" max="16138" width="11.42578125" style="219"/>
    <col min="16139" max="16139" width="9.28515625" style="219" customWidth="1"/>
    <col min="16140" max="16140" width="6.28515625" style="219" customWidth="1"/>
    <col min="16141" max="16141" width="13.140625" style="219" customWidth="1"/>
    <col min="16142" max="16142" width="16.7109375" style="219" customWidth="1"/>
    <col min="16143" max="16384" width="11.42578125" style="219"/>
  </cols>
  <sheetData>
    <row r="2" spans="1:14">
      <c r="A2" s="218" t="s">
        <v>184</v>
      </c>
    </row>
    <row r="3" spans="1:14">
      <c r="D3" s="220" t="s">
        <v>185</v>
      </c>
      <c r="E3" s="220"/>
      <c r="F3" s="220"/>
      <c r="G3" s="220"/>
      <c r="H3" s="220"/>
      <c r="I3" s="220"/>
      <c r="J3" s="220"/>
      <c r="K3" s="220"/>
      <c r="L3" s="221" t="s">
        <v>186</v>
      </c>
      <c r="M3" s="221" t="s">
        <v>187</v>
      </c>
      <c r="N3" s="221" t="s">
        <v>188</v>
      </c>
    </row>
    <row r="4" spans="1:14">
      <c r="D4" s="222" t="s">
        <v>189</v>
      </c>
      <c r="E4" s="223" t="s">
        <v>190</v>
      </c>
      <c r="F4" s="224"/>
      <c r="G4" s="225"/>
      <c r="H4" s="222" t="s">
        <v>191</v>
      </c>
      <c r="I4" s="222" t="s">
        <v>192</v>
      </c>
      <c r="J4" s="222" t="s">
        <v>193</v>
      </c>
      <c r="K4" s="222" t="s">
        <v>194</v>
      </c>
      <c r="L4" s="220"/>
      <c r="M4" s="220"/>
      <c r="N4" s="221"/>
    </row>
    <row r="5" spans="1:14" s="218" customFormat="1" ht="45">
      <c r="A5" s="226" t="s">
        <v>195</v>
      </c>
      <c r="B5" s="227" t="s">
        <v>196</v>
      </c>
      <c r="C5" s="227" t="s">
        <v>197</v>
      </c>
      <c r="D5" s="228"/>
      <c r="E5" s="226" t="s">
        <v>198</v>
      </c>
      <c r="F5" s="227" t="s">
        <v>199</v>
      </c>
      <c r="G5" s="226" t="s">
        <v>200</v>
      </c>
      <c r="H5" s="229"/>
      <c r="I5" s="229"/>
      <c r="J5" s="229"/>
      <c r="K5" s="229"/>
      <c r="L5" s="220"/>
      <c r="M5" s="220"/>
      <c r="N5" s="221"/>
    </row>
    <row r="6" spans="1:14" s="233" customFormat="1" ht="11.25">
      <c r="A6" s="230">
        <v>1</v>
      </c>
      <c r="B6" s="230">
        <v>1353</v>
      </c>
      <c r="C6" s="230" t="s">
        <v>201</v>
      </c>
      <c r="D6" s="231" t="s">
        <v>202</v>
      </c>
      <c r="E6" s="232">
        <v>101</v>
      </c>
      <c r="F6" s="232" t="s">
        <v>203</v>
      </c>
      <c r="G6" s="230"/>
      <c r="H6" s="230"/>
      <c r="I6" s="231" t="s">
        <v>202</v>
      </c>
      <c r="J6" s="231" t="s">
        <v>202</v>
      </c>
      <c r="K6" s="231" t="s">
        <v>202</v>
      </c>
      <c r="L6" s="231" t="s">
        <v>202</v>
      </c>
      <c r="M6" s="230" t="s">
        <v>203</v>
      </c>
      <c r="N6" s="230" t="s">
        <v>204</v>
      </c>
    </row>
    <row r="7" spans="1:14" s="233" customFormat="1" ht="11.25">
      <c r="A7" s="230">
        <v>2</v>
      </c>
      <c r="B7" s="230">
        <v>1029</v>
      </c>
      <c r="C7" s="230" t="s">
        <v>201</v>
      </c>
      <c r="D7" s="231" t="s">
        <v>202</v>
      </c>
      <c r="E7" s="232">
        <v>301</v>
      </c>
      <c r="F7" s="232" t="s">
        <v>203</v>
      </c>
      <c r="G7" s="230"/>
      <c r="H7" s="230"/>
      <c r="I7" s="231" t="s">
        <v>202</v>
      </c>
      <c r="J7" s="231" t="s">
        <v>202</v>
      </c>
      <c r="K7" s="231" t="s">
        <v>202</v>
      </c>
      <c r="L7" s="231" t="s">
        <v>202</v>
      </c>
      <c r="M7" s="230" t="s">
        <v>203</v>
      </c>
      <c r="N7" s="230" t="s">
        <v>204</v>
      </c>
    </row>
    <row r="8" spans="1:14" s="233" customFormat="1" ht="11.25">
      <c r="A8" s="230">
        <v>3</v>
      </c>
      <c r="B8" s="230">
        <v>289</v>
      </c>
      <c r="C8" s="230" t="s">
        <v>201</v>
      </c>
      <c r="D8" s="231" t="s">
        <v>202</v>
      </c>
      <c r="E8" s="232">
        <v>498</v>
      </c>
      <c r="F8" s="232" t="s">
        <v>203</v>
      </c>
      <c r="G8" s="230"/>
      <c r="H8" s="230"/>
      <c r="I8" s="231" t="s">
        <v>202</v>
      </c>
      <c r="J8" s="231" t="s">
        <v>202</v>
      </c>
      <c r="K8" s="231" t="s">
        <v>202</v>
      </c>
      <c r="L8" s="231" t="s">
        <v>202</v>
      </c>
      <c r="M8" s="230" t="s">
        <v>203</v>
      </c>
      <c r="N8" s="230" t="s">
        <v>204</v>
      </c>
    </row>
    <row r="9" spans="1:14" s="233" customFormat="1" ht="11.25">
      <c r="A9" s="230">
        <v>4</v>
      </c>
      <c r="B9" s="230">
        <v>176</v>
      </c>
      <c r="C9" s="230" t="s">
        <v>201</v>
      </c>
      <c r="D9" s="231" t="s">
        <v>202</v>
      </c>
      <c r="E9" s="232">
        <v>506</v>
      </c>
      <c r="F9" s="232" t="s">
        <v>203</v>
      </c>
      <c r="G9" s="230"/>
      <c r="H9" s="230"/>
      <c r="I9" s="231" t="s">
        <v>202</v>
      </c>
      <c r="J9" s="231" t="s">
        <v>202</v>
      </c>
      <c r="K9" s="231" t="s">
        <v>202</v>
      </c>
      <c r="L9" s="231" t="s">
        <v>202</v>
      </c>
      <c r="M9" s="230" t="s">
        <v>203</v>
      </c>
      <c r="N9" s="230" t="s">
        <v>204</v>
      </c>
    </row>
    <row r="10" spans="1:14" s="233" customFormat="1" ht="11.25">
      <c r="A10" s="230">
        <v>5</v>
      </c>
      <c r="B10" s="230">
        <v>245</v>
      </c>
      <c r="C10" s="230" t="s">
        <v>201</v>
      </c>
      <c r="D10" s="231" t="s">
        <v>202</v>
      </c>
      <c r="E10" s="232">
        <v>293</v>
      </c>
      <c r="F10" s="232" t="s">
        <v>203</v>
      </c>
      <c r="G10" s="230"/>
      <c r="H10" s="230"/>
      <c r="I10" s="231" t="s">
        <v>202</v>
      </c>
      <c r="J10" s="231" t="s">
        <v>202</v>
      </c>
      <c r="K10" s="231" t="s">
        <v>202</v>
      </c>
      <c r="L10" s="231" t="s">
        <v>202</v>
      </c>
      <c r="M10" s="230" t="s">
        <v>203</v>
      </c>
      <c r="N10" s="230" t="s">
        <v>204</v>
      </c>
    </row>
    <row r="11" spans="1:14" s="233" customFormat="1" ht="11.25">
      <c r="A11" s="230">
        <v>6</v>
      </c>
      <c r="B11" s="230">
        <v>987</v>
      </c>
      <c r="C11" s="230" t="s">
        <v>201</v>
      </c>
      <c r="D11" s="231" t="s">
        <v>202</v>
      </c>
      <c r="E11" s="232">
        <v>800</v>
      </c>
      <c r="F11" s="232" t="s">
        <v>203</v>
      </c>
      <c r="G11" s="230"/>
      <c r="H11" s="230"/>
      <c r="I11" s="231" t="s">
        <v>202</v>
      </c>
      <c r="J11" s="234" t="s">
        <v>205</v>
      </c>
      <c r="K11" s="231" t="s">
        <v>202</v>
      </c>
      <c r="L11" s="231" t="s">
        <v>202</v>
      </c>
      <c r="M11" s="230" t="s">
        <v>203</v>
      </c>
      <c r="N11" s="230" t="s">
        <v>204</v>
      </c>
    </row>
    <row r="12" spans="1:14" s="233" customFormat="1" ht="11.25">
      <c r="A12" s="230">
        <v>7</v>
      </c>
      <c r="B12" s="230">
        <v>160</v>
      </c>
      <c r="C12" s="230" t="s">
        <v>201</v>
      </c>
      <c r="D12" s="231" t="s">
        <v>202</v>
      </c>
      <c r="E12" s="232">
        <v>558</v>
      </c>
      <c r="F12" s="232" t="s">
        <v>203</v>
      </c>
      <c r="G12" s="230"/>
      <c r="H12" s="230"/>
      <c r="I12" s="231" t="s">
        <v>202</v>
      </c>
      <c r="J12" s="231" t="s">
        <v>202</v>
      </c>
      <c r="K12" s="231" t="s">
        <v>202</v>
      </c>
      <c r="L12" s="231" t="s">
        <v>202</v>
      </c>
      <c r="M12" s="230" t="s">
        <v>203</v>
      </c>
      <c r="N12" s="230" t="s">
        <v>204</v>
      </c>
    </row>
    <row r="13" spans="1:14" s="233" customFormat="1" ht="11.25">
      <c r="A13" s="230">
        <v>8</v>
      </c>
      <c r="B13" s="230">
        <v>526</v>
      </c>
      <c r="C13" s="230" t="s">
        <v>201</v>
      </c>
      <c r="D13" s="231" t="s">
        <v>202</v>
      </c>
      <c r="E13" s="232">
        <v>580</v>
      </c>
      <c r="F13" s="232" t="s">
        <v>203</v>
      </c>
      <c r="G13" s="230"/>
      <c r="H13" s="230"/>
      <c r="I13" s="231" t="s">
        <v>202</v>
      </c>
      <c r="J13" s="231" t="s">
        <v>202</v>
      </c>
      <c r="K13" s="231" t="s">
        <v>202</v>
      </c>
      <c r="L13" s="231" t="s">
        <v>202</v>
      </c>
      <c r="M13" s="230" t="s">
        <v>203</v>
      </c>
      <c r="N13" s="230" t="s">
        <v>204</v>
      </c>
    </row>
    <row r="14" spans="1:14" s="233" customFormat="1" ht="11.25">
      <c r="A14" s="230">
        <v>9</v>
      </c>
      <c r="B14" s="230">
        <v>1675</v>
      </c>
      <c r="C14" s="230" t="s">
        <v>201</v>
      </c>
      <c r="D14" s="231" t="s">
        <v>202</v>
      </c>
      <c r="E14" s="232">
        <v>354</v>
      </c>
      <c r="F14" s="232" t="s">
        <v>203</v>
      </c>
      <c r="G14" s="230"/>
      <c r="H14" s="230"/>
      <c r="I14" s="231" t="s">
        <v>202</v>
      </c>
      <c r="J14" s="231" t="s">
        <v>202</v>
      </c>
      <c r="K14" s="231" t="s">
        <v>202</v>
      </c>
      <c r="L14" s="231" t="s">
        <v>202</v>
      </c>
      <c r="M14" s="230" t="s">
        <v>203</v>
      </c>
      <c r="N14" s="230" t="s">
        <v>204</v>
      </c>
    </row>
    <row r="15" spans="1:14" s="233" customFormat="1" ht="11.25">
      <c r="A15" s="230">
        <v>10</v>
      </c>
      <c r="B15" s="230">
        <v>129</v>
      </c>
      <c r="C15" s="230" t="s">
        <v>201</v>
      </c>
      <c r="D15" s="231" t="s">
        <v>202</v>
      </c>
      <c r="E15" s="232">
        <v>125</v>
      </c>
      <c r="F15" s="232" t="s">
        <v>203</v>
      </c>
      <c r="G15" s="230"/>
      <c r="H15" s="230"/>
      <c r="I15" s="231" t="s">
        <v>202</v>
      </c>
      <c r="J15" s="231" t="s">
        <v>202</v>
      </c>
      <c r="K15" s="231" t="s">
        <v>202</v>
      </c>
      <c r="L15" s="231" t="s">
        <v>202</v>
      </c>
      <c r="M15" s="230" t="s">
        <v>203</v>
      </c>
      <c r="N15" s="230" t="s">
        <v>204</v>
      </c>
    </row>
    <row r="16" spans="1:14" s="233" customFormat="1" ht="11.25">
      <c r="A16" s="230">
        <v>11</v>
      </c>
      <c r="B16" s="230">
        <v>894</v>
      </c>
      <c r="C16" s="230" t="s">
        <v>201</v>
      </c>
      <c r="D16" s="231" t="s">
        <v>202</v>
      </c>
      <c r="E16" s="232">
        <v>151</v>
      </c>
      <c r="F16" s="232" t="s">
        <v>203</v>
      </c>
      <c r="G16" s="230"/>
      <c r="H16" s="230"/>
      <c r="I16" s="231" t="s">
        <v>202</v>
      </c>
      <c r="J16" s="231" t="s">
        <v>202</v>
      </c>
      <c r="K16" s="231" t="s">
        <v>202</v>
      </c>
      <c r="L16" s="231" t="s">
        <v>202</v>
      </c>
      <c r="M16" s="230" t="s">
        <v>203</v>
      </c>
      <c r="N16" s="230" t="s">
        <v>204</v>
      </c>
    </row>
    <row r="17" spans="1:14" s="233" customFormat="1" ht="11.25">
      <c r="A17" s="230">
        <v>12</v>
      </c>
      <c r="B17" s="230">
        <v>1600</v>
      </c>
      <c r="C17" s="230" t="s">
        <v>201</v>
      </c>
      <c r="D17" s="231" t="s">
        <v>202</v>
      </c>
      <c r="E17" s="232">
        <v>203</v>
      </c>
      <c r="F17" s="232" t="s">
        <v>203</v>
      </c>
      <c r="G17" s="230"/>
      <c r="H17" s="230"/>
      <c r="I17" s="231" t="s">
        <v>202</v>
      </c>
      <c r="J17" s="231" t="s">
        <v>202</v>
      </c>
      <c r="K17" s="231" t="s">
        <v>202</v>
      </c>
      <c r="L17" s="231" t="s">
        <v>202</v>
      </c>
      <c r="M17" s="230" t="s">
        <v>203</v>
      </c>
      <c r="N17" s="230" t="s">
        <v>204</v>
      </c>
    </row>
    <row r="18" spans="1:14" s="233" customFormat="1" ht="11.25">
      <c r="A18" s="230">
        <v>13</v>
      </c>
      <c r="B18" s="230">
        <v>155</v>
      </c>
      <c r="C18" s="230" t="s">
        <v>201</v>
      </c>
      <c r="D18" s="231" t="s">
        <v>202</v>
      </c>
      <c r="E18" s="232">
        <v>600</v>
      </c>
      <c r="F18" s="232" t="s">
        <v>203</v>
      </c>
      <c r="G18" s="230"/>
      <c r="H18" s="230"/>
      <c r="I18" s="231" t="s">
        <v>202</v>
      </c>
      <c r="J18" s="231" t="s">
        <v>202</v>
      </c>
      <c r="K18" s="231" t="s">
        <v>202</v>
      </c>
      <c r="L18" s="231" t="s">
        <v>202</v>
      </c>
      <c r="M18" s="230" t="s">
        <v>203</v>
      </c>
      <c r="N18" s="230" t="s">
        <v>204</v>
      </c>
    </row>
    <row r="19" spans="1:14" s="233" customFormat="1" ht="11.25">
      <c r="A19" s="230">
        <v>14</v>
      </c>
      <c r="B19" s="230">
        <v>559</v>
      </c>
      <c r="C19" s="230" t="s">
        <v>201</v>
      </c>
      <c r="D19" s="231" t="s">
        <v>202</v>
      </c>
      <c r="E19" s="232">
        <v>101</v>
      </c>
      <c r="F19" s="232" t="s">
        <v>203</v>
      </c>
      <c r="G19" s="230"/>
      <c r="H19" s="230"/>
      <c r="I19" s="231" t="s">
        <v>202</v>
      </c>
      <c r="J19" s="231" t="s">
        <v>202</v>
      </c>
      <c r="K19" s="231" t="s">
        <v>202</v>
      </c>
      <c r="L19" s="231" t="s">
        <v>202</v>
      </c>
      <c r="M19" s="230" t="s">
        <v>203</v>
      </c>
      <c r="N19" s="230" t="s">
        <v>204</v>
      </c>
    </row>
    <row r="20" spans="1:14" s="233" customFormat="1" ht="11.25">
      <c r="A20" s="230">
        <v>15</v>
      </c>
      <c r="B20" s="230">
        <v>251</v>
      </c>
      <c r="C20" s="230" t="s">
        <v>201</v>
      </c>
      <c r="D20" s="231" t="s">
        <v>202</v>
      </c>
      <c r="E20" s="232">
        <v>168</v>
      </c>
      <c r="F20" s="232" t="s">
        <v>203</v>
      </c>
      <c r="G20" s="230"/>
      <c r="H20" s="230"/>
      <c r="I20" s="231" t="s">
        <v>202</v>
      </c>
      <c r="J20" s="231" t="s">
        <v>202</v>
      </c>
      <c r="K20" s="231" t="s">
        <v>202</v>
      </c>
      <c r="L20" s="231" t="s">
        <v>202</v>
      </c>
      <c r="M20" s="230" t="s">
        <v>203</v>
      </c>
      <c r="N20" s="230" t="s">
        <v>204</v>
      </c>
    </row>
    <row r="21" spans="1:14" s="233" customFormat="1" ht="11.25">
      <c r="A21" s="230">
        <v>16</v>
      </c>
      <c r="B21" s="230">
        <v>1359</v>
      </c>
      <c r="C21" s="230" t="s">
        <v>201</v>
      </c>
      <c r="D21" s="231" t="s">
        <v>202</v>
      </c>
      <c r="E21" s="232">
        <v>169</v>
      </c>
      <c r="F21" s="232" t="s">
        <v>203</v>
      </c>
      <c r="G21" s="230"/>
      <c r="H21" s="230"/>
      <c r="I21" s="231" t="s">
        <v>202</v>
      </c>
      <c r="J21" s="231" t="s">
        <v>202</v>
      </c>
      <c r="K21" s="231" t="s">
        <v>202</v>
      </c>
      <c r="L21" s="231" t="s">
        <v>202</v>
      </c>
      <c r="M21" s="230" t="s">
        <v>203</v>
      </c>
      <c r="N21" s="230" t="s">
        <v>204</v>
      </c>
    </row>
    <row r="22" spans="1:14" s="233" customFormat="1" ht="11.25">
      <c r="A22" s="230">
        <v>17</v>
      </c>
      <c r="B22" s="230">
        <v>81</v>
      </c>
      <c r="C22" s="230" t="s">
        <v>201</v>
      </c>
      <c r="D22" s="231" t="s">
        <v>202</v>
      </c>
      <c r="E22" s="232">
        <v>586</v>
      </c>
      <c r="F22" s="232" t="s">
        <v>203</v>
      </c>
      <c r="G22" s="230"/>
      <c r="H22" s="230"/>
      <c r="I22" s="231" t="s">
        <v>202</v>
      </c>
      <c r="J22" s="231" t="s">
        <v>202</v>
      </c>
      <c r="K22" s="231" t="s">
        <v>202</v>
      </c>
      <c r="L22" s="231" t="s">
        <v>202</v>
      </c>
      <c r="M22" s="230" t="s">
        <v>203</v>
      </c>
      <c r="N22" s="230" t="s">
        <v>204</v>
      </c>
    </row>
    <row r="23" spans="1:14" s="233" customFormat="1" ht="11.25">
      <c r="A23" s="230">
        <v>18</v>
      </c>
      <c r="B23" s="230">
        <v>300</v>
      </c>
      <c r="C23" s="230" t="s">
        <v>201</v>
      </c>
      <c r="D23" s="231" t="s">
        <v>202</v>
      </c>
      <c r="E23" s="232">
        <v>317</v>
      </c>
      <c r="F23" s="232" t="s">
        <v>203</v>
      </c>
      <c r="G23" s="230"/>
      <c r="H23" s="230"/>
      <c r="I23" s="231" t="s">
        <v>202</v>
      </c>
      <c r="J23" s="231" t="s">
        <v>202</v>
      </c>
      <c r="K23" s="231" t="s">
        <v>202</v>
      </c>
      <c r="L23" s="231" t="s">
        <v>202</v>
      </c>
      <c r="M23" s="230" t="s">
        <v>203</v>
      </c>
      <c r="N23" s="230" t="s">
        <v>204</v>
      </c>
    </row>
    <row r="24" spans="1:14" s="233" customFormat="1" ht="11.25">
      <c r="A24" s="230">
        <v>19</v>
      </c>
      <c r="B24" s="230">
        <v>1205</v>
      </c>
      <c r="C24" s="230" t="s">
        <v>201</v>
      </c>
      <c r="D24" s="231" t="s">
        <v>202</v>
      </c>
      <c r="E24" s="232">
        <v>407</v>
      </c>
      <c r="F24" s="232" t="s">
        <v>203</v>
      </c>
      <c r="G24" s="230"/>
      <c r="H24" s="230"/>
      <c r="I24" s="231" t="s">
        <v>202</v>
      </c>
      <c r="J24" s="231" t="s">
        <v>202</v>
      </c>
      <c r="K24" s="231" t="s">
        <v>202</v>
      </c>
      <c r="L24" s="231" t="s">
        <v>202</v>
      </c>
      <c r="M24" s="230" t="s">
        <v>203</v>
      </c>
      <c r="N24" s="230" t="s">
        <v>204</v>
      </c>
    </row>
    <row r="25" spans="1:14" s="233" customFormat="1" ht="11.25">
      <c r="A25" s="230">
        <v>20</v>
      </c>
      <c r="B25" s="230">
        <v>426</v>
      </c>
      <c r="C25" s="230" t="s">
        <v>201</v>
      </c>
      <c r="D25" s="231" t="s">
        <v>202</v>
      </c>
      <c r="E25" s="232">
        <v>322</v>
      </c>
      <c r="F25" s="232" t="s">
        <v>203</v>
      </c>
      <c r="G25" s="230"/>
      <c r="H25" s="230"/>
      <c r="I25" s="231" t="s">
        <v>202</v>
      </c>
      <c r="J25" s="231" t="s">
        <v>202</v>
      </c>
      <c r="K25" s="231" t="s">
        <v>202</v>
      </c>
      <c r="L25" s="231" t="s">
        <v>202</v>
      </c>
      <c r="M25" s="230" t="s">
        <v>203</v>
      </c>
      <c r="N25" s="230" t="s">
        <v>204</v>
      </c>
    </row>
    <row r="26" spans="1:14" s="233" customFormat="1" ht="11.25">
      <c r="A26" s="230">
        <v>21</v>
      </c>
      <c r="B26" s="230">
        <v>1161</v>
      </c>
      <c r="C26" s="230" t="s">
        <v>201</v>
      </c>
      <c r="D26" s="231" t="s">
        <v>202</v>
      </c>
      <c r="E26" s="232">
        <v>404</v>
      </c>
      <c r="F26" s="232" t="s">
        <v>203</v>
      </c>
      <c r="G26" s="230"/>
      <c r="H26" s="230"/>
      <c r="I26" s="231" t="s">
        <v>202</v>
      </c>
      <c r="J26" s="231" t="s">
        <v>202</v>
      </c>
      <c r="K26" s="231" t="s">
        <v>202</v>
      </c>
      <c r="L26" s="231" t="s">
        <v>202</v>
      </c>
      <c r="M26" s="230" t="s">
        <v>203</v>
      </c>
      <c r="N26" s="230" t="s">
        <v>204</v>
      </c>
    </row>
    <row r="27" spans="1:14" s="233" customFormat="1" ht="11.25">
      <c r="A27" s="230">
        <v>22</v>
      </c>
      <c r="B27" s="230">
        <v>176</v>
      </c>
      <c r="C27" s="230" t="s">
        <v>201</v>
      </c>
      <c r="D27" s="231" t="s">
        <v>202</v>
      </c>
      <c r="E27" s="232">
        <v>168</v>
      </c>
      <c r="F27" s="232" t="s">
        <v>203</v>
      </c>
      <c r="G27" s="230"/>
      <c r="H27" s="230"/>
      <c r="I27" s="231" t="s">
        <v>202</v>
      </c>
      <c r="J27" s="231" t="s">
        <v>202</v>
      </c>
      <c r="K27" s="231" t="s">
        <v>202</v>
      </c>
      <c r="L27" s="231" t="s">
        <v>202</v>
      </c>
      <c r="M27" s="230" t="s">
        <v>203</v>
      </c>
      <c r="N27" s="230" t="s">
        <v>204</v>
      </c>
    </row>
    <row r="28" spans="1:14" s="233" customFormat="1" ht="11.25">
      <c r="A28" s="230">
        <v>23</v>
      </c>
      <c r="B28" s="230">
        <v>281</v>
      </c>
      <c r="C28" s="230" t="s">
        <v>201</v>
      </c>
      <c r="D28" s="231" t="s">
        <v>202</v>
      </c>
      <c r="E28" s="232">
        <v>184</v>
      </c>
      <c r="F28" s="232" t="s">
        <v>203</v>
      </c>
      <c r="G28" s="230"/>
      <c r="H28" s="230"/>
      <c r="I28" s="231" t="s">
        <v>202</v>
      </c>
      <c r="J28" s="231" t="s">
        <v>202</v>
      </c>
      <c r="K28" s="231" t="s">
        <v>202</v>
      </c>
      <c r="L28" s="231" t="s">
        <v>202</v>
      </c>
      <c r="M28" s="230" t="s">
        <v>203</v>
      </c>
      <c r="N28" s="230" t="s">
        <v>204</v>
      </c>
    </row>
    <row r="29" spans="1:14" s="233" customFormat="1" ht="11.25">
      <c r="A29" s="230">
        <v>24</v>
      </c>
      <c r="B29" s="230">
        <v>1082</v>
      </c>
      <c r="C29" s="230" t="s">
        <v>201</v>
      </c>
      <c r="D29" s="231" t="s">
        <v>202</v>
      </c>
      <c r="E29" s="232">
        <v>166</v>
      </c>
      <c r="F29" s="232" t="s">
        <v>203</v>
      </c>
      <c r="G29" s="230"/>
      <c r="H29" s="230"/>
      <c r="I29" s="231" t="s">
        <v>202</v>
      </c>
      <c r="J29" s="231" t="s">
        <v>202</v>
      </c>
      <c r="K29" s="231" t="s">
        <v>202</v>
      </c>
      <c r="L29" s="231" t="s">
        <v>202</v>
      </c>
      <c r="M29" s="230" t="s">
        <v>203</v>
      </c>
      <c r="N29" s="230" t="s">
        <v>204</v>
      </c>
    </row>
    <row r="30" spans="1:14" s="233" customFormat="1" ht="11.25">
      <c r="A30" s="230">
        <v>25</v>
      </c>
      <c r="B30" s="230">
        <v>1499</v>
      </c>
      <c r="C30" s="230" t="s">
        <v>201</v>
      </c>
      <c r="D30" s="231" t="s">
        <v>202</v>
      </c>
      <c r="E30" s="232">
        <v>159</v>
      </c>
      <c r="F30" s="232" t="s">
        <v>203</v>
      </c>
      <c r="G30" s="230"/>
      <c r="H30" s="230"/>
      <c r="I30" s="231" t="s">
        <v>202</v>
      </c>
      <c r="J30" s="231" t="s">
        <v>202</v>
      </c>
      <c r="K30" s="231" t="s">
        <v>202</v>
      </c>
      <c r="L30" s="231" t="s">
        <v>202</v>
      </c>
      <c r="M30" s="230" t="s">
        <v>203</v>
      </c>
      <c r="N30" s="230" t="s">
        <v>204</v>
      </c>
    </row>
    <row r="31" spans="1:14" s="233" customFormat="1" ht="11.25">
      <c r="A31" s="230">
        <v>26</v>
      </c>
      <c r="B31" s="230">
        <v>1073</v>
      </c>
      <c r="C31" s="230" t="s">
        <v>201</v>
      </c>
      <c r="D31" s="231" t="s">
        <v>202</v>
      </c>
      <c r="E31" s="232">
        <v>148</v>
      </c>
      <c r="F31" s="232" t="s">
        <v>203</v>
      </c>
      <c r="G31" s="230"/>
      <c r="H31" s="230"/>
      <c r="I31" s="231" t="s">
        <v>202</v>
      </c>
      <c r="J31" s="231" t="s">
        <v>202</v>
      </c>
      <c r="K31" s="231" t="s">
        <v>202</v>
      </c>
      <c r="L31" s="231" t="s">
        <v>202</v>
      </c>
      <c r="M31" s="230" t="s">
        <v>203</v>
      </c>
      <c r="N31" s="230" t="s">
        <v>204</v>
      </c>
    </row>
    <row r="32" spans="1:14" s="233" customFormat="1" ht="11.25">
      <c r="A32" s="230">
        <v>27</v>
      </c>
      <c r="B32" s="230">
        <v>756</v>
      </c>
      <c r="C32" s="230" t="s">
        <v>201</v>
      </c>
      <c r="D32" s="231" t="s">
        <v>202</v>
      </c>
      <c r="E32" s="232">
        <v>600</v>
      </c>
      <c r="F32" s="232" t="s">
        <v>203</v>
      </c>
      <c r="G32" s="230"/>
      <c r="H32" s="230"/>
      <c r="I32" s="231" t="s">
        <v>202</v>
      </c>
      <c r="J32" s="234" t="s">
        <v>205</v>
      </c>
      <c r="K32" s="231" t="s">
        <v>202</v>
      </c>
      <c r="L32" s="231" t="s">
        <v>202</v>
      </c>
      <c r="M32" s="230" t="s">
        <v>203</v>
      </c>
      <c r="N32" s="230" t="s">
        <v>204</v>
      </c>
    </row>
    <row r="33" spans="1:14" s="233" customFormat="1" ht="11.25">
      <c r="A33" s="230">
        <v>28</v>
      </c>
      <c r="B33" s="230">
        <v>80</v>
      </c>
      <c r="C33" s="230" t="s">
        <v>201</v>
      </c>
      <c r="D33" s="231" t="s">
        <v>202</v>
      </c>
      <c r="E33" s="232">
        <v>435</v>
      </c>
      <c r="F33" s="232" t="s">
        <v>203</v>
      </c>
      <c r="G33" s="230"/>
      <c r="H33" s="230"/>
      <c r="I33" s="231" t="s">
        <v>202</v>
      </c>
      <c r="J33" s="231" t="s">
        <v>202</v>
      </c>
      <c r="K33" s="231" t="s">
        <v>202</v>
      </c>
      <c r="L33" s="231" t="s">
        <v>202</v>
      </c>
      <c r="M33" s="230" t="s">
        <v>203</v>
      </c>
      <c r="N33" s="230" t="s">
        <v>204</v>
      </c>
    </row>
    <row r="34" spans="1:14" s="233" customFormat="1" ht="11.25">
      <c r="A34" s="230">
        <v>29</v>
      </c>
      <c r="B34" s="230">
        <v>585</v>
      </c>
      <c r="C34" s="230" t="s">
        <v>201</v>
      </c>
      <c r="D34" s="231" t="s">
        <v>202</v>
      </c>
      <c r="E34" s="232">
        <v>183</v>
      </c>
      <c r="F34" s="232" t="s">
        <v>203</v>
      </c>
      <c r="G34" s="230"/>
      <c r="H34" s="230"/>
      <c r="I34" s="231" t="s">
        <v>202</v>
      </c>
      <c r="J34" s="231" t="s">
        <v>202</v>
      </c>
      <c r="K34" s="231" t="s">
        <v>202</v>
      </c>
      <c r="L34" s="231" t="s">
        <v>202</v>
      </c>
      <c r="M34" s="230" t="s">
        <v>203</v>
      </c>
      <c r="N34" s="230" t="s">
        <v>204</v>
      </c>
    </row>
    <row r="35" spans="1:14" s="233" customFormat="1" ht="11.25">
      <c r="A35" s="230">
        <v>30</v>
      </c>
      <c r="B35" s="230">
        <v>493</v>
      </c>
      <c r="C35" s="230" t="s">
        <v>201</v>
      </c>
      <c r="D35" s="231" t="s">
        <v>202</v>
      </c>
      <c r="E35" s="232">
        <v>201</v>
      </c>
      <c r="F35" s="232" t="s">
        <v>203</v>
      </c>
      <c r="G35" s="230"/>
      <c r="H35" s="230"/>
      <c r="I35" s="231" t="s">
        <v>202</v>
      </c>
      <c r="J35" s="231" t="s">
        <v>202</v>
      </c>
      <c r="K35" s="231" t="s">
        <v>202</v>
      </c>
      <c r="L35" s="231" t="s">
        <v>202</v>
      </c>
      <c r="M35" s="230" t="s">
        <v>203</v>
      </c>
      <c r="N35" s="230" t="s">
        <v>204</v>
      </c>
    </row>
    <row r="36" spans="1:14" s="233" customFormat="1" ht="11.25">
      <c r="A36" s="230">
        <v>31</v>
      </c>
      <c r="B36" s="230">
        <v>0</v>
      </c>
      <c r="C36" s="230" t="s">
        <v>201</v>
      </c>
      <c r="D36" s="231" t="s">
        <v>202</v>
      </c>
      <c r="E36" s="232">
        <v>572</v>
      </c>
      <c r="F36" s="232" t="s">
        <v>203</v>
      </c>
      <c r="G36" s="230"/>
      <c r="H36" s="230"/>
      <c r="I36" s="231" t="s">
        <v>202</v>
      </c>
      <c r="J36" s="231" t="s">
        <v>202</v>
      </c>
      <c r="K36" s="231" t="s">
        <v>202</v>
      </c>
      <c r="L36" s="231" t="s">
        <v>202</v>
      </c>
      <c r="M36" s="230" t="s">
        <v>203</v>
      </c>
      <c r="N36" s="230" t="s">
        <v>204</v>
      </c>
    </row>
    <row r="37" spans="1:14" s="233" customFormat="1" ht="11.25">
      <c r="A37" s="230">
        <v>32</v>
      </c>
      <c r="B37" s="230">
        <v>1163</v>
      </c>
      <c r="C37" s="230" t="s">
        <v>201</v>
      </c>
      <c r="D37" s="231" t="s">
        <v>202</v>
      </c>
      <c r="E37" s="232">
        <v>153</v>
      </c>
      <c r="F37" s="232" t="s">
        <v>203</v>
      </c>
      <c r="G37" s="230"/>
      <c r="H37" s="230"/>
      <c r="I37" s="231" t="s">
        <v>202</v>
      </c>
      <c r="J37" s="231" t="s">
        <v>202</v>
      </c>
      <c r="K37" s="231" t="s">
        <v>202</v>
      </c>
      <c r="L37" s="231" t="s">
        <v>202</v>
      </c>
      <c r="M37" s="230" t="s">
        <v>203</v>
      </c>
      <c r="N37" s="230" t="s">
        <v>204</v>
      </c>
    </row>
    <row r="38" spans="1:14" s="233" customFormat="1" ht="11.25">
      <c r="A38" s="230">
        <v>33</v>
      </c>
      <c r="B38" s="230">
        <v>1185</v>
      </c>
      <c r="C38" s="230" t="s">
        <v>201</v>
      </c>
      <c r="D38" s="231" t="s">
        <v>202</v>
      </c>
      <c r="E38" s="232">
        <v>300</v>
      </c>
      <c r="F38" s="232" t="s">
        <v>203</v>
      </c>
      <c r="G38" s="230"/>
      <c r="H38" s="230"/>
      <c r="I38" s="231" t="s">
        <v>202</v>
      </c>
      <c r="J38" s="234" t="s">
        <v>205</v>
      </c>
      <c r="K38" s="231" t="s">
        <v>202</v>
      </c>
      <c r="L38" s="231" t="s">
        <v>202</v>
      </c>
      <c r="M38" s="230" t="s">
        <v>203</v>
      </c>
      <c r="N38" s="230" t="s">
        <v>204</v>
      </c>
    </row>
    <row r="39" spans="1:14" s="233" customFormat="1" ht="11.25">
      <c r="A39" s="230">
        <v>34</v>
      </c>
      <c r="B39" s="230">
        <v>87</v>
      </c>
      <c r="C39" s="230" t="s">
        <v>201</v>
      </c>
      <c r="D39" s="231" t="s">
        <v>202</v>
      </c>
      <c r="E39" s="232">
        <v>406</v>
      </c>
      <c r="F39" s="232" t="s">
        <v>203</v>
      </c>
      <c r="G39" s="230"/>
      <c r="H39" s="230"/>
      <c r="I39" s="231" t="s">
        <v>202</v>
      </c>
      <c r="J39" s="231" t="s">
        <v>202</v>
      </c>
      <c r="K39" s="231" t="s">
        <v>202</v>
      </c>
      <c r="L39" s="231" t="s">
        <v>202</v>
      </c>
      <c r="M39" s="230" t="s">
        <v>203</v>
      </c>
      <c r="N39" s="230" t="s">
        <v>204</v>
      </c>
    </row>
    <row r="40" spans="1:14" s="233" customFormat="1" ht="11.25">
      <c r="A40" s="230">
        <v>35</v>
      </c>
      <c r="B40" s="230">
        <v>912</v>
      </c>
      <c r="C40" s="230" t="s">
        <v>201</v>
      </c>
      <c r="D40" s="231" t="s">
        <v>202</v>
      </c>
      <c r="E40" s="232">
        <v>524</v>
      </c>
      <c r="F40" s="232" t="s">
        <v>203</v>
      </c>
      <c r="G40" s="230"/>
      <c r="H40" s="230"/>
      <c r="I40" s="231" t="s">
        <v>202</v>
      </c>
      <c r="J40" s="231" t="s">
        <v>202</v>
      </c>
      <c r="K40" s="231" t="s">
        <v>202</v>
      </c>
      <c r="L40" s="231" t="s">
        <v>202</v>
      </c>
      <c r="M40" s="230" t="s">
        <v>203</v>
      </c>
      <c r="N40" s="230" t="s">
        <v>204</v>
      </c>
    </row>
    <row r="41" spans="1:14" s="233" customFormat="1" ht="11.25">
      <c r="A41" s="230">
        <v>36</v>
      </c>
      <c r="B41" s="230">
        <v>698</v>
      </c>
      <c r="C41" s="230" t="s">
        <v>201</v>
      </c>
      <c r="D41" s="231" t="s">
        <v>202</v>
      </c>
      <c r="E41" s="232">
        <v>500</v>
      </c>
      <c r="F41" s="232" t="s">
        <v>203</v>
      </c>
      <c r="G41" s="230"/>
      <c r="H41" s="230"/>
      <c r="I41" s="231" t="s">
        <v>202</v>
      </c>
      <c r="J41" s="234" t="s">
        <v>205</v>
      </c>
      <c r="K41" s="231" t="s">
        <v>202</v>
      </c>
      <c r="L41" s="231" t="s">
        <v>202</v>
      </c>
      <c r="M41" s="230" t="s">
        <v>203</v>
      </c>
      <c r="N41" s="230" t="s">
        <v>204</v>
      </c>
    </row>
    <row r="42" spans="1:14" s="233" customFormat="1" ht="11.25">
      <c r="A42" s="230">
        <v>37</v>
      </c>
      <c r="B42" s="230">
        <v>1580</v>
      </c>
      <c r="C42" s="230" t="s">
        <v>201</v>
      </c>
      <c r="D42" s="231" t="s">
        <v>202</v>
      </c>
      <c r="E42" s="232">
        <v>589</v>
      </c>
      <c r="F42" s="232" t="s">
        <v>203</v>
      </c>
      <c r="G42" s="230"/>
      <c r="H42" s="230"/>
      <c r="I42" s="231" t="s">
        <v>202</v>
      </c>
      <c r="J42" s="231" t="s">
        <v>202</v>
      </c>
      <c r="K42" s="231" t="s">
        <v>202</v>
      </c>
      <c r="L42" s="231" t="s">
        <v>202</v>
      </c>
      <c r="M42" s="230" t="s">
        <v>203</v>
      </c>
      <c r="N42" s="230" t="s">
        <v>204</v>
      </c>
    </row>
    <row r="43" spans="1:14" s="233" customFormat="1" ht="11.25">
      <c r="A43" s="230">
        <v>38</v>
      </c>
      <c r="B43" s="230">
        <v>737</v>
      </c>
      <c r="C43" s="230" t="s">
        <v>201</v>
      </c>
      <c r="D43" s="231" t="s">
        <v>202</v>
      </c>
      <c r="E43" s="232">
        <v>556</v>
      </c>
      <c r="F43" s="232" t="s">
        <v>203</v>
      </c>
      <c r="G43" s="230"/>
      <c r="H43" s="230"/>
      <c r="I43" s="231" t="s">
        <v>202</v>
      </c>
      <c r="J43" s="231" t="s">
        <v>202</v>
      </c>
      <c r="K43" s="231" t="s">
        <v>202</v>
      </c>
      <c r="L43" s="231" t="s">
        <v>202</v>
      </c>
      <c r="M43" s="230" t="s">
        <v>203</v>
      </c>
      <c r="N43" s="230" t="s">
        <v>204</v>
      </c>
    </row>
    <row r="44" spans="1:14" s="233" customFormat="1" ht="11.25">
      <c r="A44" s="230">
        <v>39</v>
      </c>
      <c r="B44" s="230">
        <v>611</v>
      </c>
      <c r="C44" s="230" t="s">
        <v>201</v>
      </c>
      <c r="D44" s="231" t="s">
        <v>202</v>
      </c>
      <c r="E44" s="232">
        <v>381</v>
      </c>
      <c r="F44" s="232" t="s">
        <v>203</v>
      </c>
      <c r="G44" s="230"/>
      <c r="H44" s="230"/>
      <c r="I44" s="231" t="s">
        <v>202</v>
      </c>
      <c r="J44" s="231" t="s">
        <v>202</v>
      </c>
      <c r="K44" s="231" t="s">
        <v>202</v>
      </c>
      <c r="L44" s="231" t="s">
        <v>202</v>
      </c>
      <c r="M44" s="230" t="s">
        <v>203</v>
      </c>
      <c r="N44" s="230" t="s">
        <v>204</v>
      </c>
    </row>
    <row r="45" spans="1:14" s="233" customFormat="1" ht="11.25">
      <c r="A45" s="230">
        <v>40</v>
      </c>
      <c r="B45" s="230">
        <v>361</v>
      </c>
      <c r="C45" s="230" t="s">
        <v>201</v>
      </c>
      <c r="D45" s="231" t="s">
        <v>202</v>
      </c>
      <c r="E45" s="232">
        <v>258</v>
      </c>
      <c r="F45" s="232" t="s">
        <v>203</v>
      </c>
      <c r="G45" s="230"/>
      <c r="H45" s="230"/>
      <c r="I45" s="231" t="s">
        <v>202</v>
      </c>
      <c r="J45" s="231" t="s">
        <v>202</v>
      </c>
      <c r="K45" s="231" t="s">
        <v>202</v>
      </c>
      <c r="L45" s="231" t="s">
        <v>202</v>
      </c>
      <c r="M45" s="230" t="s">
        <v>203</v>
      </c>
      <c r="N45" s="230" t="s">
        <v>204</v>
      </c>
    </row>
    <row r="46" spans="1:14" s="233" customFormat="1" ht="11.25">
      <c r="A46" s="230">
        <v>41</v>
      </c>
      <c r="B46" s="230">
        <v>1435</v>
      </c>
      <c r="C46" s="230" t="s">
        <v>201</v>
      </c>
      <c r="D46" s="231" t="s">
        <v>202</v>
      </c>
      <c r="E46" s="232">
        <v>185</v>
      </c>
      <c r="F46" s="232" t="s">
        <v>203</v>
      </c>
      <c r="G46" s="230"/>
      <c r="H46" s="230"/>
      <c r="I46" s="231" t="s">
        <v>202</v>
      </c>
      <c r="J46" s="231" t="s">
        <v>202</v>
      </c>
      <c r="K46" s="231" t="s">
        <v>202</v>
      </c>
      <c r="L46" s="231" t="s">
        <v>202</v>
      </c>
      <c r="M46" s="230" t="s">
        <v>203</v>
      </c>
      <c r="N46" s="230" t="s">
        <v>204</v>
      </c>
    </row>
    <row r="47" spans="1:14" s="233" customFormat="1" ht="11.25">
      <c r="A47" s="230">
        <v>42</v>
      </c>
      <c r="B47" s="230">
        <v>300</v>
      </c>
      <c r="C47" s="230" t="s">
        <v>201</v>
      </c>
      <c r="D47" s="231" t="s">
        <v>202</v>
      </c>
      <c r="E47" s="232">
        <v>102</v>
      </c>
      <c r="F47" s="232" t="s">
        <v>203</v>
      </c>
      <c r="G47" s="230"/>
      <c r="H47" s="230"/>
      <c r="I47" s="231" t="s">
        <v>202</v>
      </c>
      <c r="J47" s="231" t="s">
        <v>202</v>
      </c>
      <c r="K47" s="231" t="s">
        <v>202</v>
      </c>
      <c r="L47" s="231" t="s">
        <v>202</v>
      </c>
      <c r="M47" s="230" t="s">
        <v>203</v>
      </c>
      <c r="N47" s="230" t="s">
        <v>204</v>
      </c>
    </row>
    <row r="48" spans="1:14" s="233" customFormat="1" ht="11.25">
      <c r="A48" s="230">
        <v>43</v>
      </c>
      <c r="B48" s="230">
        <v>1538</v>
      </c>
      <c r="C48" s="230" t="s">
        <v>201</v>
      </c>
      <c r="D48" s="231" t="s">
        <v>202</v>
      </c>
      <c r="E48" s="232">
        <v>127</v>
      </c>
      <c r="F48" s="232" t="s">
        <v>203</v>
      </c>
      <c r="G48" s="230"/>
      <c r="H48" s="230"/>
      <c r="I48" s="231" t="s">
        <v>202</v>
      </c>
      <c r="J48" s="231" t="s">
        <v>202</v>
      </c>
      <c r="K48" s="231" t="s">
        <v>202</v>
      </c>
      <c r="L48" s="231" t="s">
        <v>202</v>
      </c>
      <c r="M48" s="230" t="s">
        <v>203</v>
      </c>
      <c r="N48" s="230" t="s">
        <v>204</v>
      </c>
    </row>
    <row r="49" spans="1:14" s="233" customFormat="1" ht="11.25">
      <c r="A49" s="230">
        <v>44</v>
      </c>
      <c r="B49" s="230">
        <v>148</v>
      </c>
      <c r="C49" s="230" t="s">
        <v>201</v>
      </c>
      <c r="D49" s="231" t="s">
        <v>202</v>
      </c>
      <c r="E49" s="232">
        <v>452</v>
      </c>
      <c r="F49" s="232" t="s">
        <v>203</v>
      </c>
      <c r="G49" s="230"/>
      <c r="H49" s="230"/>
      <c r="I49" s="231" t="s">
        <v>202</v>
      </c>
      <c r="J49" s="231" t="s">
        <v>202</v>
      </c>
      <c r="K49" s="231" t="s">
        <v>202</v>
      </c>
      <c r="L49" s="231" t="s">
        <v>202</v>
      </c>
      <c r="M49" s="230" t="s">
        <v>203</v>
      </c>
      <c r="N49" s="230" t="s">
        <v>204</v>
      </c>
    </row>
    <row r="50" spans="1:14" s="233" customFormat="1" ht="11.25">
      <c r="A50" s="230">
        <v>45</v>
      </c>
      <c r="B50" s="230">
        <v>711</v>
      </c>
      <c r="C50" s="230" t="s">
        <v>201</v>
      </c>
      <c r="D50" s="231" t="s">
        <v>202</v>
      </c>
      <c r="E50" s="232">
        <v>404</v>
      </c>
      <c r="F50" s="232" t="s">
        <v>203</v>
      </c>
      <c r="G50" s="230"/>
      <c r="H50" s="230"/>
      <c r="I50" s="231" t="s">
        <v>202</v>
      </c>
      <c r="J50" s="231" t="s">
        <v>202</v>
      </c>
      <c r="K50" s="231" t="s">
        <v>202</v>
      </c>
      <c r="L50" s="231" t="s">
        <v>202</v>
      </c>
      <c r="M50" s="230" t="s">
        <v>203</v>
      </c>
      <c r="N50" s="230" t="s">
        <v>204</v>
      </c>
    </row>
    <row r="51" spans="1:14" s="233" customFormat="1" ht="11.25">
      <c r="A51" s="230">
        <v>46</v>
      </c>
      <c r="B51" s="230">
        <v>904</v>
      </c>
      <c r="C51" s="230" t="s">
        <v>201</v>
      </c>
      <c r="D51" s="231" t="s">
        <v>202</v>
      </c>
      <c r="E51" s="232">
        <v>104</v>
      </c>
      <c r="F51" s="232" t="s">
        <v>203</v>
      </c>
      <c r="G51" s="230"/>
      <c r="H51" s="230"/>
      <c r="I51" s="231" t="s">
        <v>202</v>
      </c>
      <c r="J51" s="231" t="s">
        <v>202</v>
      </c>
      <c r="K51" s="231" t="s">
        <v>202</v>
      </c>
      <c r="L51" s="231" t="s">
        <v>202</v>
      </c>
      <c r="M51" s="230" t="s">
        <v>203</v>
      </c>
      <c r="N51" s="230" t="s">
        <v>204</v>
      </c>
    </row>
    <row r="52" spans="1:14" s="233" customFormat="1" ht="11.25">
      <c r="A52" s="230">
        <v>47</v>
      </c>
      <c r="B52" s="230">
        <v>654</v>
      </c>
      <c r="C52" s="230" t="s">
        <v>201</v>
      </c>
      <c r="D52" s="231" t="s">
        <v>202</v>
      </c>
      <c r="E52" s="232">
        <v>366</v>
      </c>
      <c r="F52" s="232" t="s">
        <v>203</v>
      </c>
      <c r="G52" s="230"/>
      <c r="H52" s="230"/>
      <c r="I52" s="231" t="s">
        <v>202</v>
      </c>
      <c r="J52" s="231" t="s">
        <v>202</v>
      </c>
      <c r="K52" s="231" t="s">
        <v>202</v>
      </c>
      <c r="L52" s="231" t="s">
        <v>202</v>
      </c>
      <c r="M52" s="230" t="s">
        <v>203</v>
      </c>
      <c r="N52" s="230" t="s">
        <v>204</v>
      </c>
    </row>
    <row r="53" spans="1:14" s="233" customFormat="1" ht="11.25">
      <c r="A53" s="230">
        <v>48</v>
      </c>
      <c r="B53" s="230">
        <v>801</v>
      </c>
      <c r="C53" s="230" t="s">
        <v>201</v>
      </c>
      <c r="D53" s="231" t="s">
        <v>202</v>
      </c>
      <c r="E53" s="232">
        <v>166</v>
      </c>
      <c r="F53" s="232" t="s">
        <v>203</v>
      </c>
      <c r="G53" s="230"/>
      <c r="H53" s="230"/>
      <c r="I53" s="231" t="s">
        <v>202</v>
      </c>
      <c r="J53" s="231" t="s">
        <v>202</v>
      </c>
      <c r="K53" s="231" t="s">
        <v>202</v>
      </c>
      <c r="L53" s="231" t="s">
        <v>202</v>
      </c>
      <c r="M53" s="230" t="s">
        <v>203</v>
      </c>
      <c r="N53" s="230" t="s">
        <v>204</v>
      </c>
    </row>
    <row r="54" spans="1:14" s="233" customFormat="1" ht="11.25">
      <c r="A54" s="230">
        <v>49</v>
      </c>
      <c r="B54" s="230">
        <v>1336</v>
      </c>
      <c r="C54" s="230" t="s">
        <v>201</v>
      </c>
      <c r="D54" s="231" t="s">
        <v>202</v>
      </c>
      <c r="E54" s="232">
        <v>478</v>
      </c>
      <c r="F54" s="232" t="s">
        <v>203</v>
      </c>
      <c r="G54" s="230"/>
      <c r="H54" s="230"/>
      <c r="I54" s="231" t="s">
        <v>202</v>
      </c>
      <c r="J54" s="231" t="s">
        <v>202</v>
      </c>
      <c r="K54" s="231" t="s">
        <v>202</v>
      </c>
      <c r="L54" s="231" t="s">
        <v>202</v>
      </c>
      <c r="M54" s="230" t="s">
        <v>203</v>
      </c>
      <c r="N54" s="230" t="s">
        <v>204</v>
      </c>
    </row>
    <row r="55" spans="1:14" s="233" customFormat="1" ht="11.25">
      <c r="A55" s="230">
        <v>50</v>
      </c>
      <c r="B55" s="230">
        <v>972</v>
      </c>
      <c r="C55" s="230" t="s">
        <v>201</v>
      </c>
      <c r="D55" s="231" t="s">
        <v>202</v>
      </c>
      <c r="E55" s="232">
        <v>583</v>
      </c>
      <c r="F55" s="232" t="s">
        <v>203</v>
      </c>
      <c r="G55" s="230"/>
      <c r="H55" s="230"/>
      <c r="I55" s="231" t="s">
        <v>202</v>
      </c>
      <c r="J55" s="231" t="s">
        <v>202</v>
      </c>
      <c r="K55" s="231" t="s">
        <v>202</v>
      </c>
      <c r="L55" s="231" t="s">
        <v>202</v>
      </c>
      <c r="M55" s="230" t="s">
        <v>203</v>
      </c>
      <c r="N55" s="230" t="s">
        <v>204</v>
      </c>
    </row>
    <row r="56" spans="1:14" s="233" customFormat="1" ht="11.25">
      <c r="A56" s="230">
        <v>51</v>
      </c>
      <c r="B56" s="230">
        <v>833</v>
      </c>
      <c r="C56" s="230" t="s">
        <v>201</v>
      </c>
      <c r="D56" s="231" t="s">
        <v>202</v>
      </c>
      <c r="E56" s="232">
        <v>486</v>
      </c>
      <c r="F56" s="232" t="s">
        <v>203</v>
      </c>
      <c r="G56" s="230"/>
      <c r="H56" s="230"/>
      <c r="I56" s="231" t="s">
        <v>202</v>
      </c>
      <c r="J56" s="231" t="s">
        <v>202</v>
      </c>
      <c r="K56" s="231" t="s">
        <v>202</v>
      </c>
      <c r="L56" s="231" t="s">
        <v>202</v>
      </c>
      <c r="M56" s="230" t="s">
        <v>203</v>
      </c>
      <c r="N56" s="230" t="s">
        <v>204</v>
      </c>
    </row>
    <row r="57" spans="1:14" s="233" customFormat="1" ht="11.25">
      <c r="A57" s="230">
        <v>52</v>
      </c>
      <c r="B57" s="230">
        <v>918</v>
      </c>
      <c r="C57" s="230" t="s">
        <v>201</v>
      </c>
      <c r="D57" s="231" t="s">
        <v>202</v>
      </c>
      <c r="E57" s="232">
        <v>172</v>
      </c>
      <c r="F57" s="232" t="s">
        <v>203</v>
      </c>
      <c r="G57" s="230"/>
      <c r="H57" s="230"/>
      <c r="I57" s="231" t="s">
        <v>202</v>
      </c>
      <c r="J57" s="231" t="s">
        <v>202</v>
      </c>
      <c r="K57" s="231" t="s">
        <v>202</v>
      </c>
      <c r="L57" s="231" t="s">
        <v>202</v>
      </c>
      <c r="M57" s="230" t="s">
        <v>203</v>
      </c>
      <c r="N57" s="230" t="s">
        <v>204</v>
      </c>
    </row>
    <row r="58" spans="1:14" s="233" customFormat="1" ht="11.25">
      <c r="A58" s="230">
        <v>53</v>
      </c>
      <c r="B58" s="230">
        <v>1667</v>
      </c>
      <c r="C58" s="230" t="s">
        <v>201</v>
      </c>
      <c r="D58" s="231" t="s">
        <v>202</v>
      </c>
      <c r="E58" s="232">
        <v>263</v>
      </c>
      <c r="F58" s="232" t="s">
        <v>203</v>
      </c>
      <c r="G58" s="230"/>
      <c r="H58" s="230"/>
      <c r="I58" s="231" t="s">
        <v>202</v>
      </c>
      <c r="J58" s="231" t="s">
        <v>202</v>
      </c>
      <c r="K58" s="231" t="s">
        <v>202</v>
      </c>
      <c r="L58" s="231" t="s">
        <v>202</v>
      </c>
      <c r="M58" s="230" t="s">
        <v>203</v>
      </c>
      <c r="N58" s="230" t="s">
        <v>204</v>
      </c>
    </row>
    <row r="59" spans="1:14" s="233" customFormat="1" ht="11.25">
      <c r="A59" s="230">
        <v>54</v>
      </c>
      <c r="B59" s="230">
        <v>231</v>
      </c>
      <c r="C59" s="230" t="s">
        <v>201</v>
      </c>
      <c r="D59" s="231" t="s">
        <v>202</v>
      </c>
      <c r="E59" s="232">
        <v>231</v>
      </c>
      <c r="F59" s="232" t="s">
        <v>203</v>
      </c>
      <c r="G59" s="230"/>
      <c r="H59" s="230"/>
      <c r="I59" s="231" t="s">
        <v>202</v>
      </c>
      <c r="J59" s="231" t="s">
        <v>202</v>
      </c>
      <c r="K59" s="231" t="s">
        <v>202</v>
      </c>
      <c r="L59" s="231" t="s">
        <v>202</v>
      </c>
      <c r="M59" s="230" t="s">
        <v>203</v>
      </c>
      <c r="N59" s="230" t="s">
        <v>204</v>
      </c>
    </row>
    <row r="60" spans="1:14" s="233" customFormat="1" ht="11.25">
      <c r="A60" s="230">
        <v>55</v>
      </c>
      <c r="B60" s="230">
        <v>1424</v>
      </c>
      <c r="C60" s="230" t="s">
        <v>201</v>
      </c>
      <c r="D60" s="231" t="s">
        <v>202</v>
      </c>
      <c r="E60" s="232">
        <v>584</v>
      </c>
      <c r="F60" s="232" t="s">
        <v>203</v>
      </c>
      <c r="G60" s="230"/>
      <c r="H60" s="230"/>
      <c r="I60" s="231" t="s">
        <v>202</v>
      </c>
      <c r="J60" s="231" t="s">
        <v>202</v>
      </c>
      <c r="K60" s="231" t="s">
        <v>202</v>
      </c>
      <c r="L60" s="231" t="s">
        <v>202</v>
      </c>
      <c r="M60" s="230" t="s">
        <v>203</v>
      </c>
      <c r="N60" s="230" t="s">
        <v>204</v>
      </c>
    </row>
    <row r="61" spans="1:14" s="233" customFormat="1" ht="11.25">
      <c r="A61" s="230">
        <v>56</v>
      </c>
      <c r="B61" s="230">
        <v>124</v>
      </c>
      <c r="C61" s="230" t="s">
        <v>201</v>
      </c>
      <c r="D61" s="231" t="s">
        <v>202</v>
      </c>
      <c r="E61" s="232">
        <v>563</v>
      </c>
      <c r="F61" s="232" t="s">
        <v>203</v>
      </c>
      <c r="G61" s="230"/>
      <c r="H61" s="230"/>
      <c r="I61" s="231" t="s">
        <v>202</v>
      </c>
      <c r="J61" s="231" t="s">
        <v>202</v>
      </c>
      <c r="K61" s="231" t="s">
        <v>202</v>
      </c>
      <c r="L61" s="231" t="s">
        <v>202</v>
      </c>
      <c r="M61" s="230" t="s">
        <v>203</v>
      </c>
      <c r="N61" s="230" t="s">
        <v>204</v>
      </c>
    </row>
    <row r="62" spans="1:14" s="233" customFormat="1" ht="11.25">
      <c r="A62" s="230">
        <v>57</v>
      </c>
      <c r="B62" s="230">
        <v>1229</v>
      </c>
      <c r="C62" s="230" t="s">
        <v>201</v>
      </c>
      <c r="D62" s="231" t="s">
        <v>202</v>
      </c>
      <c r="E62" s="232">
        <v>238</v>
      </c>
      <c r="F62" s="232" t="s">
        <v>203</v>
      </c>
      <c r="G62" s="230"/>
      <c r="H62" s="230"/>
      <c r="I62" s="231" t="s">
        <v>202</v>
      </c>
      <c r="J62" s="231" t="s">
        <v>202</v>
      </c>
      <c r="K62" s="231" t="s">
        <v>202</v>
      </c>
      <c r="L62" s="231" t="s">
        <v>202</v>
      </c>
      <c r="M62" s="230" t="s">
        <v>203</v>
      </c>
      <c r="N62" s="230" t="s">
        <v>204</v>
      </c>
    </row>
    <row r="63" spans="1:14" s="233" customFormat="1" ht="11.25">
      <c r="A63" s="230">
        <v>58</v>
      </c>
      <c r="B63" s="230">
        <v>1478</v>
      </c>
      <c r="C63" s="230" t="s">
        <v>201</v>
      </c>
      <c r="D63" s="231" t="s">
        <v>202</v>
      </c>
      <c r="E63" s="232">
        <v>254</v>
      </c>
      <c r="F63" s="232" t="s">
        <v>203</v>
      </c>
      <c r="G63" s="230"/>
      <c r="H63" s="230"/>
      <c r="I63" s="231" t="s">
        <v>202</v>
      </c>
      <c r="J63" s="231" t="s">
        <v>202</v>
      </c>
      <c r="K63" s="231" t="s">
        <v>202</v>
      </c>
      <c r="L63" s="231" t="s">
        <v>202</v>
      </c>
      <c r="M63" s="230" t="s">
        <v>203</v>
      </c>
      <c r="N63" s="230" t="s">
        <v>204</v>
      </c>
    </row>
    <row r="64" spans="1:14" s="233" customFormat="1" ht="11.25">
      <c r="A64" s="230">
        <v>59</v>
      </c>
      <c r="B64" s="230">
        <v>910</v>
      </c>
      <c r="C64" s="230" t="s">
        <v>201</v>
      </c>
      <c r="D64" s="231" t="s">
        <v>202</v>
      </c>
      <c r="E64" s="232">
        <v>543</v>
      </c>
      <c r="F64" s="232" t="s">
        <v>203</v>
      </c>
      <c r="G64" s="230"/>
      <c r="H64" s="230"/>
      <c r="I64" s="231" t="s">
        <v>202</v>
      </c>
      <c r="J64" s="231" t="s">
        <v>202</v>
      </c>
      <c r="K64" s="231" t="s">
        <v>202</v>
      </c>
      <c r="L64" s="231" t="s">
        <v>202</v>
      </c>
      <c r="M64" s="230" t="s">
        <v>203</v>
      </c>
      <c r="N64" s="230" t="s">
        <v>204</v>
      </c>
    </row>
    <row r="65" spans="1:14" s="233" customFormat="1" ht="11.25">
      <c r="A65" s="230">
        <v>60</v>
      </c>
      <c r="B65" s="230">
        <v>1267</v>
      </c>
      <c r="C65" s="230" t="s">
        <v>201</v>
      </c>
      <c r="D65" s="231" t="s">
        <v>202</v>
      </c>
      <c r="E65" s="232">
        <v>221</v>
      </c>
      <c r="F65" s="232" t="s">
        <v>203</v>
      </c>
      <c r="G65" s="230"/>
      <c r="H65" s="230"/>
      <c r="I65" s="231" t="s">
        <v>202</v>
      </c>
      <c r="J65" s="231" t="s">
        <v>202</v>
      </c>
      <c r="K65" s="231" t="s">
        <v>202</v>
      </c>
      <c r="L65" s="231" t="s">
        <v>202</v>
      </c>
      <c r="M65" s="230" t="s">
        <v>203</v>
      </c>
      <c r="N65" s="230" t="s">
        <v>204</v>
      </c>
    </row>
    <row r="66" spans="1:14" s="233" customFormat="1" ht="11.25">
      <c r="A66" s="230">
        <v>61</v>
      </c>
      <c r="B66" s="230">
        <v>6</v>
      </c>
      <c r="C66" s="230" t="s">
        <v>201</v>
      </c>
      <c r="D66" s="231" t="s">
        <v>202</v>
      </c>
      <c r="E66" s="232">
        <v>592</v>
      </c>
      <c r="F66" s="232" t="s">
        <v>203</v>
      </c>
      <c r="G66" s="230"/>
      <c r="H66" s="230"/>
      <c r="I66" s="231" t="s">
        <v>202</v>
      </c>
      <c r="J66" s="231" t="s">
        <v>202</v>
      </c>
      <c r="K66" s="231" t="s">
        <v>202</v>
      </c>
      <c r="L66" s="231" t="s">
        <v>202</v>
      </c>
      <c r="M66" s="230" t="s">
        <v>203</v>
      </c>
      <c r="N66" s="230" t="s">
        <v>204</v>
      </c>
    </row>
    <row r="67" spans="1:14" s="233" customFormat="1" ht="11.25">
      <c r="A67" s="230">
        <v>62</v>
      </c>
      <c r="B67" s="230">
        <v>402</v>
      </c>
      <c r="C67" s="230" t="s">
        <v>201</v>
      </c>
      <c r="D67" s="231" t="s">
        <v>202</v>
      </c>
      <c r="E67" s="232">
        <v>230</v>
      </c>
      <c r="F67" s="232" t="s">
        <v>203</v>
      </c>
      <c r="G67" s="230"/>
      <c r="H67" s="230"/>
      <c r="I67" s="231" t="s">
        <v>202</v>
      </c>
      <c r="J67" s="231" t="s">
        <v>202</v>
      </c>
      <c r="K67" s="231" t="s">
        <v>202</v>
      </c>
      <c r="L67" s="231" t="s">
        <v>202</v>
      </c>
      <c r="M67" s="230" t="s">
        <v>203</v>
      </c>
      <c r="N67" s="230" t="s">
        <v>204</v>
      </c>
    </row>
    <row r="68" spans="1:14" s="233" customFormat="1" ht="11.25">
      <c r="A68" s="230">
        <v>63</v>
      </c>
      <c r="B68" s="230">
        <v>620</v>
      </c>
      <c r="C68" s="230" t="s">
        <v>201</v>
      </c>
      <c r="D68" s="231" t="s">
        <v>202</v>
      </c>
      <c r="E68" s="232">
        <v>584</v>
      </c>
      <c r="F68" s="232" t="s">
        <v>203</v>
      </c>
      <c r="G68" s="230"/>
      <c r="H68" s="230"/>
      <c r="I68" s="231" t="s">
        <v>202</v>
      </c>
      <c r="J68" s="231" t="s">
        <v>202</v>
      </c>
      <c r="K68" s="231" t="s">
        <v>202</v>
      </c>
      <c r="L68" s="231" t="s">
        <v>202</v>
      </c>
      <c r="M68" s="230" t="s">
        <v>203</v>
      </c>
      <c r="N68" s="230" t="s">
        <v>204</v>
      </c>
    </row>
    <row r="69" spans="1:14" s="233" customFormat="1" ht="11.25">
      <c r="A69" s="230">
        <v>64</v>
      </c>
      <c r="B69" s="230">
        <v>703</v>
      </c>
      <c r="C69" s="230" t="s">
        <v>201</v>
      </c>
      <c r="D69" s="231" t="s">
        <v>202</v>
      </c>
      <c r="E69" s="232">
        <v>145</v>
      </c>
      <c r="F69" s="232" t="s">
        <v>203</v>
      </c>
      <c r="G69" s="230"/>
      <c r="H69" s="230"/>
      <c r="I69" s="231" t="s">
        <v>202</v>
      </c>
      <c r="J69" s="231" t="s">
        <v>202</v>
      </c>
      <c r="K69" s="231" t="s">
        <v>202</v>
      </c>
      <c r="L69" s="231" t="s">
        <v>202</v>
      </c>
      <c r="M69" s="230" t="s">
        <v>203</v>
      </c>
      <c r="N69" s="230" t="s">
        <v>204</v>
      </c>
    </row>
    <row r="70" spans="1:14" s="233" customFormat="1" ht="11.25">
      <c r="A70" s="230">
        <v>65</v>
      </c>
      <c r="B70" s="230">
        <v>105</v>
      </c>
      <c r="C70" s="230" t="s">
        <v>201</v>
      </c>
      <c r="D70" s="231" t="s">
        <v>202</v>
      </c>
      <c r="E70" s="232">
        <v>541</v>
      </c>
      <c r="F70" s="232" t="s">
        <v>203</v>
      </c>
      <c r="G70" s="230"/>
      <c r="H70" s="230"/>
      <c r="I70" s="231" t="s">
        <v>202</v>
      </c>
      <c r="J70" s="231" t="s">
        <v>202</v>
      </c>
      <c r="K70" s="231" t="s">
        <v>202</v>
      </c>
      <c r="L70" s="231" t="s">
        <v>202</v>
      </c>
      <c r="M70" s="230" t="s">
        <v>203</v>
      </c>
      <c r="N70" s="230" t="s">
        <v>204</v>
      </c>
    </row>
    <row r="71" spans="1:14" s="233" customFormat="1" ht="11.25">
      <c r="A71" s="230">
        <v>66</v>
      </c>
      <c r="B71" s="230">
        <v>1504</v>
      </c>
      <c r="C71" s="230" t="s">
        <v>201</v>
      </c>
      <c r="D71" s="231" t="s">
        <v>202</v>
      </c>
      <c r="E71" s="232">
        <v>191</v>
      </c>
      <c r="F71" s="232" t="s">
        <v>203</v>
      </c>
      <c r="G71" s="230"/>
      <c r="H71" s="230"/>
      <c r="I71" s="231" t="s">
        <v>202</v>
      </c>
      <c r="J71" s="231" t="s">
        <v>202</v>
      </c>
      <c r="K71" s="231" t="s">
        <v>202</v>
      </c>
      <c r="L71" s="231" t="s">
        <v>202</v>
      </c>
      <c r="M71" s="230" t="s">
        <v>203</v>
      </c>
      <c r="N71" s="230" t="s">
        <v>204</v>
      </c>
    </row>
    <row r="72" spans="1:14" s="233" customFormat="1" ht="11.25">
      <c r="A72" s="230">
        <v>67</v>
      </c>
      <c r="B72" s="230">
        <v>291</v>
      </c>
      <c r="C72" s="230" t="s">
        <v>201</v>
      </c>
      <c r="D72" s="231" t="s">
        <v>202</v>
      </c>
      <c r="E72" s="232">
        <v>127</v>
      </c>
      <c r="F72" s="232" t="s">
        <v>203</v>
      </c>
      <c r="G72" s="230"/>
      <c r="H72" s="230"/>
      <c r="I72" s="231" t="s">
        <v>202</v>
      </c>
      <c r="J72" s="231" t="s">
        <v>202</v>
      </c>
      <c r="K72" s="231" t="s">
        <v>202</v>
      </c>
      <c r="L72" s="231" t="s">
        <v>202</v>
      </c>
      <c r="M72" s="230" t="s">
        <v>203</v>
      </c>
      <c r="N72" s="230" t="s">
        <v>204</v>
      </c>
    </row>
    <row r="73" spans="1:14" s="233" customFormat="1" ht="11.25">
      <c r="A73" s="230">
        <v>68</v>
      </c>
      <c r="B73" s="230">
        <v>1322</v>
      </c>
      <c r="C73" s="230" t="s">
        <v>201</v>
      </c>
      <c r="D73" s="231" t="s">
        <v>202</v>
      </c>
      <c r="E73" s="232">
        <v>131</v>
      </c>
      <c r="F73" s="232" t="s">
        <v>203</v>
      </c>
      <c r="G73" s="230"/>
      <c r="H73" s="230"/>
      <c r="I73" s="231" t="s">
        <v>202</v>
      </c>
      <c r="J73" s="231" t="s">
        <v>202</v>
      </c>
      <c r="K73" s="231" t="s">
        <v>202</v>
      </c>
      <c r="L73" s="231" t="s">
        <v>202</v>
      </c>
      <c r="M73" s="230" t="s">
        <v>203</v>
      </c>
      <c r="N73" s="230" t="s">
        <v>204</v>
      </c>
    </row>
    <row r="74" spans="1:14" s="233" customFormat="1" ht="11.25">
      <c r="A74" s="230">
        <v>69</v>
      </c>
      <c r="B74" s="230">
        <v>112</v>
      </c>
      <c r="C74" s="230" t="s">
        <v>201</v>
      </c>
      <c r="D74" s="231" t="s">
        <v>202</v>
      </c>
      <c r="E74" s="232">
        <v>476</v>
      </c>
      <c r="F74" s="232" t="s">
        <v>203</v>
      </c>
      <c r="G74" s="230"/>
      <c r="H74" s="230"/>
      <c r="I74" s="231" t="s">
        <v>202</v>
      </c>
      <c r="J74" s="231" t="s">
        <v>202</v>
      </c>
      <c r="K74" s="231" t="s">
        <v>202</v>
      </c>
      <c r="L74" s="231" t="s">
        <v>202</v>
      </c>
      <c r="M74" s="230" t="s">
        <v>203</v>
      </c>
      <c r="N74" s="230" t="s">
        <v>204</v>
      </c>
    </row>
    <row r="75" spans="1:14" s="233" customFormat="1" ht="11.25">
      <c r="A75" s="230">
        <v>70</v>
      </c>
      <c r="B75" s="230">
        <v>1222</v>
      </c>
      <c r="C75" s="230" t="s">
        <v>201</v>
      </c>
      <c r="D75" s="231" t="s">
        <v>202</v>
      </c>
      <c r="E75" s="232">
        <v>212</v>
      </c>
      <c r="F75" s="232" t="s">
        <v>203</v>
      </c>
      <c r="G75" s="230"/>
      <c r="H75" s="230"/>
      <c r="I75" s="231" t="s">
        <v>202</v>
      </c>
      <c r="J75" s="231" t="s">
        <v>202</v>
      </c>
      <c r="K75" s="231" t="s">
        <v>202</v>
      </c>
      <c r="L75" s="231" t="s">
        <v>202</v>
      </c>
      <c r="M75" s="230" t="s">
        <v>203</v>
      </c>
      <c r="N75" s="230" t="s">
        <v>204</v>
      </c>
    </row>
    <row r="76" spans="1:14" s="233" customFormat="1" ht="11.25">
      <c r="A76" s="230">
        <v>71</v>
      </c>
      <c r="B76" s="230">
        <v>1453</v>
      </c>
      <c r="C76" s="230" t="s">
        <v>201</v>
      </c>
      <c r="D76" s="231" t="s">
        <v>202</v>
      </c>
      <c r="E76" s="232">
        <v>520</v>
      </c>
      <c r="F76" s="232" t="s">
        <v>203</v>
      </c>
      <c r="G76" s="230"/>
      <c r="H76" s="230"/>
      <c r="I76" s="231" t="s">
        <v>202</v>
      </c>
      <c r="J76" s="231" t="s">
        <v>202</v>
      </c>
      <c r="K76" s="231" t="s">
        <v>202</v>
      </c>
      <c r="L76" s="231" t="s">
        <v>202</v>
      </c>
      <c r="M76" s="230" t="s">
        <v>203</v>
      </c>
      <c r="N76" s="230" t="s">
        <v>204</v>
      </c>
    </row>
    <row r="77" spans="1:14" s="233" customFormat="1" ht="11.25">
      <c r="A77" s="230">
        <v>72</v>
      </c>
      <c r="B77" s="230">
        <v>879</v>
      </c>
      <c r="C77" s="230" t="s">
        <v>201</v>
      </c>
      <c r="D77" s="231" t="s">
        <v>202</v>
      </c>
      <c r="E77" s="232">
        <v>520</v>
      </c>
      <c r="F77" s="232" t="s">
        <v>203</v>
      </c>
      <c r="G77" s="230"/>
      <c r="H77" s="230"/>
      <c r="I77" s="231" t="s">
        <v>202</v>
      </c>
      <c r="J77" s="231" t="s">
        <v>202</v>
      </c>
      <c r="K77" s="231" t="s">
        <v>202</v>
      </c>
      <c r="L77" s="231" t="s">
        <v>202</v>
      </c>
      <c r="M77" s="230" t="s">
        <v>203</v>
      </c>
      <c r="N77" s="230" t="s">
        <v>204</v>
      </c>
    </row>
    <row r="78" spans="1:14" s="233" customFormat="1" ht="11.25">
      <c r="A78" s="230">
        <v>73</v>
      </c>
      <c r="B78" s="230">
        <v>1354</v>
      </c>
      <c r="C78" s="230" t="s">
        <v>201</v>
      </c>
      <c r="D78" s="231" t="s">
        <v>202</v>
      </c>
      <c r="E78" s="232">
        <v>436</v>
      </c>
      <c r="F78" s="232" t="s">
        <v>203</v>
      </c>
      <c r="G78" s="230"/>
      <c r="H78" s="230"/>
      <c r="I78" s="231" t="s">
        <v>202</v>
      </c>
      <c r="J78" s="231" t="s">
        <v>202</v>
      </c>
      <c r="K78" s="231" t="s">
        <v>202</v>
      </c>
      <c r="L78" s="231" t="s">
        <v>202</v>
      </c>
      <c r="M78" s="230" t="s">
        <v>203</v>
      </c>
      <c r="N78" s="230" t="s">
        <v>204</v>
      </c>
    </row>
    <row r="79" spans="1:14" s="233" customFormat="1" ht="11.25">
      <c r="A79" s="230">
        <v>74</v>
      </c>
      <c r="B79" s="230">
        <v>33</v>
      </c>
      <c r="C79" s="230" t="s">
        <v>201</v>
      </c>
      <c r="D79" s="231" t="s">
        <v>202</v>
      </c>
      <c r="E79" s="232">
        <v>300</v>
      </c>
      <c r="F79" s="232" t="s">
        <v>203</v>
      </c>
      <c r="G79" s="230"/>
      <c r="H79" s="230"/>
      <c r="I79" s="231" t="s">
        <v>202</v>
      </c>
      <c r="J79" s="231" t="s">
        <v>202</v>
      </c>
      <c r="K79" s="231" t="s">
        <v>202</v>
      </c>
      <c r="L79" s="231" t="s">
        <v>202</v>
      </c>
      <c r="M79" s="230" t="s">
        <v>203</v>
      </c>
      <c r="N79" s="230" t="s">
        <v>204</v>
      </c>
    </row>
    <row r="80" spans="1:14" s="233" customFormat="1" ht="11.25">
      <c r="A80" s="230">
        <v>75</v>
      </c>
      <c r="B80" s="230">
        <v>44</v>
      </c>
      <c r="C80" s="230" t="s">
        <v>201</v>
      </c>
      <c r="D80" s="231" t="s">
        <v>202</v>
      </c>
      <c r="E80" s="232">
        <v>251</v>
      </c>
      <c r="F80" s="232" t="s">
        <v>203</v>
      </c>
      <c r="G80" s="230"/>
      <c r="H80" s="230"/>
      <c r="I80" s="231" t="s">
        <v>202</v>
      </c>
      <c r="J80" s="231" t="s">
        <v>202</v>
      </c>
      <c r="K80" s="231" t="s">
        <v>202</v>
      </c>
      <c r="L80" s="231" t="s">
        <v>202</v>
      </c>
      <c r="M80" s="230" t="s">
        <v>203</v>
      </c>
      <c r="N80" s="230" t="s">
        <v>204</v>
      </c>
    </row>
    <row r="81" spans="1:14" s="233" customFormat="1" ht="11.25">
      <c r="A81" s="230">
        <v>76</v>
      </c>
      <c r="B81" s="230">
        <v>1457</v>
      </c>
      <c r="C81" s="230" t="s">
        <v>201</v>
      </c>
      <c r="D81" s="231" t="s">
        <v>202</v>
      </c>
      <c r="E81" s="232">
        <v>417</v>
      </c>
      <c r="F81" s="232" t="s">
        <v>203</v>
      </c>
      <c r="G81" s="230"/>
      <c r="H81" s="230"/>
      <c r="I81" s="231" t="s">
        <v>202</v>
      </c>
      <c r="J81" s="231" t="s">
        <v>202</v>
      </c>
      <c r="K81" s="231" t="s">
        <v>202</v>
      </c>
      <c r="L81" s="231" t="s">
        <v>202</v>
      </c>
      <c r="M81" s="230" t="s">
        <v>203</v>
      </c>
      <c r="N81" s="230" t="s">
        <v>204</v>
      </c>
    </row>
    <row r="82" spans="1:14" s="233" customFormat="1" ht="11.25">
      <c r="A82" s="230">
        <v>77</v>
      </c>
      <c r="B82" s="230">
        <v>841</v>
      </c>
      <c r="C82" s="230" t="s">
        <v>201</v>
      </c>
      <c r="D82" s="231" t="s">
        <v>202</v>
      </c>
      <c r="E82" s="232">
        <v>178</v>
      </c>
      <c r="F82" s="232" t="s">
        <v>203</v>
      </c>
      <c r="G82" s="230"/>
      <c r="H82" s="230"/>
      <c r="I82" s="231" t="s">
        <v>202</v>
      </c>
      <c r="J82" s="231" t="s">
        <v>202</v>
      </c>
      <c r="K82" s="231" t="s">
        <v>202</v>
      </c>
      <c r="L82" s="231" t="s">
        <v>202</v>
      </c>
      <c r="M82" s="230" t="s">
        <v>203</v>
      </c>
      <c r="N82" s="230" t="s">
        <v>204</v>
      </c>
    </row>
    <row r="83" spans="1:14" s="233" customFormat="1" ht="11.25">
      <c r="A83" s="230">
        <v>78</v>
      </c>
      <c r="B83" s="230">
        <v>303</v>
      </c>
      <c r="C83" s="230" t="s">
        <v>201</v>
      </c>
      <c r="D83" s="231" t="s">
        <v>202</v>
      </c>
      <c r="E83" s="232">
        <v>361</v>
      </c>
      <c r="F83" s="232" t="s">
        <v>203</v>
      </c>
      <c r="G83" s="230"/>
      <c r="H83" s="230"/>
      <c r="I83" s="231" t="s">
        <v>202</v>
      </c>
      <c r="J83" s="231" t="s">
        <v>202</v>
      </c>
      <c r="K83" s="231" t="s">
        <v>202</v>
      </c>
      <c r="L83" s="231" t="s">
        <v>202</v>
      </c>
      <c r="M83" s="230" t="s">
        <v>203</v>
      </c>
      <c r="N83" s="230" t="s">
        <v>204</v>
      </c>
    </row>
    <row r="84" spans="1:14" s="233" customFormat="1" ht="11.25">
      <c r="A84" s="230">
        <v>79</v>
      </c>
      <c r="B84" s="230">
        <v>929</v>
      </c>
      <c r="C84" s="230" t="s">
        <v>201</v>
      </c>
      <c r="D84" s="231" t="s">
        <v>202</v>
      </c>
      <c r="E84" s="232">
        <v>201</v>
      </c>
      <c r="F84" s="232" t="s">
        <v>203</v>
      </c>
      <c r="G84" s="230"/>
      <c r="H84" s="230"/>
      <c r="I84" s="231" t="s">
        <v>202</v>
      </c>
      <c r="J84" s="231" t="s">
        <v>202</v>
      </c>
      <c r="K84" s="231" t="s">
        <v>202</v>
      </c>
      <c r="L84" s="231" t="s">
        <v>202</v>
      </c>
      <c r="M84" s="230" t="s">
        <v>203</v>
      </c>
      <c r="N84" s="230" t="s">
        <v>204</v>
      </c>
    </row>
    <row r="85" spans="1:14" s="233" customFormat="1" ht="11.25">
      <c r="A85" s="230">
        <v>80</v>
      </c>
      <c r="B85" s="230">
        <v>360</v>
      </c>
      <c r="C85" s="230" t="s">
        <v>201</v>
      </c>
      <c r="D85" s="231" t="s">
        <v>202</v>
      </c>
      <c r="E85" s="232">
        <v>246</v>
      </c>
      <c r="F85" s="232" t="s">
        <v>203</v>
      </c>
      <c r="G85" s="230"/>
      <c r="H85" s="230"/>
      <c r="I85" s="231" t="s">
        <v>202</v>
      </c>
      <c r="J85" s="231" t="s">
        <v>202</v>
      </c>
      <c r="K85" s="231" t="s">
        <v>202</v>
      </c>
      <c r="L85" s="231" t="s">
        <v>202</v>
      </c>
      <c r="M85" s="230" t="s">
        <v>203</v>
      </c>
      <c r="N85" s="230" t="s">
        <v>204</v>
      </c>
    </row>
    <row r="86" spans="1:14" s="233" customFormat="1" ht="11.25">
      <c r="A86" s="230">
        <v>81</v>
      </c>
      <c r="B86" s="230">
        <v>1470</v>
      </c>
      <c r="C86" s="230" t="s">
        <v>201</v>
      </c>
      <c r="D86" s="231" t="s">
        <v>202</v>
      </c>
      <c r="E86" s="232">
        <v>465</v>
      </c>
      <c r="F86" s="232" t="s">
        <v>203</v>
      </c>
      <c r="G86" s="230"/>
      <c r="H86" s="230"/>
      <c r="I86" s="231" t="s">
        <v>202</v>
      </c>
      <c r="J86" s="231" t="s">
        <v>202</v>
      </c>
      <c r="K86" s="231" t="s">
        <v>202</v>
      </c>
      <c r="L86" s="231" t="s">
        <v>202</v>
      </c>
      <c r="M86" s="230" t="s">
        <v>203</v>
      </c>
      <c r="N86" s="230" t="s">
        <v>204</v>
      </c>
    </row>
    <row r="87" spans="1:14" s="233" customFormat="1" ht="11.25">
      <c r="A87" s="230">
        <v>82</v>
      </c>
      <c r="B87" s="230">
        <v>425</v>
      </c>
      <c r="C87" s="230" t="s">
        <v>201</v>
      </c>
      <c r="D87" s="231" t="s">
        <v>202</v>
      </c>
      <c r="E87" s="232">
        <v>549</v>
      </c>
      <c r="F87" s="232" t="s">
        <v>203</v>
      </c>
      <c r="G87" s="230"/>
      <c r="H87" s="230"/>
      <c r="I87" s="231" t="s">
        <v>202</v>
      </c>
      <c r="J87" s="231" t="s">
        <v>202</v>
      </c>
      <c r="K87" s="231" t="s">
        <v>202</v>
      </c>
      <c r="L87" s="231" t="s">
        <v>202</v>
      </c>
      <c r="M87" s="230" t="s">
        <v>203</v>
      </c>
      <c r="N87" s="230" t="s">
        <v>204</v>
      </c>
    </row>
    <row r="88" spans="1:14" s="233" customFormat="1" ht="11.25">
      <c r="A88" s="230">
        <v>83</v>
      </c>
      <c r="B88" s="230">
        <v>829</v>
      </c>
      <c r="C88" s="230" t="s">
        <v>201</v>
      </c>
      <c r="D88" s="231" t="s">
        <v>202</v>
      </c>
      <c r="E88" s="232">
        <v>450</v>
      </c>
      <c r="F88" s="232" t="s">
        <v>203</v>
      </c>
      <c r="G88" s="230"/>
      <c r="H88" s="230"/>
      <c r="I88" s="231" t="s">
        <v>202</v>
      </c>
      <c r="J88" s="234" t="s">
        <v>205</v>
      </c>
      <c r="K88" s="231" t="s">
        <v>202</v>
      </c>
      <c r="L88" s="231" t="s">
        <v>202</v>
      </c>
      <c r="M88" s="230" t="s">
        <v>203</v>
      </c>
      <c r="N88" s="230" t="s">
        <v>204</v>
      </c>
    </row>
    <row r="89" spans="1:14" s="233" customFormat="1" ht="11.25">
      <c r="A89" s="230">
        <v>84</v>
      </c>
      <c r="B89" s="230">
        <v>87</v>
      </c>
      <c r="C89" s="230" t="s">
        <v>201</v>
      </c>
      <c r="D89" s="231" t="s">
        <v>202</v>
      </c>
      <c r="E89" s="232">
        <v>502</v>
      </c>
      <c r="F89" s="232" t="s">
        <v>203</v>
      </c>
      <c r="G89" s="230"/>
      <c r="H89" s="230"/>
      <c r="I89" s="231" t="s">
        <v>202</v>
      </c>
      <c r="J89" s="231" t="s">
        <v>202</v>
      </c>
      <c r="K89" s="231" t="s">
        <v>202</v>
      </c>
      <c r="L89" s="231" t="s">
        <v>202</v>
      </c>
      <c r="M89" s="230" t="s">
        <v>203</v>
      </c>
      <c r="N89" s="230" t="s">
        <v>204</v>
      </c>
    </row>
    <row r="90" spans="1:14" s="233" customFormat="1" ht="11.25">
      <c r="A90" s="230">
        <v>85</v>
      </c>
      <c r="B90" s="230">
        <v>843</v>
      </c>
      <c r="C90" s="230" t="s">
        <v>201</v>
      </c>
      <c r="D90" s="231" t="s">
        <v>202</v>
      </c>
      <c r="E90" s="232">
        <v>295</v>
      </c>
      <c r="F90" s="232" t="s">
        <v>203</v>
      </c>
      <c r="G90" s="230"/>
      <c r="H90" s="230"/>
      <c r="I90" s="231" t="s">
        <v>202</v>
      </c>
      <c r="J90" s="231" t="s">
        <v>202</v>
      </c>
      <c r="K90" s="231" t="s">
        <v>202</v>
      </c>
      <c r="L90" s="231" t="s">
        <v>202</v>
      </c>
      <c r="M90" s="230" t="s">
        <v>203</v>
      </c>
      <c r="N90" s="230" t="s">
        <v>204</v>
      </c>
    </row>
    <row r="91" spans="1:14" s="233" customFormat="1" ht="11.25">
      <c r="A91" s="230">
        <v>86</v>
      </c>
      <c r="B91" s="230">
        <v>1671</v>
      </c>
      <c r="C91" s="230" t="s">
        <v>201</v>
      </c>
      <c r="D91" s="231" t="s">
        <v>202</v>
      </c>
      <c r="E91" s="232">
        <v>529</v>
      </c>
      <c r="F91" s="232" t="s">
        <v>203</v>
      </c>
      <c r="G91" s="230"/>
      <c r="H91" s="230"/>
      <c r="I91" s="231" t="s">
        <v>202</v>
      </c>
      <c r="J91" s="231" t="s">
        <v>202</v>
      </c>
      <c r="K91" s="231" t="s">
        <v>202</v>
      </c>
      <c r="L91" s="231" t="s">
        <v>202</v>
      </c>
      <c r="M91" s="230" t="s">
        <v>203</v>
      </c>
      <c r="N91" s="230" t="s">
        <v>204</v>
      </c>
    </row>
    <row r="92" spans="1:14" s="233" customFormat="1" ht="11.25">
      <c r="A92" s="230">
        <v>87</v>
      </c>
      <c r="B92" s="230">
        <v>1692</v>
      </c>
      <c r="C92" s="230" t="s">
        <v>201</v>
      </c>
      <c r="D92" s="231" t="s">
        <v>202</v>
      </c>
      <c r="E92" s="232">
        <v>161</v>
      </c>
      <c r="F92" s="232" t="s">
        <v>203</v>
      </c>
      <c r="G92" s="230"/>
      <c r="H92" s="230"/>
      <c r="I92" s="231" t="s">
        <v>202</v>
      </c>
      <c r="J92" s="231" t="s">
        <v>202</v>
      </c>
      <c r="K92" s="231" t="s">
        <v>202</v>
      </c>
      <c r="L92" s="231" t="s">
        <v>202</v>
      </c>
      <c r="M92" s="230" t="s">
        <v>203</v>
      </c>
      <c r="N92" s="230" t="s">
        <v>204</v>
      </c>
    </row>
    <row r="93" spans="1:14" s="233" customFormat="1" ht="11.25">
      <c r="A93" s="230">
        <v>88</v>
      </c>
      <c r="B93" s="230">
        <v>875</v>
      </c>
      <c r="C93" s="230" t="s">
        <v>201</v>
      </c>
      <c r="D93" s="231" t="s">
        <v>202</v>
      </c>
      <c r="E93" s="232">
        <v>477</v>
      </c>
      <c r="F93" s="232" t="s">
        <v>203</v>
      </c>
      <c r="G93" s="230"/>
      <c r="H93" s="230"/>
      <c r="I93" s="231" t="s">
        <v>202</v>
      </c>
      <c r="J93" s="231" t="s">
        <v>202</v>
      </c>
      <c r="K93" s="231" t="s">
        <v>202</v>
      </c>
      <c r="L93" s="231" t="s">
        <v>202</v>
      </c>
      <c r="M93" s="230" t="s">
        <v>203</v>
      </c>
      <c r="N93" s="230" t="s">
        <v>204</v>
      </c>
    </row>
    <row r="94" spans="1:14" s="233" customFormat="1" ht="11.25">
      <c r="A94" s="230">
        <v>89</v>
      </c>
      <c r="B94" s="230">
        <v>1189</v>
      </c>
      <c r="C94" s="230" t="s">
        <v>201</v>
      </c>
      <c r="D94" s="231" t="s">
        <v>202</v>
      </c>
      <c r="E94" s="232">
        <v>333</v>
      </c>
      <c r="F94" s="232" t="s">
        <v>203</v>
      </c>
      <c r="G94" s="230"/>
      <c r="H94" s="230"/>
      <c r="I94" s="231" t="s">
        <v>202</v>
      </c>
      <c r="J94" s="231" t="s">
        <v>202</v>
      </c>
      <c r="K94" s="231" t="s">
        <v>202</v>
      </c>
      <c r="L94" s="231" t="s">
        <v>202</v>
      </c>
      <c r="M94" s="230" t="s">
        <v>203</v>
      </c>
      <c r="N94" s="230" t="s">
        <v>204</v>
      </c>
    </row>
    <row r="95" spans="1:14" s="233" customFormat="1" ht="11.25">
      <c r="A95" s="230">
        <v>90</v>
      </c>
      <c r="B95" s="230">
        <v>492</v>
      </c>
      <c r="C95" s="230" t="s">
        <v>201</v>
      </c>
      <c r="D95" s="231" t="s">
        <v>202</v>
      </c>
      <c r="E95" s="232">
        <v>147</v>
      </c>
      <c r="F95" s="232" t="s">
        <v>203</v>
      </c>
      <c r="G95" s="230"/>
      <c r="H95" s="230"/>
      <c r="I95" s="231" t="s">
        <v>202</v>
      </c>
      <c r="J95" s="231" t="s">
        <v>202</v>
      </c>
      <c r="K95" s="231" t="s">
        <v>202</v>
      </c>
      <c r="L95" s="231" t="s">
        <v>202</v>
      </c>
      <c r="M95" s="230" t="s">
        <v>203</v>
      </c>
      <c r="N95" s="230" t="s">
        <v>204</v>
      </c>
    </row>
    <row r="96" spans="1:14" s="233" customFormat="1" ht="11.25">
      <c r="A96" s="230">
        <v>91</v>
      </c>
      <c r="B96" s="230">
        <v>389</v>
      </c>
      <c r="C96" s="230" t="s">
        <v>201</v>
      </c>
      <c r="D96" s="231" t="s">
        <v>202</v>
      </c>
      <c r="E96" s="232">
        <v>376</v>
      </c>
      <c r="F96" s="232" t="s">
        <v>203</v>
      </c>
      <c r="G96" s="230"/>
      <c r="H96" s="230"/>
      <c r="I96" s="231" t="s">
        <v>202</v>
      </c>
      <c r="J96" s="231" t="s">
        <v>202</v>
      </c>
      <c r="K96" s="231" t="s">
        <v>202</v>
      </c>
      <c r="L96" s="231" t="s">
        <v>202</v>
      </c>
      <c r="M96" s="230" t="s">
        <v>203</v>
      </c>
      <c r="N96" s="230" t="s">
        <v>204</v>
      </c>
    </row>
    <row r="97" spans="1:14" s="233" customFormat="1" ht="11.25">
      <c r="A97" s="230">
        <v>92</v>
      </c>
      <c r="B97" s="230">
        <v>4</v>
      </c>
      <c r="C97" s="230" t="s">
        <v>201</v>
      </c>
      <c r="D97" s="231" t="s">
        <v>202</v>
      </c>
      <c r="E97" s="232">
        <v>270</v>
      </c>
      <c r="F97" s="232" t="s">
        <v>203</v>
      </c>
      <c r="G97" s="230"/>
      <c r="H97" s="230"/>
      <c r="I97" s="231" t="s">
        <v>202</v>
      </c>
      <c r="J97" s="231" t="s">
        <v>202</v>
      </c>
      <c r="K97" s="231" t="s">
        <v>202</v>
      </c>
      <c r="L97" s="231" t="s">
        <v>202</v>
      </c>
      <c r="M97" s="230" t="s">
        <v>203</v>
      </c>
      <c r="N97" s="230" t="s">
        <v>204</v>
      </c>
    </row>
    <row r="98" spans="1:14" s="233" customFormat="1" ht="11.25">
      <c r="A98" s="230">
        <v>93</v>
      </c>
      <c r="B98" s="230">
        <v>1617</v>
      </c>
      <c r="C98" s="230" t="s">
        <v>201</v>
      </c>
      <c r="D98" s="231" t="s">
        <v>202</v>
      </c>
      <c r="E98" s="232">
        <v>148</v>
      </c>
      <c r="F98" s="232" t="s">
        <v>203</v>
      </c>
      <c r="G98" s="230"/>
      <c r="H98" s="230"/>
      <c r="I98" s="231" t="s">
        <v>202</v>
      </c>
      <c r="J98" s="231" t="s">
        <v>202</v>
      </c>
      <c r="K98" s="231" t="s">
        <v>202</v>
      </c>
      <c r="L98" s="231" t="s">
        <v>202</v>
      </c>
      <c r="M98" s="230" t="s">
        <v>203</v>
      </c>
      <c r="N98" s="230" t="s">
        <v>204</v>
      </c>
    </row>
    <row r="99" spans="1:14" s="233" customFormat="1" ht="11.25">
      <c r="A99" s="230">
        <v>94</v>
      </c>
      <c r="B99" s="230">
        <v>554</v>
      </c>
      <c r="C99" s="230" t="s">
        <v>201</v>
      </c>
      <c r="D99" s="231" t="s">
        <v>202</v>
      </c>
      <c r="E99" s="232">
        <v>536</v>
      </c>
      <c r="F99" s="232" t="s">
        <v>203</v>
      </c>
      <c r="G99" s="230"/>
      <c r="H99" s="230"/>
      <c r="I99" s="231" t="s">
        <v>202</v>
      </c>
      <c r="J99" s="231" t="s">
        <v>202</v>
      </c>
      <c r="K99" s="231" t="s">
        <v>202</v>
      </c>
      <c r="L99" s="231" t="s">
        <v>202</v>
      </c>
      <c r="M99" s="230" t="s">
        <v>203</v>
      </c>
      <c r="N99" s="230" t="s">
        <v>204</v>
      </c>
    </row>
    <row r="100" spans="1:14" s="233" customFormat="1" ht="11.25">
      <c r="A100" s="230">
        <v>95</v>
      </c>
      <c r="B100" s="230">
        <v>816</v>
      </c>
      <c r="C100" s="230" t="s">
        <v>201</v>
      </c>
      <c r="D100" s="231" t="s">
        <v>202</v>
      </c>
      <c r="E100" s="232">
        <v>315</v>
      </c>
      <c r="F100" s="232" t="s">
        <v>203</v>
      </c>
      <c r="G100" s="230"/>
      <c r="H100" s="230"/>
      <c r="I100" s="231" t="s">
        <v>202</v>
      </c>
      <c r="J100" s="231" t="s">
        <v>202</v>
      </c>
      <c r="K100" s="231" t="s">
        <v>202</v>
      </c>
      <c r="L100" s="231" t="s">
        <v>202</v>
      </c>
      <c r="M100" s="230" t="s">
        <v>203</v>
      </c>
      <c r="N100" s="230" t="s">
        <v>204</v>
      </c>
    </row>
    <row r="101" spans="1:14" s="233" customFormat="1" ht="11.25">
      <c r="A101" s="230">
        <v>96</v>
      </c>
      <c r="B101" s="230">
        <v>0</v>
      </c>
      <c r="C101" s="230" t="s">
        <v>201</v>
      </c>
      <c r="D101" s="231" t="s">
        <v>202</v>
      </c>
      <c r="E101" s="232">
        <v>139</v>
      </c>
      <c r="F101" s="232" t="s">
        <v>203</v>
      </c>
      <c r="G101" s="230"/>
      <c r="H101" s="230"/>
      <c r="I101" s="231" t="s">
        <v>202</v>
      </c>
      <c r="J101" s="231" t="s">
        <v>202</v>
      </c>
      <c r="K101" s="231" t="s">
        <v>202</v>
      </c>
      <c r="L101" s="231" t="s">
        <v>202</v>
      </c>
      <c r="M101" s="230" t="s">
        <v>203</v>
      </c>
      <c r="N101" s="230" t="s">
        <v>204</v>
      </c>
    </row>
    <row r="102" spans="1:14" s="233" customFormat="1" ht="11.25">
      <c r="A102" s="230">
        <v>97</v>
      </c>
      <c r="B102" s="230">
        <v>1363</v>
      </c>
      <c r="C102" s="230" t="s">
        <v>201</v>
      </c>
      <c r="D102" s="231" t="s">
        <v>202</v>
      </c>
      <c r="E102" s="232">
        <v>191</v>
      </c>
      <c r="F102" s="232" t="s">
        <v>203</v>
      </c>
      <c r="G102" s="230"/>
      <c r="H102" s="230"/>
      <c r="I102" s="231" t="s">
        <v>202</v>
      </c>
      <c r="J102" s="231" t="s">
        <v>202</v>
      </c>
      <c r="K102" s="231" t="s">
        <v>202</v>
      </c>
      <c r="L102" s="231" t="s">
        <v>202</v>
      </c>
      <c r="M102" s="230" t="s">
        <v>203</v>
      </c>
      <c r="N102" s="230" t="s">
        <v>204</v>
      </c>
    </row>
    <row r="103" spans="1:14" s="233" customFormat="1" ht="11.25">
      <c r="A103" s="230">
        <v>98</v>
      </c>
      <c r="B103" s="230">
        <v>1160</v>
      </c>
      <c r="C103" s="230" t="s">
        <v>201</v>
      </c>
      <c r="D103" s="231" t="s">
        <v>202</v>
      </c>
      <c r="E103" s="232">
        <v>290</v>
      </c>
      <c r="F103" s="232" t="s">
        <v>203</v>
      </c>
      <c r="G103" s="230"/>
      <c r="H103" s="230"/>
      <c r="I103" s="231" t="s">
        <v>202</v>
      </c>
      <c r="J103" s="231" t="s">
        <v>202</v>
      </c>
      <c r="K103" s="231" t="s">
        <v>202</v>
      </c>
      <c r="L103" s="231" t="s">
        <v>202</v>
      </c>
      <c r="M103" s="230" t="s">
        <v>203</v>
      </c>
      <c r="N103" s="230" t="s">
        <v>204</v>
      </c>
    </row>
    <row r="104" spans="1:14" s="233" customFormat="1" ht="11.25">
      <c r="A104" s="230">
        <v>99</v>
      </c>
      <c r="B104" s="230">
        <v>1616</v>
      </c>
      <c r="C104" s="230" t="s">
        <v>201</v>
      </c>
      <c r="D104" s="231" t="s">
        <v>202</v>
      </c>
      <c r="E104" s="232">
        <v>427</v>
      </c>
      <c r="F104" s="232" t="s">
        <v>203</v>
      </c>
      <c r="G104" s="230"/>
      <c r="H104" s="230"/>
      <c r="I104" s="231" t="s">
        <v>202</v>
      </c>
      <c r="J104" s="231" t="s">
        <v>202</v>
      </c>
      <c r="K104" s="231" t="s">
        <v>202</v>
      </c>
      <c r="L104" s="231" t="s">
        <v>202</v>
      </c>
      <c r="M104" s="230" t="s">
        <v>203</v>
      </c>
      <c r="N104" s="230" t="s">
        <v>204</v>
      </c>
    </row>
    <row r="105" spans="1:14" s="233" customFormat="1" ht="11.25">
      <c r="A105" s="230">
        <v>100</v>
      </c>
      <c r="B105" s="230">
        <v>868</v>
      </c>
      <c r="C105" s="230" t="s">
        <v>201</v>
      </c>
      <c r="D105" s="231" t="s">
        <v>202</v>
      </c>
      <c r="E105" s="232">
        <v>133</v>
      </c>
      <c r="F105" s="232" t="s">
        <v>203</v>
      </c>
      <c r="G105" s="230"/>
      <c r="H105" s="230"/>
      <c r="I105" s="231" t="s">
        <v>202</v>
      </c>
      <c r="J105" s="231" t="s">
        <v>202</v>
      </c>
      <c r="K105" s="231" t="s">
        <v>202</v>
      </c>
      <c r="L105" s="231" t="s">
        <v>202</v>
      </c>
      <c r="M105" s="230" t="s">
        <v>203</v>
      </c>
      <c r="N105" s="230" t="s">
        <v>204</v>
      </c>
    </row>
    <row r="106" spans="1:14" s="233" customFormat="1" ht="11.25">
      <c r="A106" s="230">
        <v>101</v>
      </c>
      <c r="B106" s="230">
        <v>267</v>
      </c>
      <c r="C106" s="230" t="s">
        <v>201</v>
      </c>
      <c r="D106" s="231" t="s">
        <v>202</v>
      </c>
      <c r="E106" s="232">
        <v>557</v>
      </c>
      <c r="F106" s="232" t="s">
        <v>203</v>
      </c>
      <c r="G106" s="230"/>
      <c r="H106" s="230"/>
      <c r="I106" s="231" t="s">
        <v>202</v>
      </c>
      <c r="J106" s="231" t="s">
        <v>202</v>
      </c>
      <c r="K106" s="231" t="s">
        <v>202</v>
      </c>
      <c r="L106" s="231" t="s">
        <v>202</v>
      </c>
      <c r="M106" s="230" t="s">
        <v>203</v>
      </c>
      <c r="N106" s="230" t="s">
        <v>204</v>
      </c>
    </row>
    <row r="107" spans="1:14" s="233" customFormat="1" ht="11.25">
      <c r="A107" s="230">
        <v>102</v>
      </c>
      <c r="B107" s="230">
        <v>1490</v>
      </c>
      <c r="C107" s="230" t="s">
        <v>201</v>
      </c>
      <c r="D107" s="231" t="s">
        <v>202</v>
      </c>
      <c r="E107" s="232">
        <v>148</v>
      </c>
      <c r="F107" s="232" t="s">
        <v>203</v>
      </c>
      <c r="G107" s="230"/>
      <c r="H107" s="230"/>
      <c r="I107" s="231" t="s">
        <v>202</v>
      </c>
      <c r="J107" s="231" t="s">
        <v>202</v>
      </c>
      <c r="K107" s="231" t="s">
        <v>202</v>
      </c>
      <c r="L107" s="231" t="s">
        <v>202</v>
      </c>
      <c r="M107" s="230" t="s">
        <v>203</v>
      </c>
      <c r="N107" s="230" t="s">
        <v>204</v>
      </c>
    </row>
    <row r="108" spans="1:14" s="233" customFormat="1" ht="11.25">
      <c r="A108" s="230">
        <v>103</v>
      </c>
      <c r="B108" s="230">
        <v>85</v>
      </c>
      <c r="C108" s="230" t="s">
        <v>201</v>
      </c>
      <c r="D108" s="231" t="s">
        <v>202</v>
      </c>
      <c r="E108" s="232">
        <v>263</v>
      </c>
      <c r="F108" s="232" t="s">
        <v>203</v>
      </c>
      <c r="G108" s="230"/>
      <c r="H108" s="230"/>
      <c r="I108" s="231" t="s">
        <v>202</v>
      </c>
      <c r="J108" s="231" t="s">
        <v>202</v>
      </c>
      <c r="K108" s="231" t="s">
        <v>202</v>
      </c>
      <c r="L108" s="231" t="s">
        <v>202</v>
      </c>
      <c r="M108" s="230" t="s">
        <v>203</v>
      </c>
      <c r="N108" s="230" t="s">
        <v>204</v>
      </c>
    </row>
    <row r="109" spans="1:14" s="233" customFormat="1" ht="11.25">
      <c r="A109" s="230">
        <v>104</v>
      </c>
      <c r="B109" s="230">
        <v>1480</v>
      </c>
      <c r="C109" s="230" t="s">
        <v>201</v>
      </c>
      <c r="D109" s="231" t="s">
        <v>202</v>
      </c>
      <c r="E109" s="232">
        <v>216</v>
      </c>
      <c r="F109" s="232" t="s">
        <v>203</v>
      </c>
      <c r="G109" s="230"/>
      <c r="H109" s="230"/>
      <c r="I109" s="231" t="s">
        <v>202</v>
      </c>
      <c r="J109" s="231" t="s">
        <v>202</v>
      </c>
      <c r="K109" s="231" t="s">
        <v>202</v>
      </c>
      <c r="L109" s="231" t="s">
        <v>202</v>
      </c>
      <c r="M109" s="230" t="s">
        <v>203</v>
      </c>
      <c r="N109" s="230" t="s">
        <v>204</v>
      </c>
    </row>
    <row r="110" spans="1:14" s="233" customFormat="1" ht="11.25">
      <c r="A110" s="230">
        <v>105</v>
      </c>
      <c r="B110" s="230">
        <v>48</v>
      </c>
      <c r="C110" s="230" t="s">
        <v>201</v>
      </c>
      <c r="D110" s="231" t="s">
        <v>202</v>
      </c>
      <c r="E110" s="232">
        <v>379</v>
      </c>
      <c r="F110" s="232" t="s">
        <v>203</v>
      </c>
      <c r="G110" s="230"/>
      <c r="H110" s="230"/>
      <c r="I110" s="231" t="s">
        <v>202</v>
      </c>
      <c r="J110" s="231" t="s">
        <v>202</v>
      </c>
      <c r="K110" s="231" t="s">
        <v>202</v>
      </c>
      <c r="L110" s="231" t="s">
        <v>202</v>
      </c>
      <c r="M110" s="230" t="s">
        <v>203</v>
      </c>
      <c r="N110" s="230" t="s">
        <v>204</v>
      </c>
    </row>
    <row r="111" spans="1:14" s="233" customFormat="1" ht="11.25">
      <c r="A111" s="230">
        <v>106</v>
      </c>
      <c r="B111" s="230">
        <v>101</v>
      </c>
      <c r="C111" s="230" t="s">
        <v>201</v>
      </c>
      <c r="D111" s="231" t="s">
        <v>202</v>
      </c>
      <c r="E111" s="232">
        <v>173</v>
      </c>
      <c r="F111" s="232" t="s">
        <v>203</v>
      </c>
      <c r="G111" s="230"/>
      <c r="H111" s="230"/>
      <c r="I111" s="231" t="s">
        <v>202</v>
      </c>
      <c r="J111" s="231" t="s">
        <v>202</v>
      </c>
      <c r="K111" s="231" t="s">
        <v>202</v>
      </c>
      <c r="L111" s="231" t="s">
        <v>202</v>
      </c>
      <c r="M111" s="230" t="s">
        <v>203</v>
      </c>
      <c r="N111" s="230" t="s">
        <v>204</v>
      </c>
    </row>
    <row r="112" spans="1:14" s="233" customFormat="1" ht="11.25">
      <c r="A112" s="230">
        <v>107</v>
      </c>
      <c r="B112" s="230">
        <v>669</v>
      </c>
      <c r="C112" s="230" t="s">
        <v>201</v>
      </c>
      <c r="D112" s="231" t="s">
        <v>202</v>
      </c>
      <c r="E112" s="232">
        <v>588</v>
      </c>
      <c r="F112" s="232" t="s">
        <v>203</v>
      </c>
      <c r="G112" s="230"/>
      <c r="H112" s="230"/>
      <c r="I112" s="231" t="s">
        <v>202</v>
      </c>
      <c r="J112" s="231" t="s">
        <v>202</v>
      </c>
      <c r="K112" s="231" t="s">
        <v>202</v>
      </c>
      <c r="L112" s="231" t="s">
        <v>202</v>
      </c>
      <c r="M112" s="230" t="s">
        <v>203</v>
      </c>
      <c r="N112" s="230" t="s">
        <v>204</v>
      </c>
    </row>
    <row r="113" spans="1:14" s="233" customFormat="1" ht="11.25">
      <c r="A113" s="230">
        <v>108</v>
      </c>
      <c r="B113" s="230">
        <v>577</v>
      </c>
      <c r="C113" s="230" t="s">
        <v>201</v>
      </c>
      <c r="D113" s="231" t="s">
        <v>202</v>
      </c>
      <c r="E113" s="232">
        <v>149</v>
      </c>
      <c r="F113" s="232" t="s">
        <v>203</v>
      </c>
      <c r="G113" s="230"/>
      <c r="H113" s="230"/>
      <c r="I113" s="231" t="s">
        <v>202</v>
      </c>
      <c r="J113" s="231" t="s">
        <v>202</v>
      </c>
      <c r="K113" s="231" t="s">
        <v>202</v>
      </c>
      <c r="L113" s="231" t="s">
        <v>202</v>
      </c>
      <c r="M113" s="230" t="s">
        <v>203</v>
      </c>
      <c r="N113" s="230" t="s">
        <v>204</v>
      </c>
    </row>
    <row r="114" spans="1:14" s="233" customFormat="1" ht="11.25">
      <c r="A114" s="230">
        <v>109</v>
      </c>
      <c r="B114" s="230">
        <v>331</v>
      </c>
      <c r="C114" s="230" t="s">
        <v>201</v>
      </c>
      <c r="D114" s="231" t="s">
        <v>202</v>
      </c>
      <c r="E114" s="232">
        <v>388</v>
      </c>
      <c r="F114" s="232" t="s">
        <v>203</v>
      </c>
      <c r="G114" s="230"/>
      <c r="H114" s="230"/>
      <c r="I114" s="231" t="s">
        <v>202</v>
      </c>
      <c r="J114" s="231" t="s">
        <v>202</v>
      </c>
      <c r="K114" s="231" t="s">
        <v>202</v>
      </c>
      <c r="L114" s="231" t="s">
        <v>202</v>
      </c>
      <c r="M114" s="230" t="s">
        <v>203</v>
      </c>
      <c r="N114" s="230" t="s">
        <v>204</v>
      </c>
    </row>
    <row r="115" spans="1:14" s="233" customFormat="1" ht="11.25">
      <c r="A115" s="230">
        <v>110</v>
      </c>
      <c r="B115" s="230">
        <v>1110</v>
      </c>
      <c r="C115" s="230" t="s">
        <v>201</v>
      </c>
      <c r="D115" s="231" t="s">
        <v>202</v>
      </c>
      <c r="E115" s="232">
        <v>511</v>
      </c>
      <c r="F115" s="232" t="s">
        <v>203</v>
      </c>
      <c r="G115" s="230"/>
      <c r="H115" s="230"/>
      <c r="I115" s="231" t="s">
        <v>202</v>
      </c>
      <c r="J115" s="231" t="s">
        <v>202</v>
      </c>
      <c r="K115" s="231" t="s">
        <v>202</v>
      </c>
      <c r="L115" s="231" t="s">
        <v>202</v>
      </c>
      <c r="M115" s="230" t="s">
        <v>203</v>
      </c>
      <c r="N115" s="230" t="s">
        <v>204</v>
      </c>
    </row>
    <row r="116" spans="1:14" s="233" customFormat="1" ht="11.25">
      <c r="A116" s="230">
        <v>111</v>
      </c>
      <c r="B116" s="230">
        <v>1039</v>
      </c>
      <c r="C116" s="230" t="s">
        <v>201</v>
      </c>
      <c r="D116" s="231" t="s">
        <v>202</v>
      </c>
      <c r="E116" s="232">
        <v>115</v>
      </c>
      <c r="F116" s="232" t="s">
        <v>203</v>
      </c>
      <c r="G116" s="230"/>
      <c r="H116" s="230"/>
      <c r="I116" s="231" t="s">
        <v>202</v>
      </c>
      <c r="J116" s="231" t="s">
        <v>202</v>
      </c>
      <c r="K116" s="231" t="s">
        <v>202</v>
      </c>
      <c r="L116" s="231" t="s">
        <v>202</v>
      </c>
      <c r="M116" s="230" t="s">
        <v>203</v>
      </c>
      <c r="N116" s="230" t="s">
        <v>204</v>
      </c>
    </row>
    <row r="117" spans="1:14" s="233" customFormat="1" ht="11.25">
      <c r="A117" s="230">
        <v>112</v>
      </c>
      <c r="B117" s="230">
        <v>1498</v>
      </c>
      <c r="C117" s="230" t="s">
        <v>201</v>
      </c>
      <c r="D117" s="231" t="s">
        <v>202</v>
      </c>
      <c r="E117" s="232">
        <v>293</v>
      </c>
      <c r="F117" s="232" t="s">
        <v>203</v>
      </c>
      <c r="G117" s="230"/>
      <c r="H117" s="230"/>
      <c r="I117" s="231" t="s">
        <v>202</v>
      </c>
      <c r="J117" s="231" t="s">
        <v>202</v>
      </c>
      <c r="K117" s="231" t="s">
        <v>202</v>
      </c>
      <c r="L117" s="231" t="s">
        <v>202</v>
      </c>
      <c r="M117" s="230" t="s">
        <v>203</v>
      </c>
      <c r="N117" s="230" t="s">
        <v>204</v>
      </c>
    </row>
    <row r="118" spans="1:14" s="233" customFormat="1" ht="11.25">
      <c r="A118" s="230">
        <v>113</v>
      </c>
      <c r="B118" s="230">
        <v>1308</v>
      </c>
      <c r="C118" s="230" t="s">
        <v>201</v>
      </c>
      <c r="D118" s="231" t="s">
        <v>202</v>
      </c>
      <c r="E118" s="232">
        <v>300</v>
      </c>
      <c r="F118" s="232" t="s">
        <v>203</v>
      </c>
      <c r="G118" s="230"/>
      <c r="H118" s="230"/>
      <c r="I118" s="231" t="s">
        <v>202</v>
      </c>
      <c r="J118" s="231" t="s">
        <v>202</v>
      </c>
      <c r="K118" s="231" t="s">
        <v>202</v>
      </c>
      <c r="L118" s="231" t="s">
        <v>202</v>
      </c>
      <c r="M118" s="230" t="s">
        <v>203</v>
      </c>
      <c r="N118" s="230" t="s">
        <v>204</v>
      </c>
    </row>
    <row r="119" spans="1:14" s="233" customFormat="1" ht="11.25">
      <c r="A119" s="230">
        <v>114</v>
      </c>
      <c r="B119" s="230">
        <v>998</v>
      </c>
      <c r="C119" s="230" t="s">
        <v>201</v>
      </c>
      <c r="D119" s="231" t="s">
        <v>202</v>
      </c>
      <c r="E119" s="232">
        <v>323</v>
      </c>
      <c r="F119" s="232" t="s">
        <v>203</v>
      </c>
      <c r="G119" s="230"/>
      <c r="H119" s="230"/>
      <c r="I119" s="231" t="s">
        <v>202</v>
      </c>
      <c r="J119" s="231" t="s">
        <v>202</v>
      </c>
      <c r="K119" s="231" t="s">
        <v>202</v>
      </c>
      <c r="L119" s="231" t="s">
        <v>202</v>
      </c>
      <c r="M119" s="230" t="s">
        <v>203</v>
      </c>
      <c r="N119" s="230" t="s">
        <v>204</v>
      </c>
    </row>
    <row r="120" spans="1:14" s="233" customFormat="1" ht="11.25">
      <c r="A120" s="230">
        <v>115</v>
      </c>
      <c r="B120" s="230">
        <v>1685</v>
      </c>
      <c r="C120" s="230" t="s">
        <v>201</v>
      </c>
      <c r="D120" s="231" t="s">
        <v>202</v>
      </c>
      <c r="E120" s="232">
        <v>684</v>
      </c>
      <c r="F120" s="232" t="s">
        <v>203</v>
      </c>
      <c r="G120" s="230"/>
      <c r="H120" s="230"/>
      <c r="I120" s="231" t="s">
        <v>202</v>
      </c>
      <c r="J120" s="234" t="s">
        <v>205</v>
      </c>
      <c r="K120" s="231" t="s">
        <v>202</v>
      </c>
      <c r="L120" s="231" t="s">
        <v>202</v>
      </c>
      <c r="M120" s="230" t="s">
        <v>203</v>
      </c>
      <c r="N120" s="230" t="s">
        <v>204</v>
      </c>
    </row>
    <row r="121" spans="1:14" s="233" customFormat="1" ht="11.25">
      <c r="A121" s="230">
        <v>116</v>
      </c>
      <c r="B121" s="230">
        <v>817</v>
      </c>
      <c r="C121" s="230" t="s">
        <v>201</v>
      </c>
      <c r="D121" s="231" t="s">
        <v>202</v>
      </c>
      <c r="E121" s="232">
        <v>415</v>
      </c>
      <c r="F121" s="232" t="s">
        <v>203</v>
      </c>
      <c r="G121" s="230"/>
      <c r="H121" s="230"/>
      <c r="I121" s="231" t="s">
        <v>202</v>
      </c>
      <c r="J121" s="231" t="s">
        <v>202</v>
      </c>
      <c r="K121" s="231" t="s">
        <v>202</v>
      </c>
      <c r="L121" s="231" t="s">
        <v>202</v>
      </c>
      <c r="M121" s="230" t="s">
        <v>203</v>
      </c>
      <c r="N121" s="230" t="s">
        <v>204</v>
      </c>
    </row>
    <row r="122" spans="1:14" s="233" customFormat="1" ht="11.25">
      <c r="A122" s="230">
        <v>117</v>
      </c>
      <c r="B122" s="230">
        <v>531</v>
      </c>
      <c r="C122" s="230" t="s">
        <v>201</v>
      </c>
      <c r="D122" s="231" t="s">
        <v>202</v>
      </c>
      <c r="E122" s="232">
        <v>524</v>
      </c>
      <c r="F122" s="232" t="s">
        <v>203</v>
      </c>
      <c r="G122" s="230"/>
      <c r="H122" s="230"/>
      <c r="I122" s="231" t="s">
        <v>202</v>
      </c>
      <c r="J122" s="231" t="s">
        <v>202</v>
      </c>
      <c r="K122" s="231" t="s">
        <v>202</v>
      </c>
      <c r="L122" s="231" t="s">
        <v>202</v>
      </c>
      <c r="M122" s="230" t="s">
        <v>203</v>
      </c>
      <c r="N122" s="230" t="s">
        <v>204</v>
      </c>
    </row>
    <row r="123" spans="1:14" s="233" customFormat="1" ht="11.25">
      <c r="A123" s="230">
        <v>118</v>
      </c>
      <c r="B123" s="230">
        <v>1348</v>
      </c>
      <c r="C123" s="230" t="s">
        <v>201</v>
      </c>
      <c r="D123" s="231" t="s">
        <v>202</v>
      </c>
      <c r="E123" s="232">
        <v>224</v>
      </c>
      <c r="F123" s="232" t="s">
        <v>203</v>
      </c>
      <c r="G123" s="230"/>
      <c r="H123" s="230"/>
      <c r="I123" s="231" t="s">
        <v>202</v>
      </c>
      <c r="J123" s="231" t="s">
        <v>202</v>
      </c>
      <c r="K123" s="231" t="s">
        <v>202</v>
      </c>
      <c r="L123" s="231" t="s">
        <v>202</v>
      </c>
      <c r="M123" s="230" t="s">
        <v>203</v>
      </c>
      <c r="N123" s="230" t="s">
        <v>204</v>
      </c>
    </row>
    <row r="124" spans="1:14" s="233" customFormat="1" ht="11.25">
      <c r="A124" s="230">
        <v>119</v>
      </c>
      <c r="B124" s="230">
        <v>224</v>
      </c>
      <c r="C124" s="230" t="s">
        <v>201</v>
      </c>
      <c r="D124" s="231" t="s">
        <v>202</v>
      </c>
      <c r="E124" s="232">
        <v>593</v>
      </c>
      <c r="F124" s="232" t="s">
        <v>203</v>
      </c>
      <c r="G124" s="230"/>
      <c r="H124" s="230"/>
      <c r="I124" s="231" t="s">
        <v>202</v>
      </c>
      <c r="J124" s="231" t="s">
        <v>202</v>
      </c>
      <c r="K124" s="231" t="s">
        <v>202</v>
      </c>
      <c r="L124" s="231" t="s">
        <v>202</v>
      </c>
      <c r="M124" s="230" t="s">
        <v>203</v>
      </c>
      <c r="N124" s="230" t="s">
        <v>204</v>
      </c>
    </row>
    <row r="125" spans="1:14" s="233" customFormat="1" ht="11.25">
      <c r="A125" s="230">
        <v>120</v>
      </c>
      <c r="B125" s="230">
        <v>1420</v>
      </c>
      <c r="C125" s="230" t="s">
        <v>201</v>
      </c>
      <c r="D125" s="231" t="s">
        <v>202</v>
      </c>
      <c r="E125" s="232">
        <v>334</v>
      </c>
      <c r="F125" s="232" t="s">
        <v>203</v>
      </c>
      <c r="G125" s="230"/>
      <c r="H125" s="230"/>
      <c r="I125" s="231" t="s">
        <v>202</v>
      </c>
      <c r="J125" s="231" t="s">
        <v>202</v>
      </c>
      <c r="K125" s="231" t="s">
        <v>202</v>
      </c>
      <c r="L125" s="231" t="s">
        <v>202</v>
      </c>
      <c r="M125" s="230" t="s">
        <v>203</v>
      </c>
      <c r="N125" s="230" t="s">
        <v>204</v>
      </c>
    </row>
    <row r="126" spans="1:14" s="233" customFormat="1" ht="11.25">
      <c r="A126" s="230">
        <v>121</v>
      </c>
      <c r="B126" s="230">
        <v>460</v>
      </c>
      <c r="C126" s="230" t="s">
        <v>201</v>
      </c>
      <c r="D126" s="231" t="s">
        <v>202</v>
      </c>
      <c r="E126" s="232">
        <v>195</v>
      </c>
      <c r="F126" s="232" t="s">
        <v>203</v>
      </c>
      <c r="G126" s="230"/>
      <c r="H126" s="230"/>
      <c r="I126" s="231" t="s">
        <v>202</v>
      </c>
      <c r="J126" s="231" t="s">
        <v>202</v>
      </c>
      <c r="K126" s="231" t="s">
        <v>202</v>
      </c>
      <c r="L126" s="231" t="s">
        <v>202</v>
      </c>
      <c r="M126" s="230" t="s">
        <v>203</v>
      </c>
      <c r="N126" s="230" t="s">
        <v>204</v>
      </c>
    </row>
    <row r="127" spans="1:14" s="233" customFormat="1" ht="11.25">
      <c r="A127" s="230">
        <v>122</v>
      </c>
      <c r="B127" s="230">
        <v>313</v>
      </c>
      <c r="C127" s="230" t="s">
        <v>201</v>
      </c>
      <c r="D127" s="231" t="s">
        <v>202</v>
      </c>
      <c r="E127" s="232">
        <v>317</v>
      </c>
      <c r="F127" s="232" t="s">
        <v>203</v>
      </c>
      <c r="G127" s="230"/>
      <c r="H127" s="230"/>
      <c r="I127" s="231" t="s">
        <v>202</v>
      </c>
      <c r="J127" s="231" t="s">
        <v>202</v>
      </c>
      <c r="K127" s="231" t="s">
        <v>202</v>
      </c>
      <c r="L127" s="231" t="s">
        <v>202</v>
      </c>
      <c r="M127" s="230" t="s">
        <v>203</v>
      </c>
      <c r="N127" s="230" t="s">
        <v>204</v>
      </c>
    </row>
    <row r="128" spans="1:14" s="233" customFormat="1" ht="11.25">
      <c r="A128" s="230">
        <v>123</v>
      </c>
      <c r="B128" s="230">
        <v>516</v>
      </c>
      <c r="C128" s="230" t="s">
        <v>201</v>
      </c>
      <c r="D128" s="231" t="s">
        <v>202</v>
      </c>
      <c r="E128" s="232">
        <v>460</v>
      </c>
      <c r="F128" s="232" t="s">
        <v>203</v>
      </c>
      <c r="G128" s="230"/>
      <c r="H128" s="230"/>
      <c r="I128" s="231" t="s">
        <v>202</v>
      </c>
      <c r="J128" s="231" t="s">
        <v>202</v>
      </c>
      <c r="K128" s="231" t="s">
        <v>202</v>
      </c>
      <c r="L128" s="231" t="s">
        <v>202</v>
      </c>
      <c r="M128" s="230" t="s">
        <v>203</v>
      </c>
      <c r="N128" s="230" t="s">
        <v>204</v>
      </c>
    </row>
    <row r="129" spans="1:14" s="233" customFormat="1" ht="11.25">
      <c r="A129" s="230">
        <v>124</v>
      </c>
      <c r="B129" s="230">
        <v>504</v>
      </c>
      <c r="C129" s="230" t="s">
        <v>201</v>
      </c>
      <c r="D129" s="231" t="s">
        <v>202</v>
      </c>
      <c r="E129" s="232">
        <v>210</v>
      </c>
      <c r="F129" s="232" t="s">
        <v>203</v>
      </c>
      <c r="G129" s="230"/>
      <c r="H129" s="230"/>
      <c r="I129" s="231" t="s">
        <v>202</v>
      </c>
      <c r="J129" s="231" t="s">
        <v>202</v>
      </c>
      <c r="K129" s="231" t="s">
        <v>202</v>
      </c>
      <c r="L129" s="231" t="s">
        <v>202</v>
      </c>
      <c r="M129" s="230" t="s">
        <v>203</v>
      </c>
      <c r="N129" s="230" t="s">
        <v>204</v>
      </c>
    </row>
    <row r="130" spans="1:14" s="233" customFormat="1" ht="11.25">
      <c r="A130" s="230">
        <v>125</v>
      </c>
      <c r="B130" s="230">
        <v>997</v>
      </c>
      <c r="C130" s="230" t="s">
        <v>201</v>
      </c>
      <c r="D130" s="231" t="s">
        <v>202</v>
      </c>
      <c r="E130" s="232">
        <v>398</v>
      </c>
      <c r="F130" s="232" t="s">
        <v>203</v>
      </c>
      <c r="G130" s="230"/>
      <c r="H130" s="230"/>
      <c r="I130" s="231" t="s">
        <v>202</v>
      </c>
      <c r="J130" s="231" t="s">
        <v>202</v>
      </c>
      <c r="K130" s="231" t="s">
        <v>202</v>
      </c>
      <c r="L130" s="231" t="s">
        <v>202</v>
      </c>
      <c r="M130" s="230" t="s">
        <v>203</v>
      </c>
      <c r="N130" s="230" t="s">
        <v>204</v>
      </c>
    </row>
    <row r="131" spans="1:14" s="233" customFormat="1" ht="11.25">
      <c r="A131" s="230">
        <v>126</v>
      </c>
      <c r="B131" s="230">
        <v>879</v>
      </c>
      <c r="C131" s="230" t="s">
        <v>201</v>
      </c>
      <c r="D131" s="231" t="s">
        <v>202</v>
      </c>
      <c r="E131" s="232">
        <v>417</v>
      </c>
      <c r="F131" s="232" t="s">
        <v>203</v>
      </c>
      <c r="G131" s="230"/>
      <c r="H131" s="230"/>
      <c r="I131" s="231" t="s">
        <v>202</v>
      </c>
      <c r="J131" s="231" t="s">
        <v>202</v>
      </c>
      <c r="K131" s="231" t="s">
        <v>202</v>
      </c>
      <c r="L131" s="231" t="s">
        <v>202</v>
      </c>
      <c r="M131" s="230" t="s">
        <v>203</v>
      </c>
      <c r="N131" s="230" t="s">
        <v>204</v>
      </c>
    </row>
    <row r="132" spans="1:14" s="233" customFormat="1" ht="11.25">
      <c r="A132" s="230">
        <v>127</v>
      </c>
      <c r="B132" s="230">
        <v>69</v>
      </c>
      <c r="C132" s="230" t="s">
        <v>201</v>
      </c>
      <c r="D132" s="231" t="s">
        <v>202</v>
      </c>
      <c r="E132" s="232">
        <v>421</v>
      </c>
      <c r="F132" s="232" t="s">
        <v>203</v>
      </c>
      <c r="G132" s="230"/>
      <c r="H132" s="230"/>
      <c r="I132" s="231" t="s">
        <v>202</v>
      </c>
      <c r="J132" s="231" t="s">
        <v>202</v>
      </c>
      <c r="K132" s="231" t="s">
        <v>202</v>
      </c>
      <c r="L132" s="231" t="s">
        <v>202</v>
      </c>
      <c r="M132" s="230" t="s">
        <v>203</v>
      </c>
      <c r="N132" s="230" t="s">
        <v>204</v>
      </c>
    </row>
    <row r="133" spans="1:14" s="233" customFormat="1" ht="11.25">
      <c r="A133" s="230">
        <v>128</v>
      </c>
      <c r="B133" s="230">
        <v>1006</v>
      </c>
      <c r="C133" s="230" t="s">
        <v>201</v>
      </c>
      <c r="D133" s="231" t="s">
        <v>202</v>
      </c>
      <c r="E133" s="232">
        <v>179</v>
      </c>
      <c r="F133" s="232" t="s">
        <v>203</v>
      </c>
      <c r="G133" s="230"/>
      <c r="H133" s="230"/>
      <c r="I133" s="231" t="s">
        <v>202</v>
      </c>
      <c r="J133" s="231" t="s">
        <v>202</v>
      </c>
      <c r="K133" s="231" t="s">
        <v>202</v>
      </c>
      <c r="L133" s="231" t="s">
        <v>202</v>
      </c>
      <c r="M133" s="230" t="s">
        <v>203</v>
      </c>
      <c r="N133" s="230" t="s">
        <v>204</v>
      </c>
    </row>
    <row r="134" spans="1:14" s="233" customFormat="1" ht="11.25">
      <c r="A134" s="230">
        <v>129</v>
      </c>
      <c r="B134" s="230">
        <v>449</v>
      </c>
      <c r="C134" s="230" t="s">
        <v>201</v>
      </c>
      <c r="D134" s="231" t="s">
        <v>202</v>
      </c>
      <c r="E134" s="232">
        <v>385</v>
      </c>
      <c r="F134" s="232" t="s">
        <v>203</v>
      </c>
      <c r="G134" s="230"/>
      <c r="H134" s="230"/>
      <c r="I134" s="231" t="s">
        <v>202</v>
      </c>
      <c r="J134" s="231" t="s">
        <v>202</v>
      </c>
      <c r="K134" s="231" t="s">
        <v>202</v>
      </c>
      <c r="L134" s="231" t="s">
        <v>202</v>
      </c>
      <c r="M134" s="230" t="s">
        <v>203</v>
      </c>
      <c r="N134" s="230" t="s">
        <v>204</v>
      </c>
    </row>
    <row r="135" spans="1:14" s="233" customFormat="1" ht="11.25">
      <c r="A135" s="230">
        <v>130</v>
      </c>
      <c r="B135" s="230">
        <v>282</v>
      </c>
      <c r="C135" s="230" t="s">
        <v>201</v>
      </c>
      <c r="D135" s="231" t="s">
        <v>202</v>
      </c>
      <c r="E135" s="232">
        <v>179</v>
      </c>
      <c r="F135" s="232" t="s">
        <v>203</v>
      </c>
      <c r="G135" s="230"/>
      <c r="H135" s="230"/>
      <c r="I135" s="231" t="s">
        <v>202</v>
      </c>
      <c r="J135" s="231" t="s">
        <v>202</v>
      </c>
      <c r="K135" s="231" t="s">
        <v>202</v>
      </c>
      <c r="L135" s="231" t="s">
        <v>202</v>
      </c>
      <c r="M135" s="230" t="s">
        <v>203</v>
      </c>
      <c r="N135" s="230" t="s">
        <v>204</v>
      </c>
    </row>
    <row r="136" spans="1:14" s="233" customFormat="1" ht="11.25">
      <c r="A136" s="230">
        <v>131</v>
      </c>
      <c r="B136" s="230">
        <v>198</v>
      </c>
      <c r="C136" s="230" t="s">
        <v>201</v>
      </c>
      <c r="D136" s="231" t="s">
        <v>202</v>
      </c>
      <c r="E136" s="232">
        <v>140</v>
      </c>
      <c r="F136" s="232" t="s">
        <v>203</v>
      </c>
      <c r="G136" s="230"/>
      <c r="H136" s="230"/>
      <c r="I136" s="231" t="s">
        <v>202</v>
      </c>
      <c r="J136" s="231" t="s">
        <v>202</v>
      </c>
      <c r="K136" s="231" t="s">
        <v>202</v>
      </c>
      <c r="L136" s="231" t="s">
        <v>202</v>
      </c>
      <c r="M136" s="230" t="s">
        <v>203</v>
      </c>
      <c r="N136" s="230" t="s">
        <v>204</v>
      </c>
    </row>
    <row r="137" spans="1:14" s="233" customFormat="1" ht="11.25">
      <c r="A137" s="230">
        <v>132</v>
      </c>
      <c r="B137" s="230">
        <v>1026</v>
      </c>
      <c r="C137" s="230" t="s">
        <v>201</v>
      </c>
      <c r="D137" s="231" t="s">
        <v>202</v>
      </c>
      <c r="E137" s="232">
        <v>301</v>
      </c>
      <c r="F137" s="232" t="s">
        <v>203</v>
      </c>
      <c r="G137" s="230"/>
      <c r="H137" s="230"/>
      <c r="I137" s="231" t="s">
        <v>202</v>
      </c>
      <c r="J137" s="231" t="s">
        <v>202</v>
      </c>
      <c r="K137" s="231" t="s">
        <v>202</v>
      </c>
      <c r="L137" s="231" t="s">
        <v>202</v>
      </c>
      <c r="M137" s="230" t="s">
        <v>203</v>
      </c>
      <c r="N137" s="230" t="s">
        <v>204</v>
      </c>
    </row>
    <row r="138" spans="1:14" s="233" customFormat="1" ht="11.25">
      <c r="A138" s="230">
        <v>133</v>
      </c>
      <c r="B138" s="230">
        <v>14</v>
      </c>
      <c r="C138" s="230" t="s">
        <v>201</v>
      </c>
      <c r="D138" s="231" t="s">
        <v>202</v>
      </c>
      <c r="E138" s="232">
        <v>578</v>
      </c>
      <c r="F138" s="232" t="s">
        <v>203</v>
      </c>
      <c r="G138" s="230"/>
      <c r="H138" s="230"/>
      <c r="I138" s="231" t="s">
        <v>202</v>
      </c>
      <c r="J138" s="231" t="s">
        <v>202</v>
      </c>
      <c r="K138" s="231" t="s">
        <v>202</v>
      </c>
      <c r="L138" s="231" t="s">
        <v>202</v>
      </c>
      <c r="M138" s="230" t="s">
        <v>203</v>
      </c>
      <c r="N138" s="230" t="s">
        <v>204</v>
      </c>
    </row>
    <row r="139" spans="1:14" s="233" customFormat="1" ht="11.25">
      <c r="A139" s="230">
        <v>134</v>
      </c>
      <c r="B139" s="230">
        <v>1015</v>
      </c>
      <c r="C139" s="230" t="s">
        <v>201</v>
      </c>
      <c r="D139" s="231" t="s">
        <v>202</v>
      </c>
      <c r="E139" s="232">
        <v>290</v>
      </c>
      <c r="F139" s="232" t="s">
        <v>203</v>
      </c>
      <c r="G139" s="230"/>
      <c r="H139" s="230"/>
      <c r="I139" s="231" t="s">
        <v>202</v>
      </c>
      <c r="J139" s="231" t="s">
        <v>202</v>
      </c>
      <c r="K139" s="231" t="s">
        <v>202</v>
      </c>
      <c r="L139" s="231" t="s">
        <v>202</v>
      </c>
      <c r="M139" s="230" t="s">
        <v>203</v>
      </c>
      <c r="N139" s="230" t="s">
        <v>204</v>
      </c>
    </row>
    <row r="140" spans="1:14" s="233" customFormat="1" ht="11.25">
      <c r="A140" s="230">
        <v>135</v>
      </c>
      <c r="B140" s="230">
        <v>507</v>
      </c>
      <c r="C140" s="230" t="s">
        <v>201</v>
      </c>
      <c r="D140" s="231" t="s">
        <v>202</v>
      </c>
      <c r="E140" s="232">
        <v>493</v>
      </c>
      <c r="F140" s="232" t="s">
        <v>203</v>
      </c>
      <c r="G140" s="230"/>
      <c r="H140" s="230"/>
      <c r="I140" s="231" t="s">
        <v>202</v>
      </c>
      <c r="J140" s="231" t="s">
        <v>202</v>
      </c>
      <c r="K140" s="231" t="s">
        <v>202</v>
      </c>
      <c r="L140" s="231" t="s">
        <v>202</v>
      </c>
      <c r="M140" s="230" t="s">
        <v>203</v>
      </c>
      <c r="N140" s="230" t="s">
        <v>204</v>
      </c>
    </row>
    <row r="141" spans="1:14" s="233" customFormat="1" ht="11.25">
      <c r="A141" s="230">
        <v>136</v>
      </c>
      <c r="B141" s="230">
        <v>486</v>
      </c>
      <c r="C141" s="230" t="s">
        <v>201</v>
      </c>
      <c r="D141" s="231" t="s">
        <v>202</v>
      </c>
      <c r="E141" s="232">
        <v>107</v>
      </c>
      <c r="F141" s="232" t="s">
        <v>203</v>
      </c>
      <c r="G141" s="230"/>
      <c r="H141" s="230"/>
      <c r="I141" s="231" t="s">
        <v>202</v>
      </c>
      <c r="J141" s="231" t="s">
        <v>202</v>
      </c>
      <c r="K141" s="231" t="s">
        <v>202</v>
      </c>
      <c r="L141" s="231" t="s">
        <v>202</v>
      </c>
      <c r="M141" s="230" t="s">
        <v>203</v>
      </c>
      <c r="N141" s="230" t="s">
        <v>204</v>
      </c>
    </row>
    <row r="142" spans="1:14" s="233" customFormat="1" ht="11.25">
      <c r="A142" s="230">
        <v>137</v>
      </c>
      <c r="B142" s="230">
        <v>1180</v>
      </c>
      <c r="C142" s="230" t="s">
        <v>201</v>
      </c>
      <c r="D142" s="231" t="s">
        <v>202</v>
      </c>
      <c r="E142" s="232">
        <v>196</v>
      </c>
      <c r="F142" s="232" t="s">
        <v>203</v>
      </c>
      <c r="G142" s="230"/>
      <c r="H142" s="230"/>
      <c r="I142" s="231" t="s">
        <v>202</v>
      </c>
      <c r="J142" s="231" t="s">
        <v>202</v>
      </c>
      <c r="K142" s="231" t="s">
        <v>202</v>
      </c>
      <c r="L142" s="231" t="s">
        <v>202</v>
      </c>
      <c r="M142" s="230" t="s">
        <v>203</v>
      </c>
      <c r="N142" s="230" t="s">
        <v>204</v>
      </c>
    </row>
    <row r="143" spans="1:14" s="233" customFormat="1" ht="11.25">
      <c r="A143" s="230">
        <v>138</v>
      </c>
      <c r="B143" s="230">
        <v>928</v>
      </c>
      <c r="C143" s="230" t="s">
        <v>201</v>
      </c>
      <c r="D143" s="231" t="s">
        <v>202</v>
      </c>
      <c r="E143" s="232">
        <v>345</v>
      </c>
      <c r="F143" s="232" t="s">
        <v>203</v>
      </c>
      <c r="G143" s="230"/>
      <c r="H143" s="230"/>
      <c r="I143" s="231" t="s">
        <v>202</v>
      </c>
      <c r="J143" s="231" t="s">
        <v>202</v>
      </c>
      <c r="K143" s="231" t="s">
        <v>202</v>
      </c>
      <c r="L143" s="231" t="s">
        <v>202</v>
      </c>
      <c r="M143" s="230" t="s">
        <v>203</v>
      </c>
      <c r="N143" s="230" t="s">
        <v>204</v>
      </c>
    </row>
    <row r="144" spans="1:14" s="233" customFormat="1" ht="11.25">
      <c r="A144" s="230">
        <v>139</v>
      </c>
      <c r="B144" s="230">
        <v>864</v>
      </c>
      <c r="C144" s="230" t="s">
        <v>201</v>
      </c>
      <c r="D144" s="231" t="s">
        <v>202</v>
      </c>
      <c r="E144" s="232">
        <v>420</v>
      </c>
      <c r="F144" s="232" t="s">
        <v>203</v>
      </c>
      <c r="G144" s="230"/>
      <c r="H144" s="230"/>
      <c r="I144" s="231" t="s">
        <v>202</v>
      </c>
      <c r="J144" s="231" t="s">
        <v>202</v>
      </c>
      <c r="K144" s="231" t="s">
        <v>202</v>
      </c>
      <c r="L144" s="231" t="s">
        <v>202</v>
      </c>
      <c r="M144" s="230" t="s">
        <v>203</v>
      </c>
      <c r="N144" s="230" t="s">
        <v>204</v>
      </c>
    </row>
    <row r="145" spans="1:14" s="233" customFormat="1" ht="11.25">
      <c r="A145" s="230">
        <v>140</v>
      </c>
      <c r="B145" s="230">
        <v>412</v>
      </c>
      <c r="C145" s="230" t="s">
        <v>201</v>
      </c>
      <c r="D145" s="231" t="s">
        <v>202</v>
      </c>
      <c r="E145" s="232">
        <v>326</v>
      </c>
      <c r="F145" s="232" t="s">
        <v>203</v>
      </c>
      <c r="G145" s="230"/>
      <c r="H145" s="230"/>
      <c r="I145" s="231" t="s">
        <v>202</v>
      </c>
      <c r="J145" s="231" t="s">
        <v>202</v>
      </c>
      <c r="K145" s="231" t="s">
        <v>202</v>
      </c>
      <c r="L145" s="231" t="s">
        <v>202</v>
      </c>
      <c r="M145" s="230" t="s">
        <v>203</v>
      </c>
      <c r="N145" s="230" t="s">
        <v>204</v>
      </c>
    </row>
    <row r="146" spans="1:14" s="233" customFormat="1" ht="11.25">
      <c r="A146" s="230">
        <v>141</v>
      </c>
      <c r="B146" s="230">
        <v>708</v>
      </c>
      <c r="C146" s="230" t="s">
        <v>201</v>
      </c>
      <c r="D146" s="231" t="s">
        <v>202</v>
      </c>
      <c r="E146" s="232">
        <v>150</v>
      </c>
      <c r="F146" s="232" t="s">
        <v>203</v>
      </c>
      <c r="G146" s="230"/>
      <c r="H146" s="230"/>
      <c r="I146" s="231" t="s">
        <v>202</v>
      </c>
      <c r="J146" s="231" t="s">
        <v>202</v>
      </c>
      <c r="K146" s="231" t="s">
        <v>202</v>
      </c>
      <c r="L146" s="231" t="s">
        <v>202</v>
      </c>
      <c r="M146" s="230" t="s">
        <v>203</v>
      </c>
      <c r="N146" s="230" t="s">
        <v>204</v>
      </c>
    </row>
    <row r="147" spans="1:14" s="233" customFormat="1" ht="11.25">
      <c r="A147" s="230">
        <v>142</v>
      </c>
      <c r="B147" s="230">
        <v>1412</v>
      </c>
      <c r="C147" s="230" t="s">
        <v>201</v>
      </c>
      <c r="D147" s="231" t="s">
        <v>202</v>
      </c>
      <c r="E147" s="232">
        <v>375</v>
      </c>
      <c r="F147" s="232" t="s">
        <v>203</v>
      </c>
      <c r="G147" s="230"/>
      <c r="H147" s="230"/>
      <c r="I147" s="231" t="s">
        <v>202</v>
      </c>
      <c r="J147" s="231" t="s">
        <v>202</v>
      </c>
      <c r="K147" s="231" t="s">
        <v>202</v>
      </c>
      <c r="L147" s="231" t="s">
        <v>202</v>
      </c>
      <c r="M147" s="230" t="s">
        <v>203</v>
      </c>
      <c r="N147" s="230" t="s">
        <v>204</v>
      </c>
    </row>
    <row r="148" spans="1:14" s="233" customFormat="1" ht="11.25">
      <c r="A148" s="230">
        <v>143</v>
      </c>
      <c r="B148" s="230">
        <v>1125</v>
      </c>
      <c r="C148" s="230" t="s">
        <v>201</v>
      </c>
      <c r="D148" s="231" t="s">
        <v>202</v>
      </c>
      <c r="E148" s="232">
        <v>440</v>
      </c>
      <c r="F148" s="232" t="s">
        <v>203</v>
      </c>
      <c r="G148" s="230"/>
      <c r="H148" s="230"/>
      <c r="I148" s="231" t="s">
        <v>202</v>
      </c>
      <c r="J148" s="231" t="s">
        <v>202</v>
      </c>
      <c r="K148" s="231" t="s">
        <v>202</v>
      </c>
      <c r="L148" s="231" t="s">
        <v>202</v>
      </c>
      <c r="M148" s="230" t="s">
        <v>203</v>
      </c>
      <c r="N148" s="230" t="s">
        <v>204</v>
      </c>
    </row>
    <row r="149" spans="1:14" s="233" customFormat="1" ht="11.25">
      <c r="A149" s="230">
        <v>144</v>
      </c>
      <c r="B149" s="230">
        <v>48</v>
      </c>
      <c r="C149" s="230" t="s">
        <v>201</v>
      </c>
      <c r="D149" s="231" t="s">
        <v>202</v>
      </c>
      <c r="E149" s="232">
        <v>328</v>
      </c>
      <c r="F149" s="232" t="s">
        <v>203</v>
      </c>
      <c r="G149" s="230"/>
      <c r="H149" s="230"/>
      <c r="I149" s="231" t="s">
        <v>202</v>
      </c>
      <c r="J149" s="231" t="s">
        <v>202</v>
      </c>
      <c r="K149" s="231" t="s">
        <v>202</v>
      </c>
      <c r="L149" s="231" t="s">
        <v>202</v>
      </c>
      <c r="M149" s="230" t="s">
        <v>203</v>
      </c>
      <c r="N149" s="230" t="s">
        <v>204</v>
      </c>
    </row>
    <row r="150" spans="1:14" s="233" customFormat="1" ht="11.25">
      <c r="A150" s="230">
        <v>145</v>
      </c>
      <c r="B150" s="230">
        <v>272</v>
      </c>
      <c r="C150" s="230" t="s">
        <v>201</v>
      </c>
      <c r="D150" s="231" t="s">
        <v>202</v>
      </c>
      <c r="E150" s="232">
        <v>387</v>
      </c>
      <c r="F150" s="232" t="s">
        <v>203</v>
      </c>
      <c r="G150" s="230"/>
      <c r="H150" s="230"/>
      <c r="I150" s="231" t="s">
        <v>202</v>
      </c>
      <c r="J150" s="231" t="s">
        <v>202</v>
      </c>
      <c r="K150" s="231" t="s">
        <v>202</v>
      </c>
      <c r="L150" s="231" t="s">
        <v>202</v>
      </c>
      <c r="M150" s="230" t="s">
        <v>203</v>
      </c>
      <c r="N150" s="230" t="s">
        <v>204</v>
      </c>
    </row>
    <row r="151" spans="1:14" s="233" customFormat="1" ht="11.25">
      <c r="A151" s="230">
        <v>146</v>
      </c>
      <c r="B151" s="230">
        <v>496</v>
      </c>
      <c r="C151" s="230" t="s">
        <v>201</v>
      </c>
      <c r="D151" s="231" t="s">
        <v>202</v>
      </c>
      <c r="E151" s="232">
        <v>500</v>
      </c>
      <c r="F151" s="232" t="s">
        <v>203</v>
      </c>
      <c r="G151" s="230"/>
      <c r="H151" s="230"/>
      <c r="I151" s="231" t="s">
        <v>202</v>
      </c>
      <c r="J151" s="231" t="s">
        <v>202</v>
      </c>
      <c r="K151" s="231" t="s">
        <v>202</v>
      </c>
      <c r="L151" s="231" t="s">
        <v>202</v>
      </c>
      <c r="M151" s="230" t="s">
        <v>203</v>
      </c>
      <c r="N151" s="230" t="s">
        <v>204</v>
      </c>
    </row>
    <row r="152" spans="1:14" s="233" customFormat="1" ht="11.25">
      <c r="A152" s="230">
        <v>147</v>
      </c>
      <c r="B152" s="230">
        <v>413</v>
      </c>
      <c r="C152" s="230" t="s">
        <v>201</v>
      </c>
      <c r="D152" s="231" t="s">
        <v>202</v>
      </c>
      <c r="E152" s="232">
        <v>412</v>
      </c>
      <c r="F152" s="232" t="s">
        <v>203</v>
      </c>
      <c r="G152" s="230"/>
      <c r="H152" s="230"/>
      <c r="I152" s="231" t="s">
        <v>202</v>
      </c>
      <c r="J152" s="231" t="s">
        <v>202</v>
      </c>
      <c r="K152" s="231" t="s">
        <v>202</v>
      </c>
      <c r="L152" s="231" t="s">
        <v>202</v>
      </c>
      <c r="M152" s="230" t="s">
        <v>203</v>
      </c>
      <c r="N152" s="230" t="s">
        <v>204</v>
      </c>
    </row>
    <row r="153" spans="1:14" s="233" customFormat="1" ht="11.25">
      <c r="A153" s="230">
        <v>148</v>
      </c>
      <c r="B153" s="230">
        <v>1059</v>
      </c>
      <c r="C153" s="230" t="s">
        <v>201</v>
      </c>
      <c r="D153" s="231" t="s">
        <v>202</v>
      </c>
      <c r="E153" s="232">
        <v>167</v>
      </c>
      <c r="F153" s="232" t="s">
        <v>203</v>
      </c>
      <c r="G153" s="230"/>
      <c r="H153" s="230"/>
      <c r="I153" s="231" t="s">
        <v>202</v>
      </c>
      <c r="J153" s="231" t="s">
        <v>202</v>
      </c>
      <c r="K153" s="231" t="s">
        <v>202</v>
      </c>
      <c r="L153" s="231" t="s">
        <v>202</v>
      </c>
      <c r="M153" s="230" t="s">
        <v>203</v>
      </c>
      <c r="N153" s="230" t="s">
        <v>204</v>
      </c>
    </row>
    <row r="154" spans="1:14" s="233" customFormat="1" ht="11.25">
      <c r="A154" s="230">
        <v>149</v>
      </c>
      <c r="B154" s="230">
        <v>104</v>
      </c>
      <c r="C154" s="230" t="s">
        <v>201</v>
      </c>
      <c r="D154" s="231" t="s">
        <v>202</v>
      </c>
      <c r="E154" s="232">
        <v>402</v>
      </c>
      <c r="F154" s="232" t="s">
        <v>203</v>
      </c>
      <c r="G154" s="230"/>
      <c r="H154" s="230"/>
      <c r="I154" s="231" t="s">
        <v>202</v>
      </c>
      <c r="J154" s="231" t="s">
        <v>202</v>
      </c>
      <c r="K154" s="231" t="s">
        <v>202</v>
      </c>
      <c r="L154" s="231" t="s">
        <v>202</v>
      </c>
      <c r="M154" s="230" t="s">
        <v>203</v>
      </c>
      <c r="N154" s="230" t="s">
        <v>204</v>
      </c>
    </row>
    <row r="155" spans="1:14" s="233" customFormat="1" ht="11.25">
      <c r="A155" s="230">
        <v>150</v>
      </c>
      <c r="B155" s="230">
        <v>715</v>
      </c>
      <c r="C155" s="230" t="s">
        <v>201</v>
      </c>
      <c r="D155" s="231" t="s">
        <v>202</v>
      </c>
      <c r="E155" s="232">
        <v>277</v>
      </c>
      <c r="F155" s="232" t="s">
        <v>203</v>
      </c>
      <c r="G155" s="230"/>
      <c r="H155" s="230"/>
      <c r="I155" s="231" t="s">
        <v>202</v>
      </c>
      <c r="J155" s="231" t="s">
        <v>202</v>
      </c>
      <c r="K155" s="231" t="s">
        <v>202</v>
      </c>
      <c r="L155" s="231" t="s">
        <v>202</v>
      </c>
      <c r="M155" s="230" t="s">
        <v>203</v>
      </c>
      <c r="N155" s="230" t="s">
        <v>204</v>
      </c>
    </row>
    <row r="156" spans="1:14" s="233" customFormat="1" ht="11.25">
      <c r="A156" s="230">
        <v>151</v>
      </c>
      <c r="B156" s="230">
        <v>506</v>
      </c>
      <c r="C156" s="230" t="s">
        <v>201</v>
      </c>
      <c r="D156" s="231" t="s">
        <v>202</v>
      </c>
      <c r="E156" s="232">
        <v>256</v>
      </c>
      <c r="F156" s="232" t="s">
        <v>203</v>
      </c>
      <c r="G156" s="230"/>
      <c r="H156" s="230"/>
      <c r="I156" s="231" t="s">
        <v>202</v>
      </c>
      <c r="J156" s="231" t="s">
        <v>202</v>
      </c>
      <c r="K156" s="231" t="s">
        <v>202</v>
      </c>
      <c r="L156" s="231" t="s">
        <v>202</v>
      </c>
      <c r="M156" s="230" t="s">
        <v>203</v>
      </c>
      <c r="N156" s="230" t="s">
        <v>204</v>
      </c>
    </row>
    <row r="157" spans="1:14" s="233" customFormat="1" ht="11.25">
      <c r="A157" s="230">
        <v>152</v>
      </c>
      <c r="B157" s="230">
        <v>813</v>
      </c>
      <c r="C157" s="230" t="s">
        <v>201</v>
      </c>
      <c r="D157" s="231" t="s">
        <v>202</v>
      </c>
      <c r="E157" s="232">
        <v>539</v>
      </c>
      <c r="F157" s="232" t="s">
        <v>203</v>
      </c>
      <c r="G157" s="230"/>
      <c r="H157" s="230"/>
      <c r="I157" s="231" t="s">
        <v>202</v>
      </c>
      <c r="J157" s="231" t="s">
        <v>202</v>
      </c>
      <c r="K157" s="231" t="s">
        <v>202</v>
      </c>
      <c r="L157" s="231" t="s">
        <v>202</v>
      </c>
      <c r="M157" s="230" t="s">
        <v>203</v>
      </c>
      <c r="N157" s="230" t="s">
        <v>204</v>
      </c>
    </row>
    <row r="158" spans="1:14" s="233" customFormat="1" ht="11.25">
      <c r="A158" s="230">
        <v>153</v>
      </c>
      <c r="B158" s="230">
        <v>684</v>
      </c>
      <c r="C158" s="230" t="s">
        <v>201</v>
      </c>
      <c r="D158" s="231" t="s">
        <v>202</v>
      </c>
      <c r="E158" s="232">
        <v>210</v>
      </c>
      <c r="F158" s="232" t="s">
        <v>203</v>
      </c>
      <c r="G158" s="230"/>
      <c r="H158" s="230"/>
      <c r="I158" s="231" t="s">
        <v>202</v>
      </c>
      <c r="J158" s="231" t="s">
        <v>202</v>
      </c>
      <c r="K158" s="231" t="s">
        <v>202</v>
      </c>
      <c r="L158" s="231" t="s">
        <v>202</v>
      </c>
      <c r="M158" s="230" t="s">
        <v>203</v>
      </c>
      <c r="N158" s="230" t="s">
        <v>204</v>
      </c>
    </row>
    <row r="159" spans="1:14" s="233" customFormat="1" ht="11.25">
      <c r="A159" s="230">
        <v>154</v>
      </c>
      <c r="B159" s="230">
        <v>391</v>
      </c>
      <c r="C159" s="230" t="s">
        <v>201</v>
      </c>
      <c r="D159" s="231" t="s">
        <v>202</v>
      </c>
      <c r="E159" s="232">
        <v>506</v>
      </c>
      <c r="F159" s="232" t="s">
        <v>203</v>
      </c>
      <c r="G159" s="230"/>
      <c r="H159" s="230"/>
      <c r="I159" s="231" t="s">
        <v>202</v>
      </c>
      <c r="J159" s="231" t="s">
        <v>202</v>
      </c>
      <c r="K159" s="231" t="s">
        <v>202</v>
      </c>
      <c r="L159" s="231" t="s">
        <v>202</v>
      </c>
      <c r="M159" s="230" t="s">
        <v>203</v>
      </c>
      <c r="N159" s="230" t="s">
        <v>204</v>
      </c>
    </row>
    <row r="160" spans="1:14" s="233" customFormat="1" ht="11.25">
      <c r="A160" s="230">
        <v>155</v>
      </c>
      <c r="B160" s="230">
        <v>651</v>
      </c>
      <c r="C160" s="230" t="s">
        <v>201</v>
      </c>
      <c r="D160" s="231" t="s">
        <v>202</v>
      </c>
      <c r="E160" s="232">
        <v>437</v>
      </c>
      <c r="F160" s="232" t="s">
        <v>203</v>
      </c>
      <c r="G160" s="230"/>
      <c r="H160" s="230"/>
      <c r="I160" s="231" t="s">
        <v>202</v>
      </c>
      <c r="J160" s="231" t="s">
        <v>202</v>
      </c>
      <c r="K160" s="231" t="s">
        <v>202</v>
      </c>
      <c r="L160" s="231" t="s">
        <v>202</v>
      </c>
      <c r="M160" s="230" t="s">
        <v>203</v>
      </c>
      <c r="N160" s="230" t="s">
        <v>204</v>
      </c>
    </row>
    <row r="161" spans="1:14" s="233" customFormat="1" ht="11.25">
      <c r="A161" s="230">
        <v>156</v>
      </c>
      <c r="B161" s="230">
        <v>906</v>
      </c>
      <c r="C161" s="230" t="s">
        <v>201</v>
      </c>
      <c r="D161" s="231" t="s">
        <v>202</v>
      </c>
      <c r="E161" s="232">
        <v>589</v>
      </c>
      <c r="F161" s="232" t="s">
        <v>203</v>
      </c>
      <c r="G161" s="230"/>
      <c r="H161" s="230"/>
      <c r="I161" s="231" t="s">
        <v>202</v>
      </c>
      <c r="J161" s="231" t="s">
        <v>202</v>
      </c>
      <c r="K161" s="231" t="s">
        <v>202</v>
      </c>
      <c r="L161" s="231" t="s">
        <v>202</v>
      </c>
      <c r="M161" s="230" t="s">
        <v>203</v>
      </c>
      <c r="N161" s="230" t="s">
        <v>204</v>
      </c>
    </row>
    <row r="162" spans="1:14" s="233" customFormat="1" ht="11.25">
      <c r="A162" s="230">
        <v>157</v>
      </c>
      <c r="B162" s="230">
        <v>1641</v>
      </c>
      <c r="C162" s="230" t="s">
        <v>201</v>
      </c>
      <c r="D162" s="231" t="s">
        <v>202</v>
      </c>
      <c r="E162" s="232">
        <v>380</v>
      </c>
      <c r="F162" s="232" t="s">
        <v>203</v>
      </c>
      <c r="G162" s="230"/>
      <c r="H162" s="230"/>
      <c r="I162" s="231" t="s">
        <v>202</v>
      </c>
      <c r="J162" s="231" t="s">
        <v>202</v>
      </c>
      <c r="K162" s="231" t="s">
        <v>202</v>
      </c>
      <c r="L162" s="231" t="s">
        <v>202</v>
      </c>
      <c r="M162" s="230" t="s">
        <v>203</v>
      </c>
      <c r="N162" s="230" t="s">
        <v>204</v>
      </c>
    </row>
    <row r="163" spans="1:14" s="233" customFormat="1" ht="11.25">
      <c r="A163" s="230">
        <v>158</v>
      </c>
      <c r="B163" s="230">
        <v>643</v>
      </c>
      <c r="C163" s="230" t="s">
        <v>201</v>
      </c>
      <c r="D163" s="231" t="s">
        <v>202</v>
      </c>
      <c r="E163" s="232">
        <v>480</v>
      </c>
      <c r="F163" s="232" t="s">
        <v>203</v>
      </c>
      <c r="G163" s="230"/>
      <c r="H163" s="230"/>
      <c r="I163" s="231" t="s">
        <v>202</v>
      </c>
      <c r="J163" s="231" t="s">
        <v>202</v>
      </c>
      <c r="K163" s="231" t="s">
        <v>202</v>
      </c>
      <c r="L163" s="231" t="s">
        <v>202</v>
      </c>
      <c r="M163" s="230" t="s">
        <v>203</v>
      </c>
      <c r="N163" s="230" t="s">
        <v>204</v>
      </c>
    </row>
    <row r="164" spans="1:14" s="233" customFormat="1" ht="11.25">
      <c r="A164" s="230">
        <v>159</v>
      </c>
      <c r="B164" s="230">
        <v>1010</v>
      </c>
      <c r="C164" s="230" t="s">
        <v>201</v>
      </c>
      <c r="D164" s="231" t="s">
        <v>202</v>
      </c>
      <c r="E164" s="232">
        <v>241</v>
      </c>
      <c r="F164" s="232" t="s">
        <v>203</v>
      </c>
      <c r="G164" s="230"/>
      <c r="H164" s="230"/>
      <c r="I164" s="231" t="s">
        <v>202</v>
      </c>
      <c r="J164" s="231" t="s">
        <v>202</v>
      </c>
      <c r="K164" s="231" t="s">
        <v>202</v>
      </c>
      <c r="L164" s="231" t="s">
        <v>202</v>
      </c>
      <c r="M164" s="230" t="s">
        <v>203</v>
      </c>
      <c r="N164" s="230" t="s">
        <v>204</v>
      </c>
    </row>
    <row r="165" spans="1:14" s="233" customFormat="1" ht="11.25">
      <c r="A165" s="230">
        <v>160</v>
      </c>
      <c r="B165" s="230">
        <v>624</v>
      </c>
      <c r="C165" s="230" t="s">
        <v>201</v>
      </c>
      <c r="D165" s="231" t="s">
        <v>202</v>
      </c>
      <c r="E165" s="232">
        <v>458</v>
      </c>
      <c r="F165" s="232" t="s">
        <v>203</v>
      </c>
      <c r="G165" s="230"/>
      <c r="H165" s="230"/>
      <c r="I165" s="231" t="s">
        <v>202</v>
      </c>
      <c r="J165" s="231" t="s">
        <v>202</v>
      </c>
      <c r="K165" s="231" t="s">
        <v>202</v>
      </c>
      <c r="L165" s="231" t="s">
        <v>202</v>
      </c>
      <c r="M165" s="230" t="s">
        <v>203</v>
      </c>
      <c r="N165" s="230" t="s">
        <v>204</v>
      </c>
    </row>
    <row r="166" spans="1:14" s="233" customFormat="1" ht="11.25">
      <c r="A166" s="230">
        <v>161</v>
      </c>
      <c r="B166" s="230">
        <v>1667</v>
      </c>
      <c r="C166" s="230" t="s">
        <v>201</v>
      </c>
      <c r="D166" s="231" t="s">
        <v>202</v>
      </c>
      <c r="E166" s="232">
        <v>443</v>
      </c>
      <c r="F166" s="232" t="s">
        <v>203</v>
      </c>
      <c r="G166" s="230"/>
      <c r="H166" s="230"/>
      <c r="I166" s="231" t="s">
        <v>202</v>
      </c>
      <c r="J166" s="231" t="s">
        <v>202</v>
      </c>
      <c r="K166" s="231" t="s">
        <v>202</v>
      </c>
      <c r="L166" s="231" t="s">
        <v>202</v>
      </c>
      <c r="M166" s="230" t="s">
        <v>203</v>
      </c>
      <c r="N166" s="230" t="s">
        <v>204</v>
      </c>
    </row>
    <row r="167" spans="1:14" s="233" customFormat="1" ht="11.25">
      <c r="A167" s="230">
        <v>162</v>
      </c>
      <c r="B167" s="230">
        <v>1223</v>
      </c>
      <c r="C167" s="230" t="s">
        <v>201</v>
      </c>
      <c r="D167" s="231" t="s">
        <v>202</v>
      </c>
      <c r="E167" s="232">
        <v>484</v>
      </c>
      <c r="F167" s="232" t="s">
        <v>203</v>
      </c>
      <c r="G167" s="230"/>
      <c r="H167" s="230"/>
      <c r="I167" s="231" t="s">
        <v>202</v>
      </c>
      <c r="J167" s="231" t="s">
        <v>202</v>
      </c>
      <c r="K167" s="231" t="s">
        <v>202</v>
      </c>
      <c r="L167" s="231" t="s">
        <v>202</v>
      </c>
      <c r="M167" s="230" t="s">
        <v>203</v>
      </c>
      <c r="N167" s="230" t="s">
        <v>204</v>
      </c>
    </row>
    <row r="168" spans="1:14" s="233" customFormat="1" ht="11.25">
      <c r="A168" s="230">
        <v>163</v>
      </c>
      <c r="B168" s="230">
        <v>1185</v>
      </c>
      <c r="C168" s="230" t="s">
        <v>201</v>
      </c>
      <c r="D168" s="231" t="s">
        <v>202</v>
      </c>
      <c r="E168" s="232">
        <v>274</v>
      </c>
      <c r="F168" s="232" t="s">
        <v>203</v>
      </c>
      <c r="G168" s="230"/>
      <c r="H168" s="230"/>
      <c r="I168" s="231" t="s">
        <v>202</v>
      </c>
      <c r="J168" s="231" t="s">
        <v>202</v>
      </c>
      <c r="K168" s="231" t="s">
        <v>202</v>
      </c>
      <c r="L168" s="231" t="s">
        <v>202</v>
      </c>
      <c r="M168" s="230" t="s">
        <v>203</v>
      </c>
      <c r="N168" s="230" t="s">
        <v>204</v>
      </c>
    </row>
    <row r="169" spans="1:14" s="233" customFormat="1" ht="11.25">
      <c r="A169" s="230">
        <v>164</v>
      </c>
      <c r="B169" s="230">
        <v>939</v>
      </c>
      <c r="C169" s="230" t="s">
        <v>201</v>
      </c>
      <c r="D169" s="231" t="s">
        <v>202</v>
      </c>
      <c r="E169" s="232">
        <v>621</v>
      </c>
      <c r="F169" s="232" t="s">
        <v>203</v>
      </c>
      <c r="G169" s="230"/>
      <c r="H169" s="230"/>
      <c r="I169" s="231" t="s">
        <v>202</v>
      </c>
      <c r="J169" s="234" t="s">
        <v>205</v>
      </c>
      <c r="K169" s="231" t="s">
        <v>202</v>
      </c>
      <c r="L169" s="231" t="s">
        <v>202</v>
      </c>
      <c r="M169" s="230" t="s">
        <v>203</v>
      </c>
      <c r="N169" s="230" t="s">
        <v>204</v>
      </c>
    </row>
    <row r="170" spans="1:14" s="233" customFormat="1" ht="11.25">
      <c r="A170" s="230">
        <v>165</v>
      </c>
      <c r="B170" s="230">
        <v>1535</v>
      </c>
      <c r="C170" s="230" t="s">
        <v>201</v>
      </c>
      <c r="D170" s="231" t="s">
        <v>202</v>
      </c>
      <c r="E170" s="232">
        <v>499</v>
      </c>
      <c r="F170" s="232" t="s">
        <v>203</v>
      </c>
      <c r="G170" s="230"/>
      <c r="H170" s="230"/>
      <c r="I170" s="231" t="s">
        <v>202</v>
      </c>
      <c r="J170" s="231" t="s">
        <v>202</v>
      </c>
      <c r="K170" s="231" t="s">
        <v>202</v>
      </c>
      <c r="L170" s="231" t="s">
        <v>202</v>
      </c>
      <c r="M170" s="230" t="s">
        <v>203</v>
      </c>
      <c r="N170" s="230" t="s">
        <v>204</v>
      </c>
    </row>
    <row r="171" spans="1:14" s="233" customFormat="1" ht="11.25">
      <c r="A171" s="230">
        <v>166</v>
      </c>
      <c r="B171" s="230">
        <v>931</v>
      </c>
      <c r="C171" s="230" t="s">
        <v>201</v>
      </c>
      <c r="D171" s="231" t="s">
        <v>202</v>
      </c>
      <c r="E171" s="232">
        <v>587</v>
      </c>
      <c r="F171" s="232" t="s">
        <v>203</v>
      </c>
      <c r="G171" s="230"/>
      <c r="H171" s="230"/>
      <c r="I171" s="231" t="s">
        <v>202</v>
      </c>
      <c r="J171" s="231" t="s">
        <v>202</v>
      </c>
      <c r="K171" s="231" t="s">
        <v>202</v>
      </c>
      <c r="L171" s="231" t="s">
        <v>202</v>
      </c>
      <c r="M171" s="230" t="s">
        <v>203</v>
      </c>
      <c r="N171" s="230" t="s">
        <v>204</v>
      </c>
    </row>
    <row r="172" spans="1:14" s="233" customFormat="1" ht="11.25">
      <c r="A172" s="230">
        <v>167</v>
      </c>
      <c r="B172" s="230">
        <v>368</v>
      </c>
      <c r="C172" s="230" t="s">
        <v>201</v>
      </c>
      <c r="D172" s="231" t="s">
        <v>202</v>
      </c>
      <c r="E172" s="232">
        <v>418</v>
      </c>
      <c r="F172" s="232" t="s">
        <v>203</v>
      </c>
      <c r="G172" s="230"/>
      <c r="H172" s="230"/>
      <c r="I172" s="231" t="s">
        <v>202</v>
      </c>
      <c r="J172" s="231" t="s">
        <v>202</v>
      </c>
      <c r="K172" s="231" t="s">
        <v>202</v>
      </c>
      <c r="L172" s="231" t="s">
        <v>202</v>
      </c>
      <c r="M172" s="230" t="s">
        <v>203</v>
      </c>
      <c r="N172" s="230" t="s">
        <v>204</v>
      </c>
    </row>
    <row r="173" spans="1:14" s="233" customFormat="1" ht="11.25">
      <c r="A173" s="230">
        <v>168</v>
      </c>
      <c r="B173" s="230">
        <v>224</v>
      </c>
      <c r="C173" s="230" t="s">
        <v>201</v>
      </c>
      <c r="D173" s="231" t="s">
        <v>202</v>
      </c>
      <c r="E173" s="232">
        <v>263</v>
      </c>
      <c r="F173" s="232" t="s">
        <v>203</v>
      </c>
      <c r="G173" s="230"/>
      <c r="H173" s="230"/>
      <c r="I173" s="231" t="s">
        <v>202</v>
      </c>
      <c r="J173" s="231" t="s">
        <v>202</v>
      </c>
      <c r="K173" s="231" t="s">
        <v>202</v>
      </c>
      <c r="L173" s="231" t="s">
        <v>202</v>
      </c>
      <c r="M173" s="230" t="s">
        <v>203</v>
      </c>
      <c r="N173" s="230" t="s">
        <v>204</v>
      </c>
    </row>
    <row r="174" spans="1:14" s="233" customFormat="1" ht="11.25">
      <c r="A174" s="230">
        <v>169</v>
      </c>
      <c r="B174" s="230">
        <v>890</v>
      </c>
      <c r="C174" s="230" t="s">
        <v>201</v>
      </c>
      <c r="D174" s="231" t="s">
        <v>202</v>
      </c>
      <c r="E174" s="232">
        <v>566</v>
      </c>
      <c r="F174" s="232" t="s">
        <v>203</v>
      </c>
      <c r="G174" s="230"/>
      <c r="H174" s="230"/>
      <c r="I174" s="231" t="s">
        <v>202</v>
      </c>
      <c r="J174" s="231" t="s">
        <v>202</v>
      </c>
      <c r="K174" s="231" t="s">
        <v>202</v>
      </c>
      <c r="L174" s="231" t="s">
        <v>202</v>
      </c>
      <c r="M174" s="230" t="s">
        <v>203</v>
      </c>
      <c r="N174" s="230" t="s">
        <v>204</v>
      </c>
    </row>
    <row r="175" spans="1:14" s="233" customFormat="1" ht="11.25">
      <c r="A175" s="230">
        <v>170</v>
      </c>
      <c r="B175" s="230">
        <v>1164</v>
      </c>
      <c r="C175" s="230" t="s">
        <v>201</v>
      </c>
      <c r="D175" s="231" t="s">
        <v>202</v>
      </c>
      <c r="E175" s="232">
        <v>410</v>
      </c>
      <c r="F175" s="232" t="s">
        <v>203</v>
      </c>
      <c r="G175" s="230"/>
      <c r="H175" s="230"/>
      <c r="I175" s="231" t="s">
        <v>202</v>
      </c>
      <c r="J175" s="231" t="s">
        <v>202</v>
      </c>
      <c r="K175" s="231" t="s">
        <v>202</v>
      </c>
      <c r="L175" s="231" t="s">
        <v>202</v>
      </c>
      <c r="M175" s="230" t="s">
        <v>203</v>
      </c>
      <c r="N175" s="230" t="s">
        <v>204</v>
      </c>
    </row>
    <row r="176" spans="1:14" s="233" customFormat="1" ht="11.25">
      <c r="A176" s="230">
        <v>171</v>
      </c>
      <c r="B176" s="230">
        <v>1250</v>
      </c>
      <c r="C176" s="230" t="s">
        <v>201</v>
      </c>
      <c r="D176" s="231" t="s">
        <v>202</v>
      </c>
      <c r="E176" s="232">
        <v>529</v>
      </c>
      <c r="F176" s="232" t="s">
        <v>203</v>
      </c>
      <c r="G176" s="230"/>
      <c r="H176" s="230"/>
      <c r="I176" s="231" t="s">
        <v>202</v>
      </c>
      <c r="J176" s="231" t="s">
        <v>202</v>
      </c>
      <c r="K176" s="231" t="s">
        <v>202</v>
      </c>
      <c r="L176" s="231" t="s">
        <v>202</v>
      </c>
      <c r="M176" s="230" t="s">
        <v>203</v>
      </c>
      <c r="N176" s="230" t="s">
        <v>204</v>
      </c>
    </row>
    <row r="177" spans="1:14" s="233" customFormat="1" ht="11.25">
      <c r="A177" s="230">
        <v>172</v>
      </c>
      <c r="B177" s="230">
        <v>768</v>
      </c>
      <c r="C177" s="230" t="s">
        <v>201</v>
      </c>
      <c r="D177" s="231" t="s">
        <v>202</v>
      </c>
      <c r="E177" s="232">
        <v>597</v>
      </c>
      <c r="F177" s="232" t="s">
        <v>203</v>
      </c>
      <c r="G177" s="230"/>
      <c r="H177" s="230"/>
      <c r="I177" s="231" t="s">
        <v>202</v>
      </c>
      <c r="J177" s="231" t="s">
        <v>202</v>
      </c>
      <c r="K177" s="231" t="s">
        <v>202</v>
      </c>
      <c r="L177" s="231" t="s">
        <v>202</v>
      </c>
      <c r="M177" s="230" t="s">
        <v>203</v>
      </c>
      <c r="N177" s="230" t="s">
        <v>204</v>
      </c>
    </row>
    <row r="178" spans="1:14" s="233" customFormat="1" ht="11.25">
      <c r="A178" s="230">
        <v>173</v>
      </c>
      <c r="B178" s="230">
        <v>1358</v>
      </c>
      <c r="C178" s="230" t="s">
        <v>201</v>
      </c>
      <c r="D178" s="231" t="s">
        <v>202</v>
      </c>
      <c r="E178" s="232">
        <v>345</v>
      </c>
      <c r="F178" s="232" t="s">
        <v>203</v>
      </c>
      <c r="G178" s="230"/>
      <c r="H178" s="230"/>
      <c r="I178" s="231" t="s">
        <v>202</v>
      </c>
      <c r="J178" s="231" t="s">
        <v>202</v>
      </c>
      <c r="K178" s="231" t="s">
        <v>202</v>
      </c>
      <c r="L178" s="231" t="s">
        <v>202</v>
      </c>
      <c r="M178" s="230" t="s">
        <v>203</v>
      </c>
      <c r="N178" s="230" t="s">
        <v>204</v>
      </c>
    </row>
    <row r="179" spans="1:14" s="233" customFormat="1" ht="11.25">
      <c r="A179" s="230">
        <v>174</v>
      </c>
      <c r="B179" s="230">
        <v>1157</v>
      </c>
      <c r="C179" s="230" t="s">
        <v>201</v>
      </c>
      <c r="D179" s="231" t="s">
        <v>202</v>
      </c>
      <c r="E179" s="232">
        <v>240</v>
      </c>
      <c r="F179" s="232" t="s">
        <v>203</v>
      </c>
      <c r="G179" s="230"/>
      <c r="H179" s="230"/>
      <c r="I179" s="231" t="s">
        <v>202</v>
      </c>
      <c r="J179" s="231" t="s">
        <v>202</v>
      </c>
      <c r="K179" s="231" t="s">
        <v>202</v>
      </c>
      <c r="L179" s="231" t="s">
        <v>202</v>
      </c>
      <c r="M179" s="230" t="s">
        <v>203</v>
      </c>
      <c r="N179" s="230" t="s">
        <v>204</v>
      </c>
    </row>
    <row r="180" spans="1:14" s="233" customFormat="1" ht="11.25">
      <c r="A180" s="230">
        <v>175</v>
      </c>
      <c r="B180" s="230">
        <v>252</v>
      </c>
      <c r="C180" s="230" t="s">
        <v>201</v>
      </c>
      <c r="D180" s="231" t="s">
        <v>202</v>
      </c>
      <c r="E180" s="232">
        <v>300</v>
      </c>
      <c r="F180" s="232" t="s">
        <v>203</v>
      </c>
      <c r="G180" s="230"/>
      <c r="H180" s="230"/>
      <c r="I180" s="231" t="s">
        <v>202</v>
      </c>
      <c r="J180" s="231" t="s">
        <v>202</v>
      </c>
      <c r="K180" s="231" t="s">
        <v>202</v>
      </c>
      <c r="L180" s="231" t="s">
        <v>202</v>
      </c>
      <c r="M180" s="230" t="s">
        <v>203</v>
      </c>
      <c r="N180" s="230" t="s">
        <v>204</v>
      </c>
    </row>
    <row r="181" spans="1:14" s="233" customFormat="1" ht="11.25">
      <c r="A181" s="230">
        <v>176</v>
      </c>
      <c r="B181" s="230">
        <v>739</v>
      </c>
      <c r="C181" s="230" t="s">
        <v>201</v>
      </c>
      <c r="D181" s="231" t="s">
        <v>202</v>
      </c>
      <c r="E181" s="232">
        <v>211</v>
      </c>
      <c r="F181" s="232" t="s">
        <v>203</v>
      </c>
      <c r="G181" s="230"/>
      <c r="H181" s="230"/>
      <c r="I181" s="231" t="s">
        <v>202</v>
      </c>
      <c r="J181" s="231" t="s">
        <v>202</v>
      </c>
      <c r="K181" s="231" t="s">
        <v>202</v>
      </c>
      <c r="L181" s="231" t="s">
        <v>202</v>
      </c>
      <c r="M181" s="230" t="s">
        <v>203</v>
      </c>
      <c r="N181" s="230" t="s">
        <v>204</v>
      </c>
    </row>
    <row r="182" spans="1:14" s="233" customFormat="1" ht="11.25">
      <c r="A182" s="230">
        <v>177</v>
      </c>
      <c r="B182" s="230">
        <v>581</v>
      </c>
      <c r="C182" s="230" t="s">
        <v>201</v>
      </c>
      <c r="D182" s="231" t="s">
        <v>202</v>
      </c>
      <c r="E182" s="232">
        <v>106</v>
      </c>
      <c r="F182" s="232" t="s">
        <v>203</v>
      </c>
      <c r="G182" s="230"/>
      <c r="H182" s="230"/>
      <c r="I182" s="231" t="s">
        <v>202</v>
      </c>
      <c r="J182" s="231" t="s">
        <v>202</v>
      </c>
      <c r="K182" s="231" t="s">
        <v>202</v>
      </c>
      <c r="L182" s="231" t="s">
        <v>202</v>
      </c>
      <c r="M182" s="230" t="s">
        <v>203</v>
      </c>
      <c r="N182" s="230" t="s">
        <v>204</v>
      </c>
    </row>
    <row r="183" spans="1:14" s="233" customFormat="1" ht="11.25">
      <c r="A183" s="230">
        <v>178</v>
      </c>
      <c r="B183" s="230">
        <v>1166</v>
      </c>
      <c r="C183" s="230" t="s">
        <v>201</v>
      </c>
      <c r="D183" s="231" t="s">
        <v>202</v>
      </c>
      <c r="E183" s="232">
        <v>383</v>
      </c>
      <c r="F183" s="232" t="s">
        <v>203</v>
      </c>
      <c r="G183" s="230"/>
      <c r="H183" s="230"/>
      <c r="I183" s="231" t="s">
        <v>202</v>
      </c>
      <c r="J183" s="231" t="s">
        <v>202</v>
      </c>
      <c r="K183" s="231" t="s">
        <v>202</v>
      </c>
      <c r="L183" s="231" t="s">
        <v>202</v>
      </c>
      <c r="M183" s="230" t="s">
        <v>203</v>
      </c>
      <c r="N183" s="230" t="s">
        <v>204</v>
      </c>
    </row>
    <row r="184" spans="1:14" s="233" customFormat="1" ht="11.25">
      <c r="A184" s="230">
        <v>179</v>
      </c>
      <c r="B184" s="230">
        <v>1053</v>
      </c>
      <c r="C184" s="230" t="s">
        <v>201</v>
      </c>
      <c r="D184" s="231" t="s">
        <v>202</v>
      </c>
      <c r="E184" s="232">
        <v>165</v>
      </c>
      <c r="F184" s="232" t="s">
        <v>203</v>
      </c>
      <c r="G184" s="230"/>
      <c r="H184" s="230"/>
      <c r="I184" s="231" t="s">
        <v>202</v>
      </c>
      <c r="J184" s="231" t="s">
        <v>202</v>
      </c>
      <c r="K184" s="231" t="s">
        <v>202</v>
      </c>
      <c r="L184" s="231" t="s">
        <v>202</v>
      </c>
      <c r="M184" s="230" t="s">
        <v>203</v>
      </c>
      <c r="N184" s="230" t="s">
        <v>204</v>
      </c>
    </row>
    <row r="185" spans="1:14" s="233" customFormat="1" ht="11.25">
      <c r="A185" s="230">
        <v>180</v>
      </c>
      <c r="B185" s="230">
        <v>1658</v>
      </c>
      <c r="C185" s="230" t="s">
        <v>201</v>
      </c>
      <c r="D185" s="231" t="s">
        <v>202</v>
      </c>
      <c r="E185" s="232">
        <v>549</v>
      </c>
      <c r="F185" s="232" t="s">
        <v>203</v>
      </c>
      <c r="G185" s="230"/>
      <c r="H185" s="230"/>
      <c r="I185" s="231" t="s">
        <v>202</v>
      </c>
      <c r="J185" s="231" t="s">
        <v>202</v>
      </c>
      <c r="K185" s="231" t="s">
        <v>202</v>
      </c>
      <c r="L185" s="231" t="s">
        <v>202</v>
      </c>
      <c r="M185" s="230" t="s">
        <v>203</v>
      </c>
      <c r="N185" s="230" t="s">
        <v>204</v>
      </c>
    </row>
    <row r="186" spans="1:14" s="233" customFormat="1" ht="11.25">
      <c r="A186" s="230">
        <v>181</v>
      </c>
      <c r="B186" s="230">
        <v>113</v>
      </c>
      <c r="C186" s="230" t="s">
        <v>201</v>
      </c>
      <c r="D186" s="231" t="s">
        <v>202</v>
      </c>
      <c r="E186" s="232">
        <v>560</v>
      </c>
      <c r="F186" s="232" t="s">
        <v>203</v>
      </c>
      <c r="G186" s="230"/>
      <c r="H186" s="230"/>
      <c r="I186" s="231" t="s">
        <v>202</v>
      </c>
      <c r="J186" s="231" t="s">
        <v>202</v>
      </c>
      <c r="K186" s="231" t="s">
        <v>202</v>
      </c>
      <c r="L186" s="231" t="s">
        <v>202</v>
      </c>
      <c r="M186" s="230" t="s">
        <v>203</v>
      </c>
      <c r="N186" s="230" t="s">
        <v>204</v>
      </c>
    </row>
    <row r="187" spans="1:14" s="233" customFormat="1" ht="11.25">
      <c r="A187" s="230">
        <v>182</v>
      </c>
      <c r="B187" s="230">
        <v>1085</v>
      </c>
      <c r="C187" s="230" t="s">
        <v>201</v>
      </c>
      <c r="D187" s="231" t="s">
        <v>202</v>
      </c>
      <c r="E187" s="232">
        <v>473</v>
      </c>
      <c r="F187" s="232" t="s">
        <v>203</v>
      </c>
      <c r="G187" s="230"/>
      <c r="H187" s="230"/>
      <c r="I187" s="231" t="s">
        <v>202</v>
      </c>
      <c r="J187" s="231" t="s">
        <v>202</v>
      </c>
      <c r="K187" s="231" t="s">
        <v>202</v>
      </c>
      <c r="L187" s="231" t="s">
        <v>202</v>
      </c>
      <c r="M187" s="230" t="s">
        <v>203</v>
      </c>
      <c r="N187" s="230" t="s">
        <v>204</v>
      </c>
    </row>
    <row r="188" spans="1:14" s="233" customFormat="1" ht="11.25">
      <c r="A188" s="230">
        <v>183</v>
      </c>
      <c r="B188" s="230">
        <v>1578</v>
      </c>
      <c r="C188" s="230" t="s">
        <v>201</v>
      </c>
      <c r="D188" s="231" t="s">
        <v>202</v>
      </c>
      <c r="E188" s="232">
        <v>578</v>
      </c>
      <c r="F188" s="232" t="s">
        <v>203</v>
      </c>
      <c r="G188" s="230"/>
      <c r="H188" s="230"/>
      <c r="I188" s="231" t="s">
        <v>202</v>
      </c>
      <c r="J188" s="231" t="s">
        <v>202</v>
      </c>
      <c r="K188" s="231" t="s">
        <v>202</v>
      </c>
      <c r="L188" s="231" t="s">
        <v>202</v>
      </c>
      <c r="M188" s="230" t="s">
        <v>203</v>
      </c>
      <c r="N188" s="230" t="s">
        <v>204</v>
      </c>
    </row>
    <row r="189" spans="1:14" s="233" customFormat="1" ht="11.25">
      <c r="A189" s="230">
        <v>184</v>
      </c>
      <c r="B189" s="230">
        <v>1285</v>
      </c>
      <c r="C189" s="230" t="s">
        <v>201</v>
      </c>
      <c r="D189" s="231" t="s">
        <v>202</v>
      </c>
      <c r="E189" s="232">
        <v>311</v>
      </c>
      <c r="F189" s="232" t="s">
        <v>203</v>
      </c>
      <c r="G189" s="230"/>
      <c r="H189" s="230"/>
      <c r="I189" s="231" t="s">
        <v>202</v>
      </c>
      <c r="J189" s="231" t="s">
        <v>202</v>
      </c>
      <c r="K189" s="231" t="s">
        <v>202</v>
      </c>
      <c r="L189" s="231" t="s">
        <v>202</v>
      </c>
      <c r="M189" s="230" t="s">
        <v>203</v>
      </c>
      <c r="N189" s="230" t="s">
        <v>204</v>
      </c>
    </row>
    <row r="190" spans="1:14" s="233" customFormat="1" ht="11.25">
      <c r="A190" s="230">
        <v>185</v>
      </c>
      <c r="B190" s="230">
        <v>582</v>
      </c>
      <c r="C190" s="230" t="s">
        <v>201</v>
      </c>
      <c r="D190" s="231" t="s">
        <v>202</v>
      </c>
      <c r="E190" s="232">
        <v>542</v>
      </c>
      <c r="F190" s="232" t="s">
        <v>203</v>
      </c>
      <c r="G190" s="230"/>
      <c r="H190" s="230"/>
      <c r="I190" s="231" t="s">
        <v>202</v>
      </c>
      <c r="J190" s="231" t="s">
        <v>202</v>
      </c>
      <c r="K190" s="231" t="s">
        <v>202</v>
      </c>
      <c r="L190" s="231" t="s">
        <v>202</v>
      </c>
      <c r="M190" s="230" t="s">
        <v>203</v>
      </c>
      <c r="N190" s="230" t="s">
        <v>204</v>
      </c>
    </row>
    <row r="191" spans="1:14" s="233" customFormat="1" ht="11.25">
      <c r="A191" s="230">
        <v>186</v>
      </c>
      <c r="B191" s="230">
        <v>683</v>
      </c>
      <c r="C191" s="230" t="s">
        <v>201</v>
      </c>
      <c r="D191" s="231" t="s">
        <v>202</v>
      </c>
      <c r="E191" s="232">
        <v>221</v>
      </c>
      <c r="F191" s="232" t="s">
        <v>203</v>
      </c>
      <c r="G191" s="230"/>
      <c r="H191" s="230"/>
      <c r="I191" s="231" t="s">
        <v>202</v>
      </c>
      <c r="J191" s="231" t="s">
        <v>202</v>
      </c>
      <c r="K191" s="231" t="s">
        <v>202</v>
      </c>
      <c r="L191" s="231" t="s">
        <v>202</v>
      </c>
      <c r="M191" s="230" t="s">
        <v>203</v>
      </c>
      <c r="N191" s="230" t="s">
        <v>204</v>
      </c>
    </row>
    <row r="192" spans="1:14" s="233" customFormat="1" ht="11.25">
      <c r="A192" s="230">
        <v>187</v>
      </c>
      <c r="B192" s="230">
        <v>1205</v>
      </c>
      <c r="C192" s="230" t="s">
        <v>201</v>
      </c>
      <c r="D192" s="231" t="s">
        <v>202</v>
      </c>
      <c r="E192" s="232">
        <v>505</v>
      </c>
      <c r="F192" s="232" t="s">
        <v>203</v>
      </c>
      <c r="G192" s="230"/>
      <c r="H192" s="230"/>
      <c r="I192" s="231" t="s">
        <v>202</v>
      </c>
      <c r="J192" s="231" t="s">
        <v>202</v>
      </c>
      <c r="K192" s="231" t="s">
        <v>202</v>
      </c>
      <c r="L192" s="231" t="s">
        <v>202</v>
      </c>
      <c r="M192" s="230" t="s">
        <v>203</v>
      </c>
      <c r="N192" s="230" t="s">
        <v>204</v>
      </c>
    </row>
    <row r="193" spans="1:14" s="233" customFormat="1" ht="11.25">
      <c r="A193" s="230">
        <v>188</v>
      </c>
      <c r="B193" s="230">
        <v>257</v>
      </c>
      <c r="C193" s="230" t="s">
        <v>201</v>
      </c>
      <c r="D193" s="231" t="s">
        <v>202</v>
      </c>
      <c r="E193" s="232">
        <v>569</v>
      </c>
      <c r="F193" s="232" t="s">
        <v>203</v>
      </c>
      <c r="G193" s="230"/>
      <c r="H193" s="230"/>
      <c r="I193" s="231" t="s">
        <v>202</v>
      </c>
      <c r="J193" s="231" t="s">
        <v>202</v>
      </c>
      <c r="K193" s="231" t="s">
        <v>202</v>
      </c>
      <c r="L193" s="231" t="s">
        <v>202</v>
      </c>
      <c r="M193" s="230" t="s">
        <v>203</v>
      </c>
      <c r="N193" s="230" t="s">
        <v>204</v>
      </c>
    </row>
    <row r="194" spans="1:14" s="233" customFormat="1" ht="11.25">
      <c r="A194" s="230">
        <v>189</v>
      </c>
      <c r="B194" s="230">
        <v>120</v>
      </c>
      <c r="C194" s="230" t="s">
        <v>201</v>
      </c>
      <c r="D194" s="231" t="s">
        <v>202</v>
      </c>
      <c r="E194" s="232">
        <v>300</v>
      </c>
      <c r="F194" s="232" t="s">
        <v>203</v>
      </c>
      <c r="G194" s="230"/>
      <c r="H194" s="230"/>
      <c r="I194" s="231" t="s">
        <v>202</v>
      </c>
      <c r="J194" s="234" t="s">
        <v>205</v>
      </c>
      <c r="K194" s="231" t="s">
        <v>202</v>
      </c>
      <c r="L194" s="231" t="s">
        <v>202</v>
      </c>
      <c r="M194" s="230" t="s">
        <v>203</v>
      </c>
      <c r="N194" s="230" t="s">
        <v>204</v>
      </c>
    </row>
    <row r="195" spans="1:14" s="233" customFormat="1" ht="11.25">
      <c r="A195" s="230">
        <v>190</v>
      </c>
      <c r="B195" s="230">
        <v>1437</v>
      </c>
      <c r="C195" s="230" t="s">
        <v>201</v>
      </c>
      <c r="D195" s="231" t="s">
        <v>202</v>
      </c>
      <c r="E195" s="232">
        <v>465</v>
      </c>
      <c r="F195" s="232" t="s">
        <v>203</v>
      </c>
      <c r="G195" s="230"/>
      <c r="H195" s="230"/>
      <c r="I195" s="231" t="s">
        <v>202</v>
      </c>
      <c r="J195" s="231" t="s">
        <v>202</v>
      </c>
      <c r="K195" s="231" t="s">
        <v>202</v>
      </c>
      <c r="L195" s="231" t="s">
        <v>202</v>
      </c>
      <c r="M195" s="230" t="s">
        <v>203</v>
      </c>
      <c r="N195" s="230" t="s">
        <v>204</v>
      </c>
    </row>
    <row r="196" spans="1:14" s="233" customFormat="1" ht="11.25">
      <c r="A196" s="230">
        <v>191</v>
      </c>
      <c r="B196" s="230">
        <v>1373</v>
      </c>
      <c r="C196" s="230" t="s">
        <v>201</v>
      </c>
      <c r="D196" s="231" t="s">
        <v>202</v>
      </c>
      <c r="E196" s="232">
        <v>135</v>
      </c>
      <c r="F196" s="232" t="s">
        <v>203</v>
      </c>
      <c r="G196" s="230"/>
      <c r="H196" s="230"/>
      <c r="I196" s="231" t="s">
        <v>202</v>
      </c>
      <c r="J196" s="231" t="s">
        <v>202</v>
      </c>
      <c r="K196" s="231" t="s">
        <v>202</v>
      </c>
      <c r="L196" s="231" t="s">
        <v>202</v>
      </c>
      <c r="M196" s="230" t="s">
        <v>203</v>
      </c>
      <c r="N196" s="230" t="s">
        <v>204</v>
      </c>
    </row>
    <row r="197" spans="1:14" s="233" customFormat="1" ht="11.25">
      <c r="A197" s="230">
        <v>192</v>
      </c>
      <c r="B197" s="230">
        <v>261</v>
      </c>
      <c r="C197" s="230" t="s">
        <v>201</v>
      </c>
      <c r="D197" s="231" t="s">
        <v>202</v>
      </c>
      <c r="E197" s="232">
        <v>453</v>
      </c>
      <c r="F197" s="232" t="s">
        <v>203</v>
      </c>
      <c r="G197" s="230"/>
      <c r="H197" s="230"/>
      <c r="I197" s="231" t="s">
        <v>202</v>
      </c>
      <c r="J197" s="231" t="s">
        <v>202</v>
      </c>
      <c r="K197" s="231" t="s">
        <v>202</v>
      </c>
      <c r="L197" s="231" t="s">
        <v>202</v>
      </c>
      <c r="M197" s="230" t="s">
        <v>203</v>
      </c>
      <c r="N197" s="230" t="s">
        <v>204</v>
      </c>
    </row>
    <row r="198" spans="1:14" s="233" customFormat="1" ht="11.25">
      <c r="A198" s="230">
        <v>193</v>
      </c>
      <c r="B198" s="230">
        <v>1030</v>
      </c>
      <c r="C198" s="230" t="s">
        <v>201</v>
      </c>
      <c r="D198" s="231" t="s">
        <v>202</v>
      </c>
      <c r="E198" s="232">
        <v>692</v>
      </c>
      <c r="F198" s="232" t="s">
        <v>203</v>
      </c>
      <c r="G198" s="230"/>
      <c r="H198" s="230"/>
      <c r="I198" s="231" t="s">
        <v>202</v>
      </c>
      <c r="J198" s="231" t="s">
        <v>202</v>
      </c>
      <c r="K198" s="231" t="s">
        <v>202</v>
      </c>
      <c r="L198" s="231" t="s">
        <v>202</v>
      </c>
      <c r="M198" s="230" t="s">
        <v>203</v>
      </c>
      <c r="N198" s="230" t="s">
        <v>204</v>
      </c>
    </row>
    <row r="199" spans="1:14" s="233" customFormat="1" ht="11.25">
      <c r="A199" s="230">
        <v>194</v>
      </c>
      <c r="B199" s="230">
        <v>1516</v>
      </c>
      <c r="C199" s="230" t="s">
        <v>201</v>
      </c>
      <c r="D199" s="231" t="s">
        <v>202</v>
      </c>
      <c r="E199" s="232">
        <v>1711</v>
      </c>
      <c r="F199" s="232" t="s">
        <v>203</v>
      </c>
      <c r="G199" s="230"/>
      <c r="H199" s="230"/>
      <c r="I199" s="231" t="s">
        <v>202</v>
      </c>
      <c r="J199" s="231" t="s">
        <v>202</v>
      </c>
      <c r="K199" s="231" t="s">
        <v>202</v>
      </c>
      <c r="L199" s="231" t="s">
        <v>202</v>
      </c>
      <c r="M199" s="230" t="s">
        <v>203</v>
      </c>
      <c r="N199" s="230" t="s">
        <v>204</v>
      </c>
    </row>
    <row r="200" spans="1:14" s="233" customFormat="1" ht="11.25">
      <c r="A200" s="230">
        <v>195</v>
      </c>
      <c r="B200" s="230">
        <v>1523</v>
      </c>
      <c r="C200" s="230" t="s">
        <v>201</v>
      </c>
      <c r="D200" s="231" t="s">
        <v>202</v>
      </c>
      <c r="E200" s="232">
        <v>2004</v>
      </c>
      <c r="F200" s="232" t="s">
        <v>203</v>
      </c>
      <c r="G200" s="230"/>
      <c r="H200" s="230"/>
      <c r="I200" s="231" t="s">
        <v>202</v>
      </c>
      <c r="J200" s="231" t="s">
        <v>202</v>
      </c>
      <c r="K200" s="231" t="s">
        <v>202</v>
      </c>
      <c r="L200" s="231" t="s">
        <v>202</v>
      </c>
      <c r="M200" s="230" t="s">
        <v>203</v>
      </c>
      <c r="N200" s="230" t="s">
        <v>204</v>
      </c>
    </row>
    <row r="201" spans="1:14" s="233" customFormat="1" ht="11.25">
      <c r="A201" s="230">
        <v>196</v>
      </c>
      <c r="B201" s="230">
        <v>1420</v>
      </c>
      <c r="C201" s="230" t="s">
        <v>201</v>
      </c>
      <c r="D201" s="231" t="s">
        <v>202</v>
      </c>
      <c r="E201" s="232">
        <v>2637</v>
      </c>
      <c r="F201" s="232" t="s">
        <v>203</v>
      </c>
      <c r="G201" s="230"/>
      <c r="H201" s="230"/>
      <c r="I201" s="231" t="s">
        <v>202</v>
      </c>
      <c r="J201" s="231" t="s">
        <v>202</v>
      </c>
      <c r="K201" s="231" t="s">
        <v>202</v>
      </c>
      <c r="L201" s="231" t="s">
        <v>202</v>
      </c>
      <c r="M201" s="230" t="s">
        <v>203</v>
      </c>
      <c r="N201" s="230" t="s">
        <v>204</v>
      </c>
    </row>
    <row r="202" spans="1:14" s="233" customFormat="1" ht="11.25">
      <c r="A202" s="230">
        <v>197</v>
      </c>
      <c r="B202" s="230">
        <v>484</v>
      </c>
      <c r="C202" s="230" t="s">
        <v>201</v>
      </c>
      <c r="D202" s="231" t="s">
        <v>202</v>
      </c>
      <c r="E202" s="232">
        <v>493</v>
      </c>
      <c r="F202" s="232" t="s">
        <v>203</v>
      </c>
      <c r="G202" s="230"/>
      <c r="H202" s="230"/>
      <c r="I202" s="231" t="s">
        <v>202</v>
      </c>
      <c r="J202" s="231" t="s">
        <v>202</v>
      </c>
      <c r="K202" s="231" t="s">
        <v>202</v>
      </c>
      <c r="L202" s="231" t="s">
        <v>202</v>
      </c>
      <c r="M202" s="230" t="s">
        <v>203</v>
      </c>
      <c r="N202" s="230" t="s">
        <v>204</v>
      </c>
    </row>
    <row r="203" spans="1:14" s="233" customFormat="1" ht="11.25">
      <c r="A203" s="230">
        <v>198</v>
      </c>
      <c r="B203" s="230">
        <v>1550</v>
      </c>
      <c r="C203" s="230" t="s">
        <v>201</v>
      </c>
      <c r="D203" s="231" t="s">
        <v>202</v>
      </c>
      <c r="E203" s="232">
        <v>3092</v>
      </c>
      <c r="F203" s="232" t="s">
        <v>203</v>
      </c>
      <c r="G203" s="230"/>
      <c r="H203" s="230"/>
      <c r="I203" s="231" t="s">
        <v>202</v>
      </c>
      <c r="J203" s="231" t="s">
        <v>202</v>
      </c>
      <c r="K203" s="231" t="s">
        <v>202</v>
      </c>
      <c r="L203" s="231" t="s">
        <v>202</v>
      </c>
      <c r="M203" s="230" t="s">
        <v>203</v>
      </c>
      <c r="N203" s="230" t="s">
        <v>204</v>
      </c>
    </row>
    <row r="204" spans="1:14" s="233" customFormat="1" ht="11.25">
      <c r="A204" s="230">
        <v>199</v>
      </c>
      <c r="B204" s="230">
        <v>715</v>
      </c>
      <c r="C204" s="230" t="s">
        <v>201</v>
      </c>
      <c r="D204" s="231" t="s">
        <v>202</v>
      </c>
      <c r="E204" s="232">
        <v>3372</v>
      </c>
      <c r="F204" s="232" t="s">
        <v>203</v>
      </c>
      <c r="G204" s="230"/>
      <c r="H204" s="230"/>
      <c r="I204" s="231" t="s">
        <v>202</v>
      </c>
      <c r="J204" s="231" t="s">
        <v>202</v>
      </c>
      <c r="K204" s="231" t="s">
        <v>202</v>
      </c>
      <c r="L204" s="231" t="s">
        <v>202</v>
      </c>
      <c r="M204" s="230" t="s">
        <v>203</v>
      </c>
      <c r="N204" s="230" t="s">
        <v>204</v>
      </c>
    </row>
    <row r="205" spans="1:14" s="233" customFormat="1" ht="11.25">
      <c r="A205" s="230">
        <v>200</v>
      </c>
      <c r="B205" s="230">
        <v>699</v>
      </c>
      <c r="C205" s="230" t="s">
        <v>201</v>
      </c>
      <c r="D205" s="231" t="s">
        <v>202</v>
      </c>
      <c r="E205" s="232">
        <v>1108</v>
      </c>
      <c r="F205" s="232" t="s">
        <v>203</v>
      </c>
      <c r="G205" s="230"/>
      <c r="H205" s="230"/>
      <c r="I205" s="231" t="s">
        <v>202</v>
      </c>
      <c r="J205" s="231" t="s">
        <v>202</v>
      </c>
      <c r="K205" s="231" t="s">
        <v>202</v>
      </c>
      <c r="L205" s="231" t="s">
        <v>202</v>
      </c>
      <c r="M205" s="230" t="s">
        <v>203</v>
      </c>
      <c r="N205" s="230" t="s">
        <v>204</v>
      </c>
    </row>
    <row r="206" spans="1:14" s="233" customFormat="1" ht="11.25"/>
    <row r="207" spans="1:14" s="233" customFormat="1" ht="11.25"/>
    <row r="208" spans="1:14" s="233" customFormat="1" ht="11.25"/>
    <row r="209" s="233" customFormat="1" ht="11.25"/>
    <row r="210" s="233" customFormat="1" ht="11.25"/>
    <row r="211" s="233" customFormat="1" ht="11.25"/>
    <row r="212" s="233" customFormat="1" ht="11.25"/>
    <row r="213" s="233" customFormat="1" ht="11.25"/>
    <row r="214" s="233" customFormat="1" ht="11.25"/>
    <row r="225" spans="1:1">
      <c r="A225" s="218" t="s">
        <v>206</v>
      </c>
    </row>
  </sheetData>
  <mergeCells count="10">
    <mergeCell ref="D3:K3"/>
    <mergeCell ref="L3:L5"/>
    <mergeCell ref="M3:M5"/>
    <mergeCell ref="N3:N5"/>
    <mergeCell ref="D4:D5"/>
    <mergeCell ref="E4:F4"/>
    <mergeCell ref="H4:H5"/>
    <mergeCell ref="I4:I5"/>
    <mergeCell ref="J4:J5"/>
    <mergeCell ref="K4:K5"/>
  </mergeCells>
  <printOptions horizontalCentered="1"/>
  <pageMargins left="0.70866141732283472" right="0.70866141732283472" top="0.98425196850393704" bottom="0.51181102362204722" header="0.31496062992125984" footer="0.31496062992125984"/>
  <pageSetup paperSize="9" orientation="landscape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140"/>
  <sheetViews>
    <sheetView workbookViewId="0">
      <selection activeCell="E12" sqref="E12"/>
    </sheetView>
  </sheetViews>
  <sheetFormatPr baseColWidth="10" defaultRowHeight="12.75"/>
  <cols>
    <col min="1" max="1" width="52.140625" style="39" customWidth="1"/>
    <col min="2" max="2" width="11.42578125" style="39"/>
    <col min="3" max="3" width="14.5703125" style="39" customWidth="1"/>
    <col min="4" max="4" width="13.5703125" style="39" customWidth="1"/>
    <col min="5" max="256" width="11.42578125" style="39"/>
    <col min="257" max="257" width="52.140625" style="39" customWidth="1"/>
    <col min="258" max="258" width="11.42578125" style="39"/>
    <col min="259" max="259" width="14.5703125" style="39" customWidth="1"/>
    <col min="260" max="260" width="13.5703125" style="39" customWidth="1"/>
    <col min="261" max="512" width="11.42578125" style="39"/>
    <col min="513" max="513" width="52.140625" style="39" customWidth="1"/>
    <col min="514" max="514" width="11.42578125" style="39"/>
    <col min="515" max="515" width="14.5703125" style="39" customWidth="1"/>
    <col min="516" max="516" width="13.5703125" style="39" customWidth="1"/>
    <col min="517" max="768" width="11.42578125" style="39"/>
    <col min="769" max="769" width="52.140625" style="39" customWidth="1"/>
    <col min="770" max="770" width="11.42578125" style="39"/>
    <col min="771" max="771" width="14.5703125" style="39" customWidth="1"/>
    <col min="772" max="772" width="13.5703125" style="39" customWidth="1"/>
    <col min="773" max="1024" width="11.42578125" style="39"/>
    <col min="1025" max="1025" width="52.140625" style="39" customWidth="1"/>
    <col min="1026" max="1026" width="11.42578125" style="39"/>
    <col min="1027" max="1027" width="14.5703125" style="39" customWidth="1"/>
    <col min="1028" max="1028" width="13.5703125" style="39" customWidth="1"/>
    <col min="1029" max="1280" width="11.42578125" style="39"/>
    <col min="1281" max="1281" width="52.140625" style="39" customWidth="1"/>
    <col min="1282" max="1282" width="11.42578125" style="39"/>
    <col min="1283" max="1283" width="14.5703125" style="39" customWidth="1"/>
    <col min="1284" max="1284" width="13.5703125" style="39" customWidth="1"/>
    <col min="1285" max="1536" width="11.42578125" style="39"/>
    <col min="1537" max="1537" width="52.140625" style="39" customWidth="1"/>
    <col min="1538" max="1538" width="11.42578125" style="39"/>
    <col min="1539" max="1539" width="14.5703125" style="39" customWidth="1"/>
    <col min="1540" max="1540" width="13.5703125" style="39" customWidth="1"/>
    <col min="1541" max="1792" width="11.42578125" style="39"/>
    <col min="1793" max="1793" width="52.140625" style="39" customWidth="1"/>
    <col min="1794" max="1794" width="11.42578125" style="39"/>
    <col min="1795" max="1795" width="14.5703125" style="39" customWidth="1"/>
    <col min="1796" max="1796" width="13.5703125" style="39" customWidth="1"/>
    <col min="1797" max="2048" width="11.42578125" style="39"/>
    <col min="2049" max="2049" width="52.140625" style="39" customWidth="1"/>
    <col min="2050" max="2050" width="11.42578125" style="39"/>
    <col min="2051" max="2051" width="14.5703125" style="39" customWidth="1"/>
    <col min="2052" max="2052" width="13.5703125" style="39" customWidth="1"/>
    <col min="2053" max="2304" width="11.42578125" style="39"/>
    <col min="2305" max="2305" width="52.140625" style="39" customWidth="1"/>
    <col min="2306" max="2306" width="11.42578125" style="39"/>
    <col min="2307" max="2307" width="14.5703125" style="39" customWidth="1"/>
    <col min="2308" max="2308" width="13.5703125" style="39" customWidth="1"/>
    <col min="2309" max="2560" width="11.42578125" style="39"/>
    <col min="2561" max="2561" width="52.140625" style="39" customWidth="1"/>
    <col min="2562" max="2562" width="11.42578125" style="39"/>
    <col min="2563" max="2563" width="14.5703125" style="39" customWidth="1"/>
    <col min="2564" max="2564" width="13.5703125" style="39" customWidth="1"/>
    <col min="2565" max="2816" width="11.42578125" style="39"/>
    <col min="2817" max="2817" width="52.140625" style="39" customWidth="1"/>
    <col min="2818" max="2818" width="11.42578125" style="39"/>
    <col min="2819" max="2819" width="14.5703125" style="39" customWidth="1"/>
    <col min="2820" max="2820" width="13.5703125" style="39" customWidth="1"/>
    <col min="2821" max="3072" width="11.42578125" style="39"/>
    <col min="3073" max="3073" width="52.140625" style="39" customWidth="1"/>
    <col min="3074" max="3074" width="11.42578125" style="39"/>
    <col min="3075" max="3075" width="14.5703125" style="39" customWidth="1"/>
    <col min="3076" max="3076" width="13.5703125" style="39" customWidth="1"/>
    <col min="3077" max="3328" width="11.42578125" style="39"/>
    <col min="3329" max="3329" width="52.140625" style="39" customWidth="1"/>
    <col min="3330" max="3330" width="11.42578125" style="39"/>
    <col min="3331" max="3331" width="14.5703125" style="39" customWidth="1"/>
    <col min="3332" max="3332" width="13.5703125" style="39" customWidth="1"/>
    <col min="3333" max="3584" width="11.42578125" style="39"/>
    <col min="3585" max="3585" width="52.140625" style="39" customWidth="1"/>
    <col min="3586" max="3586" width="11.42578125" style="39"/>
    <col min="3587" max="3587" width="14.5703125" style="39" customWidth="1"/>
    <col min="3588" max="3588" width="13.5703125" style="39" customWidth="1"/>
    <col min="3589" max="3840" width="11.42578125" style="39"/>
    <col min="3841" max="3841" width="52.140625" style="39" customWidth="1"/>
    <col min="3842" max="3842" width="11.42578125" style="39"/>
    <col min="3843" max="3843" width="14.5703125" style="39" customWidth="1"/>
    <col min="3844" max="3844" width="13.5703125" style="39" customWidth="1"/>
    <col min="3845" max="4096" width="11.42578125" style="39"/>
    <col min="4097" max="4097" width="52.140625" style="39" customWidth="1"/>
    <col min="4098" max="4098" width="11.42578125" style="39"/>
    <col min="4099" max="4099" width="14.5703125" style="39" customWidth="1"/>
    <col min="4100" max="4100" width="13.5703125" style="39" customWidth="1"/>
    <col min="4101" max="4352" width="11.42578125" style="39"/>
    <col min="4353" max="4353" width="52.140625" style="39" customWidth="1"/>
    <col min="4354" max="4354" width="11.42578125" style="39"/>
    <col min="4355" max="4355" width="14.5703125" style="39" customWidth="1"/>
    <col min="4356" max="4356" width="13.5703125" style="39" customWidth="1"/>
    <col min="4357" max="4608" width="11.42578125" style="39"/>
    <col min="4609" max="4609" width="52.140625" style="39" customWidth="1"/>
    <col min="4610" max="4610" width="11.42578125" style="39"/>
    <col min="4611" max="4611" width="14.5703125" style="39" customWidth="1"/>
    <col min="4612" max="4612" width="13.5703125" style="39" customWidth="1"/>
    <col min="4613" max="4864" width="11.42578125" style="39"/>
    <col min="4865" max="4865" width="52.140625" style="39" customWidth="1"/>
    <col min="4866" max="4866" width="11.42578125" style="39"/>
    <col min="4867" max="4867" width="14.5703125" style="39" customWidth="1"/>
    <col min="4868" max="4868" width="13.5703125" style="39" customWidth="1"/>
    <col min="4869" max="5120" width="11.42578125" style="39"/>
    <col min="5121" max="5121" width="52.140625" style="39" customWidth="1"/>
    <col min="5122" max="5122" width="11.42578125" style="39"/>
    <col min="5123" max="5123" width="14.5703125" style="39" customWidth="1"/>
    <col min="5124" max="5124" width="13.5703125" style="39" customWidth="1"/>
    <col min="5125" max="5376" width="11.42578125" style="39"/>
    <col min="5377" max="5377" width="52.140625" style="39" customWidth="1"/>
    <col min="5378" max="5378" width="11.42578125" style="39"/>
    <col min="5379" max="5379" width="14.5703125" style="39" customWidth="1"/>
    <col min="5380" max="5380" width="13.5703125" style="39" customWidth="1"/>
    <col min="5381" max="5632" width="11.42578125" style="39"/>
    <col min="5633" max="5633" width="52.140625" style="39" customWidth="1"/>
    <col min="5634" max="5634" width="11.42578125" style="39"/>
    <col min="5635" max="5635" width="14.5703125" style="39" customWidth="1"/>
    <col min="5636" max="5636" width="13.5703125" style="39" customWidth="1"/>
    <col min="5637" max="5888" width="11.42578125" style="39"/>
    <col min="5889" max="5889" width="52.140625" style="39" customWidth="1"/>
    <col min="5890" max="5890" width="11.42578125" style="39"/>
    <col min="5891" max="5891" width="14.5703125" style="39" customWidth="1"/>
    <col min="5892" max="5892" width="13.5703125" style="39" customWidth="1"/>
    <col min="5893" max="6144" width="11.42578125" style="39"/>
    <col min="6145" max="6145" width="52.140625" style="39" customWidth="1"/>
    <col min="6146" max="6146" width="11.42578125" style="39"/>
    <col min="6147" max="6147" width="14.5703125" style="39" customWidth="1"/>
    <col min="6148" max="6148" width="13.5703125" style="39" customWidth="1"/>
    <col min="6149" max="6400" width="11.42578125" style="39"/>
    <col min="6401" max="6401" width="52.140625" style="39" customWidth="1"/>
    <col min="6402" max="6402" width="11.42578125" style="39"/>
    <col min="6403" max="6403" width="14.5703125" style="39" customWidth="1"/>
    <col min="6404" max="6404" width="13.5703125" style="39" customWidth="1"/>
    <col min="6405" max="6656" width="11.42578125" style="39"/>
    <col min="6657" max="6657" width="52.140625" style="39" customWidth="1"/>
    <col min="6658" max="6658" width="11.42578125" style="39"/>
    <col min="6659" max="6659" width="14.5703125" style="39" customWidth="1"/>
    <col min="6660" max="6660" width="13.5703125" style="39" customWidth="1"/>
    <col min="6661" max="6912" width="11.42578125" style="39"/>
    <col min="6913" max="6913" width="52.140625" style="39" customWidth="1"/>
    <col min="6914" max="6914" width="11.42578125" style="39"/>
    <col min="6915" max="6915" width="14.5703125" style="39" customWidth="1"/>
    <col min="6916" max="6916" width="13.5703125" style="39" customWidth="1"/>
    <col min="6917" max="7168" width="11.42578125" style="39"/>
    <col min="7169" max="7169" width="52.140625" style="39" customWidth="1"/>
    <col min="7170" max="7170" width="11.42578125" style="39"/>
    <col min="7171" max="7171" width="14.5703125" style="39" customWidth="1"/>
    <col min="7172" max="7172" width="13.5703125" style="39" customWidth="1"/>
    <col min="7173" max="7424" width="11.42578125" style="39"/>
    <col min="7425" max="7425" width="52.140625" style="39" customWidth="1"/>
    <col min="7426" max="7426" width="11.42578125" style="39"/>
    <col min="7427" max="7427" width="14.5703125" style="39" customWidth="1"/>
    <col min="7428" max="7428" width="13.5703125" style="39" customWidth="1"/>
    <col min="7429" max="7680" width="11.42578125" style="39"/>
    <col min="7681" max="7681" width="52.140625" style="39" customWidth="1"/>
    <col min="7682" max="7682" width="11.42578125" style="39"/>
    <col min="7683" max="7683" width="14.5703125" style="39" customWidth="1"/>
    <col min="7684" max="7684" width="13.5703125" style="39" customWidth="1"/>
    <col min="7685" max="7936" width="11.42578125" style="39"/>
    <col min="7937" max="7937" width="52.140625" style="39" customWidth="1"/>
    <col min="7938" max="7938" width="11.42578125" style="39"/>
    <col min="7939" max="7939" width="14.5703125" style="39" customWidth="1"/>
    <col min="7940" max="7940" width="13.5703125" style="39" customWidth="1"/>
    <col min="7941" max="8192" width="11.42578125" style="39"/>
    <col min="8193" max="8193" width="52.140625" style="39" customWidth="1"/>
    <col min="8194" max="8194" width="11.42578125" style="39"/>
    <col min="8195" max="8195" width="14.5703125" style="39" customWidth="1"/>
    <col min="8196" max="8196" width="13.5703125" style="39" customWidth="1"/>
    <col min="8197" max="8448" width="11.42578125" style="39"/>
    <col min="8449" max="8449" width="52.140625" style="39" customWidth="1"/>
    <col min="8450" max="8450" width="11.42578125" style="39"/>
    <col min="8451" max="8451" width="14.5703125" style="39" customWidth="1"/>
    <col min="8452" max="8452" width="13.5703125" style="39" customWidth="1"/>
    <col min="8453" max="8704" width="11.42578125" style="39"/>
    <col min="8705" max="8705" width="52.140625" style="39" customWidth="1"/>
    <col min="8706" max="8706" width="11.42578125" style="39"/>
    <col min="8707" max="8707" width="14.5703125" style="39" customWidth="1"/>
    <col min="8708" max="8708" width="13.5703125" style="39" customWidth="1"/>
    <col min="8709" max="8960" width="11.42578125" style="39"/>
    <col min="8961" max="8961" width="52.140625" style="39" customWidth="1"/>
    <col min="8962" max="8962" width="11.42578125" style="39"/>
    <col min="8963" max="8963" width="14.5703125" style="39" customWidth="1"/>
    <col min="8964" max="8964" width="13.5703125" style="39" customWidth="1"/>
    <col min="8965" max="9216" width="11.42578125" style="39"/>
    <col min="9217" max="9217" width="52.140625" style="39" customWidth="1"/>
    <col min="9218" max="9218" width="11.42578125" style="39"/>
    <col min="9219" max="9219" width="14.5703125" style="39" customWidth="1"/>
    <col min="9220" max="9220" width="13.5703125" style="39" customWidth="1"/>
    <col min="9221" max="9472" width="11.42578125" style="39"/>
    <col min="9473" max="9473" width="52.140625" style="39" customWidth="1"/>
    <col min="9474" max="9474" width="11.42578125" style="39"/>
    <col min="9475" max="9475" width="14.5703125" style="39" customWidth="1"/>
    <col min="9476" max="9476" width="13.5703125" style="39" customWidth="1"/>
    <col min="9477" max="9728" width="11.42578125" style="39"/>
    <col min="9729" max="9729" width="52.140625" style="39" customWidth="1"/>
    <col min="9730" max="9730" width="11.42578125" style="39"/>
    <col min="9731" max="9731" width="14.5703125" style="39" customWidth="1"/>
    <col min="9732" max="9732" width="13.5703125" style="39" customWidth="1"/>
    <col min="9733" max="9984" width="11.42578125" style="39"/>
    <col min="9985" max="9985" width="52.140625" style="39" customWidth="1"/>
    <col min="9986" max="9986" width="11.42578125" style="39"/>
    <col min="9987" max="9987" width="14.5703125" style="39" customWidth="1"/>
    <col min="9988" max="9988" width="13.5703125" style="39" customWidth="1"/>
    <col min="9989" max="10240" width="11.42578125" style="39"/>
    <col min="10241" max="10241" width="52.140625" style="39" customWidth="1"/>
    <col min="10242" max="10242" width="11.42578125" style="39"/>
    <col min="10243" max="10243" width="14.5703125" style="39" customWidth="1"/>
    <col min="10244" max="10244" width="13.5703125" style="39" customWidth="1"/>
    <col min="10245" max="10496" width="11.42578125" style="39"/>
    <col min="10497" max="10497" width="52.140625" style="39" customWidth="1"/>
    <col min="10498" max="10498" width="11.42578125" style="39"/>
    <col min="10499" max="10499" width="14.5703125" style="39" customWidth="1"/>
    <col min="10500" max="10500" width="13.5703125" style="39" customWidth="1"/>
    <col min="10501" max="10752" width="11.42578125" style="39"/>
    <col min="10753" max="10753" width="52.140625" style="39" customWidth="1"/>
    <col min="10754" max="10754" width="11.42578125" style="39"/>
    <col min="10755" max="10755" width="14.5703125" style="39" customWidth="1"/>
    <col min="10756" max="10756" width="13.5703125" style="39" customWidth="1"/>
    <col min="10757" max="11008" width="11.42578125" style="39"/>
    <col min="11009" max="11009" width="52.140625" style="39" customWidth="1"/>
    <col min="11010" max="11010" width="11.42578125" style="39"/>
    <col min="11011" max="11011" width="14.5703125" style="39" customWidth="1"/>
    <col min="11012" max="11012" width="13.5703125" style="39" customWidth="1"/>
    <col min="11013" max="11264" width="11.42578125" style="39"/>
    <col min="11265" max="11265" width="52.140625" style="39" customWidth="1"/>
    <col min="11266" max="11266" width="11.42578125" style="39"/>
    <col min="11267" max="11267" width="14.5703125" style="39" customWidth="1"/>
    <col min="11268" max="11268" width="13.5703125" style="39" customWidth="1"/>
    <col min="11269" max="11520" width="11.42578125" style="39"/>
    <col min="11521" max="11521" width="52.140625" style="39" customWidth="1"/>
    <col min="11522" max="11522" width="11.42578125" style="39"/>
    <col min="11523" max="11523" width="14.5703125" style="39" customWidth="1"/>
    <col min="11524" max="11524" width="13.5703125" style="39" customWidth="1"/>
    <col min="11525" max="11776" width="11.42578125" style="39"/>
    <col min="11777" max="11777" width="52.140625" style="39" customWidth="1"/>
    <col min="11778" max="11778" width="11.42578125" style="39"/>
    <col min="11779" max="11779" width="14.5703125" style="39" customWidth="1"/>
    <col min="11780" max="11780" width="13.5703125" style="39" customWidth="1"/>
    <col min="11781" max="12032" width="11.42578125" style="39"/>
    <col min="12033" max="12033" width="52.140625" style="39" customWidth="1"/>
    <col min="12034" max="12034" width="11.42578125" style="39"/>
    <col min="12035" max="12035" width="14.5703125" style="39" customWidth="1"/>
    <col min="12036" max="12036" width="13.5703125" style="39" customWidth="1"/>
    <col min="12037" max="12288" width="11.42578125" style="39"/>
    <col min="12289" max="12289" width="52.140625" style="39" customWidth="1"/>
    <col min="12290" max="12290" width="11.42578125" style="39"/>
    <col min="12291" max="12291" width="14.5703125" style="39" customWidth="1"/>
    <col min="12292" max="12292" width="13.5703125" style="39" customWidth="1"/>
    <col min="12293" max="12544" width="11.42578125" style="39"/>
    <col min="12545" max="12545" width="52.140625" style="39" customWidth="1"/>
    <col min="12546" max="12546" width="11.42578125" style="39"/>
    <col min="12547" max="12547" width="14.5703125" style="39" customWidth="1"/>
    <col min="12548" max="12548" width="13.5703125" style="39" customWidth="1"/>
    <col min="12549" max="12800" width="11.42578125" style="39"/>
    <col min="12801" max="12801" width="52.140625" style="39" customWidth="1"/>
    <col min="12802" max="12802" width="11.42578125" style="39"/>
    <col min="12803" max="12803" width="14.5703125" style="39" customWidth="1"/>
    <col min="12804" max="12804" width="13.5703125" style="39" customWidth="1"/>
    <col min="12805" max="13056" width="11.42578125" style="39"/>
    <col min="13057" max="13057" width="52.140625" style="39" customWidth="1"/>
    <col min="13058" max="13058" width="11.42578125" style="39"/>
    <col min="13059" max="13059" width="14.5703125" style="39" customWidth="1"/>
    <col min="13060" max="13060" width="13.5703125" style="39" customWidth="1"/>
    <col min="13061" max="13312" width="11.42578125" style="39"/>
    <col min="13313" max="13313" width="52.140625" style="39" customWidth="1"/>
    <col min="13314" max="13314" width="11.42578125" style="39"/>
    <col min="13315" max="13315" width="14.5703125" style="39" customWidth="1"/>
    <col min="13316" max="13316" width="13.5703125" style="39" customWidth="1"/>
    <col min="13317" max="13568" width="11.42578125" style="39"/>
    <col min="13569" max="13569" width="52.140625" style="39" customWidth="1"/>
    <col min="13570" max="13570" width="11.42578125" style="39"/>
    <col min="13571" max="13571" width="14.5703125" style="39" customWidth="1"/>
    <col min="13572" max="13572" width="13.5703125" style="39" customWidth="1"/>
    <col min="13573" max="13824" width="11.42578125" style="39"/>
    <col min="13825" max="13825" width="52.140625" style="39" customWidth="1"/>
    <col min="13826" max="13826" width="11.42578125" style="39"/>
    <col min="13827" max="13827" width="14.5703125" style="39" customWidth="1"/>
    <col min="13828" max="13828" width="13.5703125" style="39" customWidth="1"/>
    <col min="13829" max="14080" width="11.42578125" style="39"/>
    <col min="14081" max="14081" width="52.140625" style="39" customWidth="1"/>
    <col min="14082" max="14082" width="11.42578125" style="39"/>
    <col min="14083" max="14083" width="14.5703125" style="39" customWidth="1"/>
    <col min="14084" max="14084" width="13.5703125" style="39" customWidth="1"/>
    <col min="14085" max="14336" width="11.42578125" style="39"/>
    <col min="14337" max="14337" width="52.140625" style="39" customWidth="1"/>
    <col min="14338" max="14338" width="11.42578125" style="39"/>
    <col min="14339" max="14339" width="14.5703125" style="39" customWidth="1"/>
    <col min="14340" max="14340" width="13.5703125" style="39" customWidth="1"/>
    <col min="14341" max="14592" width="11.42578125" style="39"/>
    <col min="14593" max="14593" width="52.140625" style="39" customWidth="1"/>
    <col min="14594" max="14594" width="11.42578125" style="39"/>
    <col min="14595" max="14595" width="14.5703125" style="39" customWidth="1"/>
    <col min="14596" max="14596" width="13.5703125" style="39" customWidth="1"/>
    <col min="14597" max="14848" width="11.42578125" style="39"/>
    <col min="14849" max="14849" width="52.140625" style="39" customWidth="1"/>
    <col min="14850" max="14850" width="11.42578125" style="39"/>
    <col min="14851" max="14851" width="14.5703125" style="39" customWidth="1"/>
    <col min="14852" max="14852" width="13.5703125" style="39" customWidth="1"/>
    <col min="14853" max="15104" width="11.42578125" style="39"/>
    <col min="15105" max="15105" width="52.140625" style="39" customWidth="1"/>
    <col min="15106" max="15106" width="11.42578125" style="39"/>
    <col min="15107" max="15107" width="14.5703125" style="39" customWidth="1"/>
    <col min="15108" max="15108" width="13.5703125" style="39" customWidth="1"/>
    <col min="15109" max="15360" width="11.42578125" style="39"/>
    <col min="15361" max="15361" width="52.140625" style="39" customWidth="1"/>
    <col min="15362" max="15362" width="11.42578125" style="39"/>
    <col min="15363" max="15363" width="14.5703125" style="39" customWidth="1"/>
    <col min="15364" max="15364" width="13.5703125" style="39" customWidth="1"/>
    <col min="15365" max="15616" width="11.42578125" style="39"/>
    <col min="15617" max="15617" width="52.140625" style="39" customWidth="1"/>
    <col min="15618" max="15618" width="11.42578125" style="39"/>
    <col min="15619" max="15619" width="14.5703125" style="39" customWidth="1"/>
    <col min="15620" max="15620" width="13.5703125" style="39" customWidth="1"/>
    <col min="15621" max="15872" width="11.42578125" style="39"/>
    <col min="15873" max="15873" width="52.140625" style="39" customWidth="1"/>
    <col min="15874" max="15874" width="11.42578125" style="39"/>
    <col min="15875" max="15875" width="14.5703125" style="39" customWidth="1"/>
    <col min="15876" max="15876" width="13.5703125" style="39" customWidth="1"/>
    <col min="15877" max="16128" width="11.42578125" style="39"/>
    <col min="16129" max="16129" width="52.140625" style="39" customWidth="1"/>
    <col min="16130" max="16130" width="11.42578125" style="39"/>
    <col min="16131" max="16131" width="14.5703125" style="39" customWidth="1"/>
    <col min="16132" max="16132" width="13.5703125" style="39" customWidth="1"/>
    <col min="16133" max="16384" width="11.42578125" style="39"/>
  </cols>
  <sheetData>
    <row r="2" spans="1:4" ht="15.75">
      <c r="A2" s="342" t="s">
        <v>781</v>
      </c>
    </row>
    <row r="5" spans="1:4" ht="14.25">
      <c r="A5" s="579" t="s">
        <v>782</v>
      </c>
      <c r="B5" s="579"/>
      <c r="C5" s="579"/>
      <c r="D5" s="580"/>
    </row>
    <row r="6" spans="1:4">
      <c r="A6" s="581" t="s">
        <v>783</v>
      </c>
      <c r="B6" s="581"/>
      <c r="C6" s="581"/>
      <c r="D6" s="582"/>
    </row>
    <row r="7" spans="1:4">
      <c r="A7" s="583" t="s">
        <v>784</v>
      </c>
      <c r="B7" s="583"/>
      <c r="C7" s="583"/>
      <c r="D7" s="584"/>
    </row>
    <row r="8" spans="1:4">
      <c r="A8" s="583"/>
      <c r="B8" s="583"/>
      <c r="C8" s="583"/>
      <c r="D8" s="584"/>
    </row>
    <row r="9" spans="1:4">
      <c r="A9" s="584"/>
      <c r="B9" s="584"/>
      <c r="C9" s="584"/>
      <c r="D9" s="584"/>
    </row>
    <row r="10" spans="1:4">
      <c r="A10" s="585" t="s">
        <v>785</v>
      </c>
      <c r="B10" s="586"/>
      <c r="C10" s="586"/>
      <c r="D10" s="587">
        <f>SUM(C12:C24)</f>
        <v>250079.05000000005</v>
      </c>
    </row>
    <row r="11" spans="1:4">
      <c r="A11" s="588"/>
      <c r="B11" s="589"/>
      <c r="C11" s="589"/>
      <c r="D11" s="590"/>
    </row>
    <row r="12" spans="1:4">
      <c r="A12" s="585" t="s">
        <v>786</v>
      </c>
      <c r="B12" s="586"/>
      <c r="C12" s="591">
        <f>SUM(B13:B20)</f>
        <v>223677.51000000004</v>
      </c>
      <c r="D12" s="589"/>
    </row>
    <row r="13" spans="1:4">
      <c r="A13" s="588" t="s">
        <v>787</v>
      </c>
      <c r="B13" s="590">
        <v>205772.08000000002</v>
      </c>
      <c r="C13" s="589"/>
      <c r="D13" s="589"/>
    </row>
    <row r="14" spans="1:4">
      <c r="A14" s="588" t="s">
        <v>788</v>
      </c>
      <c r="B14" s="590">
        <v>143.95000000000002</v>
      </c>
      <c r="C14" s="589"/>
      <c r="D14" s="589"/>
    </row>
    <row r="15" spans="1:4">
      <c r="A15" s="588" t="s">
        <v>789</v>
      </c>
      <c r="B15" s="590">
        <v>699.96</v>
      </c>
      <c r="C15" s="589"/>
      <c r="D15" s="589"/>
    </row>
    <row r="16" spans="1:4">
      <c r="A16" s="588" t="s">
        <v>790</v>
      </c>
      <c r="B16" s="590">
        <v>7498.42</v>
      </c>
      <c r="C16" s="589"/>
      <c r="D16" s="589"/>
    </row>
    <row r="17" spans="1:4">
      <c r="A17" s="588" t="s">
        <v>791</v>
      </c>
      <c r="B17" s="590">
        <v>6076.31</v>
      </c>
      <c r="C17" s="589"/>
      <c r="D17" s="589"/>
    </row>
    <row r="18" spans="1:4">
      <c r="A18" s="588" t="s">
        <v>792</v>
      </c>
      <c r="B18" s="590">
        <v>2048.91</v>
      </c>
      <c r="C18" s="589"/>
      <c r="D18" s="589"/>
    </row>
    <row r="19" spans="1:4">
      <c r="A19" s="588" t="s">
        <v>793</v>
      </c>
      <c r="B19" s="590">
        <v>1435.38</v>
      </c>
      <c r="C19" s="589"/>
      <c r="D19" s="589"/>
    </row>
    <row r="20" spans="1:4">
      <c r="A20" s="588" t="s">
        <v>794</v>
      </c>
      <c r="B20" s="590">
        <v>2.5</v>
      </c>
      <c r="C20" s="589"/>
      <c r="D20" s="589"/>
    </row>
    <row r="21" spans="1:4">
      <c r="A21" s="588"/>
      <c r="B21" s="590"/>
      <c r="C21" s="589"/>
      <c r="D21" s="589"/>
    </row>
    <row r="22" spans="1:4">
      <c r="A22" s="585" t="s">
        <v>795</v>
      </c>
      <c r="B22" s="589"/>
      <c r="C22" s="591">
        <f>SUM(B23:B26)</f>
        <v>26401.54</v>
      </c>
      <c r="D22" s="589"/>
    </row>
    <row r="23" spans="1:4">
      <c r="A23" s="588" t="s">
        <v>796</v>
      </c>
      <c r="B23" s="590">
        <v>19153.57</v>
      </c>
      <c r="C23" s="589"/>
      <c r="D23" s="589"/>
    </row>
    <row r="24" spans="1:4">
      <c r="A24" s="588" t="s">
        <v>797</v>
      </c>
      <c r="B24" s="590">
        <v>3020.9700000000003</v>
      </c>
      <c r="C24" s="589"/>
      <c r="D24" s="589"/>
    </row>
    <row r="25" spans="1:4">
      <c r="A25" s="588" t="s">
        <v>798</v>
      </c>
      <c r="B25" s="590">
        <v>1910</v>
      </c>
      <c r="C25" s="589"/>
      <c r="D25" s="589"/>
    </row>
    <row r="26" spans="1:4">
      <c r="A26" s="588" t="s">
        <v>799</v>
      </c>
      <c r="B26" s="590">
        <v>2317</v>
      </c>
      <c r="C26" s="589"/>
      <c r="D26" s="589"/>
    </row>
    <row r="27" spans="1:4">
      <c r="A27" s="588"/>
      <c r="B27" s="590"/>
      <c r="C27" s="589"/>
      <c r="D27" s="589"/>
    </row>
    <row r="28" spans="1:4">
      <c r="A28" s="588"/>
      <c r="B28" s="590"/>
      <c r="C28" s="589"/>
      <c r="D28" s="589"/>
    </row>
    <row r="29" spans="1:4">
      <c r="A29" s="585" t="s">
        <v>800</v>
      </c>
      <c r="B29" s="589"/>
      <c r="C29" s="589"/>
      <c r="D29" s="587">
        <f>C31+C39+C53+C76+C80+C83+C87+C93</f>
        <v>246680.65999999997</v>
      </c>
    </row>
    <row r="30" spans="1:4">
      <c r="A30" s="585"/>
      <c r="B30" s="589"/>
      <c r="C30" s="589"/>
      <c r="D30" s="587"/>
    </row>
    <row r="31" spans="1:4">
      <c r="A31" s="585" t="s">
        <v>801</v>
      </c>
      <c r="B31" s="589"/>
      <c r="C31" s="591">
        <f>SUM(B32:B37)</f>
        <v>87177.279999999999</v>
      </c>
      <c r="D31" s="589"/>
    </row>
    <row r="32" spans="1:4">
      <c r="A32" s="588" t="s">
        <v>802</v>
      </c>
      <c r="B32" s="590">
        <v>57007.590000000004</v>
      </c>
      <c r="C32" s="589"/>
      <c r="D32" s="590"/>
    </row>
    <row r="33" spans="1:4">
      <c r="A33" s="588" t="s">
        <v>803</v>
      </c>
      <c r="B33" s="590">
        <v>21602.3</v>
      </c>
      <c r="C33" s="589"/>
      <c r="D33" s="589"/>
    </row>
    <row r="34" spans="1:4">
      <c r="A34" s="588" t="s">
        <v>804</v>
      </c>
      <c r="B34" s="590">
        <v>4361.49</v>
      </c>
      <c r="C34" s="589"/>
      <c r="D34" s="589"/>
    </row>
    <row r="35" spans="1:4">
      <c r="A35" s="588" t="s">
        <v>805</v>
      </c>
      <c r="B35" s="590">
        <v>2844.7200000000003</v>
      </c>
      <c r="C35" s="589"/>
      <c r="D35" s="589"/>
    </row>
    <row r="36" spans="1:4">
      <c r="A36" s="588" t="s">
        <v>806</v>
      </c>
      <c r="B36" s="590">
        <v>1161.18</v>
      </c>
      <c r="C36" s="589"/>
      <c r="D36" s="589"/>
    </row>
    <row r="37" spans="1:4">
      <c r="A37" s="588" t="s">
        <v>807</v>
      </c>
      <c r="B37" s="590">
        <v>200</v>
      </c>
      <c r="C37" s="589"/>
      <c r="D37" s="589"/>
    </row>
    <row r="38" spans="1:4">
      <c r="A38" s="588"/>
      <c r="B38" s="590"/>
      <c r="C38" s="589"/>
      <c r="D38" s="589"/>
    </row>
    <row r="39" spans="1:4">
      <c r="A39" s="585" t="s">
        <v>808</v>
      </c>
      <c r="B39" s="586"/>
      <c r="C39" s="591">
        <f>SUM(B40:B51)</f>
        <v>38906.25</v>
      </c>
      <c r="D39" s="589"/>
    </row>
    <row r="40" spans="1:4">
      <c r="A40" s="588" t="s">
        <v>558</v>
      </c>
      <c r="B40" s="590">
        <v>1922.56</v>
      </c>
      <c r="C40" s="589"/>
      <c r="D40" s="590"/>
    </row>
    <row r="41" spans="1:4">
      <c r="A41" s="588" t="s">
        <v>578</v>
      </c>
      <c r="B41" s="590">
        <v>1490.75</v>
      </c>
      <c r="C41" s="589"/>
      <c r="D41" s="590"/>
    </row>
    <row r="42" spans="1:4">
      <c r="A42" s="588" t="s">
        <v>660</v>
      </c>
      <c r="B42" s="590">
        <v>5262.56</v>
      </c>
      <c r="C42" s="589"/>
      <c r="D42" s="590"/>
    </row>
    <row r="43" spans="1:4">
      <c r="A43" s="588" t="s">
        <v>809</v>
      </c>
      <c r="B43" s="453">
        <v>6006</v>
      </c>
      <c r="C43" s="589"/>
      <c r="D43" s="589"/>
    </row>
    <row r="44" spans="1:4">
      <c r="A44" s="588" t="s">
        <v>810</v>
      </c>
      <c r="B44" s="453">
        <v>16309.98</v>
      </c>
      <c r="C44" s="589"/>
      <c r="D44" s="589"/>
    </row>
    <row r="45" spans="1:4">
      <c r="A45" s="588" t="s">
        <v>811</v>
      </c>
      <c r="B45" s="453">
        <v>92.59</v>
      </c>
      <c r="C45" s="589"/>
      <c r="D45" s="589"/>
    </row>
    <row r="46" spans="1:4">
      <c r="A46" s="588" t="s">
        <v>812</v>
      </c>
      <c r="B46" s="453">
        <v>2193.7800000000002</v>
      </c>
      <c r="C46" s="589"/>
      <c r="D46" s="589"/>
    </row>
    <row r="47" spans="1:4">
      <c r="A47" s="588" t="s">
        <v>813</v>
      </c>
      <c r="B47" s="590">
        <v>0</v>
      </c>
      <c r="C47" s="589"/>
      <c r="D47" s="589"/>
    </row>
    <row r="48" spans="1:4">
      <c r="A48" s="588" t="s">
        <v>661</v>
      </c>
      <c r="B48" s="590">
        <v>4612.59</v>
      </c>
      <c r="C48" s="589"/>
      <c r="D48" s="589"/>
    </row>
    <row r="49" spans="1:4">
      <c r="A49" s="588" t="s">
        <v>814</v>
      </c>
      <c r="B49" s="590">
        <v>112</v>
      </c>
      <c r="C49" s="589"/>
      <c r="D49" s="589"/>
    </row>
    <row r="50" spans="1:4">
      <c r="A50" s="588" t="s">
        <v>815</v>
      </c>
      <c r="B50" s="590">
        <v>693.4</v>
      </c>
      <c r="C50" s="589"/>
      <c r="D50" s="589"/>
    </row>
    <row r="51" spans="1:4">
      <c r="A51" s="588" t="s">
        <v>598</v>
      </c>
      <c r="B51" s="590">
        <v>210.04</v>
      </c>
      <c r="C51" s="589"/>
      <c r="D51" s="590"/>
    </row>
    <row r="52" spans="1:4">
      <c r="A52" s="588"/>
      <c r="B52" s="590"/>
      <c r="C52" s="589"/>
      <c r="D52" s="589"/>
    </row>
    <row r="53" spans="1:4">
      <c r="A53" s="585" t="s">
        <v>816</v>
      </c>
      <c r="B53" s="586"/>
      <c r="C53" s="591">
        <f>SUM(B54:B73)</f>
        <v>45420.53</v>
      </c>
      <c r="D53" s="589"/>
    </row>
    <row r="54" spans="1:4">
      <c r="A54" s="588" t="s">
        <v>817</v>
      </c>
      <c r="B54" s="590">
        <v>21417.25</v>
      </c>
      <c r="C54" s="589"/>
      <c r="D54" s="592"/>
    </row>
    <row r="55" spans="1:4">
      <c r="A55" s="588" t="s">
        <v>818</v>
      </c>
      <c r="B55" s="590">
        <v>1216.49</v>
      </c>
      <c r="C55" s="589"/>
      <c r="D55" s="590"/>
    </row>
    <row r="56" spans="1:4">
      <c r="A56" s="588" t="s">
        <v>819</v>
      </c>
      <c r="B56" s="590">
        <v>2150.77</v>
      </c>
      <c r="C56" s="589"/>
      <c r="D56" s="590"/>
    </row>
    <row r="57" spans="1:4">
      <c r="A57" s="588" t="s">
        <v>820</v>
      </c>
      <c r="B57" s="590">
        <v>1584.41</v>
      </c>
      <c r="C57" s="589"/>
      <c r="D57" s="590"/>
    </row>
    <row r="58" spans="1:4">
      <c r="A58" s="588" t="s">
        <v>821</v>
      </c>
      <c r="B58" s="590">
        <v>3160.52</v>
      </c>
      <c r="C58" s="589"/>
      <c r="D58" s="589"/>
    </row>
    <row r="59" spans="1:4">
      <c r="A59" s="588" t="s">
        <v>822</v>
      </c>
      <c r="B59" s="590">
        <v>519.76</v>
      </c>
      <c r="C59" s="589"/>
      <c r="D59" s="592"/>
    </row>
    <row r="60" spans="1:4">
      <c r="A60" s="588" t="s">
        <v>823</v>
      </c>
      <c r="B60" s="590">
        <v>1381.31</v>
      </c>
      <c r="C60" s="589"/>
      <c r="D60" s="592"/>
    </row>
    <row r="61" spans="1:4">
      <c r="A61" s="588" t="s">
        <v>824</v>
      </c>
      <c r="B61" s="453">
        <v>641.81000000000006</v>
      </c>
      <c r="C61" s="589"/>
      <c r="D61" s="589"/>
    </row>
    <row r="62" spans="1:4">
      <c r="A62" s="588" t="s">
        <v>825</v>
      </c>
      <c r="B62" s="590">
        <v>269.44</v>
      </c>
      <c r="C62" s="589"/>
      <c r="D62" s="589"/>
    </row>
    <row r="63" spans="1:4">
      <c r="A63" s="588" t="s">
        <v>826</v>
      </c>
      <c r="B63" s="590">
        <v>1120.6400000000001</v>
      </c>
      <c r="C63" s="589"/>
      <c r="D63" s="589"/>
    </row>
    <row r="64" spans="1:4">
      <c r="A64" s="588" t="s">
        <v>827</v>
      </c>
      <c r="B64" s="590">
        <v>0</v>
      </c>
      <c r="C64" s="589"/>
      <c r="D64" s="589"/>
    </row>
    <row r="65" spans="1:4">
      <c r="A65" s="588" t="s">
        <v>828</v>
      </c>
      <c r="B65" s="590">
        <v>2798.4</v>
      </c>
      <c r="C65" s="589"/>
      <c r="D65" s="589"/>
    </row>
    <row r="66" spans="1:4">
      <c r="A66" s="588" t="s">
        <v>829</v>
      </c>
      <c r="B66" s="590">
        <v>0</v>
      </c>
      <c r="C66" s="589"/>
      <c r="D66" s="589"/>
    </row>
    <row r="67" spans="1:4">
      <c r="A67" s="588" t="s">
        <v>531</v>
      </c>
      <c r="B67" s="590">
        <v>3578.77</v>
      </c>
      <c r="C67" s="589"/>
      <c r="D67" s="592"/>
    </row>
    <row r="68" spans="1:4">
      <c r="A68" s="588" t="s">
        <v>830</v>
      </c>
      <c r="B68" s="590">
        <v>750</v>
      </c>
      <c r="C68" s="589"/>
      <c r="D68" s="589"/>
    </row>
    <row r="69" spans="1:4">
      <c r="A69" s="588" t="s">
        <v>831</v>
      </c>
      <c r="B69" s="590">
        <v>2466.25</v>
      </c>
      <c r="C69" s="589"/>
      <c r="D69" s="590"/>
    </row>
    <row r="70" spans="1:4">
      <c r="A70" s="588" t="s">
        <v>832</v>
      </c>
      <c r="B70" s="590">
        <v>57.76</v>
      </c>
      <c r="C70" s="589"/>
      <c r="D70" s="589"/>
    </row>
    <row r="71" spans="1:4">
      <c r="A71" s="588" t="s">
        <v>833</v>
      </c>
      <c r="B71" s="590">
        <v>679.45</v>
      </c>
      <c r="C71" s="589"/>
      <c r="D71" s="589"/>
    </row>
    <row r="72" spans="1:4">
      <c r="A72" s="588" t="s">
        <v>834</v>
      </c>
      <c r="B72" s="590">
        <v>1378.75</v>
      </c>
      <c r="C72" s="589"/>
      <c r="D72" s="592"/>
    </row>
    <row r="73" spans="1:4">
      <c r="A73" s="588" t="s">
        <v>835</v>
      </c>
      <c r="B73" s="590">
        <v>248.75</v>
      </c>
      <c r="C73" s="589"/>
      <c r="D73" s="589"/>
    </row>
    <row r="74" spans="1:4">
      <c r="A74" s="588"/>
      <c r="B74" s="590"/>
      <c r="C74" s="589"/>
      <c r="D74" s="589"/>
    </row>
    <row r="75" spans="1:4">
      <c r="A75" s="588"/>
      <c r="B75" s="590"/>
      <c r="C75" s="589"/>
      <c r="D75" s="589"/>
    </row>
    <row r="76" spans="1:4">
      <c r="A76" s="585" t="s">
        <v>836</v>
      </c>
      <c r="B76" s="586"/>
      <c r="C76" s="591">
        <f>SUM(B77:B78)</f>
        <v>5575</v>
      </c>
      <c r="D76" s="589"/>
    </row>
    <row r="77" spans="1:4">
      <c r="A77" s="588" t="s">
        <v>837</v>
      </c>
      <c r="B77" s="590">
        <v>5575</v>
      </c>
      <c r="C77" s="589"/>
      <c r="D77" s="589"/>
    </row>
    <row r="78" spans="1:4">
      <c r="A78" s="588" t="s">
        <v>838</v>
      </c>
      <c r="B78" s="590">
        <v>0</v>
      </c>
      <c r="C78" s="589"/>
      <c r="D78" s="589"/>
    </row>
    <row r="79" spans="1:4">
      <c r="A79" s="588"/>
      <c r="B79" s="590"/>
      <c r="C79" s="589"/>
      <c r="D79" s="589"/>
    </row>
    <row r="80" spans="1:4">
      <c r="A80" s="585" t="s">
        <v>839</v>
      </c>
      <c r="B80" s="586"/>
      <c r="C80" s="591">
        <f>+B81</f>
        <v>2596</v>
      </c>
      <c r="D80" s="589"/>
    </row>
    <row r="81" spans="1:4">
      <c r="A81" s="588" t="s">
        <v>840</v>
      </c>
      <c r="B81" s="590">
        <v>2596</v>
      </c>
      <c r="C81" s="589"/>
      <c r="D81" s="589"/>
    </row>
    <row r="82" spans="1:4">
      <c r="A82" s="588"/>
      <c r="B82" s="590"/>
      <c r="C82" s="589"/>
      <c r="D82" s="589"/>
    </row>
    <row r="83" spans="1:4">
      <c r="A83" s="585" t="s">
        <v>841</v>
      </c>
      <c r="B83" s="586"/>
      <c r="C83" s="591">
        <f>SUM(B84:B85)</f>
        <v>3436.37</v>
      </c>
      <c r="D83" s="589"/>
    </row>
    <row r="84" spans="1:4">
      <c r="A84" s="588" t="s">
        <v>842</v>
      </c>
      <c r="B84" s="590">
        <v>3179</v>
      </c>
      <c r="C84" s="589"/>
      <c r="D84" s="589"/>
    </row>
    <row r="85" spans="1:4">
      <c r="A85" s="588" t="s">
        <v>843</v>
      </c>
      <c r="B85" s="590">
        <v>257.37</v>
      </c>
      <c r="C85" s="589"/>
      <c r="D85" s="589"/>
    </row>
    <row r="86" spans="1:4">
      <c r="A86" s="588"/>
      <c r="B86" s="590"/>
      <c r="C86" s="589"/>
      <c r="D86" s="589"/>
    </row>
    <row r="87" spans="1:4">
      <c r="A87" s="585" t="s">
        <v>844</v>
      </c>
      <c r="B87" s="586"/>
      <c r="C87" s="591">
        <f>SUM(B88:B91)</f>
        <v>4863.96</v>
      </c>
      <c r="D87" s="589"/>
    </row>
    <row r="88" spans="1:4">
      <c r="A88" s="588" t="s">
        <v>845</v>
      </c>
      <c r="B88" s="590">
        <v>420.61</v>
      </c>
      <c r="C88" s="589"/>
      <c r="D88" s="589"/>
    </row>
    <row r="89" spans="1:4">
      <c r="A89" s="588" t="s">
        <v>846</v>
      </c>
      <c r="B89" s="590">
        <v>43.35</v>
      </c>
      <c r="C89" s="589"/>
      <c r="D89" s="589"/>
    </row>
    <row r="90" spans="1:4">
      <c r="A90" s="588" t="s">
        <v>847</v>
      </c>
      <c r="B90" s="453">
        <v>4400</v>
      </c>
      <c r="C90" s="589"/>
      <c r="D90" s="589"/>
    </row>
    <row r="91" spans="1:4">
      <c r="A91" s="588" t="s">
        <v>848</v>
      </c>
      <c r="B91" s="590">
        <v>0</v>
      </c>
      <c r="C91" s="589"/>
      <c r="D91" s="589"/>
    </row>
    <row r="92" spans="1:4">
      <c r="A92" s="588"/>
      <c r="B92" s="590"/>
      <c r="C92" s="589"/>
      <c r="D92" s="589"/>
    </row>
    <row r="93" spans="1:4">
      <c r="A93" s="585" t="s">
        <v>849</v>
      </c>
      <c r="B93" s="586"/>
      <c r="C93" s="591">
        <f>SUM(B94:B118)</f>
        <v>58705.26999999999</v>
      </c>
      <c r="D93" s="589"/>
    </row>
    <row r="94" spans="1:4">
      <c r="A94" s="588" t="s">
        <v>850</v>
      </c>
      <c r="B94" s="590">
        <v>872.2</v>
      </c>
      <c r="C94" s="589"/>
      <c r="D94" s="589"/>
    </row>
    <row r="95" spans="1:4">
      <c r="A95" s="588" t="s">
        <v>851</v>
      </c>
      <c r="B95" s="593">
        <v>140</v>
      </c>
      <c r="C95" s="589"/>
      <c r="D95" s="589"/>
    </row>
    <row r="96" spans="1:4">
      <c r="A96" s="588" t="s">
        <v>852</v>
      </c>
      <c r="B96" s="590">
        <v>1469.58</v>
      </c>
      <c r="C96" s="589"/>
      <c r="D96" s="589"/>
    </row>
    <row r="97" spans="1:4">
      <c r="A97" s="588" t="s">
        <v>853</v>
      </c>
      <c r="B97" s="590">
        <v>842.87</v>
      </c>
      <c r="C97" s="589"/>
      <c r="D97" s="589"/>
    </row>
    <row r="98" spans="1:4">
      <c r="A98" s="588" t="s">
        <v>854</v>
      </c>
      <c r="B98" s="590">
        <v>3310.48</v>
      </c>
      <c r="C98" s="589"/>
      <c r="D98" s="589"/>
    </row>
    <row r="99" spans="1:4">
      <c r="A99" s="588" t="s">
        <v>855</v>
      </c>
      <c r="B99" s="453">
        <v>423.36</v>
      </c>
      <c r="C99" s="589"/>
      <c r="D99" s="589"/>
    </row>
    <row r="100" spans="1:4">
      <c r="A100" s="588" t="s">
        <v>856</v>
      </c>
      <c r="B100" s="590">
        <v>20</v>
      </c>
      <c r="C100" s="589"/>
      <c r="D100" s="589"/>
    </row>
    <row r="101" spans="1:4">
      <c r="A101" s="588" t="s">
        <v>857</v>
      </c>
      <c r="B101" s="590">
        <v>3865.08</v>
      </c>
      <c r="C101" s="589"/>
      <c r="D101" s="589"/>
    </row>
    <row r="102" spans="1:4">
      <c r="A102" s="588" t="s">
        <v>858</v>
      </c>
      <c r="B102" s="590">
        <v>1881.97</v>
      </c>
      <c r="C102" s="589"/>
      <c r="D102" s="589"/>
    </row>
    <row r="103" spans="1:4">
      <c r="A103" s="588" t="s">
        <v>859</v>
      </c>
      <c r="B103" s="590">
        <v>571.20000000000005</v>
      </c>
      <c r="C103" s="589"/>
      <c r="D103" s="589"/>
    </row>
    <row r="104" spans="1:4">
      <c r="A104" s="588" t="s">
        <v>860</v>
      </c>
      <c r="B104" s="590">
        <v>138.22999999999999</v>
      </c>
      <c r="C104" s="589"/>
      <c r="D104" s="589"/>
    </row>
    <row r="105" spans="1:4">
      <c r="A105" s="588" t="s">
        <v>861</v>
      </c>
      <c r="B105" s="453">
        <v>15952.140000000001</v>
      </c>
      <c r="C105" s="589"/>
      <c r="D105" s="589"/>
    </row>
    <row r="106" spans="1:4">
      <c r="A106" s="588" t="s">
        <v>862</v>
      </c>
      <c r="B106" s="590">
        <v>652.18000000000006</v>
      </c>
      <c r="C106" s="589"/>
      <c r="D106" s="589"/>
    </row>
    <row r="107" spans="1:4">
      <c r="A107" s="588" t="s">
        <v>863</v>
      </c>
      <c r="B107" s="590">
        <v>140.34</v>
      </c>
      <c r="C107" s="589"/>
      <c r="D107" s="589"/>
    </row>
    <row r="108" spans="1:4">
      <c r="A108" s="588" t="s">
        <v>864</v>
      </c>
      <c r="B108" s="590">
        <v>20420.170000000002</v>
      </c>
      <c r="C108" s="589"/>
      <c r="D108" s="589"/>
    </row>
    <row r="109" spans="1:4">
      <c r="A109" s="588" t="s">
        <v>865</v>
      </c>
      <c r="B109" s="590">
        <v>1322.52</v>
      </c>
      <c r="C109" s="589"/>
      <c r="D109" s="589"/>
    </row>
    <row r="110" spans="1:4">
      <c r="A110" s="588" t="s">
        <v>866</v>
      </c>
      <c r="B110" s="590">
        <v>699.34</v>
      </c>
      <c r="C110" s="589"/>
      <c r="D110" s="589"/>
    </row>
    <row r="111" spans="1:4">
      <c r="A111" s="588" t="s">
        <v>867</v>
      </c>
      <c r="B111" s="453">
        <v>53.18</v>
      </c>
      <c r="C111" s="589"/>
      <c r="D111" s="589"/>
    </row>
    <row r="112" spans="1:4">
      <c r="A112" s="588" t="s">
        <v>868</v>
      </c>
      <c r="B112" s="453">
        <v>1670.5900000000001</v>
      </c>
      <c r="C112" s="589"/>
      <c r="D112" s="592"/>
    </row>
    <row r="113" spans="1:4">
      <c r="A113" s="588"/>
      <c r="B113" s="590"/>
      <c r="C113" s="589"/>
      <c r="D113" s="589"/>
    </row>
    <row r="114" spans="1:4">
      <c r="A114" s="588"/>
      <c r="B114" s="590"/>
      <c r="C114" s="589"/>
      <c r="D114" s="589"/>
    </row>
    <row r="115" spans="1:4">
      <c r="A115" s="588" t="s">
        <v>869</v>
      </c>
      <c r="B115" s="453">
        <v>616.52</v>
      </c>
      <c r="C115" s="589"/>
      <c r="D115" s="589"/>
    </row>
    <row r="116" spans="1:4">
      <c r="A116" s="588" t="s">
        <v>870</v>
      </c>
      <c r="B116" s="590">
        <v>572.04</v>
      </c>
      <c r="C116" s="589"/>
      <c r="D116" s="589"/>
    </row>
    <row r="117" spans="1:4">
      <c r="A117" s="588" t="s">
        <v>871</v>
      </c>
      <c r="B117" s="590">
        <v>1806.68</v>
      </c>
      <c r="C117" s="589"/>
      <c r="D117" s="592"/>
    </row>
    <row r="118" spans="1:4">
      <c r="A118" s="588" t="s">
        <v>872</v>
      </c>
      <c r="B118" s="453">
        <v>1264.6000000000001</v>
      </c>
      <c r="C118" s="589"/>
      <c r="D118" s="589"/>
    </row>
    <row r="119" spans="1:4">
      <c r="A119" s="588"/>
      <c r="B119" s="590"/>
      <c r="C119" s="589"/>
      <c r="D119" s="589"/>
    </row>
    <row r="120" spans="1:4" ht="13.5" thickBot="1">
      <c r="A120" s="588"/>
      <c r="B120" s="590"/>
      <c r="C120" s="589"/>
      <c r="D120" s="594"/>
    </row>
    <row r="121" spans="1:4">
      <c r="A121" s="586" t="s">
        <v>873</v>
      </c>
      <c r="B121" s="589"/>
      <c r="C121" s="589"/>
      <c r="D121" s="595">
        <f>D10-D29</f>
        <v>3398.3900000000722</v>
      </c>
    </row>
    <row r="122" spans="1:4" ht="13.5" thickBot="1">
      <c r="A122" s="586" t="s">
        <v>874</v>
      </c>
      <c r="B122" s="595"/>
      <c r="C122" s="589"/>
      <c r="D122" s="596">
        <f>+D121*0.15</f>
        <v>509.75850000001083</v>
      </c>
    </row>
    <row r="123" spans="1:4">
      <c r="A123" s="586" t="s">
        <v>875</v>
      </c>
      <c r="B123" s="589"/>
      <c r="C123" s="589"/>
      <c r="D123" s="597">
        <f>D121-D122</f>
        <v>2888.6315000000614</v>
      </c>
    </row>
    <row r="124" spans="1:4" ht="13.5" thickBot="1">
      <c r="A124" s="586" t="s">
        <v>876</v>
      </c>
      <c r="B124" s="595"/>
      <c r="C124" s="589"/>
      <c r="D124" s="596">
        <f>+D123*0.25</f>
        <v>722.15787500001534</v>
      </c>
    </row>
    <row r="125" spans="1:4">
      <c r="A125" s="589"/>
      <c r="B125" s="595"/>
      <c r="C125" s="589"/>
      <c r="D125" s="597">
        <f>+D123-D124</f>
        <v>2166.473625000046</v>
      </c>
    </row>
    <row r="126" spans="1:4">
      <c r="A126" s="589"/>
      <c r="B126" s="595"/>
      <c r="C126" s="589"/>
      <c r="D126" s="597"/>
    </row>
    <row r="127" spans="1:4">
      <c r="A127" s="589"/>
      <c r="B127" s="595"/>
      <c r="C127" s="589"/>
      <c r="D127" s="597"/>
    </row>
    <row r="128" spans="1:4">
      <c r="A128" s="589"/>
      <c r="B128" s="595"/>
      <c r="C128" s="589"/>
      <c r="D128" s="597"/>
    </row>
    <row r="129" spans="1:4">
      <c r="A129" s="589"/>
      <c r="B129" s="595"/>
      <c r="C129" s="589"/>
      <c r="D129" s="597"/>
    </row>
    <row r="130" spans="1:4">
      <c r="A130" s="589"/>
      <c r="B130" s="589"/>
      <c r="C130" s="589"/>
      <c r="D130" s="589"/>
    </row>
    <row r="131" spans="1:4">
      <c r="A131" s="589"/>
      <c r="B131" s="589"/>
      <c r="C131" s="589"/>
      <c r="D131" s="589"/>
    </row>
    <row r="132" spans="1:4">
      <c r="A132" s="589" t="s">
        <v>877</v>
      </c>
      <c r="B132" s="589" t="s">
        <v>878</v>
      </c>
      <c r="C132" s="589"/>
      <c r="D132" s="589"/>
    </row>
    <row r="133" spans="1:4">
      <c r="A133" s="589" t="s">
        <v>879</v>
      </c>
      <c r="B133" s="581" t="s">
        <v>880</v>
      </c>
      <c r="C133" s="581"/>
      <c r="D133" s="589"/>
    </row>
    <row r="134" spans="1:4">
      <c r="A134" s="589"/>
      <c r="B134" s="589"/>
      <c r="C134" s="589"/>
      <c r="D134" s="589"/>
    </row>
    <row r="135" spans="1:4">
      <c r="A135" s="589"/>
      <c r="B135" s="589"/>
      <c r="C135" s="589"/>
      <c r="D135" s="589"/>
    </row>
    <row r="136" spans="1:4">
      <c r="A136" s="589"/>
      <c r="B136" s="589"/>
      <c r="C136" s="589"/>
      <c r="D136" s="589"/>
    </row>
    <row r="137" spans="1:4">
      <c r="A137" s="589"/>
      <c r="B137" s="589"/>
      <c r="C137" s="589"/>
      <c r="D137" s="589"/>
    </row>
    <row r="138" spans="1:4">
      <c r="A138" s="589"/>
      <c r="B138" s="589"/>
      <c r="C138" s="589"/>
      <c r="D138" s="589"/>
    </row>
    <row r="139" spans="1:4">
      <c r="A139" s="589" t="s">
        <v>881</v>
      </c>
      <c r="B139" s="589" t="s">
        <v>882</v>
      </c>
      <c r="C139" s="589"/>
      <c r="D139" s="589"/>
    </row>
    <row r="140" spans="1:4">
      <c r="A140" s="589" t="s">
        <v>883</v>
      </c>
      <c r="B140" s="589" t="s">
        <v>884</v>
      </c>
      <c r="C140" s="589"/>
      <c r="D140" s="589"/>
    </row>
  </sheetData>
  <printOptions horizontalCentered="1" verticalCentered="1"/>
  <pageMargins left="1.2204724409448819" right="0.74803149606299213" top="0.98425196850393704" bottom="0.98425196850393704" header="0" footer="0"/>
  <pageSetup paperSize="9" scale="75" orientation="portrait" horizontalDpi="300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6"/>
  <sheetViews>
    <sheetView workbookViewId="0">
      <selection activeCell="F12" sqref="F12"/>
    </sheetView>
  </sheetViews>
  <sheetFormatPr baseColWidth="10" defaultRowHeight="12.75"/>
  <cols>
    <col min="1" max="1" width="11.5703125" customWidth="1"/>
    <col min="2" max="2" width="48.85546875" customWidth="1"/>
    <col min="4" max="4" width="11.5703125" customWidth="1"/>
    <col min="257" max="257" width="11.5703125" customWidth="1"/>
    <col min="258" max="258" width="48.85546875" customWidth="1"/>
    <col min="260" max="260" width="11.5703125" customWidth="1"/>
    <col min="513" max="513" width="11.5703125" customWidth="1"/>
    <col min="514" max="514" width="48.85546875" customWidth="1"/>
    <col min="516" max="516" width="11.5703125" customWidth="1"/>
    <col min="769" max="769" width="11.5703125" customWidth="1"/>
    <col min="770" max="770" width="48.85546875" customWidth="1"/>
    <col min="772" max="772" width="11.5703125" customWidth="1"/>
    <col min="1025" max="1025" width="11.5703125" customWidth="1"/>
    <col min="1026" max="1026" width="48.85546875" customWidth="1"/>
    <col min="1028" max="1028" width="11.5703125" customWidth="1"/>
    <col min="1281" max="1281" width="11.5703125" customWidth="1"/>
    <col min="1282" max="1282" width="48.85546875" customWidth="1"/>
    <col min="1284" max="1284" width="11.5703125" customWidth="1"/>
    <col min="1537" max="1537" width="11.5703125" customWidth="1"/>
    <col min="1538" max="1538" width="48.85546875" customWidth="1"/>
    <col min="1540" max="1540" width="11.5703125" customWidth="1"/>
    <col min="1793" max="1793" width="11.5703125" customWidth="1"/>
    <col min="1794" max="1794" width="48.85546875" customWidth="1"/>
    <col min="1796" max="1796" width="11.5703125" customWidth="1"/>
    <col min="2049" max="2049" width="11.5703125" customWidth="1"/>
    <col min="2050" max="2050" width="48.85546875" customWidth="1"/>
    <col min="2052" max="2052" width="11.5703125" customWidth="1"/>
    <col min="2305" max="2305" width="11.5703125" customWidth="1"/>
    <col min="2306" max="2306" width="48.85546875" customWidth="1"/>
    <col min="2308" max="2308" width="11.5703125" customWidth="1"/>
    <col min="2561" max="2561" width="11.5703125" customWidth="1"/>
    <col min="2562" max="2562" width="48.85546875" customWidth="1"/>
    <col min="2564" max="2564" width="11.5703125" customWidth="1"/>
    <col min="2817" max="2817" width="11.5703125" customWidth="1"/>
    <col min="2818" max="2818" width="48.85546875" customWidth="1"/>
    <col min="2820" max="2820" width="11.5703125" customWidth="1"/>
    <col min="3073" max="3073" width="11.5703125" customWidth="1"/>
    <col min="3074" max="3074" width="48.85546875" customWidth="1"/>
    <col min="3076" max="3076" width="11.5703125" customWidth="1"/>
    <col min="3329" max="3329" width="11.5703125" customWidth="1"/>
    <col min="3330" max="3330" width="48.85546875" customWidth="1"/>
    <col min="3332" max="3332" width="11.5703125" customWidth="1"/>
    <col min="3585" max="3585" width="11.5703125" customWidth="1"/>
    <col min="3586" max="3586" width="48.85546875" customWidth="1"/>
    <col min="3588" max="3588" width="11.5703125" customWidth="1"/>
    <col min="3841" max="3841" width="11.5703125" customWidth="1"/>
    <col min="3842" max="3842" width="48.85546875" customWidth="1"/>
    <col min="3844" max="3844" width="11.5703125" customWidth="1"/>
    <col min="4097" max="4097" width="11.5703125" customWidth="1"/>
    <col min="4098" max="4098" width="48.85546875" customWidth="1"/>
    <col min="4100" max="4100" width="11.5703125" customWidth="1"/>
    <col min="4353" max="4353" width="11.5703125" customWidth="1"/>
    <col min="4354" max="4354" width="48.85546875" customWidth="1"/>
    <col min="4356" max="4356" width="11.5703125" customWidth="1"/>
    <col min="4609" max="4609" width="11.5703125" customWidth="1"/>
    <col min="4610" max="4610" width="48.85546875" customWidth="1"/>
    <col min="4612" max="4612" width="11.5703125" customWidth="1"/>
    <col min="4865" max="4865" width="11.5703125" customWidth="1"/>
    <col min="4866" max="4866" width="48.85546875" customWidth="1"/>
    <col min="4868" max="4868" width="11.5703125" customWidth="1"/>
    <col min="5121" max="5121" width="11.5703125" customWidth="1"/>
    <col min="5122" max="5122" width="48.85546875" customWidth="1"/>
    <col min="5124" max="5124" width="11.5703125" customWidth="1"/>
    <col min="5377" max="5377" width="11.5703125" customWidth="1"/>
    <col min="5378" max="5378" width="48.85546875" customWidth="1"/>
    <col min="5380" max="5380" width="11.5703125" customWidth="1"/>
    <col min="5633" max="5633" width="11.5703125" customWidth="1"/>
    <col min="5634" max="5634" width="48.85546875" customWidth="1"/>
    <col min="5636" max="5636" width="11.5703125" customWidth="1"/>
    <col min="5889" max="5889" width="11.5703125" customWidth="1"/>
    <col min="5890" max="5890" width="48.85546875" customWidth="1"/>
    <col min="5892" max="5892" width="11.5703125" customWidth="1"/>
    <col min="6145" max="6145" width="11.5703125" customWidth="1"/>
    <col min="6146" max="6146" width="48.85546875" customWidth="1"/>
    <col min="6148" max="6148" width="11.5703125" customWidth="1"/>
    <col min="6401" max="6401" width="11.5703125" customWidth="1"/>
    <col min="6402" max="6402" width="48.85546875" customWidth="1"/>
    <col min="6404" max="6404" width="11.5703125" customWidth="1"/>
    <col min="6657" max="6657" width="11.5703125" customWidth="1"/>
    <col min="6658" max="6658" width="48.85546875" customWidth="1"/>
    <col min="6660" max="6660" width="11.5703125" customWidth="1"/>
    <col min="6913" max="6913" width="11.5703125" customWidth="1"/>
    <col min="6914" max="6914" width="48.85546875" customWidth="1"/>
    <col min="6916" max="6916" width="11.5703125" customWidth="1"/>
    <col min="7169" max="7169" width="11.5703125" customWidth="1"/>
    <col min="7170" max="7170" width="48.85546875" customWidth="1"/>
    <col min="7172" max="7172" width="11.5703125" customWidth="1"/>
    <col min="7425" max="7425" width="11.5703125" customWidth="1"/>
    <col min="7426" max="7426" width="48.85546875" customWidth="1"/>
    <col min="7428" max="7428" width="11.5703125" customWidth="1"/>
    <col min="7681" max="7681" width="11.5703125" customWidth="1"/>
    <col min="7682" max="7682" width="48.85546875" customWidth="1"/>
    <col min="7684" max="7684" width="11.5703125" customWidth="1"/>
    <col min="7937" max="7937" width="11.5703125" customWidth="1"/>
    <col min="7938" max="7938" width="48.85546875" customWidth="1"/>
    <col min="7940" max="7940" width="11.5703125" customWidth="1"/>
    <col min="8193" max="8193" width="11.5703125" customWidth="1"/>
    <col min="8194" max="8194" width="48.85546875" customWidth="1"/>
    <col min="8196" max="8196" width="11.5703125" customWidth="1"/>
    <col min="8449" max="8449" width="11.5703125" customWidth="1"/>
    <col min="8450" max="8450" width="48.85546875" customWidth="1"/>
    <col min="8452" max="8452" width="11.5703125" customWidth="1"/>
    <col min="8705" max="8705" width="11.5703125" customWidth="1"/>
    <col min="8706" max="8706" width="48.85546875" customWidth="1"/>
    <col min="8708" max="8708" width="11.5703125" customWidth="1"/>
    <col min="8961" max="8961" width="11.5703125" customWidth="1"/>
    <col min="8962" max="8962" width="48.85546875" customWidth="1"/>
    <col min="8964" max="8964" width="11.5703125" customWidth="1"/>
    <col min="9217" max="9217" width="11.5703125" customWidth="1"/>
    <col min="9218" max="9218" width="48.85546875" customWidth="1"/>
    <col min="9220" max="9220" width="11.5703125" customWidth="1"/>
    <col min="9473" max="9473" width="11.5703125" customWidth="1"/>
    <col min="9474" max="9474" width="48.85546875" customWidth="1"/>
    <col min="9476" max="9476" width="11.5703125" customWidth="1"/>
    <col min="9729" max="9729" width="11.5703125" customWidth="1"/>
    <col min="9730" max="9730" width="48.85546875" customWidth="1"/>
    <col min="9732" max="9732" width="11.5703125" customWidth="1"/>
    <col min="9985" max="9985" width="11.5703125" customWidth="1"/>
    <col min="9986" max="9986" width="48.85546875" customWidth="1"/>
    <col min="9988" max="9988" width="11.5703125" customWidth="1"/>
    <col min="10241" max="10241" width="11.5703125" customWidth="1"/>
    <col min="10242" max="10242" width="48.85546875" customWidth="1"/>
    <col min="10244" max="10244" width="11.5703125" customWidth="1"/>
    <col min="10497" max="10497" width="11.5703125" customWidth="1"/>
    <col min="10498" max="10498" width="48.85546875" customWidth="1"/>
    <col min="10500" max="10500" width="11.5703125" customWidth="1"/>
    <col min="10753" max="10753" width="11.5703125" customWidth="1"/>
    <col min="10754" max="10754" width="48.85546875" customWidth="1"/>
    <col min="10756" max="10756" width="11.5703125" customWidth="1"/>
    <col min="11009" max="11009" width="11.5703125" customWidth="1"/>
    <col min="11010" max="11010" width="48.85546875" customWidth="1"/>
    <col min="11012" max="11012" width="11.5703125" customWidth="1"/>
    <col min="11265" max="11265" width="11.5703125" customWidth="1"/>
    <col min="11266" max="11266" width="48.85546875" customWidth="1"/>
    <col min="11268" max="11268" width="11.5703125" customWidth="1"/>
    <col min="11521" max="11521" width="11.5703125" customWidth="1"/>
    <col min="11522" max="11522" width="48.85546875" customWidth="1"/>
    <col min="11524" max="11524" width="11.5703125" customWidth="1"/>
    <col min="11777" max="11777" width="11.5703125" customWidth="1"/>
    <col min="11778" max="11778" width="48.85546875" customWidth="1"/>
    <col min="11780" max="11780" width="11.5703125" customWidth="1"/>
    <col min="12033" max="12033" width="11.5703125" customWidth="1"/>
    <col min="12034" max="12034" width="48.85546875" customWidth="1"/>
    <col min="12036" max="12036" width="11.5703125" customWidth="1"/>
    <col min="12289" max="12289" width="11.5703125" customWidth="1"/>
    <col min="12290" max="12290" width="48.85546875" customWidth="1"/>
    <col min="12292" max="12292" width="11.5703125" customWidth="1"/>
    <col min="12545" max="12545" width="11.5703125" customWidth="1"/>
    <col min="12546" max="12546" width="48.85546875" customWidth="1"/>
    <col min="12548" max="12548" width="11.5703125" customWidth="1"/>
    <col min="12801" max="12801" width="11.5703125" customWidth="1"/>
    <col min="12802" max="12802" width="48.85546875" customWidth="1"/>
    <col min="12804" max="12804" width="11.5703125" customWidth="1"/>
    <col min="13057" max="13057" width="11.5703125" customWidth="1"/>
    <col min="13058" max="13058" width="48.85546875" customWidth="1"/>
    <col min="13060" max="13060" width="11.5703125" customWidth="1"/>
    <col min="13313" max="13313" width="11.5703125" customWidth="1"/>
    <col min="13314" max="13314" width="48.85546875" customWidth="1"/>
    <col min="13316" max="13316" width="11.5703125" customWidth="1"/>
    <col min="13569" max="13569" width="11.5703125" customWidth="1"/>
    <col min="13570" max="13570" width="48.85546875" customWidth="1"/>
    <col min="13572" max="13572" width="11.5703125" customWidth="1"/>
    <col min="13825" max="13825" width="11.5703125" customWidth="1"/>
    <col min="13826" max="13826" width="48.85546875" customWidth="1"/>
    <col min="13828" max="13828" width="11.5703125" customWidth="1"/>
    <col min="14081" max="14081" width="11.5703125" customWidth="1"/>
    <col min="14082" max="14082" width="48.85546875" customWidth="1"/>
    <col min="14084" max="14084" width="11.5703125" customWidth="1"/>
    <col min="14337" max="14337" width="11.5703125" customWidth="1"/>
    <col min="14338" max="14338" width="48.85546875" customWidth="1"/>
    <col min="14340" max="14340" width="11.5703125" customWidth="1"/>
    <col min="14593" max="14593" width="11.5703125" customWidth="1"/>
    <col min="14594" max="14594" width="48.85546875" customWidth="1"/>
    <col min="14596" max="14596" width="11.5703125" customWidth="1"/>
    <col min="14849" max="14849" width="11.5703125" customWidth="1"/>
    <col min="14850" max="14850" width="48.85546875" customWidth="1"/>
    <col min="14852" max="14852" width="11.5703125" customWidth="1"/>
    <col min="15105" max="15105" width="11.5703125" customWidth="1"/>
    <col min="15106" max="15106" width="48.85546875" customWidth="1"/>
    <col min="15108" max="15108" width="11.5703125" customWidth="1"/>
    <col min="15361" max="15361" width="11.5703125" customWidth="1"/>
    <col min="15362" max="15362" width="48.85546875" customWidth="1"/>
    <col min="15364" max="15364" width="11.5703125" customWidth="1"/>
    <col min="15617" max="15617" width="11.5703125" customWidth="1"/>
    <col min="15618" max="15618" width="48.85546875" customWidth="1"/>
    <col min="15620" max="15620" width="11.5703125" customWidth="1"/>
    <col min="15873" max="15873" width="11.5703125" customWidth="1"/>
    <col min="15874" max="15874" width="48.85546875" customWidth="1"/>
    <col min="15876" max="15876" width="11.5703125" customWidth="1"/>
    <col min="16129" max="16129" width="11.5703125" customWidth="1"/>
    <col min="16130" max="16130" width="48.85546875" customWidth="1"/>
    <col min="16132" max="16132" width="11.5703125" customWidth="1"/>
  </cols>
  <sheetData>
    <row r="1" spans="1:4" ht="13.5">
      <c r="A1" s="598"/>
      <c r="B1" s="599" t="s">
        <v>885</v>
      </c>
      <c r="C1" s="599"/>
      <c r="D1" s="598"/>
    </row>
    <row r="2" spans="1:4" ht="15">
      <c r="A2" s="598"/>
      <c r="B2" s="600" t="s">
        <v>886</v>
      </c>
      <c r="C2" s="600"/>
      <c r="D2" s="598"/>
    </row>
    <row r="3" spans="1:4" ht="15">
      <c r="A3" s="598"/>
      <c r="B3" s="601" t="s">
        <v>887</v>
      </c>
      <c r="C3" s="600"/>
      <c r="D3" s="598"/>
    </row>
    <row r="4" spans="1:4" ht="13.5">
      <c r="A4" s="598"/>
      <c r="B4" s="598"/>
      <c r="C4" s="598"/>
      <c r="D4" s="598"/>
    </row>
    <row r="5" spans="1:4" ht="13.5">
      <c r="A5" s="598"/>
      <c r="B5" s="598"/>
      <c r="C5" s="598"/>
      <c r="D5" s="598"/>
    </row>
    <row r="6" spans="1:4" ht="13.5">
      <c r="A6" s="598"/>
      <c r="B6" s="598"/>
      <c r="C6" s="598"/>
      <c r="D6" s="598"/>
    </row>
    <row r="7" spans="1:4" ht="13.5">
      <c r="A7" s="598"/>
      <c r="B7" s="598"/>
      <c r="C7" s="598"/>
      <c r="D7" s="598"/>
    </row>
    <row r="8" spans="1:4" ht="15">
      <c r="A8" s="598"/>
      <c r="B8" s="602" t="s">
        <v>888</v>
      </c>
      <c r="C8" s="598"/>
      <c r="D8" s="598"/>
    </row>
    <row r="9" spans="1:4" ht="15">
      <c r="A9" s="602"/>
      <c r="B9" s="598"/>
      <c r="C9" s="598"/>
      <c r="D9" s="603"/>
    </row>
    <row r="10" spans="1:4" ht="15">
      <c r="A10" s="598"/>
      <c r="B10" s="602" t="s">
        <v>889</v>
      </c>
      <c r="D10" s="604">
        <f>+C11+C13</f>
        <v>271266.46999999997</v>
      </c>
    </row>
    <row r="11" spans="1:4" ht="15">
      <c r="A11" s="598"/>
      <c r="B11" s="602" t="s">
        <v>890</v>
      </c>
      <c r="C11" s="602">
        <f>+C12</f>
        <v>49.82</v>
      </c>
      <c r="D11" s="598"/>
    </row>
    <row r="12" spans="1:4" ht="13.5">
      <c r="A12" s="598"/>
      <c r="B12" s="598" t="s">
        <v>891</v>
      </c>
      <c r="C12" s="598">
        <v>49.82</v>
      </c>
      <c r="D12" s="598"/>
    </row>
    <row r="13" spans="1:4" ht="15">
      <c r="A13" s="598"/>
      <c r="B13" s="602" t="s">
        <v>892</v>
      </c>
      <c r="C13" s="602">
        <f>SUM(C14:C16)</f>
        <v>271216.64999999997</v>
      </c>
      <c r="D13" s="598"/>
    </row>
    <row r="14" spans="1:4" ht="13.5">
      <c r="A14" s="598"/>
      <c r="B14" s="598" t="s">
        <v>893</v>
      </c>
      <c r="C14" s="598">
        <v>7006.52</v>
      </c>
      <c r="D14" s="598"/>
    </row>
    <row r="15" spans="1:4" ht="13.5">
      <c r="A15" s="598"/>
      <c r="B15" s="598" t="s">
        <v>894</v>
      </c>
      <c r="C15" s="598">
        <v>244187.27</v>
      </c>
      <c r="D15" s="598"/>
    </row>
    <row r="16" spans="1:4" ht="13.5">
      <c r="A16" s="598"/>
      <c r="B16" s="598" t="s">
        <v>895</v>
      </c>
      <c r="C16" s="598">
        <v>20022.86</v>
      </c>
      <c r="D16" s="598"/>
    </row>
    <row r="17" spans="1:4" ht="13.5">
      <c r="A17" s="598"/>
      <c r="B17" s="598"/>
      <c r="C17" s="598"/>
      <c r="D17" s="598"/>
    </row>
    <row r="18" spans="1:4" ht="15">
      <c r="A18" s="598"/>
      <c r="B18" s="602" t="s">
        <v>896</v>
      </c>
      <c r="D18" s="602">
        <f>C19</f>
        <v>5000</v>
      </c>
    </row>
    <row r="19" spans="1:4" ht="15">
      <c r="A19" s="598"/>
      <c r="B19" s="602" t="s">
        <v>897</v>
      </c>
      <c r="C19" s="602">
        <f>C20</f>
        <v>5000</v>
      </c>
      <c r="D19" s="598"/>
    </row>
    <row r="20" spans="1:4" ht="13.5">
      <c r="A20" s="598"/>
      <c r="B20" s="598" t="s">
        <v>898</v>
      </c>
      <c r="C20" s="598">
        <v>5000</v>
      </c>
      <c r="D20" s="598"/>
    </row>
    <row r="21" spans="1:4" ht="13.5">
      <c r="A21" s="598"/>
      <c r="B21" s="598"/>
      <c r="C21" s="598"/>
      <c r="D21" s="598"/>
    </row>
    <row r="22" spans="1:4" ht="15">
      <c r="A22" s="598"/>
      <c r="B22" s="602" t="s">
        <v>899</v>
      </c>
      <c r="C22" s="598"/>
      <c r="D22" s="602">
        <f>+C23</f>
        <v>1239077.53</v>
      </c>
    </row>
    <row r="23" spans="1:4" ht="15">
      <c r="A23" s="598"/>
      <c r="B23" s="602" t="s">
        <v>900</v>
      </c>
      <c r="C23" s="602">
        <f>+C24-C25</f>
        <v>1239077.53</v>
      </c>
      <c r="D23" s="598"/>
    </row>
    <row r="24" spans="1:4" ht="13.5">
      <c r="A24" s="598"/>
      <c r="B24" s="598" t="s">
        <v>901</v>
      </c>
      <c r="C24" s="598">
        <v>1244258.93</v>
      </c>
      <c r="D24" s="598"/>
    </row>
    <row r="25" spans="1:4" ht="13.5">
      <c r="A25" s="598"/>
      <c r="B25" s="598" t="s">
        <v>902</v>
      </c>
      <c r="C25" s="598">
        <v>5181.3999999999996</v>
      </c>
      <c r="D25" s="605"/>
    </row>
    <row r="26" spans="1:4" ht="13.5">
      <c r="A26" s="598"/>
      <c r="B26" s="598"/>
      <c r="C26" s="598"/>
      <c r="D26" s="605"/>
    </row>
    <row r="27" spans="1:4" ht="15">
      <c r="A27" s="598"/>
      <c r="B27" s="602" t="s">
        <v>903</v>
      </c>
      <c r="C27" s="598"/>
      <c r="D27" s="598"/>
    </row>
    <row r="28" spans="1:4" ht="15">
      <c r="A28" s="598"/>
      <c r="B28" s="602" t="s">
        <v>904</v>
      </c>
      <c r="C28" s="602">
        <f>SUM(C29:C34)</f>
        <v>4625.8999999999996</v>
      </c>
      <c r="D28" s="598"/>
    </row>
    <row r="29" spans="1:4" ht="13.5">
      <c r="A29" s="598"/>
      <c r="B29" s="598" t="s">
        <v>905</v>
      </c>
      <c r="C29" s="598">
        <v>2175.9</v>
      </c>
      <c r="D29" s="598"/>
    </row>
    <row r="30" spans="1:4" ht="13.5">
      <c r="A30" s="598"/>
      <c r="B30" s="598" t="s">
        <v>906</v>
      </c>
      <c r="C30" s="598">
        <v>2300</v>
      </c>
      <c r="D30" s="598"/>
    </row>
    <row r="31" spans="1:4" ht="13.5">
      <c r="A31" s="598"/>
      <c r="B31" s="598" t="s">
        <v>907</v>
      </c>
      <c r="C31" s="598">
        <v>0</v>
      </c>
      <c r="D31" s="598"/>
    </row>
    <row r="32" spans="1:4" ht="13.5">
      <c r="A32" s="598"/>
      <c r="B32" s="598" t="s">
        <v>908</v>
      </c>
      <c r="C32" s="598">
        <v>0</v>
      </c>
      <c r="D32" s="598"/>
    </row>
    <row r="33" spans="1:4" ht="13.5">
      <c r="A33" s="598"/>
      <c r="B33" s="598" t="s">
        <v>909</v>
      </c>
      <c r="C33" s="598">
        <v>0</v>
      </c>
      <c r="D33" s="598"/>
    </row>
    <row r="34" spans="1:4" ht="13.5">
      <c r="A34" s="598"/>
      <c r="B34" s="598" t="s">
        <v>910</v>
      </c>
      <c r="C34" s="598">
        <v>150</v>
      </c>
      <c r="D34" s="598"/>
    </row>
    <row r="35" spans="1:4" ht="15">
      <c r="A35" s="598"/>
      <c r="B35" s="602" t="s">
        <v>911</v>
      </c>
      <c r="C35" s="602">
        <f>SUM(C36:C78)</f>
        <v>0</v>
      </c>
      <c r="D35" s="598"/>
    </row>
    <row r="36" spans="1:4" ht="13.5">
      <c r="A36" s="598"/>
      <c r="B36" s="598" t="s">
        <v>912</v>
      </c>
      <c r="C36" s="598">
        <v>0</v>
      </c>
      <c r="D36" s="598"/>
    </row>
    <row r="37" spans="1:4" ht="13.5">
      <c r="A37" s="598"/>
      <c r="B37" s="598" t="s">
        <v>913</v>
      </c>
      <c r="C37" s="598">
        <v>0</v>
      </c>
      <c r="D37" s="598"/>
    </row>
    <row r="38" spans="1:4" ht="13.5">
      <c r="A38" s="598"/>
      <c r="B38" s="598" t="s">
        <v>914</v>
      </c>
      <c r="C38" s="598">
        <v>0</v>
      </c>
      <c r="D38" s="598"/>
    </row>
    <row r="39" spans="1:4" ht="13.5">
      <c r="A39" s="598"/>
      <c r="B39" s="598" t="s">
        <v>915</v>
      </c>
      <c r="C39" s="598">
        <v>0</v>
      </c>
      <c r="D39" s="598"/>
    </row>
    <row r="40" spans="1:4" ht="13.5">
      <c r="A40" s="598"/>
      <c r="B40" s="598" t="s">
        <v>916</v>
      </c>
      <c r="C40" s="598">
        <v>0</v>
      </c>
      <c r="D40" s="598"/>
    </row>
    <row r="41" spans="1:4" ht="13.5">
      <c r="A41" s="598"/>
      <c r="B41" s="598" t="s">
        <v>917</v>
      </c>
      <c r="C41" s="598">
        <v>0</v>
      </c>
      <c r="D41" s="598"/>
    </row>
    <row r="42" spans="1:4" ht="13.5">
      <c r="A42" s="598"/>
      <c r="B42" s="598" t="s">
        <v>918</v>
      </c>
      <c r="C42" s="598">
        <v>0</v>
      </c>
      <c r="D42" s="598"/>
    </row>
    <row r="43" spans="1:4" ht="13.5">
      <c r="A43" s="598"/>
      <c r="B43" s="598" t="s">
        <v>919</v>
      </c>
      <c r="C43" s="598">
        <v>0</v>
      </c>
      <c r="D43" s="598"/>
    </row>
    <row r="44" spans="1:4" ht="13.5">
      <c r="A44" s="598"/>
      <c r="B44" s="598" t="s">
        <v>920</v>
      </c>
      <c r="C44" s="598">
        <v>0</v>
      </c>
      <c r="D44" s="598"/>
    </row>
    <row r="45" spans="1:4" ht="13.5">
      <c r="A45" s="598"/>
      <c r="B45" s="598" t="s">
        <v>921</v>
      </c>
      <c r="C45" s="598">
        <v>0</v>
      </c>
      <c r="D45" s="598"/>
    </row>
    <row r="46" spans="1:4" ht="13.5">
      <c r="A46" s="598"/>
      <c r="B46" s="598" t="s">
        <v>922</v>
      </c>
      <c r="C46" s="598">
        <v>0</v>
      </c>
      <c r="D46" s="598"/>
    </row>
    <row r="47" spans="1:4" ht="13.5">
      <c r="A47" s="598"/>
      <c r="B47" s="598" t="s">
        <v>923</v>
      </c>
      <c r="C47" s="598">
        <v>0</v>
      </c>
      <c r="D47" s="598"/>
    </row>
    <row r="48" spans="1:4" ht="13.5">
      <c r="A48" s="598"/>
      <c r="B48" s="598" t="s">
        <v>924</v>
      </c>
      <c r="C48" s="598">
        <v>0</v>
      </c>
      <c r="D48" s="598"/>
    </row>
    <row r="49" spans="1:4" ht="13.5">
      <c r="A49" s="598"/>
      <c r="B49" s="598" t="s">
        <v>925</v>
      </c>
      <c r="C49" s="598">
        <v>0</v>
      </c>
      <c r="D49" s="598"/>
    </row>
    <row r="50" spans="1:4" ht="13.5">
      <c r="A50" s="598"/>
      <c r="B50" s="598" t="s">
        <v>926</v>
      </c>
      <c r="C50" s="598">
        <v>0</v>
      </c>
      <c r="D50" s="598"/>
    </row>
    <row r="51" spans="1:4" ht="13.5">
      <c r="A51" s="598"/>
      <c r="B51" s="598" t="s">
        <v>927</v>
      </c>
      <c r="C51" s="598">
        <v>0</v>
      </c>
      <c r="D51" s="598"/>
    </row>
    <row r="52" spans="1:4" ht="13.5">
      <c r="A52" s="598"/>
      <c r="B52" s="599" t="s">
        <v>885</v>
      </c>
      <c r="C52" s="599"/>
      <c r="D52" s="598"/>
    </row>
    <row r="53" spans="1:4" ht="15">
      <c r="A53" s="598"/>
      <c r="B53" s="600" t="s">
        <v>886</v>
      </c>
      <c r="C53" s="600"/>
      <c r="D53" s="598"/>
    </row>
    <row r="54" spans="1:4" ht="15">
      <c r="A54" s="598"/>
      <c r="B54" s="601" t="s">
        <v>887</v>
      </c>
      <c r="C54" s="600"/>
      <c r="D54" s="598"/>
    </row>
    <row r="55" spans="1:4" ht="15">
      <c r="A55" s="598"/>
      <c r="B55" s="606"/>
      <c r="C55" s="607"/>
      <c r="D55" s="598"/>
    </row>
    <row r="56" spans="1:4" ht="13.5">
      <c r="A56" s="598"/>
      <c r="B56" s="598" t="s">
        <v>928</v>
      </c>
      <c r="C56" s="598">
        <v>0</v>
      </c>
      <c r="D56" s="598"/>
    </row>
    <row r="57" spans="1:4" ht="13.5">
      <c r="A57" s="598"/>
      <c r="B57" s="598" t="s">
        <v>929</v>
      </c>
      <c r="C57" s="598">
        <v>0</v>
      </c>
      <c r="D57" s="598"/>
    </row>
    <row r="58" spans="1:4" ht="13.5">
      <c r="A58" s="598"/>
      <c r="B58" s="598" t="s">
        <v>930</v>
      </c>
      <c r="C58" s="598">
        <v>0</v>
      </c>
      <c r="D58" s="598"/>
    </row>
    <row r="59" spans="1:4" ht="13.5">
      <c r="A59" s="598"/>
      <c r="B59" s="598" t="s">
        <v>931</v>
      </c>
      <c r="C59" s="598">
        <v>0</v>
      </c>
      <c r="D59" s="598"/>
    </row>
    <row r="60" spans="1:4" ht="13.5">
      <c r="A60" s="598"/>
      <c r="B60" s="598" t="s">
        <v>932</v>
      </c>
      <c r="C60" s="598">
        <v>0</v>
      </c>
      <c r="D60" s="598"/>
    </row>
    <row r="61" spans="1:4" ht="13.5">
      <c r="A61" s="598"/>
      <c r="B61" s="598" t="s">
        <v>933</v>
      </c>
      <c r="C61" s="598">
        <v>0</v>
      </c>
      <c r="D61" s="598"/>
    </row>
    <row r="62" spans="1:4" ht="13.5">
      <c r="A62" s="598"/>
      <c r="B62" s="598" t="s">
        <v>934</v>
      </c>
      <c r="C62" s="598">
        <v>0</v>
      </c>
      <c r="D62" s="598"/>
    </row>
    <row r="63" spans="1:4" ht="13.5">
      <c r="A63" s="598"/>
      <c r="B63" s="598" t="s">
        <v>935</v>
      </c>
      <c r="C63" s="598">
        <v>0</v>
      </c>
      <c r="D63" s="598"/>
    </row>
    <row r="64" spans="1:4" ht="13.5">
      <c r="A64" s="598"/>
      <c r="B64" s="598" t="s">
        <v>936</v>
      </c>
      <c r="C64" s="598">
        <v>0</v>
      </c>
      <c r="D64" s="598"/>
    </row>
    <row r="65" spans="1:4" ht="13.5">
      <c r="A65" s="598"/>
      <c r="B65" s="598" t="s">
        <v>937</v>
      </c>
      <c r="C65" s="598">
        <v>0</v>
      </c>
      <c r="D65" s="598"/>
    </row>
    <row r="66" spans="1:4" ht="13.5">
      <c r="A66" s="598"/>
      <c r="B66" s="598" t="s">
        <v>938</v>
      </c>
      <c r="C66" s="598">
        <v>0</v>
      </c>
      <c r="D66" s="598"/>
    </row>
    <row r="67" spans="1:4" ht="13.5">
      <c r="A67" s="598"/>
      <c r="B67" s="598" t="s">
        <v>939</v>
      </c>
      <c r="C67" s="598">
        <v>0</v>
      </c>
      <c r="D67" s="598"/>
    </row>
    <row r="68" spans="1:4" ht="13.5">
      <c r="A68" s="598"/>
      <c r="B68" s="598" t="s">
        <v>940</v>
      </c>
      <c r="C68" s="598">
        <v>0</v>
      </c>
      <c r="D68" s="598"/>
    </row>
    <row r="69" spans="1:4" ht="13.5">
      <c r="A69" s="598"/>
      <c r="B69" s="598" t="s">
        <v>941</v>
      </c>
      <c r="C69" s="598">
        <v>0</v>
      </c>
      <c r="D69" s="598"/>
    </row>
    <row r="70" spans="1:4" ht="13.5">
      <c r="A70" s="598"/>
      <c r="B70" s="598" t="s">
        <v>942</v>
      </c>
      <c r="C70" s="598">
        <v>0</v>
      </c>
      <c r="D70" s="598"/>
    </row>
    <row r="71" spans="1:4" ht="13.5">
      <c r="A71" s="598"/>
      <c r="B71" s="598" t="s">
        <v>943</v>
      </c>
      <c r="C71" s="598">
        <v>0</v>
      </c>
      <c r="D71" s="598"/>
    </row>
    <row r="72" spans="1:4" ht="13.5">
      <c r="A72" s="598"/>
      <c r="B72" s="598" t="s">
        <v>944</v>
      </c>
      <c r="C72" s="598">
        <v>0</v>
      </c>
      <c r="D72" s="598"/>
    </row>
    <row r="73" spans="1:4" ht="13.5">
      <c r="A73" s="598"/>
      <c r="B73" s="598" t="s">
        <v>945</v>
      </c>
      <c r="C73" s="598">
        <v>0</v>
      </c>
      <c r="D73" s="598"/>
    </row>
    <row r="74" spans="1:4" ht="13.5">
      <c r="A74" s="598"/>
      <c r="B74" s="598" t="s">
        <v>946</v>
      </c>
      <c r="C74" s="598">
        <v>0</v>
      </c>
      <c r="D74" s="598"/>
    </row>
    <row r="75" spans="1:4" ht="13.5">
      <c r="A75" s="598"/>
      <c r="B75" s="598" t="s">
        <v>947</v>
      </c>
      <c r="C75" s="598">
        <v>0</v>
      </c>
      <c r="D75" s="598"/>
    </row>
    <row r="76" spans="1:4" ht="13.5">
      <c r="A76" s="598"/>
      <c r="B76" s="598" t="s">
        <v>948</v>
      </c>
      <c r="C76" s="598">
        <v>0</v>
      </c>
      <c r="D76" s="598"/>
    </row>
    <row r="77" spans="1:4" ht="13.5">
      <c r="A77" s="598"/>
      <c r="B77" s="598" t="s">
        <v>949</v>
      </c>
      <c r="C77" s="598">
        <v>0</v>
      </c>
      <c r="D77" s="598"/>
    </row>
    <row r="78" spans="1:4" ht="13.5">
      <c r="A78" s="598"/>
      <c r="B78" s="598" t="s">
        <v>950</v>
      </c>
      <c r="C78" s="598">
        <v>0</v>
      </c>
      <c r="D78" s="598"/>
    </row>
    <row r="79" spans="1:4" ht="15">
      <c r="A79" s="598"/>
      <c r="B79" s="602" t="s">
        <v>951</v>
      </c>
      <c r="C79" s="602">
        <f>SUM(C80:C83)</f>
        <v>2681.49</v>
      </c>
      <c r="D79" s="598"/>
    </row>
    <row r="80" spans="1:4" ht="13.5">
      <c r="A80" s="598"/>
      <c r="B80" s="598" t="s">
        <v>952</v>
      </c>
      <c r="C80" s="598">
        <v>0</v>
      </c>
      <c r="D80" s="598"/>
    </row>
    <row r="81" spans="1:4" ht="13.5">
      <c r="A81" s="598"/>
      <c r="B81" s="598" t="s">
        <v>953</v>
      </c>
      <c r="C81" s="598">
        <v>116.66</v>
      </c>
      <c r="D81" s="598"/>
    </row>
    <row r="82" spans="1:4" ht="13.5">
      <c r="A82" s="598"/>
      <c r="B82" s="598" t="s">
        <v>954</v>
      </c>
      <c r="C82" s="598">
        <v>2554.63</v>
      </c>
      <c r="D82" s="598"/>
    </row>
    <row r="83" spans="1:4" ht="13.5">
      <c r="A83" s="598"/>
      <c r="B83" s="598" t="s">
        <v>955</v>
      </c>
      <c r="C83" s="598">
        <v>10.199999999999999</v>
      </c>
      <c r="D83" s="598"/>
    </row>
    <row r="84" spans="1:4" ht="15">
      <c r="A84" s="598"/>
      <c r="B84" s="602" t="s">
        <v>956</v>
      </c>
      <c r="C84" s="602">
        <f>SUM(C85:C89)</f>
        <v>0</v>
      </c>
      <c r="D84" s="598"/>
    </row>
    <row r="85" spans="1:4" ht="13.5">
      <c r="A85" s="598"/>
      <c r="B85" s="598" t="s">
        <v>957</v>
      </c>
      <c r="C85" s="598">
        <v>0</v>
      </c>
      <c r="D85" s="598"/>
    </row>
    <row r="86" spans="1:4" ht="13.5">
      <c r="A86" s="598"/>
      <c r="B86" s="598" t="s">
        <v>958</v>
      </c>
      <c r="C86" s="598">
        <v>0</v>
      </c>
      <c r="D86" s="598"/>
    </row>
    <row r="87" spans="1:4" ht="13.5">
      <c r="A87" s="598"/>
      <c r="B87" s="598" t="s">
        <v>959</v>
      </c>
      <c r="C87" s="598">
        <v>0</v>
      </c>
      <c r="D87" s="598"/>
    </row>
    <row r="88" spans="1:4" ht="13.5">
      <c r="A88" s="598"/>
      <c r="B88" s="598" t="s">
        <v>960</v>
      </c>
      <c r="C88" s="598">
        <v>0</v>
      </c>
      <c r="D88" s="598"/>
    </row>
    <row r="89" spans="1:4" ht="13.5">
      <c r="A89" s="598"/>
      <c r="B89" s="598" t="s">
        <v>961</v>
      </c>
      <c r="C89" s="598">
        <v>0</v>
      </c>
      <c r="D89" s="598"/>
    </row>
    <row r="90" spans="1:4" ht="15">
      <c r="A90" s="598"/>
      <c r="B90" s="602" t="s">
        <v>962</v>
      </c>
      <c r="C90" s="602">
        <f>SUM(C91:C93)</f>
        <v>2638.94</v>
      </c>
      <c r="D90" s="598"/>
    </row>
    <row r="91" spans="1:4" ht="13.5">
      <c r="A91" s="598"/>
      <c r="B91" s="598" t="s">
        <v>963</v>
      </c>
      <c r="C91" s="598">
        <v>2056</v>
      </c>
      <c r="D91" s="598"/>
    </row>
    <row r="92" spans="1:4" ht="13.5">
      <c r="A92" s="598"/>
      <c r="B92" s="608" t="s">
        <v>964</v>
      </c>
      <c r="C92" s="598">
        <v>524.44000000000005</v>
      </c>
      <c r="D92" s="598"/>
    </row>
    <row r="93" spans="1:4" ht="13.5">
      <c r="A93" s="598"/>
      <c r="B93" s="598" t="s">
        <v>965</v>
      </c>
      <c r="C93" s="598">
        <v>58.5</v>
      </c>
      <c r="D93" s="598"/>
    </row>
    <row r="94" spans="1:4" ht="13.5">
      <c r="A94" s="598"/>
      <c r="B94" s="598"/>
      <c r="C94" s="598"/>
      <c r="D94" s="598"/>
    </row>
    <row r="95" spans="1:4" ht="15">
      <c r="A95" s="598"/>
      <c r="B95" s="602" t="s">
        <v>966</v>
      </c>
      <c r="C95" s="598"/>
      <c r="D95" s="598"/>
    </row>
    <row r="96" spans="1:4" ht="15">
      <c r="A96" s="598"/>
      <c r="B96" s="602" t="s">
        <v>967</v>
      </c>
      <c r="C96" s="602">
        <f>SUM(C97:C101)</f>
        <v>474897.70999999996</v>
      </c>
      <c r="D96" s="598"/>
    </row>
    <row r="97" spans="1:4" ht="13.5">
      <c r="A97" s="598"/>
      <c r="B97" s="598" t="s">
        <v>968</v>
      </c>
      <c r="C97" s="598">
        <v>25.48</v>
      </c>
      <c r="D97" s="598"/>
    </row>
    <row r="98" spans="1:4" ht="13.5">
      <c r="A98" s="598"/>
      <c r="B98" s="598" t="s">
        <v>969</v>
      </c>
      <c r="C98" s="598">
        <v>50</v>
      </c>
      <c r="D98" s="598"/>
    </row>
    <row r="99" spans="1:4" ht="13.5">
      <c r="A99" s="598"/>
      <c r="B99" s="598" t="s">
        <v>970</v>
      </c>
      <c r="C99" s="598">
        <v>206988.75</v>
      </c>
      <c r="D99" s="598"/>
    </row>
    <row r="100" spans="1:4" ht="13.5">
      <c r="A100" s="598"/>
      <c r="B100" s="598" t="s">
        <v>971</v>
      </c>
      <c r="C100" s="598">
        <v>0</v>
      </c>
      <c r="D100" s="598"/>
    </row>
    <row r="101" spans="1:4" ht="13.5">
      <c r="A101" s="598"/>
      <c r="B101" s="598" t="s">
        <v>972</v>
      </c>
      <c r="C101" s="598">
        <v>267833.48</v>
      </c>
      <c r="D101" s="598"/>
    </row>
    <row r="102" spans="1:4" ht="13.5">
      <c r="A102" s="598"/>
      <c r="B102" s="598"/>
      <c r="C102" s="598"/>
      <c r="D102" s="598"/>
    </row>
    <row r="103" spans="1:4" ht="15">
      <c r="A103" s="598"/>
      <c r="B103" s="602" t="s">
        <v>973</v>
      </c>
      <c r="C103" s="602">
        <f>SUM(C104:C108)</f>
        <v>27497.329999999998</v>
      </c>
      <c r="D103" s="598"/>
    </row>
    <row r="104" spans="1:4" ht="13.5">
      <c r="A104" s="598"/>
      <c r="B104" s="598" t="s">
        <v>974</v>
      </c>
      <c r="C104" s="598">
        <v>24313.67</v>
      </c>
      <c r="D104" s="598"/>
    </row>
    <row r="105" spans="1:4" ht="13.5">
      <c r="A105" s="598"/>
      <c r="B105" s="598" t="s">
        <v>975</v>
      </c>
      <c r="C105" s="598">
        <v>83</v>
      </c>
      <c r="D105" s="598"/>
    </row>
    <row r="106" spans="1:4" ht="13.5">
      <c r="A106" s="598"/>
      <c r="B106" s="598" t="s">
        <v>976</v>
      </c>
      <c r="C106" s="598">
        <v>893.48</v>
      </c>
      <c r="D106" s="598"/>
    </row>
    <row r="107" spans="1:4" ht="13.5">
      <c r="A107" s="598"/>
      <c r="B107" s="598" t="s">
        <v>977</v>
      </c>
      <c r="C107" s="598">
        <v>1232</v>
      </c>
      <c r="D107" s="598"/>
    </row>
    <row r="108" spans="1:4" ht="13.5">
      <c r="A108" s="598"/>
      <c r="B108" s="598" t="s">
        <v>978</v>
      </c>
      <c r="C108" s="598">
        <v>975.18</v>
      </c>
      <c r="D108" s="598"/>
    </row>
    <row r="109" spans="1:4" ht="13.5">
      <c r="A109" s="598"/>
      <c r="B109" s="598"/>
      <c r="C109" s="598"/>
      <c r="D109" s="598"/>
    </row>
    <row r="110" spans="1:4" ht="13.5">
      <c r="A110" s="598"/>
      <c r="B110" s="598"/>
      <c r="C110" s="598"/>
      <c r="D110" s="598"/>
    </row>
    <row r="111" spans="1:4" ht="15">
      <c r="A111" s="598"/>
      <c r="B111" s="602" t="s">
        <v>979</v>
      </c>
      <c r="C111" s="602">
        <f>C112+C113+C114</f>
        <v>26791.27</v>
      </c>
      <c r="D111" s="598"/>
    </row>
    <row r="112" spans="1:4" ht="13.5">
      <c r="A112" s="598"/>
      <c r="B112" s="598" t="s">
        <v>980</v>
      </c>
      <c r="C112" s="598">
        <v>13379.76</v>
      </c>
      <c r="D112" s="598"/>
    </row>
    <row r="113" spans="1:4" ht="13.5">
      <c r="A113" s="598"/>
      <c r="B113" s="598" t="s">
        <v>981</v>
      </c>
      <c r="C113" s="598">
        <v>74.87</v>
      </c>
      <c r="D113" s="598"/>
    </row>
    <row r="114" spans="1:4" ht="13.5">
      <c r="A114" s="598"/>
      <c r="B114" s="598" t="s">
        <v>982</v>
      </c>
      <c r="C114" s="598">
        <v>13336.64</v>
      </c>
      <c r="D114" s="598"/>
    </row>
    <row r="115" spans="1:4" ht="13.5">
      <c r="A115" s="598"/>
      <c r="B115" s="598"/>
      <c r="C115" s="598"/>
      <c r="D115" s="598"/>
    </row>
    <row r="116" spans="1:4" ht="13.5">
      <c r="A116" s="598"/>
      <c r="B116" s="598"/>
      <c r="C116" s="598"/>
      <c r="D116" s="598"/>
    </row>
    <row r="117" spans="1:4" ht="15">
      <c r="A117" s="598"/>
      <c r="B117" s="602" t="s">
        <v>983</v>
      </c>
      <c r="C117" s="598"/>
      <c r="D117" s="598"/>
    </row>
    <row r="118" spans="1:4" ht="15">
      <c r="A118" s="598"/>
      <c r="B118" s="602" t="s">
        <v>984</v>
      </c>
      <c r="C118" s="602">
        <f>C119</f>
        <v>0</v>
      </c>
      <c r="D118" s="598"/>
    </row>
    <row r="119" spans="1:4" ht="13.5">
      <c r="A119" s="598"/>
      <c r="B119" s="598" t="s">
        <v>985</v>
      </c>
      <c r="C119" s="598">
        <v>0</v>
      </c>
      <c r="D119" s="598"/>
    </row>
    <row r="120" spans="1:4" ht="13.5">
      <c r="A120" s="598"/>
      <c r="B120" s="598"/>
      <c r="C120" s="598"/>
      <c r="D120" s="598"/>
    </row>
    <row r="121" spans="1:4" ht="15.75" thickBot="1">
      <c r="A121" s="598"/>
      <c r="B121" s="602" t="s">
        <v>986</v>
      </c>
      <c r="C121" s="598"/>
      <c r="D121" s="609">
        <f>+D10+C13+D18+C23+C79+C90+C96+C103-C111+C28+C35</f>
        <v>2272110.75</v>
      </c>
    </row>
    <row r="122" spans="1:4" ht="14.25" thickTop="1">
      <c r="A122" s="598"/>
      <c r="B122" s="598"/>
      <c r="C122" s="598"/>
      <c r="D122" s="598"/>
    </row>
    <row r="123" spans="1:4" ht="13.5">
      <c r="A123" s="598"/>
      <c r="B123" s="598"/>
      <c r="C123" s="598"/>
      <c r="D123" s="598"/>
    </row>
    <row r="124" spans="1:4" ht="13.5">
      <c r="A124" s="598"/>
      <c r="B124" s="598"/>
      <c r="C124" s="598"/>
      <c r="D124" s="598"/>
    </row>
    <row r="125" spans="1:4" ht="13.5">
      <c r="A125" s="598"/>
      <c r="B125" s="598"/>
      <c r="C125" s="598"/>
      <c r="D125" s="598"/>
    </row>
    <row r="126" spans="1:4" ht="13.5">
      <c r="A126" s="598"/>
      <c r="B126" s="598"/>
      <c r="C126" s="598"/>
      <c r="D126" s="598"/>
    </row>
    <row r="127" spans="1:4" ht="13.5">
      <c r="A127" s="598"/>
      <c r="B127" s="598"/>
      <c r="C127" s="598"/>
      <c r="D127" s="598"/>
    </row>
    <row r="128" spans="1:4" ht="13.5">
      <c r="A128" s="598"/>
      <c r="B128" s="598"/>
      <c r="C128" s="598"/>
      <c r="D128" s="598"/>
    </row>
    <row r="129" spans="1:4" ht="13.5">
      <c r="A129" s="598"/>
      <c r="B129" s="598"/>
      <c r="C129" s="598"/>
      <c r="D129" s="598"/>
    </row>
    <row r="130" spans="1:4" ht="13.5">
      <c r="A130" s="598"/>
      <c r="B130" s="598"/>
      <c r="C130" s="598"/>
      <c r="D130" s="598"/>
    </row>
    <row r="131" spans="1:4" ht="13.5">
      <c r="A131" s="598"/>
      <c r="B131" s="598"/>
      <c r="C131" s="598"/>
      <c r="D131" s="598"/>
    </row>
    <row r="132" spans="1:4" ht="13.5">
      <c r="A132" s="598"/>
      <c r="B132" s="598"/>
      <c r="C132" s="598"/>
      <c r="D132" s="598"/>
    </row>
    <row r="133" spans="1:4" ht="13.5">
      <c r="A133" s="598"/>
      <c r="B133" s="598"/>
      <c r="C133" s="598"/>
      <c r="D133" s="598"/>
    </row>
    <row r="134" spans="1:4" ht="13.5">
      <c r="A134" s="598"/>
      <c r="B134" s="598"/>
      <c r="C134" s="598"/>
      <c r="D134" s="598"/>
    </row>
    <row r="135" spans="1:4" ht="13.5">
      <c r="A135" s="598"/>
      <c r="B135" s="598"/>
      <c r="C135" s="598"/>
      <c r="D135" s="598"/>
    </row>
    <row r="136" spans="1:4" ht="13.5">
      <c r="A136" s="598"/>
      <c r="B136" s="598"/>
      <c r="C136" s="598"/>
      <c r="D136" s="598"/>
    </row>
    <row r="137" spans="1:4" ht="13.5">
      <c r="A137" s="598"/>
      <c r="B137" s="598"/>
      <c r="C137" s="598"/>
      <c r="D137" s="598"/>
    </row>
    <row r="138" spans="1:4" ht="13.5">
      <c r="A138" s="598"/>
      <c r="B138" s="598"/>
      <c r="C138" s="598"/>
      <c r="D138" s="598"/>
    </row>
    <row r="139" spans="1:4" ht="13.5">
      <c r="A139" s="598"/>
      <c r="B139" s="598"/>
      <c r="C139" s="598"/>
      <c r="D139" s="598"/>
    </row>
    <row r="140" spans="1:4" ht="13.5">
      <c r="A140" s="598"/>
      <c r="B140" s="598"/>
      <c r="C140" s="598"/>
      <c r="D140" s="598"/>
    </row>
    <row r="141" spans="1:4" ht="13.5">
      <c r="A141" s="598"/>
      <c r="B141" s="598"/>
      <c r="C141" s="598"/>
      <c r="D141" s="598"/>
    </row>
    <row r="142" spans="1:4" ht="13.5">
      <c r="A142" s="598"/>
      <c r="B142" s="598"/>
      <c r="C142" s="598"/>
      <c r="D142" s="598"/>
    </row>
    <row r="143" spans="1:4" ht="13.5">
      <c r="A143" s="598"/>
      <c r="B143" s="598"/>
      <c r="C143" s="598"/>
      <c r="D143" s="598"/>
    </row>
    <row r="144" spans="1:4" ht="15">
      <c r="A144" s="598"/>
      <c r="B144" s="602" t="s">
        <v>987</v>
      </c>
      <c r="C144" s="598"/>
      <c r="D144" s="598"/>
    </row>
    <row r="145" spans="1:4" ht="13.5">
      <c r="A145" s="598"/>
      <c r="B145" s="598"/>
      <c r="C145" s="598"/>
      <c r="D145" s="598"/>
    </row>
    <row r="146" spans="1:4" ht="15">
      <c r="A146" s="598"/>
      <c r="B146" s="602" t="s">
        <v>988</v>
      </c>
      <c r="C146" s="598"/>
      <c r="D146" s="598"/>
    </row>
    <row r="147" spans="1:4" ht="15">
      <c r="A147" s="598"/>
      <c r="B147" s="602" t="s">
        <v>989</v>
      </c>
      <c r="C147" s="602">
        <f>+C148+C149</f>
        <v>1128910.81</v>
      </c>
      <c r="D147" s="598"/>
    </row>
    <row r="148" spans="1:4" ht="13.5">
      <c r="A148" s="598"/>
      <c r="B148" s="598" t="s">
        <v>990</v>
      </c>
      <c r="C148" s="598">
        <v>972280.89</v>
      </c>
      <c r="D148" s="598"/>
    </row>
    <row r="149" spans="1:4" ht="13.5">
      <c r="A149" s="598"/>
      <c r="B149" s="598" t="s">
        <v>991</v>
      </c>
      <c r="C149" s="598">
        <v>156629.92000000001</v>
      </c>
      <c r="D149" s="598"/>
    </row>
    <row r="150" spans="1:4" ht="13.5">
      <c r="A150" s="598"/>
      <c r="B150" s="598"/>
      <c r="C150" s="598"/>
      <c r="D150" s="598"/>
    </row>
    <row r="151" spans="1:4" ht="13.5">
      <c r="A151" s="598"/>
      <c r="B151" s="598"/>
      <c r="C151" s="598"/>
      <c r="D151" s="598"/>
    </row>
    <row r="152" spans="1:4" ht="15">
      <c r="A152" s="598"/>
      <c r="B152" s="602" t="s">
        <v>992</v>
      </c>
      <c r="C152" s="598"/>
      <c r="D152" s="598"/>
    </row>
    <row r="153" spans="1:4" ht="15">
      <c r="A153" s="598"/>
      <c r="B153" s="602" t="s">
        <v>993</v>
      </c>
      <c r="C153" s="602">
        <f>SUM(C154:C167)</f>
        <v>3838.8</v>
      </c>
      <c r="D153" s="598"/>
    </row>
    <row r="154" spans="1:4" ht="13.5">
      <c r="A154" s="598"/>
      <c r="B154" s="598" t="s">
        <v>994</v>
      </c>
      <c r="C154" s="598">
        <v>176.44</v>
      </c>
      <c r="D154" s="598"/>
    </row>
    <row r="155" spans="1:4" ht="15">
      <c r="A155" s="602"/>
      <c r="B155" s="598" t="s">
        <v>995</v>
      </c>
      <c r="C155" s="598">
        <v>0</v>
      </c>
      <c r="D155" s="602"/>
    </row>
    <row r="156" spans="1:4" ht="13.5">
      <c r="A156" s="598"/>
      <c r="B156" s="598" t="s">
        <v>996</v>
      </c>
      <c r="C156" s="598">
        <v>0</v>
      </c>
      <c r="D156" s="598"/>
    </row>
    <row r="157" spans="1:4" ht="13.5">
      <c r="A157" s="598"/>
      <c r="B157" s="598" t="s">
        <v>997</v>
      </c>
      <c r="C157" s="598">
        <v>956.69</v>
      </c>
      <c r="D157" s="598"/>
    </row>
    <row r="158" spans="1:4" ht="13.5">
      <c r="A158" s="598"/>
      <c r="B158" s="598" t="s">
        <v>998</v>
      </c>
      <c r="C158" s="598">
        <v>733.05</v>
      </c>
      <c r="D158" s="598"/>
    </row>
    <row r="159" spans="1:4" ht="13.5">
      <c r="A159" s="598"/>
      <c r="B159" s="598" t="s">
        <v>999</v>
      </c>
      <c r="C159" s="598">
        <v>0</v>
      </c>
      <c r="D159" s="598"/>
    </row>
    <row r="160" spans="1:4" ht="13.5">
      <c r="A160" s="598"/>
      <c r="B160" s="598" t="s">
        <v>1000</v>
      </c>
      <c r="C160" s="598">
        <v>0</v>
      </c>
      <c r="D160" s="598"/>
    </row>
    <row r="161" spans="1:4" ht="13.5">
      <c r="A161" s="598"/>
      <c r="B161" s="598" t="s">
        <v>1001</v>
      </c>
      <c r="C161" s="598">
        <v>281.67</v>
      </c>
      <c r="D161" s="598"/>
    </row>
    <row r="162" spans="1:4" ht="13.5">
      <c r="A162" s="598"/>
      <c r="B162" s="598" t="s">
        <v>1002</v>
      </c>
      <c r="C162" s="598">
        <v>0</v>
      </c>
      <c r="D162" s="598"/>
    </row>
    <row r="163" spans="1:4" ht="13.5">
      <c r="A163" s="598"/>
      <c r="B163" s="598" t="s">
        <v>1003</v>
      </c>
      <c r="C163" s="598">
        <v>234.59</v>
      </c>
      <c r="D163" s="598"/>
    </row>
    <row r="164" spans="1:4" ht="13.5">
      <c r="A164" s="598"/>
      <c r="B164" s="598" t="s">
        <v>1004</v>
      </c>
      <c r="C164" s="598">
        <v>1413.49</v>
      </c>
      <c r="D164" s="598"/>
    </row>
    <row r="165" spans="1:4" ht="13.5">
      <c r="A165" s="598"/>
      <c r="B165" s="598" t="s">
        <v>1005</v>
      </c>
      <c r="C165" s="598">
        <v>0</v>
      </c>
      <c r="D165" s="598"/>
    </row>
    <row r="166" spans="1:4" ht="13.5">
      <c r="A166" s="598"/>
      <c r="B166" s="598" t="s">
        <v>1006</v>
      </c>
      <c r="C166" s="598">
        <v>42.87</v>
      </c>
      <c r="D166" s="598"/>
    </row>
    <row r="167" spans="1:4" ht="13.5">
      <c r="A167" s="598"/>
      <c r="B167" s="598" t="s">
        <v>1007</v>
      </c>
      <c r="C167" s="598">
        <v>0</v>
      </c>
      <c r="D167" s="598"/>
    </row>
    <row r="168" spans="1:4" ht="13.5">
      <c r="A168" s="598"/>
      <c r="B168" s="598"/>
      <c r="C168" s="598"/>
      <c r="D168" s="598"/>
    </row>
    <row r="169" spans="1:4" ht="13.5">
      <c r="A169" s="598"/>
      <c r="B169" s="598"/>
      <c r="C169" s="598"/>
      <c r="D169" s="598"/>
    </row>
    <row r="170" spans="1:4" ht="15">
      <c r="A170" s="598"/>
      <c r="B170" s="602" t="s">
        <v>1008</v>
      </c>
      <c r="C170" s="602">
        <f>SUM(C171:C174)</f>
        <v>468.74</v>
      </c>
      <c r="D170" s="598"/>
    </row>
    <row r="171" spans="1:4" ht="13.5">
      <c r="A171" s="598"/>
      <c r="B171" s="598" t="s">
        <v>1009</v>
      </c>
      <c r="C171" s="598">
        <v>131.85</v>
      </c>
      <c r="D171" s="598"/>
    </row>
    <row r="172" spans="1:4" ht="13.5">
      <c r="A172" s="598"/>
      <c r="B172" s="598" t="s">
        <v>1010</v>
      </c>
      <c r="C172" s="598">
        <v>211.53</v>
      </c>
      <c r="D172" s="598"/>
    </row>
    <row r="173" spans="1:4" ht="13.5">
      <c r="A173" s="598"/>
      <c r="B173" s="598">
        <v>260205</v>
      </c>
      <c r="C173" s="598">
        <v>108.88</v>
      </c>
      <c r="D173" s="598"/>
    </row>
    <row r="174" spans="1:4" ht="13.5">
      <c r="A174" s="598"/>
      <c r="B174" s="598">
        <v>260206</v>
      </c>
      <c r="C174" s="598">
        <v>16.48</v>
      </c>
      <c r="D174" s="598"/>
    </row>
    <row r="175" spans="1:4" ht="13.5">
      <c r="A175" s="598"/>
      <c r="B175" s="598"/>
      <c r="C175" s="598"/>
      <c r="D175" s="598"/>
    </row>
    <row r="176" spans="1:4" ht="13.5">
      <c r="A176" s="598"/>
      <c r="B176" s="598"/>
      <c r="C176" s="598"/>
      <c r="D176" s="598"/>
    </row>
    <row r="177" spans="1:4" ht="15">
      <c r="A177" s="598"/>
      <c r="B177" s="602" t="s">
        <v>1011</v>
      </c>
      <c r="C177" s="602">
        <f>SUM(C178:C192)</f>
        <v>113161.09</v>
      </c>
      <c r="D177" s="598"/>
    </row>
    <row r="178" spans="1:4" ht="13.5">
      <c r="A178" s="598"/>
      <c r="B178" s="598" t="s">
        <v>1012</v>
      </c>
      <c r="C178" s="598">
        <v>0</v>
      </c>
      <c r="D178" s="598"/>
    </row>
    <row r="179" spans="1:4" ht="13.5">
      <c r="A179" s="598"/>
      <c r="B179" s="598" t="s">
        <v>1013</v>
      </c>
      <c r="C179" s="598">
        <v>19402.98</v>
      </c>
      <c r="D179" s="598"/>
    </row>
    <row r="180" spans="1:4" ht="13.5">
      <c r="A180" s="598"/>
      <c r="B180" s="598" t="s">
        <v>1014</v>
      </c>
      <c r="C180" s="598">
        <v>0</v>
      </c>
      <c r="D180" s="598"/>
    </row>
    <row r="181" spans="1:4" ht="13.5">
      <c r="A181" s="598"/>
      <c r="B181" s="598" t="s">
        <v>1015</v>
      </c>
      <c r="C181" s="598">
        <v>0</v>
      </c>
      <c r="D181" s="598"/>
    </row>
    <row r="182" spans="1:4" ht="13.5">
      <c r="A182" s="598"/>
      <c r="B182" s="598">
        <v>260811</v>
      </c>
      <c r="C182" s="598">
        <v>30744.17</v>
      </c>
      <c r="D182" s="598"/>
    </row>
    <row r="183" spans="1:4" ht="13.5">
      <c r="A183" s="598"/>
      <c r="B183" s="598" t="s">
        <v>1016</v>
      </c>
      <c r="C183" s="598">
        <v>0</v>
      </c>
      <c r="D183" s="598"/>
    </row>
    <row r="184" spans="1:4" ht="13.5">
      <c r="A184" s="598"/>
      <c r="B184" s="598" t="s">
        <v>1017</v>
      </c>
      <c r="C184" s="598">
        <v>0</v>
      </c>
      <c r="D184" s="598"/>
    </row>
    <row r="185" spans="1:4" ht="13.5">
      <c r="A185" s="598"/>
      <c r="B185" s="598" t="s">
        <v>1018</v>
      </c>
      <c r="C185" s="598">
        <v>4928.41</v>
      </c>
      <c r="D185" s="598"/>
    </row>
    <row r="186" spans="1:4" ht="13.5">
      <c r="A186" s="598"/>
      <c r="B186" s="598" t="s">
        <v>1019</v>
      </c>
      <c r="C186" s="598">
        <v>0</v>
      </c>
      <c r="D186" s="598"/>
    </row>
    <row r="187" spans="1:4" ht="13.5">
      <c r="A187" s="598"/>
      <c r="B187" s="598" t="s">
        <v>1020</v>
      </c>
      <c r="C187" s="598">
        <v>43013.72</v>
      </c>
      <c r="D187" s="598"/>
    </row>
    <row r="188" spans="1:4" ht="13.5">
      <c r="A188" s="598"/>
      <c r="B188" s="598" t="s">
        <v>1021</v>
      </c>
      <c r="C188" s="598">
        <v>0</v>
      </c>
      <c r="D188" s="598"/>
    </row>
    <row r="189" spans="1:4" ht="13.5">
      <c r="A189" s="598"/>
      <c r="B189" s="598" t="s">
        <v>1022</v>
      </c>
      <c r="C189" s="598">
        <v>0</v>
      </c>
      <c r="D189" s="598"/>
    </row>
    <row r="190" spans="1:4" ht="13.5">
      <c r="A190" s="598"/>
      <c r="B190" s="598" t="s">
        <v>1023</v>
      </c>
      <c r="C190" s="598">
        <v>13538.59</v>
      </c>
      <c r="D190" s="598"/>
    </row>
    <row r="191" spans="1:4" ht="13.5">
      <c r="A191" s="598"/>
      <c r="B191" s="598" t="s">
        <v>1024</v>
      </c>
      <c r="C191" s="598">
        <v>0</v>
      </c>
      <c r="D191" s="610"/>
    </row>
    <row r="192" spans="1:4" ht="13.5">
      <c r="A192" s="598"/>
      <c r="B192" s="598" t="s">
        <v>1025</v>
      </c>
      <c r="C192" s="598">
        <v>1533.22</v>
      </c>
      <c r="D192" s="610"/>
    </row>
    <row r="193" spans="1:4" ht="14.25" thickBot="1">
      <c r="A193" s="598"/>
      <c r="B193" s="598"/>
      <c r="C193" s="598"/>
      <c r="D193" s="611"/>
    </row>
    <row r="194" spans="1:4" ht="15">
      <c r="A194" s="598"/>
      <c r="B194" s="602" t="s">
        <v>1026</v>
      </c>
      <c r="C194" s="598"/>
      <c r="D194" s="602">
        <f>+C147+C153+C177+C170</f>
        <v>1246379.4400000002</v>
      </c>
    </row>
    <row r="195" spans="1:4" ht="13.5">
      <c r="A195" s="598"/>
      <c r="B195" s="598"/>
      <c r="C195" s="598"/>
      <c r="D195" s="598"/>
    </row>
    <row r="196" spans="1:4" ht="15">
      <c r="A196" s="598"/>
      <c r="B196" s="602"/>
      <c r="C196" s="598"/>
      <c r="D196" s="602"/>
    </row>
    <row r="197" spans="1:4" ht="15">
      <c r="A197" s="598"/>
      <c r="B197" s="602"/>
      <c r="C197" s="598"/>
      <c r="D197" s="602"/>
    </row>
    <row r="198" spans="1:4" ht="13.5">
      <c r="A198" s="598"/>
      <c r="B198" s="598"/>
      <c r="C198" s="598"/>
      <c r="D198" s="598"/>
    </row>
    <row r="199" spans="1:4" ht="15">
      <c r="A199" s="598"/>
      <c r="B199" s="602" t="s">
        <v>1027</v>
      </c>
      <c r="C199" s="598"/>
      <c r="D199" s="598"/>
    </row>
    <row r="200" spans="1:4" ht="15">
      <c r="A200" s="602"/>
      <c r="B200" s="598"/>
      <c r="C200" s="598"/>
      <c r="D200" s="602"/>
    </row>
    <row r="201" spans="1:4" ht="15">
      <c r="A201" s="598"/>
      <c r="B201" s="602" t="s">
        <v>1028</v>
      </c>
      <c r="C201" s="604">
        <f>SUM(C202:C205)</f>
        <v>629792.88</v>
      </c>
      <c r="D201" s="598"/>
    </row>
    <row r="202" spans="1:4" ht="13.5">
      <c r="A202" s="598"/>
      <c r="B202" s="598" t="s">
        <v>1029</v>
      </c>
      <c r="C202" s="598">
        <v>625139.01</v>
      </c>
      <c r="D202" s="598"/>
    </row>
    <row r="203" spans="1:4" ht="13.5">
      <c r="A203" s="598"/>
      <c r="B203" s="598" t="s">
        <v>1030</v>
      </c>
      <c r="C203" s="598">
        <v>112.6</v>
      </c>
      <c r="D203" s="598"/>
    </row>
    <row r="204" spans="1:4" ht="13.5">
      <c r="A204" s="598"/>
      <c r="B204" s="598" t="s">
        <v>1031</v>
      </c>
      <c r="C204" s="598">
        <v>4541.2700000000004</v>
      </c>
      <c r="D204" s="598"/>
    </row>
    <row r="205" spans="1:4" ht="13.5">
      <c r="A205" s="598"/>
      <c r="B205" s="598" t="s">
        <v>1032</v>
      </c>
      <c r="C205" s="598">
        <v>0</v>
      </c>
      <c r="D205" s="598"/>
    </row>
    <row r="206" spans="1:4" ht="13.5">
      <c r="A206" s="598"/>
      <c r="B206" s="598"/>
      <c r="C206" s="598"/>
      <c r="D206" s="598"/>
    </row>
    <row r="207" spans="1:4" ht="13.5">
      <c r="A207" s="598"/>
      <c r="B207" s="598"/>
      <c r="C207" s="598"/>
      <c r="D207" s="598"/>
    </row>
    <row r="208" spans="1:4" ht="15">
      <c r="A208" s="598"/>
      <c r="B208" s="602" t="s">
        <v>1033</v>
      </c>
      <c r="C208" s="604">
        <f>SUM(C209:C215)</f>
        <v>71426.37</v>
      </c>
      <c r="D208" s="598"/>
    </row>
    <row r="209" spans="1:4" ht="13.5">
      <c r="A209" s="598"/>
      <c r="B209" s="598" t="s">
        <v>1034</v>
      </c>
      <c r="C209" s="598">
        <v>7936.1</v>
      </c>
      <c r="D209" s="598"/>
    </row>
    <row r="210" spans="1:4" ht="13.5">
      <c r="A210" s="598"/>
      <c r="B210" s="598" t="s">
        <v>1035</v>
      </c>
      <c r="C210" s="598">
        <v>3396.53</v>
      </c>
      <c r="D210" s="598"/>
    </row>
    <row r="211" spans="1:4" ht="13.5">
      <c r="A211" s="598"/>
      <c r="B211" s="598" t="s">
        <v>1036</v>
      </c>
      <c r="C211" s="598">
        <v>1258.24</v>
      </c>
      <c r="D211" s="598"/>
    </row>
    <row r="212" spans="1:4" ht="13.5">
      <c r="A212" s="598"/>
      <c r="B212" s="598" t="s">
        <v>1037</v>
      </c>
      <c r="C212" s="598">
        <v>0</v>
      </c>
      <c r="D212" s="598"/>
    </row>
    <row r="213" spans="1:4" ht="13.5">
      <c r="A213" s="598"/>
      <c r="B213" s="598" t="s">
        <v>1038</v>
      </c>
      <c r="C213" s="598">
        <v>0</v>
      </c>
      <c r="D213" s="598"/>
    </row>
    <row r="214" spans="1:4" ht="13.5">
      <c r="A214" s="598"/>
      <c r="B214" s="598" t="s">
        <v>1039</v>
      </c>
      <c r="C214" s="598">
        <v>0</v>
      </c>
      <c r="D214" s="598"/>
    </row>
    <row r="215" spans="1:4" ht="13.5">
      <c r="A215" s="598"/>
      <c r="B215" s="598" t="s">
        <v>1040</v>
      </c>
      <c r="C215" s="598">
        <v>58835.5</v>
      </c>
      <c r="D215" s="598"/>
    </row>
    <row r="216" spans="1:4" ht="13.5">
      <c r="A216" s="598"/>
      <c r="B216" s="598"/>
      <c r="C216" s="598"/>
      <c r="D216" s="598"/>
    </row>
    <row r="217" spans="1:4" ht="15">
      <c r="A217" s="598"/>
      <c r="B217" s="602" t="s">
        <v>1041</v>
      </c>
      <c r="C217" s="604">
        <f>C219</f>
        <v>53294.79</v>
      </c>
      <c r="D217" s="598"/>
    </row>
    <row r="218" spans="1:4" ht="13.5">
      <c r="A218" s="598"/>
      <c r="B218" s="598" t="s">
        <v>1042</v>
      </c>
      <c r="C218" s="598">
        <v>0</v>
      </c>
      <c r="D218" s="598"/>
    </row>
    <row r="219" spans="1:4" ht="13.5">
      <c r="A219" s="598"/>
      <c r="B219" s="598" t="s">
        <v>1043</v>
      </c>
      <c r="C219" s="598">
        <v>53294.79</v>
      </c>
      <c r="D219" s="598"/>
    </row>
    <row r="220" spans="1:4" ht="15">
      <c r="A220" s="598"/>
      <c r="B220" s="602" t="s">
        <v>1044</v>
      </c>
      <c r="C220" s="598"/>
      <c r="D220" s="602">
        <f>+C201+C208+C217</f>
        <v>754514.04</v>
      </c>
    </row>
    <row r="221" spans="1:4" ht="13.5">
      <c r="A221" s="598"/>
      <c r="B221" s="598"/>
      <c r="C221" s="598"/>
      <c r="D221" s="598"/>
    </row>
    <row r="222" spans="1:4" ht="15.75" thickBot="1">
      <c r="A222" s="598"/>
      <c r="B222" s="602" t="s">
        <v>1045</v>
      </c>
      <c r="C222" s="598"/>
      <c r="D222" s="612">
        <f>+D194+D220</f>
        <v>2000893.4800000002</v>
      </c>
    </row>
    <row r="223" spans="1:4" ht="14.25" thickTop="1">
      <c r="A223" s="598"/>
      <c r="B223" s="598"/>
      <c r="C223" s="598"/>
      <c r="D223" s="605"/>
    </row>
    <row r="224" spans="1:4" ht="13.5">
      <c r="A224" s="598"/>
      <c r="B224" s="598"/>
      <c r="C224" s="598"/>
      <c r="D224" s="605"/>
    </row>
    <row r="225" spans="1:4" ht="13.5">
      <c r="A225" s="598"/>
      <c r="B225" s="598"/>
      <c r="C225" s="598"/>
      <c r="D225" s="598"/>
    </row>
    <row r="226" spans="1:4" ht="13.5">
      <c r="A226" s="598"/>
      <c r="B226" s="598"/>
      <c r="C226" s="598"/>
      <c r="D226" s="598"/>
    </row>
    <row r="227" spans="1:4" ht="13.5">
      <c r="A227" s="598"/>
      <c r="B227" s="598"/>
      <c r="C227" s="598"/>
      <c r="D227" s="598"/>
    </row>
    <row r="228" spans="1:4" ht="13.5">
      <c r="A228" s="598"/>
      <c r="B228" s="608"/>
      <c r="C228" s="613"/>
      <c r="D228" s="613"/>
    </row>
    <row r="229" spans="1:4" ht="15">
      <c r="A229" s="598"/>
      <c r="B229" s="614" t="s">
        <v>1046</v>
      </c>
      <c r="C229" s="600" t="s">
        <v>880</v>
      </c>
      <c r="D229" s="600"/>
    </row>
    <row r="230" spans="1:4" ht="15">
      <c r="A230" s="598"/>
      <c r="B230" s="598"/>
      <c r="C230" s="607"/>
      <c r="D230" s="607"/>
    </row>
    <row r="231" spans="1:4" ht="15">
      <c r="A231" s="598"/>
      <c r="B231" s="598"/>
      <c r="C231" s="607"/>
      <c r="D231" s="607"/>
    </row>
    <row r="232" spans="1:4" ht="15">
      <c r="A232" s="598"/>
      <c r="B232" s="598"/>
      <c r="C232" s="607"/>
      <c r="D232" s="607"/>
    </row>
    <row r="233" spans="1:4" ht="13.5">
      <c r="A233" s="598"/>
      <c r="B233" s="598"/>
      <c r="C233" s="598"/>
      <c r="D233" s="598"/>
    </row>
    <row r="234" spans="1:4" ht="13.5">
      <c r="A234" s="598"/>
      <c r="B234" s="608"/>
      <c r="C234" s="613"/>
      <c r="D234" s="613"/>
    </row>
    <row r="235" spans="1:4" ht="15">
      <c r="A235" s="598"/>
      <c r="B235" s="614" t="s">
        <v>1047</v>
      </c>
      <c r="C235" s="600" t="s">
        <v>884</v>
      </c>
      <c r="D235" s="600"/>
    </row>
    <row r="236" spans="1:4" ht="15">
      <c r="A236" s="598"/>
      <c r="B236" s="614"/>
    </row>
  </sheetData>
  <mergeCells count="10">
    <mergeCell ref="C228:D228"/>
    <mergeCell ref="C229:D229"/>
    <mergeCell ref="C234:D234"/>
    <mergeCell ref="C235:D235"/>
    <mergeCell ref="B1:C1"/>
    <mergeCell ref="B2:C2"/>
    <mergeCell ref="B3:C3"/>
    <mergeCell ref="B52:C52"/>
    <mergeCell ref="B53:C53"/>
    <mergeCell ref="B54:C54"/>
  </mergeCells>
  <pageMargins left="0.75" right="0.75" top="1" bottom="1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40"/>
  <sheetViews>
    <sheetView tabSelected="1" workbookViewId="0">
      <selection activeCell="C25" sqref="C25"/>
    </sheetView>
  </sheetViews>
  <sheetFormatPr baseColWidth="10" defaultColWidth="11.42578125" defaultRowHeight="12.75"/>
  <cols>
    <col min="1" max="1" width="2.85546875" customWidth="1"/>
    <col min="2" max="2" width="29.5703125" customWidth="1"/>
    <col min="3" max="3" width="33.7109375" customWidth="1"/>
    <col min="4" max="7" width="11.42578125" customWidth="1"/>
    <col min="8" max="8" width="10.85546875" customWidth="1"/>
    <col min="9" max="10" width="11.42578125" customWidth="1"/>
    <col min="11" max="12" width="11.5703125" customWidth="1"/>
    <col min="13" max="13" width="0.5703125" customWidth="1"/>
    <col min="14" max="15" width="11.42578125" hidden="1" customWidth="1"/>
    <col min="16" max="16" width="11.140625" customWidth="1"/>
    <col min="17" max="17" width="0.7109375" customWidth="1"/>
    <col min="18" max="19" width="11.42578125" hidden="1" customWidth="1"/>
  </cols>
  <sheetData>
    <row r="1" spans="1:31">
      <c r="B1" s="1" t="s">
        <v>179</v>
      </c>
      <c r="C1" s="1"/>
      <c r="T1" s="1"/>
    </row>
    <row r="2" spans="1:31">
      <c r="B2" s="1"/>
      <c r="C2" s="1"/>
      <c r="W2" s="2" t="s">
        <v>0</v>
      </c>
      <c r="X2" s="2">
        <v>31</v>
      </c>
      <c r="Y2" s="2" t="s">
        <v>1</v>
      </c>
      <c r="Z2">
        <v>31</v>
      </c>
      <c r="AB2" s="2" t="s">
        <v>2</v>
      </c>
      <c r="AC2" s="2">
        <v>31</v>
      </c>
      <c r="AD2" s="2" t="s">
        <v>3</v>
      </c>
      <c r="AE2" s="2">
        <v>31</v>
      </c>
    </row>
    <row r="3" spans="1:31">
      <c r="B3" s="3" t="s">
        <v>180</v>
      </c>
      <c r="C3" s="3"/>
      <c r="D3" s="3"/>
      <c r="O3" s="4"/>
      <c r="W3" s="5" t="s">
        <v>4</v>
      </c>
      <c r="X3" s="5">
        <v>28</v>
      </c>
      <c r="Y3" s="5" t="s">
        <v>5</v>
      </c>
      <c r="Z3" s="5">
        <v>31</v>
      </c>
      <c r="AA3" s="3"/>
      <c r="AB3" s="5" t="s">
        <v>6</v>
      </c>
      <c r="AC3" s="5">
        <v>31</v>
      </c>
      <c r="AD3" s="5" t="s">
        <v>7</v>
      </c>
      <c r="AE3" s="5">
        <v>30</v>
      </c>
    </row>
    <row r="4" spans="1:31">
      <c r="B4" s="3" t="s">
        <v>8</v>
      </c>
      <c r="C4" s="3"/>
      <c r="D4" s="3"/>
      <c r="O4" s="6"/>
      <c r="W4" s="5" t="s">
        <v>9</v>
      </c>
      <c r="X4" s="5">
        <v>31</v>
      </c>
      <c r="Y4" s="5" t="s">
        <v>10</v>
      </c>
      <c r="Z4" s="5">
        <v>30</v>
      </c>
      <c r="AA4" s="3"/>
      <c r="AB4" s="5" t="s">
        <v>11</v>
      </c>
      <c r="AC4" s="5">
        <v>30</v>
      </c>
      <c r="AD4" s="5" t="s">
        <v>12</v>
      </c>
      <c r="AE4" s="5">
        <v>31</v>
      </c>
    </row>
    <row r="5" spans="1:31" ht="13.5" thickBot="1">
      <c r="B5" s="3" t="s">
        <v>13</v>
      </c>
      <c r="C5" s="3"/>
      <c r="D5" s="3"/>
      <c r="O5" s="7"/>
      <c r="W5" s="3" t="s">
        <v>14</v>
      </c>
      <c r="X5" s="8"/>
      <c r="Y5" s="3"/>
      <c r="Z5" s="3">
        <f>+X2+X3+X4+Z2+Z3+Z4</f>
        <v>182</v>
      </c>
      <c r="AA5" s="3"/>
      <c r="AB5" s="3" t="s">
        <v>15</v>
      </c>
      <c r="AC5" s="3"/>
      <c r="AD5" s="3"/>
      <c r="AE5" s="3">
        <f>+AC2+AC3+AC4+AE2+AE3+AE4</f>
        <v>184</v>
      </c>
    </row>
    <row r="6" spans="1:31" s="9" customFormat="1" ht="47.25" customHeight="1" thickBot="1">
      <c r="B6" s="10" t="s">
        <v>16</v>
      </c>
      <c r="C6" s="11" t="s">
        <v>182</v>
      </c>
      <c r="D6" s="10" t="s">
        <v>17</v>
      </c>
      <c r="E6" s="11" t="s">
        <v>18</v>
      </c>
      <c r="F6" s="12" t="s">
        <v>19</v>
      </c>
      <c r="G6" s="12" t="s">
        <v>20</v>
      </c>
      <c r="H6" s="12" t="s">
        <v>21</v>
      </c>
      <c r="I6" s="12" t="s">
        <v>22</v>
      </c>
      <c r="J6" s="12" t="s">
        <v>23</v>
      </c>
      <c r="K6" s="12" t="s">
        <v>24</v>
      </c>
      <c r="L6" s="13" t="s">
        <v>25</v>
      </c>
      <c r="M6" s="14" t="s">
        <v>26</v>
      </c>
      <c r="N6" s="14" t="s">
        <v>27</v>
      </c>
      <c r="O6" s="15" t="s">
        <v>28</v>
      </c>
      <c r="P6" s="16" t="s">
        <v>29</v>
      </c>
      <c r="Q6" s="17" t="s">
        <v>30</v>
      </c>
      <c r="R6" s="14" t="s">
        <v>31</v>
      </c>
      <c r="S6" s="14" t="s">
        <v>32</v>
      </c>
      <c r="T6" s="14" t="s">
        <v>33</v>
      </c>
    </row>
    <row r="7" spans="1:31" ht="13.5" thickBot="1">
      <c r="B7" s="212" t="s">
        <v>34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4"/>
      <c r="P7" s="192"/>
      <c r="Q7" s="192"/>
      <c r="R7" s="192"/>
      <c r="S7" s="192"/>
      <c r="T7" s="193"/>
    </row>
    <row r="8" spans="1:31">
      <c r="B8" s="18" t="s">
        <v>35</v>
      </c>
      <c r="C8" s="19" t="s">
        <v>36</v>
      </c>
      <c r="D8" s="20">
        <f>935000/25000</f>
        <v>37.4</v>
      </c>
      <c r="E8" s="21">
        <v>0.1</v>
      </c>
      <c r="F8" s="22">
        <v>35844</v>
      </c>
      <c r="G8" s="20">
        <f t="shared" ref="G8:G39" si="0">+E8*D8</f>
        <v>3.74</v>
      </c>
      <c r="H8" s="23">
        <v>0.5</v>
      </c>
      <c r="I8" s="23">
        <f>+G8/12</f>
        <v>0.3116666666666667</v>
      </c>
      <c r="J8" s="24">
        <f>365*9+10+31+30+31+30+31+31+30+31+30+31</f>
        <v>3601</v>
      </c>
      <c r="K8" s="25">
        <f>D8-((D8*E8)/365*J8)</f>
        <v>0.50208219178081492</v>
      </c>
      <c r="L8" s="25">
        <f>(D8*E8)/365*J8</f>
        <v>36.897917808219184</v>
      </c>
      <c r="M8" s="24">
        <f>+J8+X2+18</f>
        <v>3650</v>
      </c>
      <c r="N8" s="26">
        <f>+L8+H8</f>
        <v>37.397917808219184</v>
      </c>
      <c r="O8" s="23">
        <f t="shared" ref="O8:O46" si="1">D8-N8</f>
        <v>2.0821917808149237E-3</v>
      </c>
      <c r="P8" s="190">
        <f>+K8-O8</f>
        <v>0.5</v>
      </c>
      <c r="Q8" s="191">
        <v>3650</v>
      </c>
      <c r="R8" s="190">
        <f t="shared" ref="R8:R46" si="2">(D8*E8)/365*Q8</f>
        <v>37.400000000000006</v>
      </c>
      <c r="S8" s="190">
        <f t="shared" ref="S8:S46" si="3">+D8-R8</f>
        <v>0</v>
      </c>
      <c r="T8" s="194">
        <f t="shared" ref="T8:T42" si="4">+O8-S8</f>
        <v>2.0821917808149237E-3</v>
      </c>
    </row>
    <row r="9" spans="1:31" ht="13.5">
      <c r="B9" s="29" t="s">
        <v>37</v>
      </c>
      <c r="C9" s="30" t="s">
        <v>38</v>
      </c>
      <c r="D9" s="31">
        <v>227.92</v>
      </c>
      <c r="E9" s="32">
        <v>0.1</v>
      </c>
      <c r="F9" s="33">
        <v>37591</v>
      </c>
      <c r="G9" s="34">
        <f t="shared" si="0"/>
        <v>22.792000000000002</v>
      </c>
      <c r="H9" s="35">
        <f t="shared" ref="H9:H46" si="5">+G9/12*6</f>
        <v>11.396000000000001</v>
      </c>
      <c r="I9" s="35">
        <f t="shared" ref="I9:I46" si="6">+G9/12</f>
        <v>1.8993333333333335</v>
      </c>
      <c r="J9" s="36">
        <f>365*5+30</f>
        <v>1855</v>
      </c>
      <c r="K9" s="25">
        <f t="shared" ref="K9:K42" si="7">D9-((D9*E9)/365*J9)</f>
        <v>112.08668493150682</v>
      </c>
      <c r="L9" s="25">
        <f t="shared" ref="L9:L42" si="8">(D9*E9)/365*J9</f>
        <v>115.83331506849316</v>
      </c>
      <c r="M9" s="24">
        <f t="shared" ref="M9:M35" si="9">+J9+Z$5</f>
        <v>2037</v>
      </c>
      <c r="N9" s="26">
        <f>+L9+H9</f>
        <v>127.22931506849316</v>
      </c>
      <c r="O9" s="35">
        <f t="shared" si="1"/>
        <v>100.69068493150682</v>
      </c>
      <c r="P9" s="27">
        <f t="shared" ref="P9:P38" si="10">+K9-O9</f>
        <v>11.396000000000001</v>
      </c>
      <c r="Q9" s="28">
        <f t="shared" ref="Q9:Q40" si="11">+M9+$AE$5</f>
        <v>2221</v>
      </c>
      <c r="R9" s="27">
        <f t="shared" si="2"/>
        <v>138.68775890410961</v>
      </c>
      <c r="S9" s="27">
        <f t="shared" si="3"/>
        <v>89.232241095890373</v>
      </c>
      <c r="T9" s="195">
        <f t="shared" si="4"/>
        <v>11.45844383561645</v>
      </c>
    </row>
    <row r="10" spans="1:31" ht="13.5">
      <c r="B10" s="29" t="s">
        <v>39</v>
      </c>
      <c r="C10" s="30"/>
      <c r="D10" s="35">
        <v>50.4</v>
      </c>
      <c r="E10" s="32">
        <v>0.1</v>
      </c>
      <c r="F10" s="33">
        <v>37649</v>
      </c>
      <c r="G10" s="34">
        <f t="shared" si="0"/>
        <v>5.04</v>
      </c>
      <c r="H10" s="35">
        <f t="shared" si="5"/>
        <v>2.52</v>
      </c>
      <c r="I10" s="35">
        <f t="shared" si="6"/>
        <v>0.42</v>
      </c>
      <c r="J10" s="36">
        <f>365*4+3+28+31+30+31+30+31+31+30+31+30+31</f>
        <v>1797</v>
      </c>
      <c r="K10" s="25">
        <f t="shared" si="7"/>
        <v>25.586630136986301</v>
      </c>
      <c r="L10" s="25">
        <f t="shared" si="8"/>
        <v>24.813369863013698</v>
      </c>
      <c r="M10" s="24">
        <f t="shared" si="9"/>
        <v>1979</v>
      </c>
      <c r="N10" s="26">
        <f t="shared" ref="N10:N38" si="12">+L10+H10</f>
        <v>27.333369863013697</v>
      </c>
      <c r="O10" s="35">
        <f t="shared" si="1"/>
        <v>23.066630136986301</v>
      </c>
      <c r="P10" s="27">
        <f t="shared" si="10"/>
        <v>2.5199999999999996</v>
      </c>
      <c r="Q10" s="28">
        <f t="shared" si="11"/>
        <v>2163</v>
      </c>
      <c r="R10" s="27">
        <f t="shared" si="2"/>
        <v>29.867178082191781</v>
      </c>
      <c r="S10" s="27">
        <f t="shared" si="3"/>
        <v>20.532821917808217</v>
      </c>
      <c r="T10" s="195">
        <f t="shared" si="4"/>
        <v>2.5338082191780842</v>
      </c>
    </row>
    <row r="11" spans="1:31" ht="13.5">
      <c r="B11" s="29" t="s">
        <v>40</v>
      </c>
      <c r="C11" s="30" t="s">
        <v>41</v>
      </c>
      <c r="D11" s="35">
        <v>47.25</v>
      </c>
      <c r="E11" s="37">
        <v>0.1</v>
      </c>
      <c r="F11" s="33">
        <v>37903</v>
      </c>
      <c r="G11" s="31">
        <f t="shared" si="0"/>
        <v>4.7250000000000005</v>
      </c>
      <c r="H11" s="38">
        <f t="shared" si="5"/>
        <v>2.3625000000000003</v>
      </c>
      <c r="I11" s="38">
        <f t="shared" si="6"/>
        <v>0.39375000000000004</v>
      </c>
      <c r="J11" s="36">
        <f>365*4+22+30+31</f>
        <v>1543</v>
      </c>
      <c r="K11" s="25">
        <f t="shared" si="7"/>
        <v>27.275547945205478</v>
      </c>
      <c r="L11" s="25">
        <f t="shared" si="8"/>
        <v>19.974452054794522</v>
      </c>
      <c r="M11" s="24">
        <f t="shared" si="9"/>
        <v>1725</v>
      </c>
      <c r="N11" s="26">
        <f t="shared" si="12"/>
        <v>22.336952054794523</v>
      </c>
      <c r="O11" s="38">
        <f t="shared" si="1"/>
        <v>24.913047945205477</v>
      </c>
      <c r="P11" s="27">
        <f t="shared" si="10"/>
        <v>2.3625000000000007</v>
      </c>
      <c r="Q11" s="28">
        <f t="shared" si="11"/>
        <v>1909</v>
      </c>
      <c r="R11" s="27">
        <f t="shared" si="2"/>
        <v>24.712397260273974</v>
      </c>
      <c r="S11" s="27">
        <f t="shared" si="3"/>
        <v>22.537602739726026</v>
      </c>
      <c r="T11" s="195">
        <f t="shared" si="4"/>
        <v>2.3754452054794513</v>
      </c>
    </row>
    <row r="12" spans="1:31" ht="13.5">
      <c r="A12" s="39"/>
      <c r="B12" s="29" t="s">
        <v>42</v>
      </c>
      <c r="C12" s="30" t="s">
        <v>43</v>
      </c>
      <c r="D12" s="35">
        <v>159.02000000000001</v>
      </c>
      <c r="E12" s="37">
        <v>0.1</v>
      </c>
      <c r="F12" s="33">
        <v>37984</v>
      </c>
      <c r="G12" s="31">
        <f t="shared" si="0"/>
        <v>15.902000000000001</v>
      </c>
      <c r="H12" s="38">
        <f t="shared" si="5"/>
        <v>7.9510000000000005</v>
      </c>
      <c r="I12" s="38">
        <f t="shared" si="6"/>
        <v>1.3251666666666668</v>
      </c>
      <c r="J12" s="36">
        <f>365*4+2</f>
        <v>1462</v>
      </c>
      <c r="K12" s="25">
        <f t="shared" si="7"/>
        <v>95.32486575342466</v>
      </c>
      <c r="L12" s="25">
        <f t="shared" si="8"/>
        <v>63.695134246575343</v>
      </c>
      <c r="M12" s="24">
        <f t="shared" si="9"/>
        <v>1644</v>
      </c>
      <c r="N12" s="26">
        <f t="shared" si="12"/>
        <v>71.646134246575343</v>
      </c>
      <c r="O12" s="38">
        <f t="shared" si="1"/>
        <v>87.373865753424667</v>
      </c>
      <c r="P12" s="27">
        <f t="shared" si="10"/>
        <v>7.9509999999999934</v>
      </c>
      <c r="Q12" s="28">
        <f t="shared" si="11"/>
        <v>1828</v>
      </c>
      <c r="R12" s="27">
        <f t="shared" si="2"/>
        <v>79.64070136986301</v>
      </c>
      <c r="S12" s="27">
        <f t="shared" si="3"/>
        <v>79.379298630137001</v>
      </c>
      <c r="T12" s="195">
        <f t="shared" si="4"/>
        <v>7.9945671232876663</v>
      </c>
    </row>
    <row r="13" spans="1:31" ht="13.5">
      <c r="A13" s="39"/>
      <c r="B13" s="29" t="s">
        <v>44</v>
      </c>
      <c r="C13" s="40" t="s">
        <v>45</v>
      </c>
      <c r="D13" s="35">
        <f>633.92-13.86</f>
        <v>620.05999999999995</v>
      </c>
      <c r="E13" s="32">
        <v>0.1</v>
      </c>
      <c r="F13" s="41">
        <v>37986</v>
      </c>
      <c r="G13" s="31">
        <f t="shared" si="0"/>
        <v>62.006</v>
      </c>
      <c r="H13" s="38">
        <f t="shared" si="5"/>
        <v>31.003</v>
      </c>
      <c r="I13" s="38">
        <f t="shared" si="6"/>
        <v>5.1671666666666667</v>
      </c>
      <c r="J13" s="36">
        <f>365*4</f>
        <v>1460</v>
      </c>
      <c r="K13" s="25">
        <f t="shared" si="7"/>
        <v>372.03599999999994</v>
      </c>
      <c r="L13" s="25">
        <f t="shared" si="8"/>
        <v>248.024</v>
      </c>
      <c r="M13" s="24">
        <f t="shared" si="9"/>
        <v>1642</v>
      </c>
      <c r="N13" s="26">
        <f t="shared" si="12"/>
        <v>279.02699999999999</v>
      </c>
      <c r="O13" s="38">
        <f t="shared" si="1"/>
        <v>341.03299999999996</v>
      </c>
      <c r="P13" s="27">
        <f t="shared" si="10"/>
        <v>31.002999999999986</v>
      </c>
      <c r="Q13" s="28">
        <f t="shared" si="11"/>
        <v>1826</v>
      </c>
      <c r="R13" s="27">
        <f t="shared" si="2"/>
        <v>310.1998794520548</v>
      </c>
      <c r="S13" s="27">
        <f t="shared" si="3"/>
        <v>309.86012054794514</v>
      </c>
      <c r="T13" s="195">
        <f t="shared" si="4"/>
        <v>31.172879452054815</v>
      </c>
    </row>
    <row r="14" spans="1:31" ht="13.5">
      <c r="A14" s="39"/>
      <c r="B14" s="29" t="s">
        <v>46</v>
      </c>
      <c r="C14" s="40" t="s">
        <v>47</v>
      </c>
      <c r="D14" s="35">
        <f>357.28-13.86</f>
        <v>343.41999999999996</v>
      </c>
      <c r="E14" s="32">
        <v>0.1</v>
      </c>
      <c r="F14" s="33">
        <v>37986</v>
      </c>
      <c r="G14" s="31">
        <f t="shared" si="0"/>
        <v>34.341999999999999</v>
      </c>
      <c r="H14" s="38">
        <f t="shared" si="5"/>
        <v>17.170999999999999</v>
      </c>
      <c r="I14" s="38">
        <f t="shared" si="6"/>
        <v>2.8618333333333332</v>
      </c>
      <c r="J14" s="36">
        <f>365*4</f>
        <v>1460</v>
      </c>
      <c r="K14" s="25">
        <f t="shared" si="7"/>
        <v>206.05199999999996</v>
      </c>
      <c r="L14" s="25">
        <f t="shared" si="8"/>
        <v>137.36799999999999</v>
      </c>
      <c r="M14" s="24">
        <f t="shared" si="9"/>
        <v>1642</v>
      </c>
      <c r="N14" s="26">
        <f t="shared" si="12"/>
        <v>154.53899999999999</v>
      </c>
      <c r="O14" s="38">
        <f t="shared" si="1"/>
        <v>188.88099999999997</v>
      </c>
      <c r="P14" s="27">
        <f t="shared" si="10"/>
        <v>17.170999999999992</v>
      </c>
      <c r="Q14" s="28">
        <f t="shared" si="11"/>
        <v>1826</v>
      </c>
      <c r="R14" s="27">
        <f t="shared" si="2"/>
        <v>171.80408767123288</v>
      </c>
      <c r="S14" s="27">
        <f t="shared" si="3"/>
        <v>171.61591232876708</v>
      </c>
      <c r="T14" s="195">
        <f t="shared" si="4"/>
        <v>17.265087671232891</v>
      </c>
    </row>
    <row r="15" spans="1:31" ht="13.5">
      <c r="A15" s="39"/>
      <c r="B15" s="29" t="s">
        <v>46</v>
      </c>
      <c r="C15" s="40" t="s">
        <v>47</v>
      </c>
      <c r="D15" s="35">
        <f>357.28-13.86</f>
        <v>343.41999999999996</v>
      </c>
      <c r="E15" s="32">
        <v>0.1</v>
      </c>
      <c r="F15" s="33">
        <v>37986</v>
      </c>
      <c r="G15" s="31">
        <f t="shared" si="0"/>
        <v>34.341999999999999</v>
      </c>
      <c r="H15" s="38">
        <f t="shared" si="5"/>
        <v>17.170999999999999</v>
      </c>
      <c r="I15" s="38">
        <f t="shared" si="6"/>
        <v>2.8618333333333332</v>
      </c>
      <c r="J15" s="36">
        <f>365*4</f>
        <v>1460</v>
      </c>
      <c r="K15" s="25">
        <f t="shared" si="7"/>
        <v>206.05199999999996</v>
      </c>
      <c r="L15" s="25">
        <f t="shared" si="8"/>
        <v>137.36799999999999</v>
      </c>
      <c r="M15" s="24">
        <f t="shared" si="9"/>
        <v>1642</v>
      </c>
      <c r="N15" s="26">
        <f t="shared" si="12"/>
        <v>154.53899999999999</v>
      </c>
      <c r="O15" s="38">
        <f t="shared" si="1"/>
        <v>188.88099999999997</v>
      </c>
      <c r="P15" s="27">
        <f t="shared" si="10"/>
        <v>17.170999999999992</v>
      </c>
      <c r="Q15" s="28">
        <f t="shared" si="11"/>
        <v>1826</v>
      </c>
      <c r="R15" s="27">
        <f t="shared" si="2"/>
        <v>171.80408767123288</v>
      </c>
      <c r="S15" s="27">
        <f t="shared" si="3"/>
        <v>171.61591232876708</v>
      </c>
      <c r="T15" s="195">
        <f t="shared" si="4"/>
        <v>17.265087671232891</v>
      </c>
    </row>
    <row r="16" spans="1:31" ht="13.5">
      <c r="A16" s="39"/>
      <c r="B16" s="29" t="s">
        <v>48</v>
      </c>
      <c r="C16" s="40" t="s">
        <v>49</v>
      </c>
      <c r="D16" s="35">
        <f>87.36-13.86</f>
        <v>73.5</v>
      </c>
      <c r="E16" s="32">
        <v>0.1</v>
      </c>
      <c r="F16" s="33">
        <v>37986</v>
      </c>
      <c r="G16" s="31">
        <f t="shared" si="0"/>
        <v>7.3500000000000005</v>
      </c>
      <c r="H16" s="38">
        <f t="shared" si="5"/>
        <v>3.6750000000000003</v>
      </c>
      <c r="I16" s="38">
        <f t="shared" si="6"/>
        <v>0.61250000000000004</v>
      </c>
      <c r="J16" s="36">
        <v>1460</v>
      </c>
      <c r="K16" s="25">
        <f t="shared" si="7"/>
        <v>44.099999999999994</v>
      </c>
      <c r="L16" s="25">
        <f t="shared" si="8"/>
        <v>29.400000000000002</v>
      </c>
      <c r="M16" s="24">
        <f t="shared" si="9"/>
        <v>1642</v>
      </c>
      <c r="N16" s="26">
        <f t="shared" si="12"/>
        <v>33.075000000000003</v>
      </c>
      <c r="O16" s="38">
        <f t="shared" si="1"/>
        <v>40.424999999999997</v>
      </c>
      <c r="P16" s="27">
        <f t="shared" si="10"/>
        <v>3.6749999999999972</v>
      </c>
      <c r="Q16" s="28">
        <f t="shared" si="11"/>
        <v>1826</v>
      </c>
      <c r="R16" s="27">
        <f t="shared" si="2"/>
        <v>36.770136986301374</v>
      </c>
      <c r="S16" s="27">
        <f t="shared" si="3"/>
        <v>36.729863013698626</v>
      </c>
      <c r="T16" s="195">
        <f t="shared" si="4"/>
        <v>3.695136986301371</v>
      </c>
    </row>
    <row r="17" spans="1:20" ht="13.5">
      <c r="A17" s="39"/>
      <c r="B17" s="29" t="s">
        <v>50</v>
      </c>
      <c r="C17" s="40" t="s">
        <v>51</v>
      </c>
      <c r="D17" s="35">
        <f>157.92-13.86</f>
        <v>144.06</v>
      </c>
      <c r="E17" s="32">
        <v>0.1</v>
      </c>
      <c r="F17" s="33">
        <v>37986</v>
      </c>
      <c r="G17" s="31">
        <f t="shared" si="0"/>
        <v>14.406000000000001</v>
      </c>
      <c r="H17" s="38">
        <f t="shared" si="5"/>
        <v>7.2030000000000012</v>
      </c>
      <c r="I17" s="38">
        <f t="shared" si="6"/>
        <v>1.2005000000000001</v>
      </c>
      <c r="J17" s="36">
        <f>365*4</f>
        <v>1460</v>
      </c>
      <c r="K17" s="25">
        <f t="shared" si="7"/>
        <v>86.436000000000007</v>
      </c>
      <c r="L17" s="25">
        <f t="shared" si="8"/>
        <v>57.623999999999995</v>
      </c>
      <c r="M17" s="24">
        <f t="shared" si="9"/>
        <v>1642</v>
      </c>
      <c r="N17" s="26">
        <f t="shared" si="12"/>
        <v>64.826999999999998</v>
      </c>
      <c r="O17" s="38">
        <f t="shared" si="1"/>
        <v>79.233000000000004</v>
      </c>
      <c r="P17" s="27">
        <f t="shared" si="10"/>
        <v>7.203000000000003</v>
      </c>
      <c r="Q17" s="28">
        <f t="shared" si="11"/>
        <v>1826</v>
      </c>
      <c r="R17" s="27">
        <f t="shared" si="2"/>
        <v>72.06946849315068</v>
      </c>
      <c r="S17" s="27">
        <f t="shared" si="3"/>
        <v>71.990531506849322</v>
      </c>
      <c r="T17" s="195">
        <f t="shared" si="4"/>
        <v>7.2424684931506818</v>
      </c>
    </row>
    <row r="18" spans="1:20" ht="13.5">
      <c r="A18" s="39"/>
      <c r="B18" s="29" t="s">
        <v>52</v>
      </c>
      <c r="C18" s="40" t="s">
        <v>53</v>
      </c>
      <c r="D18" s="35">
        <f>145.6-13.86</f>
        <v>131.74</v>
      </c>
      <c r="E18" s="32">
        <v>0.1</v>
      </c>
      <c r="F18" s="33">
        <v>37986</v>
      </c>
      <c r="G18" s="31">
        <f t="shared" si="0"/>
        <v>13.174000000000001</v>
      </c>
      <c r="H18" s="38">
        <f t="shared" si="5"/>
        <v>6.5870000000000006</v>
      </c>
      <c r="I18" s="38">
        <f t="shared" si="6"/>
        <v>1.0978333333333334</v>
      </c>
      <c r="J18" s="36">
        <v>1460</v>
      </c>
      <c r="K18" s="25">
        <f t="shared" si="7"/>
        <v>79.044000000000011</v>
      </c>
      <c r="L18" s="25">
        <f t="shared" si="8"/>
        <v>52.696000000000005</v>
      </c>
      <c r="M18" s="24">
        <f t="shared" si="9"/>
        <v>1642</v>
      </c>
      <c r="N18" s="26">
        <f t="shared" si="12"/>
        <v>59.283000000000008</v>
      </c>
      <c r="O18" s="38">
        <f t="shared" si="1"/>
        <v>72.456999999999994</v>
      </c>
      <c r="P18" s="27">
        <f t="shared" si="10"/>
        <v>6.5870000000000175</v>
      </c>
      <c r="Q18" s="28">
        <f t="shared" si="11"/>
        <v>1826</v>
      </c>
      <c r="R18" s="27">
        <f t="shared" si="2"/>
        <v>65.906093150684939</v>
      </c>
      <c r="S18" s="27">
        <f t="shared" si="3"/>
        <v>65.833906849315071</v>
      </c>
      <c r="T18" s="195">
        <f t="shared" si="4"/>
        <v>6.6230931506849231</v>
      </c>
    </row>
    <row r="19" spans="1:20" ht="13.5">
      <c r="A19" s="39"/>
      <c r="B19" s="29" t="s">
        <v>50</v>
      </c>
      <c r="C19" s="40" t="s">
        <v>54</v>
      </c>
      <c r="D19" s="35">
        <f>220.64-13.86</f>
        <v>206.77999999999997</v>
      </c>
      <c r="E19" s="32">
        <v>0.1</v>
      </c>
      <c r="F19" s="33">
        <v>37986</v>
      </c>
      <c r="G19" s="31">
        <f t="shared" si="0"/>
        <v>20.677999999999997</v>
      </c>
      <c r="H19" s="38">
        <f t="shared" si="5"/>
        <v>10.338999999999999</v>
      </c>
      <c r="I19" s="38">
        <f t="shared" si="6"/>
        <v>1.7231666666666665</v>
      </c>
      <c r="J19" s="36">
        <v>1460</v>
      </c>
      <c r="K19" s="25">
        <f t="shared" si="7"/>
        <v>124.06799999999998</v>
      </c>
      <c r="L19" s="25">
        <f t="shared" si="8"/>
        <v>82.711999999999989</v>
      </c>
      <c r="M19" s="24">
        <f t="shared" si="9"/>
        <v>1642</v>
      </c>
      <c r="N19" s="26">
        <f t="shared" si="12"/>
        <v>93.050999999999988</v>
      </c>
      <c r="O19" s="38">
        <f t="shared" si="1"/>
        <v>113.72899999999998</v>
      </c>
      <c r="P19" s="27">
        <f t="shared" si="10"/>
        <v>10.338999999999999</v>
      </c>
      <c r="Q19" s="28">
        <f t="shared" si="11"/>
        <v>1826</v>
      </c>
      <c r="R19" s="27">
        <f t="shared" si="2"/>
        <v>103.44665205479451</v>
      </c>
      <c r="S19" s="27">
        <f t="shared" si="3"/>
        <v>103.33334794520546</v>
      </c>
      <c r="T19" s="195">
        <f t="shared" si="4"/>
        <v>10.395652054794525</v>
      </c>
    </row>
    <row r="20" spans="1:20">
      <c r="A20" s="39"/>
      <c r="B20" s="42" t="s">
        <v>55</v>
      </c>
      <c r="C20" s="40" t="s">
        <v>56</v>
      </c>
      <c r="D20" s="35">
        <f>151.2-13.86</f>
        <v>137.33999999999997</v>
      </c>
      <c r="E20" s="32">
        <v>0.1</v>
      </c>
      <c r="F20" s="33">
        <v>37986</v>
      </c>
      <c r="G20" s="31">
        <f t="shared" si="0"/>
        <v>13.733999999999998</v>
      </c>
      <c r="H20" s="35">
        <f t="shared" si="5"/>
        <v>6.8669999999999991</v>
      </c>
      <c r="I20" s="35">
        <f t="shared" si="6"/>
        <v>1.1444999999999999</v>
      </c>
      <c r="J20" s="36">
        <f>365*4</f>
        <v>1460</v>
      </c>
      <c r="K20" s="25">
        <f t="shared" si="7"/>
        <v>82.403999999999982</v>
      </c>
      <c r="L20" s="25">
        <f t="shared" si="8"/>
        <v>54.935999999999993</v>
      </c>
      <c r="M20" s="24">
        <f t="shared" si="9"/>
        <v>1642</v>
      </c>
      <c r="N20" s="26">
        <f t="shared" si="12"/>
        <v>61.80299999999999</v>
      </c>
      <c r="O20" s="38">
        <f t="shared" si="1"/>
        <v>75.536999999999978</v>
      </c>
      <c r="P20" s="27">
        <f t="shared" si="10"/>
        <v>6.8670000000000044</v>
      </c>
      <c r="Q20" s="28">
        <f t="shared" si="11"/>
        <v>1826</v>
      </c>
      <c r="R20" s="27">
        <f t="shared" si="2"/>
        <v>68.707627397260268</v>
      </c>
      <c r="S20" s="27">
        <f t="shared" si="3"/>
        <v>68.632372602739707</v>
      </c>
      <c r="T20" s="195">
        <f t="shared" si="4"/>
        <v>6.9046273972602705</v>
      </c>
    </row>
    <row r="21" spans="1:20" ht="13.5">
      <c r="A21" s="39"/>
      <c r="B21" s="29" t="s">
        <v>57</v>
      </c>
      <c r="C21" s="40" t="s">
        <v>58</v>
      </c>
      <c r="D21" s="35">
        <f>200.48-13.86</f>
        <v>186.62</v>
      </c>
      <c r="E21" s="32">
        <v>0.1</v>
      </c>
      <c r="F21" s="33">
        <v>37986</v>
      </c>
      <c r="G21" s="34">
        <f t="shared" si="0"/>
        <v>18.662000000000003</v>
      </c>
      <c r="H21" s="43">
        <f t="shared" si="5"/>
        <v>9.3310000000000013</v>
      </c>
      <c r="I21" s="44">
        <f t="shared" si="6"/>
        <v>1.5551666666666668</v>
      </c>
      <c r="J21" s="36">
        <f>365*4</f>
        <v>1460</v>
      </c>
      <c r="K21" s="25">
        <f t="shared" si="7"/>
        <v>111.97199999999999</v>
      </c>
      <c r="L21" s="25">
        <f t="shared" si="8"/>
        <v>74.64800000000001</v>
      </c>
      <c r="M21" s="24">
        <f t="shared" si="9"/>
        <v>1642</v>
      </c>
      <c r="N21" s="26">
        <f t="shared" si="12"/>
        <v>83.979000000000013</v>
      </c>
      <c r="O21" s="38">
        <f t="shared" si="1"/>
        <v>102.64099999999999</v>
      </c>
      <c r="P21" s="27">
        <f t="shared" si="10"/>
        <v>9.3310000000000031</v>
      </c>
      <c r="Q21" s="28">
        <f t="shared" si="11"/>
        <v>1826</v>
      </c>
      <c r="R21" s="27">
        <f t="shared" si="2"/>
        <v>93.361128767123304</v>
      </c>
      <c r="S21" s="27">
        <f t="shared" si="3"/>
        <v>93.2588712328767</v>
      </c>
      <c r="T21" s="195">
        <f t="shared" si="4"/>
        <v>9.3821287671232909</v>
      </c>
    </row>
    <row r="22" spans="1:20" ht="13.5">
      <c r="A22" s="39"/>
      <c r="B22" s="29" t="s">
        <v>59</v>
      </c>
      <c r="C22" s="45" t="s">
        <v>60</v>
      </c>
      <c r="D22" s="38">
        <f>990.08-13.86</f>
        <v>976.22</v>
      </c>
      <c r="E22" s="32">
        <v>0.1</v>
      </c>
      <c r="F22" s="46">
        <v>37986</v>
      </c>
      <c r="G22" s="34">
        <f t="shared" si="0"/>
        <v>97.622000000000014</v>
      </c>
      <c r="H22" s="43">
        <f t="shared" si="5"/>
        <v>48.811000000000007</v>
      </c>
      <c r="I22" s="44">
        <f t="shared" si="6"/>
        <v>8.1351666666666684</v>
      </c>
      <c r="J22" s="36">
        <v>1460</v>
      </c>
      <c r="K22" s="25">
        <f t="shared" si="7"/>
        <v>585.73199999999997</v>
      </c>
      <c r="L22" s="25">
        <f t="shared" si="8"/>
        <v>390.48800000000006</v>
      </c>
      <c r="M22" s="24">
        <f t="shared" si="9"/>
        <v>1642</v>
      </c>
      <c r="N22" s="26">
        <f t="shared" si="12"/>
        <v>439.29900000000009</v>
      </c>
      <c r="O22" s="38">
        <f t="shared" si="1"/>
        <v>536.92099999999994</v>
      </c>
      <c r="P22" s="27">
        <f t="shared" si="10"/>
        <v>48.811000000000035</v>
      </c>
      <c r="Q22" s="28">
        <f t="shared" si="11"/>
        <v>1826</v>
      </c>
      <c r="R22" s="27">
        <f t="shared" si="2"/>
        <v>488.37745753424662</v>
      </c>
      <c r="S22" s="27">
        <f t="shared" si="3"/>
        <v>487.84254246575341</v>
      </c>
      <c r="T22" s="195">
        <f t="shared" si="4"/>
        <v>49.078457534246525</v>
      </c>
    </row>
    <row r="23" spans="1:20" ht="13.5">
      <c r="A23" s="39"/>
      <c r="B23" s="29" t="s">
        <v>61</v>
      </c>
      <c r="C23" s="40" t="s">
        <v>62</v>
      </c>
      <c r="D23" s="35">
        <f>336-13.86</f>
        <v>322.14</v>
      </c>
      <c r="E23" s="32">
        <v>0.1</v>
      </c>
      <c r="F23" s="33">
        <v>37986</v>
      </c>
      <c r="G23" s="34">
        <f t="shared" si="0"/>
        <v>32.213999999999999</v>
      </c>
      <c r="H23" s="43">
        <f t="shared" si="5"/>
        <v>16.106999999999999</v>
      </c>
      <c r="I23" s="44">
        <f t="shared" si="6"/>
        <v>2.6844999999999999</v>
      </c>
      <c r="J23" s="36">
        <v>1460</v>
      </c>
      <c r="K23" s="25">
        <f t="shared" si="7"/>
        <v>193.28399999999999</v>
      </c>
      <c r="L23" s="25">
        <f t="shared" si="8"/>
        <v>128.85599999999999</v>
      </c>
      <c r="M23" s="24">
        <f t="shared" si="9"/>
        <v>1642</v>
      </c>
      <c r="N23" s="26">
        <f t="shared" si="12"/>
        <v>144.96299999999999</v>
      </c>
      <c r="O23" s="38">
        <f t="shared" si="1"/>
        <v>177.17699999999999</v>
      </c>
      <c r="P23" s="27">
        <f t="shared" si="10"/>
        <v>16.106999999999999</v>
      </c>
      <c r="Q23" s="28">
        <f t="shared" si="11"/>
        <v>1826</v>
      </c>
      <c r="R23" s="27">
        <f t="shared" si="2"/>
        <v>161.15825753424659</v>
      </c>
      <c r="S23" s="27">
        <f t="shared" si="3"/>
        <v>160.9817424657534</v>
      </c>
      <c r="T23" s="195">
        <f t="shared" si="4"/>
        <v>16.195257534246593</v>
      </c>
    </row>
    <row r="24" spans="1:20" ht="13.5">
      <c r="A24" s="39"/>
      <c r="B24" s="29" t="s">
        <v>57</v>
      </c>
      <c r="C24" s="40" t="s">
        <v>63</v>
      </c>
      <c r="D24" s="35">
        <f>252-13.86</f>
        <v>238.14</v>
      </c>
      <c r="E24" s="32">
        <v>0.1</v>
      </c>
      <c r="F24" s="33">
        <v>37986</v>
      </c>
      <c r="G24" s="34">
        <f t="shared" si="0"/>
        <v>23.814</v>
      </c>
      <c r="H24" s="35">
        <f t="shared" si="5"/>
        <v>11.907</v>
      </c>
      <c r="I24" s="35">
        <f t="shared" si="6"/>
        <v>1.9844999999999999</v>
      </c>
      <c r="J24" s="36">
        <v>1460</v>
      </c>
      <c r="K24" s="25">
        <f t="shared" si="7"/>
        <v>142.88399999999999</v>
      </c>
      <c r="L24" s="25">
        <f t="shared" si="8"/>
        <v>95.256</v>
      </c>
      <c r="M24" s="24">
        <f t="shared" si="9"/>
        <v>1642</v>
      </c>
      <c r="N24" s="26">
        <f t="shared" si="12"/>
        <v>107.163</v>
      </c>
      <c r="O24" s="38">
        <f t="shared" si="1"/>
        <v>130.97699999999998</v>
      </c>
      <c r="P24" s="27">
        <f t="shared" si="10"/>
        <v>11.907000000000011</v>
      </c>
      <c r="Q24" s="28">
        <f t="shared" si="11"/>
        <v>1826</v>
      </c>
      <c r="R24" s="27">
        <f t="shared" si="2"/>
        <v>119.13524383561645</v>
      </c>
      <c r="S24" s="27">
        <f t="shared" si="3"/>
        <v>119.00475616438354</v>
      </c>
      <c r="T24" s="195">
        <f t="shared" si="4"/>
        <v>11.972243835616439</v>
      </c>
    </row>
    <row r="25" spans="1:20" ht="13.5">
      <c r="A25" s="39"/>
      <c r="B25" s="29" t="s">
        <v>64</v>
      </c>
      <c r="C25" s="40" t="s">
        <v>65</v>
      </c>
      <c r="D25" s="35">
        <f>208.32-13.86</f>
        <v>194.45999999999998</v>
      </c>
      <c r="E25" s="32">
        <v>0.1</v>
      </c>
      <c r="F25" s="33">
        <v>37986</v>
      </c>
      <c r="G25" s="34">
        <f t="shared" si="0"/>
        <v>19.445999999999998</v>
      </c>
      <c r="H25" s="35">
        <f t="shared" si="5"/>
        <v>9.722999999999999</v>
      </c>
      <c r="I25" s="35">
        <f t="shared" si="6"/>
        <v>1.6204999999999998</v>
      </c>
      <c r="J25" s="36">
        <v>1460</v>
      </c>
      <c r="K25" s="25">
        <f t="shared" si="7"/>
        <v>116.67599999999999</v>
      </c>
      <c r="L25" s="25">
        <f t="shared" si="8"/>
        <v>77.783999999999992</v>
      </c>
      <c r="M25" s="24">
        <f t="shared" si="9"/>
        <v>1642</v>
      </c>
      <c r="N25" s="26">
        <f t="shared" si="12"/>
        <v>87.506999999999991</v>
      </c>
      <c r="O25" s="35">
        <f t="shared" si="1"/>
        <v>106.95299999999999</v>
      </c>
      <c r="P25" s="27">
        <f t="shared" si="10"/>
        <v>9.722999999999999</v>
      </c>
      <c r="Q25" s="28">
        <f t="shared" si="11"/>
        <v>1826</v>
      </c>
      <c r="R25" s="27">
        <f t="shared" si="2"/>
        <v>97.283276712328757</v>
      </c>
      <c r="S25" s="27">
        <f t="shared" si="3"/>
        <v>97.176723287671223</v>
      </c>
      <c r="T25" s="195">
        <f t="shared" si="4"/>
        <v>9.7762767123287659</v>
      </c>
    </row>
    <row r="26" spans="1:20" ht="13.5">
      <c r="A26" s="39"/>
      <c r="B26" s="29" t="s">
        <v>66</v>
      </c>
      <c r="C26" s="40" t="s">
        <v>67</v>
      </c>
      <c r="D26" s="35">
        <f>524.16-13.86</f>
        <v>510.29999999999995</v>
      </c>
      <c r="E26" s="32">
        <v>0.1</v>
      </c>
      <c r="F26" s="33">
        <v>37986</v>
      </c>
      <c r="G26" s="34">
        <f t="shared" si="0"/>
        <v>51.03</v>
      </c>
      <c r="H26" s="35">
        <f t="shared" si="5"/>
        <v>25.515000000000001</v>
      </c>
      <c r="I26" s="35">
        <f t="shared" si="6"/>
        <v>4.2525000000000004</v>
      </c>
      <c r="J26" s="36">
        <v>1460</v>
      </c>
      <c r="K26" s="25">
        <f t="shared" si="7"/>
        <v>306.17999999999995</v>
      </c>
      <c r="L26" s="25">
        <f t="shared" si="8"/>
        <v>204.12</v>
      </c>
      <c r="M26" s="24">
        <f t="shared" si="9"/>
        <v>1642</v>
      </c>
      <c r="N26" s="26">
        <f t="shared" si="12"/>
        <v>229.63499999999999</v>
      </c>
      <c r="O26" s="35">
        <f t="shared" si="1"/>
        <v>280.66499999999996</v>
      </c>
      <c r="P26" s="27">
        <f t="shared" si="10"/>
        <v>25.514999999999986</v>
      </c>
      <c r="Q26" s="28">
        <f t="shared" si="11"/>
        <v>1826</v>
      </c>
      <c r="R26" s="27">
        <f t="shared" si="2"/>
        <v>255.2898082191781</v>
      </c>
      <c r="S26" s="27">
        <f t="shared" si="3"/>
        <v>255.01019178082186</v>
      </c>
      <c r="T26" s="195">
        <f t="shared" si="4"/>
        <v>25.654808219178108</v>
      </c>
    </row>
    <row r="27" spans="1:20" s="39" customFormat="1" ht="13.5">
      <c r="B27" s="29" t="s">
        <v>68</v>
      </c>
      <c r="C27" s="45" t="s">
        <v>69</v>
      </c>
      <c r="D27" s="38">
        <v>249</v>
      </c>
      <c r="E27" s="47">
        <v>0.1</v>
      </c>
      <c r="F27" s="46">
        <v>38103</v>
      </c>
      <c r="G27" s="48">
        <f t="shared" si="0"/>
        <v>24.900000000000002</v>
      </c>
      <c r="H27" s="38">
        <f t="shared" si="5"/>
        <v>12.450000000000001</v>
      </c>
      <c r="I27" s="38">
        <f t="shared" si="6"/>
        <v>2.0750000000000002</v>
      </c>
      <c r="J27" s="49">
        <f>365*3+4+31+30+31+31+30+31+30+31</f>
        <v>1344</v>
      </c>
      <c r="K27" s="50">
        <f t="shared" si="7"/>
        <v>157.31342465753426</v>
      </c>
      <c r="L27" s="50">
        <f t="shared" si="8"/>
        <v>91.686575342465758</v>
      </c>
      <c r="M27" s="51">
        <f t="shared" si="9"/>
        <v>1526</v>
      </c>
      <c r="N27" s="23">
        <f t="shared" si="12"/>
        <v>104.13657534246576</v>
      </c>
      <c r="O27" s="38">
        <f t="shared" si="1"/>
        <v>144.86342465753424</v>
      </c>
      <c r="P27" s="52">
        <f t="shared" si="10"/>
        <v>12.450000000000017</v>
      </c>
      <c r="Q27" s="53">
        <f t="shared" si="11"/>
        <v>1710</v>
      </c>
      <c r="R27" s="52">
        <f t="shared" si="2"/>
        <v>116.65479452054795</v>
      </c>
      <c r="S27" s="52">
        <f t="shared" si="3"/>
        <v>132.34520547945203</v>
      </c>
      <c r="T27" s="152">
        <f t="shared" si="4"/>
        <v>12.518219178082205</v>
      </c>
    </row>
    <row r="28" spans="1:20" s="39" customFormat="1" ht="13.5">
      <c r="B28" s="29" t="s">
        <v>70</v>
      </c>
      <c r="C28" s="54" t="s">
        <v>71</v>
      </c>
      <c r="D28" s="38">
        <v>13</v>
      </c>
      <c r="E28" s="47">
        <v>0.1</v>
      </c>
      <c r="F28" s="55">
        <v>38106</v>
      </c>
      <c r="G28" s="56">
        <f t="shared" si="0"/>
        <v>1.3</v>
      </c>
      <c r="H28" s="38">
        <f t="shared" si="5"/>
        <v>0.65</v>
      </c>
      <c r="I28" s="38">
        <f t="shared" si="6"/>
        <v>0.10833333333333334</v>
      </c>
      <c r="J28" s="49">
        <f>365*3+1+31+30+31+31+30+31+30+31</f>
        <v>1341</v>
      </c>
      <c r="K28" s="50">
        <f t="shared" si="7"/>
        <v>8.2238356164383557</v>
      </c>
      <c r="L28" s="50">
        <f t="shared" si="8"/>
        <v>4.7761643835616443</v>
      </c>
      <c r="M28" s="51">
        <f t="shared" si="9"/>
        <v>1523</v>
      </c>
      <c r="N28" s="23">
        <f t="shared" si="12"/>
        <v>5.4261643835616447</v>
      </c>
      <c r="O28" s="38">
        <f t="shared" si="1"/>
        <v>7.5738356164383553</v>
      </c>
      <c r="P28" s="52">
        <f t="shared" si="10"/>
        <v>0.65000000000000036</v>
      </c>
      <c r="Q28" s="53">
        <f t="shared" si="11"/>
        <v>1707</v>
      </c>
      <c r="R28" s="52">
        <f t="shared" si="2"/>
        <v>6.0797260273972604</v>
      </c>
      <c r="S28" s="52">
        <f t="shared" si="3"/>
        <v>6.9202739726027396</v>
      </c>
      <c r="T28" s="152">
        <f t="shared" si="4"/>
        <v>0.65356164383561577</v>
      </c>
    </row>
    <row r="29" spans="1:20" s="39" customFormat="1" ht="13.5">
      <c r="B29" s="29" t="s">
        <v>72</v>
      </c>
      <c r="C29" s="54" t="s">
        <v>73</v>
      </c>
      <c r="D29" s="38">
        <v>173.6</v>
      </c>
      <c r="E29" s="57">
        <v>0.1</v>
      </c>
      <c r="F29" s="55">
        <v>38167</v>
      </c>
      <c r="G29" s="48">
        <f t="shared" si="0"/>
        <v>17.36</v>
      </c>
      <c r="H29" s="38">
        <f t="shared" si="5"/>
        <v>8.68</v>
      </c>
      <c r="I29" s="38">
        <f t="shared" si="6"/>
        <v>1.4466666666666665</v>
      </c>
      <c r="J29" s="49">
        <f>365*3+1+31+31+30+31+30+31</f>
        <v>1280</v>
      </c>
      <c r="K29" s="50">
        <f t="shared" si="7"/>
        <v>112.72109589041095</v>
      </c>
      <c r="L29" s="50">
        <f t="shared" si="8"/>
        <v>60.878904109589044</v>
      </c>
      <c r="M29" s="51">
        <f t="shared" si="9"/>
        <v>1462</v>
      </c>
      <c r="N29" s="23">
        <f t="shared" si="12"/>
        <v>69.558904109589037</v>
      </c>
      <c r="O29" s="38">
        <f t="shared" si="1"/>
        <v>104.04109589041096</v>
      </c>
      <c r="P29" s="52">
        <f t="shared" si="10"/>
        <v>8.6799999999999926</v>
      </c>
      <c r="Q29" s="53">
        <f t="shared" si="11"/>
        <v>1646</v>
      </c>
      <c r="R29" s="52">
        <f t="shared" si="2"/>
        <v>78.28646575342465</v>
      </c>
      <c r="S29" s="52">
        <f t="shared" si="3"/>
        <v>95.313534246575344</v>
      </c>
      <c r="T29" s="152">
        <f t="shared" si="4"/>
        <v>8.7275616438356138</v>
      </c>
    </row>
    <row r="30" spans="1:20" s="39" customFormat="1" ht="13.5">
      <c r="B30" s="29" t="s">
        <v>74</v>
      </c>
      <c r="C30" s="54" t="s">
        <v>75</v>
      </c>
      <c r="D30" s="38">
        <v>62.72</v>
      </c>
      <c r="E30" s="47">
        <v>0.1</v>
      </c>
      <c r="F30" s="55">
        <v>38173</v>
      </c>
      <c r="G30" s="48">
        <f t="shared" si="0"/>
        <v>6.2720000000000002</v>
      </c>
      <c r="H30" s="38">
        <f t="shared" si="5"/>
        <v>3.1360000000000001</v>
      </c>
      <c r="I30" s="38">
        <f t="shared" si="6"/>
        <v>0.52266666666666672</v>
      </c>
      <c r="J30" s="49">
        <f>365*3+26+31+30+31+30+31</f>
        <v>1274</v>
      </c>
      <c r="K30" s="50">
        <f t="shared" si="7"/>
        <v>40.828142465753423</v>
      </c>
      <c r="L30" s="50">
        <f t="shared" si="8"/>
        <v>21.891857534246576</v>
      </c>
      <c r="M30" s="51">
        <f t="shared" si="9"/>
        <v>1456</v>
      </c>
      <c r="N30" s="23">
        <f t="shared" si="12"/>
        <v>25.027857534246575</v>
      </c>
      <c r="O30" s="38">
        <f t="shared" si="1"/>
        <v>37.69214246575342</v>
      </c>
      <c r="P30" s="52">
        <f t="shared" si="10"/>
        <v>3.1360000000000028</v>
      </c>
      <c r="Q30" s="53">
        <f t="shared" si="11"/>
        <v>1640</v>
      </c>
      <c r="R30" s="52">
        <f t="shared" si="2"/>
        <v>28.181041095890411</v>
      </c>
      <c r="S30" s="52">
        <f t="shared" si="3"/>
        <v>34.538958904109592</v>
      </c>
      <c r="T30" s="152">
        <f t="shared" si="4"/>
        <v>3.1531835616438286</v>
      </c>
    </row>
    <row r="31" spans="1:20" s="39" customFormat="1" ht="13.5">
      <c r="B31" s="29" t="s">
        <v>76</v>
      </c>
      <c r="C31" s="54"/>
      <c r="D31" s="38">
        <v>399.84</v>
      </c>
      <c r="E31" s="47">
        <v>0.1</v>
      </c>
      <c r="F31" s="55">
        <v>38174</v>
      </c>
      <c r="G31" s="56">
        <f t="shared" si="0"/>
        <v>39.984000000000002</v>
      </c>
      <c r="H31" s="38">
        <f t="shared" si="5"/>
        <v>19.992000000000001</v>
      </c>
      <c r="I31" s="38">
        <f t="shared" si="6"/>
        <v>3.3320000000000003</v>
      </c>
      <c r="J31" s="49">
        <f>365*3+25+31+30+31+30+31</f>
        <v>1273</v>
      </c>
      <c r="K31" s="50">
        <f t="shared" si="7"/>
        <v>260.38895342465753</v>
      </c>
      <c r="L31" s="50">
        <f t="shared" si="8"/>
        <v>139.45104657534247</v>
      </c>
      <c r="M31" s="51">
        <f t="shared" si="9"/>
        <v>1455</v>
      </c>
      <c r="N31" s="23">
        <f t="shared" si="12"/>
        <v>159.44304657534246</v>
      </c>
      <c r="O31" s="38">
        <f t="shared" si="1"/>
        <v>240.39695342465751</v>
      </c>
      <c r="P31" s="52">
        <f t="shared" si="10"/>
        <v>19.992000000000019</v>
      </c>
      <c r="Q31" s="53">
        <f t="shared" si="11"/>
        <v>1639</v>
      </c>
      <c r="R31" s="52">
        <f t="shared" si="2"/>
        <v>179.54459178082192</v>
      </c>
      <c r="S31" s="52">
        <f t="shared" si="3"/>
        <v>220.29540821917806</v>
      </c>
      <c r="T31" s="152">
        <f t="shared" si="4"/>
        <v>20.101545205479454</v>
      </c>
    </row>
    <row r="32" spans="1:20" s="39" customFormat="1" ht="13.5">
      <c r="B32" s="29" t="s">
        <v>57</v>
      </c>
      <c r="C32" s="45" t="s">
        <v>77</v>
      </c>
      <c r="D32" s="38">
        <v>204.68</v>
      </c>
      <c r="E32" s="47">
        <v>0.1</v>
      </c>
      <c r="F32" s="46">
        <v>38202</v>
      </c>
      <c r="G32" s="56">
        <f t="shared" si="0"/>
        <v>20.468000000000004</v>
      </c>
      <c r="H32" s="58">
        <f t="shared" si="5"/>
        <v>10.234000000000002</v>
      </c>
      <c r="I32" s="59">
        <f t="shared" si="6"/>
        <v>1.7056666666666669</v>
      </c>
      <c r="J32" s="49">
        <f>365*3+28+30+31+30+31</f>
        <v>1245</v>
      </c>
      <c r="K32" s="50">
        <f t="shared" si="7"/>
        <v>134.86449315068492</v>
      </c>
      <c r="L32" s="50">
        <f t="shared" si="8"/>
        <v>69.815506849315085</v>
      </c>
      <c r="M32" s="51">
        <f t="shared" si="9"/>
        <v>1427</v>
      </c>
      <c r="N32" s="23">
        <f t="shared" si="12"/>
        <v>80.049506849315094</v>
      </c>
      <c r="O32" s="38">
        <f t="shared" si="1"/>
        <v>124.63049315068491</v>
      </c>
      <c r="P32" s="52">
        <f t="shared" si="10"/>
        <v>10.234000000000009</v>
      </c>
      <c r="Q32" s="53">
        <f t="shared" si="11"/>
        <v>1611</v>
      </c>
      <c r="R32" s="52">
        <f t="shared" si="2"/>
        <v>90.339583561643849</v>
      </c>
      <c r="S32" s="52">
        <f t="shared" si="3"/>
        <v>114.34041643835616</v>
      </c>
      <c r="T32" s="152">
        <f t="shared" si="4"/>
        <v>10.290076712328755</v>
      </c>
    </row>
    <row r="33" spans="1:20" s="39" customFormat="1" ht="13.5">
      <c r="B33" s="29" t="s">
        <v>78</v>
      </c>
      <c r="C33" s="54" t="s">
        <v>79</v>
      </c>
      <c r="D33" s="38">
        <v>79.3</v>
      </c>
      <c r="E33" s="47">
        <v>0.1</v>
      </c>
      <c r="F33" s="55">
        <v>38344</v>
      </c>
      <c r="G33" s="48">
        <f t="shared" si="0"/>
        <v>7.93</v>
      </c>
      <c r="H33" s="38">
        <f t="shared" si="5"/>
        <v>3.9649999999999999</v>
      </c>
      <c r="I33" s="38">
        <f t="shared" si="6"/>
        <v>0.66083333333333327</v>
      </c>
      <c r="J33" s="49">
        <f>365*3+8</f>
        <v>1103</v>
      </c>
      <c r="K33" s="50">
        <f t="shared" si="7"/>
        <v>55.33619178082192</v>
      </c>
      <c r="L33" s="50">
        <f t="shared" si="8"/>
        <v>23.96380821917808</v>
      </c>
      <c r="M33" s="51">
        <f t="shared" si="9"/>
        <v>1285</v>
      </c>
      <c r="N33" s="23">
        <f t="shared" si="12"/>
        <v>27.92880821917808</v>
      </c>
      <c r="O33" s="38">
        <f t="shared" si="1"/>
        <v>51.371191780821917</v>
      </c>
      <c r="P33" s="52">
        <f t="shared" si="10"/>
        <v>3.9650000000000034</v>
      </c>
      <c r="Q33" s="53">
        <f t="shared" si="11"/>
        <v>1469</v>
      </c>
      <c r="R33" s="52">
        <f t="shared" si="2"/>
        <v>31.915534246575341</v>
      </c>
      <c r="S33" s="52">
        <f t="shared" si="3"/>
        <v>47.384465753424656</v>
      </c>
      <c r="T33" s="152">
        <f t="shared" si="4"/>
        <v>3.9867260273972605</v>
      </c>
    </row>
    <row r="34" spans="1:20" s="39" customFormat="1" ht="13.5">
      <c r="B34" s="29" t="s">
        <v>66</v>
      </c>
      <c r="C34" s="45" t="s">
        <v>80</v>
      </c>
      <c r="D34" s="38">
        <v>276.08</v>
      </c>
      <c r="E34" s="47">
        <v>0.1</v>
      </c>
      <c r="F34" s="46">
        <v>38666</v>
      </c>
      <c r="G34" s="56">
        <f t="shared" si="0"/>
        <v>27.608000000000001</v>
      </c>
      <c r="H34" s="58">
        <f t="shared" si="5"/>
        <v>13.804000000000002</v>
      </c>
      <c r="I34" s="59">
        <f t="shared" si="6"/>
        <v>2.3006666666666669</v>
      </c>
      <c r="J34" s="49">
        <f>365*2+11+31</f>
        <v>772</v>
      </c>
      <c r="K34" s="50">
        <f t="shared" si="7"/>
        <v>217.68718904109588</v>
      </c>
      <c r="L34" s="50">
        <f t="shared" si="8"/>
        <v>58.392810958904114</v>
      </c>
      <c r="M34" s="51">
        <f t="shared" si="9"/>
        <v>954</v>
      </c>
      <c r="N34" s="23">
        <f t="shared" si="12"/>
        <v>72.196810958904109</v>
      </c>
      <c r="O34" s="38">
        <f t="shared" si="1"/>
        <v>203.88318904109587</v>
      </c>
      <c r="P34" s="52">
        <f t="shared" si="10"/>
        <v>13.804000000000002</v>
      </c>
      <c r="Q34" s="53">
        <f t="shared" si="11"/>
        <v>1138</v>
      </c>
      <c r="R34" s="52">
        <f t="shared" si="2"/>
        <v>86.076449315068501</v>
      </c>
      <c r="S34" s="52">
        <f t="shared" si="3"/>
        <v>190.0035506849315</v>
      </c>
      <c r="T34" s="152">
        <f t="shared" si="4"/>
        <v>13.879638356164378</v>
      </c>
    </row>
    <row r="35" spans="1:20" s="39" customFormat="1" ht="13.5">
      <c r="B35" s="29" t="s">
        <v>81</v>
      </c>
      <c r="C35" s="60" t="s">
        <v>82</v>
      </c>
      <c r="D35" s="38">
        <v>351.29</v>
      </c>
      <c r="E35" s="47">
        <v>0.1</v>
      </c>
      <c r="F35" s="55">
        <v>38694</v>
      </c>
      <c r="G35" s="48">
        <f t="shared" si="0"/>
        <v>35.129000000000005</v>
      </c>
      <c r="H35" s="38">
        <f t="shared" si="5"/>
        <v>17.564500000000002</v>
      </c>
      <c r="I35" s="38">
        <f t="shared" si="6"/>
        <v>2.9274166666666672</v>
      </c>
      <c r="J35" s="49">
        <f>365*2+23</f>
        <v>753</v>
      </c>
      <c r="K35" s="50">
        <f t="shared" si="7"/>
        <v>278.81839178082191</v>
      </c>
      <c r="L35" s="50">
        <f t="shared" si="8"/>
        <v>72.471608219178094</v>
      </c>
      <c r="M35" s="51">
        <f t="shared" si="9"/>
        <v>935</v>
      </c>
      <c r="N35" s="23">
        <f t="shared" si="12"/>
        <v>90.036108219178089</v>
      </c>
      <c r="O35" s="38">
        <f t="shared" si="1"/>
        <v>261.25389178082196</v>
      </c>
      <c r="P35" s="52">
        <f>+K35-O35</f>
        <v>17.564499999999953</v>
      </c>
      <c r="Q35" s="53">
        <f t="shared" si="11"/>
        <v>1119</v>
      </c>
      <c r="R35" s="52">
        <f t="shared" si="2"/>
        <v>107.69685205479453</v>
      </c>
      <c r="S35" s="52">
        <f t="shared" si="3"/>
        <v>243.59314794520549</v>
      </c>
      <c r="T35" s="152">
        <f t="shared" si="4"/>
        <v>17.660743835616472</v>
      </c>
    </row>
    <row r="36" spans="1:20" s="39" customFormat="1" ht="13.5">
      <c r="B36" s="29" t="s">
        <v>83</v>
      </c>
      <c r="C36" s="45" t="s">
        <v>84</v>
      </c>
      <c r="D36" s="61">
        <f>117.96-117.96</f>
        <v>0</v>
      </c>
      <c r="E36" s="57">
        <v>0.1</v>
      </c>
      <c r="F36" s="46">
        <v>38698</v>
      </c>
      <c r="G36" s="48">
        <f t="shared" si="0"/>
        <v>0</v>
      </c>
      <c r="H36" s="38">
        <f t="shared" si="5"/>
        <v>0</v>
      </c>
      <c r="I36" s="38">
        <f t="shared" si="6"/>
        <v>0</v>
      </c>
      <c r="J36" s="49">
        <f>365*2+19</f>
        <v>749</v>
      </c>
      <c r="K36" s="50">
        <f t="shared" si="7"/>
        <v>0</v>
      </c>
      <c r="L36" s="50">
        <f t="shared" si="8"/>
        <v>0</v>
      </c>
      <c r="M36" s="51">
        <f>+J36+X2+X3+X4+Z2+5</f>
        <v>875</v>
      </c>
      <c r="N36" s="23">
        <f>(D36*E36)/365*M36</f>
        <v>0</v>
      </c>
      <c r="O36" s="38">
        <f t="shared" si="1"/>
        <v>0</v>
      </c>
      <c r="P36" s="52">
        <f>+K36-O36</f>
        <v>0</v>
      </c>
      <c r="Q36" s="53">
        <f t="shared" si="11"/>
        <v>1059</v>
      </c>
      <c r="R36" s="52">
        <f t="shared" si="2"/>
        <v>0</v>
      </c>
      <c r="S36" s="52">
        <f t="shared" si="3"/>
        <v>0</v>
      </c>
      <c r="T36" s="152">
        <f t="shared" si="4"/>
        <v>0</v>
      </c>
    </row>
    <row r="37" spans="1:20" s="39" customFormat="1" ht="13.5">
      <c r="B37" s="29" t="s">
        <v>85</v>
      </c>
      <c r="C37" s="54" t="s">
        <v>86</v>
      </c>
      <c r="D37" s="38">
        <v>156.80000000000001</v>
      </c>
      <c r="E37" s="47">
        <v>0.1</v>
      </c>
      <c r="F37" s="55">
        <v>39104</v>
      </c>
      <c r="G37" s="48">
        <f t="shared" si="0"/>
        <v>15.680000000000001</v>
      </c>
      <c r="H37" s="38">
        <f t="shared" si="5"/>
        <v>7.8400000000000016</v>
      </c>
      <c r="I37" s="38">
        <f t="shared" si="6"/>
        <v>1.3066666666666669</v>
      </c>
      <c r="J37" s="49">
        <f>9+28+31+30+31+30+31+31+30+31+30+31</f>
        <v>343</v>
      </c>
      <c r="K37" s="50">
        <f t="shared" si="7"/>
        <v>142.06509589041096</v>
      </c>
      <c r="L37" s="50">
        <f t="shared" si="8"/>
        <v>14.734904109589042</v>
      </c>
      <c r="M37" s="51">
        <f>+J37+Z$5</f>
        <v>525</v>
      </c>
      <c r="N37" s="23">
        <f t="shared" si="12"/>
        <v>22.574904109589042</v>
      </c>
      <c r="O37" s="38">
        <f t="shared" si="1"/>
        <v>134.22509589041096</v>
      </c>
      <c r="P37" s="52">
        <f t="shared" si="10"/>
        <v>7.8400000000000034</v>
      </c>
      <c r="Q37" s="53">
        <f t="shared" si="11"/>
        <v>709</v>
      </c>
      <c r="R37" s="52">
        <f t="shared" si="2"/>
        <v>30.457863013698635</v>
      </c>
      <c r="S37" s="52">
        <f t="shared" si="3"/>
        <v>126.34213698630137</v>
      </c>
      <c r="T37" s="152">
        <f t="shared" si="4"/>
        <v>7.8829589041095858</v>
      </c>
    </row>
    <row r="38" spans="1:20" s="39" customFormat="1" ht="13.5">
      <c r="B38" s="29" t="s">
        <v>87</v>
      </c>
      <c r="C38" s="54" t="s">
        <v>88</v>
      </c>
      <c r="D38" s="38">
        <v>425.6</v>
      </c>
      <c r="E38" s="47">
        <v>0.1</v>
      </c>
      <c r="F38" s="55">
        <v>39198</v>
      </c>
      <c r="G38" s="56">
        <f t="shared" si="0"/>
        <v>42.56</v>
      </c>
      <c r="H38" s="58">
        <f t="shared" si="5"/>
        <v>21.28</v>
      </c>
      <c r="I38" s="59">
        <f t="shared" si="6"/>
        <v>3.5466666666666669</v>
      </c>
      <c r="J38" s="49">
        <f>4+31+30+31+31+30+31+30+31</f>
        <v>249</v>
      </c>
      <c r="K38" s="50">
        <f t="shared" si="7"/>
        <v>396.56591780821918</v>
      </c>
      <c r="L38" s="50">
        <f t="shared" si="8"/>
        <v>29.034082191780822</v>
      </c>
      <c r="M38" s="51">
        <f>+J38+Z$5</f>
        <v>431</v>
      </c>
      <c r="N38" s="23">
        <f t="shared" si="12"/>
        <v>50.314082191780827</v>
      </c>
      <c r="O38" s="38">
        <f t="shared" si="1"/>
        <v>375.28591780821921</v>
      </c>
      <c r="P38" s="52">
        <f t="shared" si="10"/>
        <v>21.279999999999973</v>
      </c>
      <c r="Q38" s="53">
        <f t="shared" si="11"/>
        <v>615</v>
      </c>
      <c r="R38" s="52">
        <f t="shared" si="2"/>
        <v>71.710684931506847</v>
      </c>
      <c r="S38" s="52">
        <f t="shared" si="3"/>
        <v>353.88931506849315</v>
      </c>
      <c r="T38" s="152">
        <f t="shared" si="4"/>
        <v>21.396602739726063</v>
      </c>
    </row>
    <row r="39" spans="1:20" s="39" customFormat="1" ht="13.5">
      <c r="B39" s="29" t="s">
        <v>85</v>
      </c>
      <c r="C39" s="54" t="s">
        <v>89</v>
      </c>
      <c r="D39" s="38">
        <v>70</v>
      </c>
      <c r="E39" s="47">
        <v>0.1</v>
      </c>
      <c r="F39" s="55">
        <v>39343</v>
      </c>
      <c r="G39" s="56">
        <f t="shared" si="0"/>
        <v>7</v>
      </c>
      <c r="H39" s="58">
        <f t="shared" si="5"/>
        <v>3.5</v>
      </c>
      <c r="I39" s="59">
        <f t="shared" si="6"/>
        <v>0.58333333333333337</v>
      </c>
      <c r="J39" s="49">
        <f>12+31+30+31</f>
        <v>104</v>
      </c>
      <c r="K39" s="50">
        <f t="shared" si="7"/>
        <v>68.0054794520548</v>
      </c>
      <c r="L39" s="50">
        <f t="shared" si="8"/>
        <v>1.9945205479452055</v>
      </c>
      <c r="M39" s="51">
        <f>+J39+Z$5</f>
        <v>286</v>
      </c>
      <c r="N39" s="23">
        <f>+L39+H39</f>
        <v>5.4945205479452053</v>
      </c>
      <c r="O39" s="38">
        <f t="shared" si="1"/>
        <v>64.5054794520548</v>
      </c>
      <c r="P39" s="52">
        <f>+K39-O39</f>
        <v>3.5</v>
      </c>
      <c r="Q39" s="53">
        <f t="shared" si="11"/>
        <v>470</v>
      </c>
      <c r="R39" s="52">
        <f t="shared" si="2"/>
        <v>9.0136986301369859</v>
      </c>
      <c r="S39" s="52">
        <f t="shared" si="3"/>
        <v>60.986301369863014</v>
      </c>
      <c r="T39" s="152">
        <f t="shared" si="4"/>
        <v>3.519178082191786</v>
      </c>
    </row>
    <row r="40" spans="1:20" s="39" customFormat="1">
      <c r="B40" s="62" t="s">
        <v>90</v>
      </c>
      <c r="C40" s="63" t="s">
        <v>91</v>
      </c>
      <c r="D40" s="64">
        <f>+(257.33-72.05)*1.12</f>
        <v>207.5136</v>
      </c>
      <c r="E40" s="65">
        <v>0.1</v>
      </c>
      <c r="F40" s="66">
        <v>39573</v>
      </c>
      <c r="G40" s="56">
        <f t="shared" ref="G40:G46" si="13">+D40*E40</f>
        <v>20.751360000000002</v>
      </c>
      <c r="H40" s="38">
        <f t="shared" si="5"/>
        <v>10.375680000000001</v>
      </c>
      <c r="I40" s="38">
        <f t="shared" si="6"/>
        <v>1.7292800000000002</v>
      </c>
      <c r="J40" s="49">
        <v>0</v>
      </c>
      <c r="K40" s="50">
        <f t="shared" si="7"/>
        <v>207.5136</v>
      </c>
      <c r="L40" s="50">
        <f t="shared" si="8"/>
        <v>0</v>
      </c>
      <c r="M40" s="51">
        <f>26+30</f>
        <v>56</v>
      </c>
      <c r="N40" s="23">
        <f>+(D40*E40)/365*M40</f>
        <v>3.1837703013698633</v>
      </c>
      <c r="O40" s="38">
        <f t="shared" si="1"/>
        <v>204.32982969863014</v>
      </c>
      <c r="P40" s="52">
        <f t="shared" ref="P40:P46" si="14">+K40-O40</f>
        <v>3.1837703013698615</v>
      </c>
      <c r="Q40" s="53">
        <f t="shared" si="11"/>
        <v>240</v>
      </c>
      <c r="R40" s="52">
        <f t="shared" si="2"/>
        <v>13.6447298630137</v>
      </c>
      <c r="S40" s="52">
        <f t="shared" si="3"/>
        <v>193.86887013698629</v>
      </c>
      <c r="T40" s="152">
        <f t="shared" si="4"/>
        <v>10.460959561643847</v>
      </c>
    </row>
    <row r="41" spans="1:20">
      <c r="A41" s="39"/>
      <c r="B41" s="67" t="s">
        <v>92</v>
      </c>
      <c r="C41" s="68"/>
      <c r="D41" s="69">
        <v>448</v>
      </c>
      <c r="E41" s="70">
        <f>+E40</f>
        <v>0.1</v>
      </c>
      <c r="F41" s="71">
        <v>39674</v>
      </c>
      <c r="G41" s="34">
        <f t="shared" si="13"/>
        <v>44.800000000000004</v>
      </c>
      <c r="H41" s="35">
        <f t="shared" si="5"/>
        <v>22.400000000000002</v>
      </c>
      <c r="I41" s="35">
        <f t="shared" si="6"/>
        <v>3.7333333333333338</v>
      </c>
      <c r="J41" s="36">
        <v>0</v>
      </c>
      <c r="K41" s="25">
        <f t="shared" si="7"/>
        <v>448</v>
      </c>
      <c r="L41" s="25">
        <f t="shared" si="8"/>
        <v>0</v>
      </c>
      <c r="M41" s="24">
        <v>0</v>
      </c>
      <c r="N41" s="26">
        <f t="shared" ref="N41:N46" si="15">+(D41*E41)/365*M41</f>
        <v>0</v>
      </c>
      <c r="O41" s="38">
        <f t="shared" si="1"/>
        <v>448</v>
      </c>
      <c r="P41" s="27">
        <f t="shared" si="14"/>
        <v>0</v>
      </c>
      <c r="Q41" s="28">
        <f>17+30+31+30+31</f>
        <v>139</v>
      </c>
      <c r="R41" s="27">
        <f t="shared" si="2"/>
        <v>17.060821917808219</v>
      </c>
      <c r="S41" s="27">
        <f t="shared" si="3"/>
        <v>430.9391780821918</v>
      </c>
      <c r="T41" s="195">
        <f>+O41-S41</f>
        <v>17.060821917808198</v>
      </c>
    </row>
    <row r="42" spans="1:20">
      <c r="A42" s="39"/>
      <c r="B42" s="72" t="s">
        <v>46</v>
      </c>
      <c r="C42" s="73" t="s">
        <v>93</v>
      </c>
      <c r="D42" s="74">
        <v>15</v>
      </c>
      <c r="E42" s="75">
        <v>0.1</v>
      </c>
      <c r="F42" s="76">
        <v>37619</v>
      </c>
      <c r="G42" s="34">
        <f t="shared" si="13"/>
        <v>1.5</v>
      </c>
      <c r="H42" s="35">
        <f t="shared" si="5"/>
        <v>0.75</v>
      </c>
      <c r="I42" s="35">
        <f t="shared" si="6"/>
        <v>0.125</v>
      </c>
      <c r="J42" s="77">
        <v>1836</v>
      </c>
      <c r="K42" s="25">
        <f t="shared" si="7"/>
        <v>7.4547945205479458</v>
      </c>
      <c r="L42" s="25">
        <f t="shared" si="8"/>
        <v>7.5452054794520542</v>
      </c>
      <c r="M42" s="24">
        <f>+J42+Z$5</f>
        <v>2018</v>
      </c>
      <c r="N42" s="26">
        <f t="shared" si="15"/>
        <v>8.293150684931506</v>
      </c>
      <c r="O42" s="38">
        <f t="shared" si="1"/>
        <v>6.706849315068494</v>
      </c>
      <c r="P42" s="27">
        <f t="shared" si="14"/>
        <v>0.74794520547945176</v>
      </c>
      <c r="Q42" s="28">
        <f>+M42+AE$5</f>
        <v>2202</v>
      </c>
      <c r="R42" s="27">
        <f t="shared" si="2"/>
        <v>9.0493150684931489</v>
      </c>
      <c r="S42" s="27">
        <f t="shared" si="3"/>
        <v>5.9506849315068511</v>
      </c>
      <c r="T42" s="195">
        <f t="shared" si="4"/>
        <v>0.75616438356164295</v>
      </c>
    </row>
    <row r="43" spans="1:20">
      <c r="A43" s="39"/>
      <c r="B43" s="72" t="s">
        <v>94</v>
      </c>
      <c r="C43" s="73" t="s">
        <v>95</v>
      </c>
      <c r="D43" s="74">
        <f>10*4</f>
        <v>40</v>
      </c>
      <c r="E43" s="75">
        <v>0.1</v>
      </c>
      <c r="F43" s="76">
        <v>37619</v>
      </c>
      <c r="G43" s="34">
        <f t="shared" si="13"/>
        <v>4</v>
      </c>
      <c r="H43" s="35">
        <f t="shared" si="5"/>
        <v>2</v>
      </c>
      <c r="I43" s="35">
        <f t="shared" si="6"/>
        <v>0.33333333333333331</v>
      </c>
      <c r="J43" s="77">
        <v>1836</v>
      </c>
      <c r="K43" s="25">
        <f>D43-((D43*E43)/365*J43)</f>
        <v>19.87945205479452</v>
      </c>
      <c r="L43" s="25">
        <f>(D43*E43)/365*J43</f>
        <v>20.12054794520548</v>
      </c>
      <c r="M43" s="24">
        <f>+J43+Z$5</f>
        <v>2018</v>
      </c>
      <c r="N43" s="26">
        <f t="shared" si="15"/>
        <v>22.115068493150684</v>
      </c>
      <c r="O43" s="38">
        <f t="shared" si="1"/>
        <v>17.884931506849316</v>
      </c>
      <c r="P43" s="27">
        <f t="shared" si="14"/>
        <v>1.9945205479452035</v>
      </c>
      <c r="Q43" s="28">
        <f>+M43+AE$5</f>
        <v>2202</v>
      </c>
      <c r="R43" s="27">
        <f t="shared" si="2"/>
        <v>24.13150684931507</v>
      </c>
      <c r="S43" s="27">
        <f t="shared" si="3"/>
        <v>15.86849315068493</v>
      </c>
      <c r="T43" s="195">
        <f>+O43-S43</f>
        <v>2.0164383561643859</v>
      </c>
    </row>
    <row r="44" spans="1:20">
      <c r="A44" s="39"/>
      <c r="B44" s="72" t="s">
        <v>96</v>
      </c>
      <c r="C44" s="73" t="s">
        <v>97</v>
      </c>
      <c r="D44" s="74">
        <v>30</v>
      </c>
      <c r="E44" s="75">
        <v>0.1</v>
      </c>
      <c r="F44" s="76">
        <v>37619</v>
      </c>
      <c r="G44" s="34">
        <f t="shared" si="13"/>
        <v>3</v>
      </c>
      <c r="H44" s="35">
        <f t="shared" si="5"/>
        <v>1.5</v>
      </c>
      <c r="I44" s="35">
        <f t="shared" si="6"/>
        <v>0.25</v>
      </c>
      <c r="J44" s="77">
        <v>1836</v>
      </c>
      <c r="K44" s="25">
        <f>D44-((D44*E44)/365*J44)</f>
        <v>14.909589041095892</v>
      </c>
      <c r="L44" s="25">
        <f>(D44*E44)/365*J44</f>
        <v>15.090410958904108</v>
      </c>
      <c r="M44" s="24">
        <f>+J44+Z$5</f>
        <v>2018</v>
      </c>
      <c r="N44" s="26">
        <f t="shared" si="15"/>
        <v>16.586301369863012</v>
      </c>
      <c r="O44" s="38">
        <f t="shared" si="1"/>
        <v>13.413698630136988</v>
      </c>
      <c r="P44" s="27">
        <f t="shared" si="14"/>
        <v>1.4958904109589035</v>
      </c>
      <c r="Q44" s="28">
        <f>+M44+AE$5</f>
        <v>2202</v>
      </c>
      <c r="R44" s="27">
        <f t="shared" si="2"/>
        <v>18.098630136986298</v>
      </c>
      <c r="S44" s="27">
        <f t="shared" si="3"/>
        <v>11.901369863013702</v>
      </c>
      <c r="T44" s="195">
        <f>+O44-S44</f>
        <v>1.5123287671232859</v>
      </c>
    </row>
    <row r="45" spans="1:20">
      <c r="A45" s="39"/>
      <c r="B45" s="196" t="s">
        <v>98</v>
      </c>
      <c r="C45" s="30" t="s">
        <v>95</v>
      </c>
      <c r="D45" s="35">
        <f>12*3</f>
        <v>36</v>
      </c>
      <c r="E45" s="32">
        <v>0.1</v>
      </c>
      <c r="F45" s="180">
        <v>37619</v>
      </c>
      <c r="G45" s="34">
        <f t="shared" si="13"/>
        <v>3.6</v>
      </c>
      <c r="H45" s="35">
        <f t="shared" si="5"/>
        <v>1.7999999999999998</v>
      </c>
      <c r="I45" s="35">
        <f t="shared" si="6"/>
        <v>0.3</v>
      </c>
      <c r="J45" s="36">
        <v>1836</v>
      </c>
      <c r="K45" s="181">
        <f>D45-((D45*E45)/365*J45)</f>
        <v>17.891506849315068</v>
      </c>
      <c r="L45" s="181">
        <f>(D45*E45)/365*J45</f>
        <v>18.108493150684932</v>
      </c>
      <c r="M45" s="36">
        <f>+J45+Z$5</f>
        <v>2018</v>
      </c>
      <c r="N45" s="35">
        <f t="shared" si="15"/>
        <v>19.903561643835616</v>
      </c>
      <c r="O45" s="38">
        <f t="shared" si="1"/>
        <v>16.096438356164384</v>
      </c>
      <c r="P45" s="27">
        <f t="shared" si="14"/>
        <v>1.7950684931506835</v>
      </c>
      <c r="Q45" s="28">
        <f>+M45+AE$5</f>
        <v>2202</v>
      </c>
      <c r="R45" s="27">
        <f t="shared" si="2"/>
        <v>21.718356164383561</v>
      </c>
      <c r="S45" s="27">
        <f t="shared" si="3"/>
        <v>14.281643835616439</v>
      </c>
      <c r="T45" s="195">
        <f>+O45-S45</f>
        <v>1.8147945205479452</v>
      </c>
    </row>
    <row r="46" spans="1:20">
      <c r="A46" s="39"/>
      <c r="B46" s="196" t="s">
        <v>99</v>
      </c>
      <c r="C46" s="30" t="s">
        <v>100</v>
      </c>
      <c r="D46" s="35">
        <v>30</v>
      </c>
      <c r="E46" s="32">
        <v>0.1</v>
      </c>
      <c r="F46" s="180">
        <v>37619</v>
      </c>
      <c r="G46" s="34">
        <f t="shared" si="13"/>
        <v>3</v>
      </c>
      <c r="H46" s="35">
        <f t="shared" si="5"/>
        <v>1.5</v>
      </c>
      <c r="I46" s="35">
        <f t="shared" si="6"/>
        <v>0.25</v>
      </c>
      <c r="J46" s="36">
        <v>1836</v>
      </c>
      <c r="K46" s="181">
        <f>D46-((D46*E46)/365*J46)</f>
        <v>14.909589041095892</v>
      </c>
      <c r="L46" s="181">
        <f>(D46*E46)/365*J46</f>
        <v>15.090410958904108</v>
      </c>
      <c r="M46" s="36">
        <f>+J46+Z$5</f>
        <v>2018</v>
      </c>
      <c r="N46" s="35">
        <f t="shared" si="15"/>
        <v>16.586301369863012</v>
      </c>
      <c r="O46" s="38">
        <f t="shared" si="1"/>
        <v>13.413698630136988</v>
      </c>
      <c r="P46" s="27">
        <f t="shared" si="14"/>
        <v>1.4958904109589035</v>
      </c>
      <c r="Q46" s="28">
        <f>+M46+AE$5</f>
        <v>2202</v>
      </c>
      <c r="R46" s="27">
        <f t="shared" si="2"/>
        <v>18.098630136986298</v>
      </c>
      <c r="S46" s="27">
        <f t="shared" si="3"/>
        <v>11.901369863013702</v>
      </c>
      <c r="T46" s="195">
        <f>+O46-S46</f>
        <v>1.5123287671232859</v>
      </c>
    </row>
    <row r="47" spans="1:20" ht="13.5" thickBot="1">
      <c r="A47" s="39"/>
      <c r="B47" s="72"/>
      <c r="C47" s="73"/>
      <c r="D47" s="78"/>
      <c r="E47" s="75"/>
      <c r="F47" s="76"/>
      <c r="G47" s="76"/>
      <c r="H47" s="79"/>
      <c r="I47" s="74"/>
      <c r="J47" s="77"/>
      <c r="K47" s="77"/>
      <c r="L47" s="77"/>
      <c r="M47" s="77"/>
      <c r="N47" s="74"/>
      <c r="O47" s="74"/>
      <c r="P47" s="80"/>
      <c r="Q47" s="80"/>
      <c r="R47" s="80"/>
      <c r="S47" s="80"/>
      <c r="T47" s="197"/>
    </row>
    <row r="48" spans="1:20" ht="13.5" thickBot="1">
      <c r="A48" s="39"/>
      <c r="B48" s="81" t="s">
        <v>101</v>
      </c>
      <c r="C48" s="82"/>
      <c r="D48" s="83">
        <f>SUM(D8:D47)</f>
        <v>8218.6136000000006</v>
      </c>
      <c r="E48" s="84"/>
      <c r="F48" s="85"/>
      <c r="G48" s="83">
        <f>SUM(G8:G47)</f>
        <v>821.86135999999976</v>
      </c>
      <c r="H48" s="83">
        <f t="shared" ref="H48:T48" si="16">SUM(H8:H47)</f>
        <v>409.56067999999988</v>
      </c>
      <c r="I48" s="83">
        <f t="shared" si="16"/>
        <v>68.488446666666661</v>
      </c>
      <c r="J48" s="83">
        <f t="shared" si="16"/>
        <v>51708</v>
      </c>
      <c r="K48" s="83">
        <f>SUM(K8:K47)</f>
        <v>5521.0725534246585</v>
      </c>
      <c r="L48" s="83">
        <f t="shared" si="16"/>
        <v>2697.5410465753421</v>
      </c>
      <c r="M48" s="83">
        <f t="shared" si="16"/>
        <v>58309</v>
      </c>
      <c r="N48" s="83">
        <f t="shared" si="16"/>
        <v>3077.4891319452058</v>
      </c>
      <c r="O48" s="83">
        <f t="shared" si="16"/>
        <v>5141.1244680547943</v>
      </c>
      <c r="P48" s="83">
        <f t="shared" si="16"/>
        <v>379.94808536986301</v>
      </c>
      <c r="Q48" s="83">
        <f t="shared" si="16"/>
        <v>65256</v>
      </c>
      <c r="R48" s="83">
        <f t="shared" si="16"/>
        <v>3483.3805161643836</v>
      </c>
      <c r="S48" s="83">
        <f t="shared" si="16"/>
        <v>4735.2330838356156</v>
      </c>
      <c r="T48" s="86">
        <f t="shared" si="16"/>
        <v>405.89138421917812</v>
      </c>
    </row>
    <row r="49" spans="1:21" ht="13.5" thickBot="1">
      <c r="A49" s="39"/>
      <c r="B49" s="215" t="s">
        <v>102</v>
      </c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7"/>
      <c r="P49" s="4"/>
      <c r="Q49" s="4"/>
      <c r="R49" s="4"/>
      <c r="S49" s="4"/>
      <c r="T49" s="198"/>
    </row>
    <row r="50" spans="1:21" s="87" customFormat="1" ht="13.5">
      <c r="B50" s="88" t="s">
        <v>103</v>
      </c>
      <c r="C50" s="89" t="s">
        <v>104</v>
      </c>
      <c r="D50" s="90">
        <v>386.4</v>
      </c>
      <c r="E50" s="91">
        <v>0.33333299999999999</v>
      </c>
      <c r="F50" s="92">
        <v>37676</v>
      </c>
      <c r="G50" s="93">
        <f t="shared" ref="G50:G73" si="17">+D50*E50</f>
        <v>128.79987119999998</v>
      </c>
      <c r="H50" s="93">
        <f t="shared" ref="H50:H73" si="18">+G50/12*6</f>
        <v>64.399935599999992</v>
      </c>
      <c r="I50" s="93">
        <f t="shared" ref="I50:I73" si="19">+G50/12</f>
        <v>10.733322599999999</v>
      </c>
      <c r="J50" s="94">
        <f t="shared" ref="J50:J55" si="20">365*3</f>
        <v>1095</v>
      </c>
      <c r="K50" s="38">
        <f>D50-((D50*E50)/365*J50)</f>
        <v>3.8640000002487795E-4</v>
      </c>
      <c r="L50" s="38">
        <f>(D50*E50)/365*J50</f>
        <v>386.39961359999995</v>
      </c>
      <c r="M50" s="45">
        <v>1095</v>
      </c>
      <c r="N50" s="38">
        <f t="shared" ref="N50:N55" si="21">+(D50*E50)/365*M50</f>
        <v>386.39961359999995</v>
      </c>
      <c r="O50" s="38">
        <f t="shared" ref="O50:O57" si="22">D50-N50</f>
        <v>3.8640000002487795E-4</v>
      </c>
      <c r="P50" s="95">
        <f>+K50-O50</f>
        <v>0</v>
      </c>
      <c r="Q50" s="96">
        <v>0</v>
      </c>
      <c r="R50" s="95">
        <f t="shared" ref="R50:R68" si="23">(D50*E50)/365*Q50</f>
        <v>0</v>
      </c>
      <c r="S50" s="95">
        <f t="shared" ref="S50:S68" si="24">+D50-R50</f>
        <v>386.4</v>
      </c>
      <c r="T50" s="151">
        <v>0</v>
      </c>
    </row>
    <row r="51" spans="1:21" s="39" customFormat="1" ht="13.5">
      <c r="B51" s="29" t="s">
        <v>105</v>
      </c>
      <c r="C51" s="54" t="s">
        <v>106</v>
      </c>
      <c r="D51" s="97">
        <v>840</v>
      </c>
      <c r="E51" s="98">
        <v>0.33333299999999999</v>
      </c>
      <c r="F51" s="55">
        <v>37986</v>
      </c>
      <c r="G51" s="48">
        <f t="shared" si="17"/>
        <v>279.99971999999997</v>
      </c>
      <c r="H51" s="38">
        <f t="shared" si="18"/>
        <v>139.99985999999998</v>
      </c>
      <c r="I51" s="38">
        <f t="shared" si="19"/>
        <v>23.333309999999997</v>
      </c>
      <c r="J51" s="99">
        <f t="shared" si="20"/>
        <v>1095</v>
      </c>
      <c r="K51" s="48">
        <f t="shared" ref="K51:K73" si="25">D51-((D51*E51)/365*J51)</f>
        <v>8.4000000003925379E-4</v>
      </c>
      <c r="L51" s="48">
        <f t="shared" ref="L51:L73" si="26">(D51*E51)/365*J51</f>
        <v>839.99915999999996</v>
      </c>
      <c r="M51" s="54">
        <v>1095</v>
      </c>
      <c r="N51" s="38">
        <f t="shared" si="21"/>
        <v>839.99915999999996</v>
      </c>
      <c r="O51" s="38">
        <f t="shared" si="22"/>
        <v>8.4000000003925379E-4</v>
      </c>
      <c r="P51" s="52">
        <f t="shared" ref="P51:P73" si="27">+K51-O51</f>
        <v>0</v>
      </c>
      <c r="Q51" s="53">
        <v>0</v>
      </c>
      <c r="R51" s="52">
        <f t="shared" si="23"/>
        <v>0</v>
      </c>
      <c r="S51" s="52">
        <f t="shared" si="24"/>
        <v>840</v>
      </c>
      <c r="T51" s="152">
        <v>0</v>
      </c>
    </row>
    <row r="52" spans="1:21" s="39" customFormat="1" ht="13.5">
      <c r="B52" s="29" t="s">
        <v>107</v>
      </c>
      <c r="C52" s="54" t="s">
        <v>108</v>
      </c>
      <c r="D52" s="97">
        <v>218.4</v>
      </c>
      <c r="E52" s="98">
        <v>0.33333299999999999</v>
      </c>
      <c r="F52" s="55">
        <v>38022</v>
      </c>
      <c r="G52" s="48">
        <f t="shared" si="17"/>
        <v>72.799927199999999</v>
      </c>
      <c r="H52" s="38">
        <f t="shared" si="18"/>
        <v>36.3999636</v>
      </c>
      <c r="I52" s="38">
        <f t="shared" si="19"/>
        <v>6.0666605999999996</v>
      </c>
      <c r="J52" s="99">
        <f t="shared" si="20"/>
        <v>1095</v>
      </c>
      <c r="K52" s="48">
        <f t="shared" si="25"/>
        <v>2.1839999999428983E-4</v>
      </c>
      <c r="L52" s="48">
        <f t="shared" si="26"/>
        <v>218.39978160000001</v>
      </c>
      <c r="M52" s="54">
        <v>1095</v>
      </c>
      <c r="N52" s="38">
        <f t="shared" si="21"/>
        <v>218.39978160000001</v>
      </c>
      <c r="O52" s="38">
        <f>D52-N52</f>
        <v>2.1839999999428983E-4</v>
      </c>
      <c r="P52" s="52">
        <f t="shared" si="27"/>
        <v>0</v>
      </c>
      <c r="Q52" s="53">
        <v>0</v>
      </c>
      <c r="R52" s="52">
        <f t="shared" si="23"/>
        <v>0</v>
      </c>
      <c r="S52" s="52">
        <f t="shared" si="24"/>
        <v>218.4</v>
      </c>
      <c r="T52" s="152">
        <v>0</v>
      </c>
    </row>
    <row r="53" spans="1:21" s="39" customFormat="1">
      <c r="B53" s="100" t="s">
        <v>109</v>
      </c>
      <c r="C53" s="54"/>
      <c r="D53" s="97">
        <v>39.06</v>
      </c>
      <c r="E53" s="98">
        <v>0.33333299999999999</v>
      </c>
      <c r="F53" s="55">
        <v>38078</v>
      </c>
      <c r="G53" s="48">
        <f t="shared" si="17"/>
        <v>13.019986980000001</v>
      </c>
      <c r="H53" s="38">
        <f t="shared" si="18"/>
        <v>6.5099934900000012</v>
      </c>
      <c r="I53" s="38">
        <f t="shared" si="19"/>
        <v>1.0849989150000001</v>
      </c>
      <c r="J53" s="101">
        <f t="shared" si="20"/>
        <v>1095</v>
      </c>
      <c r="K53" s="48">
        <f t="shared" si="25"/>
        <v>3.9059999998869444E-5</v>
      </c>
      <c r="L53" s="48">
        <f t="shared" si="26"/>
        <v>39.059960940000003</v>
      </c>
      <c r="M53" s="54">
        <v>1095</v>
      </c>
      <c r="N53" s="38">
        <f t="shared" si="21"/>
        <v>39.059960940000003</v>
      </c>
      <c r="O53" s="38">
        <f t="shared" si="22"/>
        <v>3.9059999998869444E-5</v>
      </c>
      <c r="P53" s="52">
        <f t="shared" si="27"/>
        <v>0</v>
      </c>
      <c r="Q53" s="53">
        <v>0</v>
      </c>
      <c r="R53" s="52">
        <f t="shared" si="23"/>
        <v>0</v>
      </c>
      <c r="S53" s="52">
        <f t="shared" si="24"/>
        <v>39.06</v>
      </c>
      <c r="T53" s="152">
        <v>0</v>
      </c>
    </row>
    <row r="54" spans="1:21" s="39" customFormat="1" ht="13.5">
      <c r="B54" s="29" t="s">
        <v>105</v>
      </c>
      <c r="C54" s="54" t="s">
        <v>110</v>
      </c>
      <c r="D54" s="97">
        <v>716.8</v>
      </c>
      <c r="E54" s="98">
        <v>0.33333299999999999</v>
      </c>
      <c r="F54" s="55">
        <v>38121</v>
      </c>
      <c r="G54" s="48">
        <f t="shared" si="17"/>
        <v>238.93309439999999</v>
      </c>
      <c r="H54" s="38">
        <f t="shared" si="18"/>
        <v>119.46654719999998</v>
      </c>
      <c r="I54" s="38">
        <f t="shared" si="19"/>
        <v>19.911091199999998</v>
      </c>
      <c r="J54" s="99">
        <f t="shared" si="20"/>
        <v>1095</v>
      </c>
      <c r="K54" s="48">
        <f t="shared" si="25"/>
        <v>7.1679999996376864E-4</v>
      </c>
      <c r="L54" s="48">
        <f t="shared" si="26"/>
        <v>716.79928319999999</v>
      </c>
      <c r="M54" s="54">
        <v>1095</v>
      </c>
      <c r="N54" s="38">
        <f t="shared" si="21"/>
        <v>716.79928319999999</v>
      </c>
      <c r="O54" s="38">
        <f t="shared" si="22"/>
        <v>7.1679999996376864E-4</v>
      </c>
      <c r="P54" s="52">
        <f t="shared" si="27"/>
        <v>0</v>
      </c>
      <c r="Q54" s="53">
        <v>0</v>
      </c>
      <c r="R54" s="52">
        <f t="shared" si="23"/>
        <v>0</v>
      </c>
      <c r="S54" s="52">
        <f t="shared" si="24"/>
        <v>716.8</v>
      </c>
      <c r="T54" s="152">
        <v>0</v>
      </c>
    </row>
    <row r="55" spans="1:21" s="39" customFormat="1" ht="13.5">
      <c r="B55" s="29" t="s">
        <v>107</v>
      </c>
      <c r="C55" s="54" t="s">
        <v>111</v>
      </c>
      <c r="D55" s="97">
        <v>231.28</v>
      </c>
      <c r="E55" s="98">
        <v>0.33333299999999999</v>
      </c>
      <c r="F55" s="55">
        <v>38260</v>
      </c>
      <c r="G55" s="48">
        <f t="shared" si="17"/>
        <v>77.093256240000002</v>
      </c>
      <c r="H55" s="38">
        <f t="shared" si="18"/>
        <v>38.546628120000001</v>
      </c>
      <c r="I55" s="38">
        <f t="shared" si="19"/>
        <v>6.4244380200000002</v>
      </c>
      <c r="J55" s="49">
        <f t="shared" si="20"/>
        <v>1095</v>
      </c>
      <c r="K55" s="102">
        <f t="shared" si="25"/>
        <v>2.3128000000838256E-4</v>
      </c>
      <c r="L55" s="102">
        <f t="shared" si="26"/>
        <v>231.27976871999999</v>
      </c>
      <c r="M55" s="103">
        <v>1095</v>
      </c>
      <c r="N55" s="23">
        <f t="shared" si="21"/>
        <v>231.27976871999999</v>
      </c>
      <c r="O55" s="23">
        <f t="shared" si="22"/>
        <v>2.3128000000838256E-4</v>
      </c>
      <c r="P55" s="52">
        <f t="shared" si="27"/>
        <v>0</v>
      </c>
      <c r="Q55" s="53">
        <v>0</v>
      </c>
      <c r="R55" s="52">
        <f t="shared" si="23"/>
        <v>0</v>
      </c>
      <c r="S55" s="52">
        <f t="shared" si="24"/>
        <v>231.28</v>
      </c>
      <c r="T55" s="152">
        <v>0</v>
      </c>
    </row>
    <row r="56" spans="1:21" ht="13.5">
      <c r="A56" s="39"/>
      <c r="B56" s="29" t="s">
        <v>105</v>
      </c>
      <c r="C56" s="30" t="s">
        <v>112</v>
      </c>
      <c r="D56" s="104">
        <v>778.4</v>
      </c>
      <c r="E56" s="105">
        <v>0.33333299999999999</v>
      </c>
      <c r="F56" s="33">
        <v>38428</v>
      </c>
      <c r="G56" s="31">
        <f t="shared" si="17"/>
        <v>259.46640719999999</v>
      </c>
      <c r="H56" s="38">
        <f t="shared" si="18"/>
        <v>129.7332036</v>
      </c>
      <c r="I56" s="38">
        <f t="shared" si="19"/>
        <v>21.622200599999999</v>
      </c>
      <c r="J56" s="49">
        <f>365*2+14+30+31+30+31+31+30+31+30+31</f>
        <v>1019</v>
      </c>
      <c r="K56" s="31">
        <f t="shared" si="25"/>
        <v>54.026660447123277</v>
      </c>
      <c r="L56" s="31">
        <f t="shared" si="26"/>
        <v>724.3733395528767</v>
      </c>
      <c r="M56" s="49">
        <v>1095</v>
      </c>
      <c r="N56" s="35">
        <v>778.4</v>
      </c>
      <c r="O56" s="38">
        <f t="shared" si="22"/>
        <v>0</v>
      </c>
      <c r="P56" s="27">
        <v>0</v>
      </c>
      <c r="Q56" s="28">
        <v>0</v>
      </c>
      <c r="R56" s="27">
        <f t="shared" si="23"/>
        <v>0</v>
      </c>
      <c r="S56" s="27">
        <f t="shared" si="24"/>
        <v>778.4</v>
      </c>
      <c r="T56" s="195">
        <v>0</v>
      </c>
    </row>
    <row r="57" spans="1:21" ht="13.5">
      <c r="A57" s="39"/>
      <c r="B57" s="29" t="s">
        <v>113</v>
      </c>
      <c r="C57" s="54" t="s">
        <v>114</v>
      </c>
      <c r="D57" s="104">
        <v>744.8</v>
      </c>
      <c r="E57" s="105">
        <v>0.33333299999999999</v>
      </c>
      <c r="F57" s="33">
        <v>38609</v>
      </c>
      <c r="G57" s="31">
        <f t="shared" si="17"/>
        <v>248.26641839999996</v>
      </c>
      <c r="H57" s="38">
        <f t="shared" si="18"/>
        <v>124.13320919999998</v>
      </c>
      <c r="I57" s="38">
        <f t="shared" si="19"/>
        <v>20.688868199999998</v>
      </c>
      <c r="J57" s="49">
        <f>365*2+17+31+30+31</f>
        <v>839</v>
      </c>
      <c r="K57" s="31">
        <f t="shared" si="25"/>
        <v>174.12732866410965</v>
      </c>
      <c r="L57" s="31">
        <f t="shared" si="26"/>
        <v>570.6726713358903</v>
      </c>
      <c r="M57" s="49">
        <f t="shared" ref="M57:M65" si="28">+J57+Z$5</f>
        <v>1021</v>
      </c>
      <c r="N57" s="35">
        <f t="shared" ref="N57:N65" si="29">+L57+H57</f>
        <v>694.80588053589031</v>
      </c>
      <c r="O57" s="38">
        <f t="shared" si="22"/>
        <v>49.994119464109644</v>
      </c>
      <c r="P57" s="27">
        <f>+K57-O57</f>
        <v>124.13320920000001</v>
      </c>
      <c r="Q57" s="28">
        <v>1095</v>
      </c>
      <c r="R57" s="27">
        <f t="shared" si="23"/>
        <v>744.79925519999983</v>
      </c>
      <c r="S57" s="27">
        <f t="shared" si="24"/>
        <v>7.4480000012044911E-4</v>
      </c>
      <c r="T57" s="195">
        <f t="shared" ref="T57:T68" si="30">+O57-S57</f>
        <v>49.993374664109524</v>
      </c>
      <c r="U57" s="106"/>
    </row>
    <row r="58" spans="1:21" ht="13.5">
      <c r="A58" s="39"/>
      <c r="B58" s="29" t="s">
        <v>103</v>
      </c>
      <c r="C58" s="54" t="s">
        <v>115</v>
      </c>
      <c r="D58" s="97">
        <v>235.2</v>
      </c>
      <c r="E58" s="98">
        <v>0.33333299999999999</v>
      </c>
      <c r="F58" s="55">
        <v>38609</v>
      </c>
      <c r="G58" s="48">
        <f t="shared" si="17"/>
        <v>78.399921599999999</v>
      </c>
      <c r="H58" s="38">
        <f t="shared" si="18"/>
        <v>39.199960799999999</v>
      </c>
      <c r="I58" s="38">
        <f t="shared" si="19"/>
        <v>6.5333268000000002</v>
      </c>
      <c r="J58" s="54">
        <f>365*2+16+31+30+31</f>
        <v>838</v>
      </c>
      <c r="K58" s="48">
        <f t="shared" si="25"/>
        <v>55.202371778630123</v>
      </c>
      <c r="L58" s="48">
        <f t="shared" si="26"/>
        <v>179.99762822136987</v>
      </c>
      <c r="M58" s="49">
        <f t="shared" si="28"/>
        <v>1020</v>
      </c>
      <c r="N58" s="38">
        <f t="shared" si="29"/>
        <v>219.19758902136988</v>
      </c>
      <c r="O58" s="38">
        <v>0</v>
      </c>
      <c r="P58" s="52">
        <v>0</v>
      </c>
      <c r="Q58" s="28">
        <v>0</v>
      </c>
      <c r="R58" s="27">
        <f>(D58*E58)/365*Q58</f>
        <v>0</v>
      </c>
      <c r="S58" s="27">
        <f t="shared" si="24"/>
        <v>235.2</v>
      </c>
      <c r="T58" s="195">
        <v>0</v>
      </c>
    </row>
    <row r="59" spans="1:21" ht="13.5">
      <c r="A59" s="39"/>
      <c r="B59" s="29" t="s">
        <v>116</v>
      </c>
      <c r="C59" s="54" t="s">
        <v>117</v>
      </c>
      <c r="D59" s="97">
        <v>985.6</v>
      </c>
      <c r="E59" s="105">
        <v>0.33333299999999999</v>
      </c>
      <c r="F59" s="33">
        <v>39080</v>
      </c>
      <c r="G59" s="31">
        <f t="shared" si="17"/>
        <v>328.53300480000001</v>
      </c>
      <c r="H59" s="38">
        <f t="shared" si="18"/>
        <v>164.26650240000001</v>
      </c>
      <c r="I59" s="38">
        <f t="shared" si="19"/>
        <v>27.3777504</v>
      </c>
      <c r="J59" s="49">
        <f>365+2</f>
        <v>367</v>
      </c>
      <c r="K59" s="31">
        <f t="shared" si="25"/>
        <v>655.26681435178079</v>
      </c>
      <c r="L59" s="31">
        <f t="shared" si="26"/>
        <v>330.33318564821917</v>
      </c>
      <c r="M59" s="49">
        <f t="shared" si="28"/>
        <v>549</v>
      </c>
      <c r="N59" s="35">
        <f t="shared" si="29"/>
        <v>494.59968804821915</v>
      </c>
      <c r="O59" s="38">
        <f t="shared" ref="O59:O73" si="31">D59-N59</f>
        <v>491.00031195178087</v>
      </c>
      <c r="P59" s="27">
        <f t="shared" si="27"/>
        <v>164.26650239999992</v>
      </c>
      <c r="Q59" s="28">
        <f t="shared" ref="Q59:Q68" si="32">+M59+$AE$5</f>
        <v>733</v>
      </c>
      <c r="R59" s="27">
        <f t="shared" si="23"/>
        <v>659.76628087232882</v>
      </c>
      <c r="S59" s="27">
        <f t="shared" si="24"/>
        <v>325.8337191276712</v>
      </c>
      <c r="T59" s="195">
        <f t="shared" si="30"/>
        <v>165.16659282410967</v>
      </c>
    </row>
    <row r="60" spans="1:21" s="39" customFormat="1" ht="13.5">
      <c r="B60" s="29" t="s">
        <v>118</v>
      </c>
      <c r="C60" s="54" t="s">
        <v>119</v>
      </c>
      <c r="D60" s="97">
        <v>200</v>
      </c>
      <c r="E60" s="98">
        <v>0.33329999999999999</v>
      </c>
      <c r="F60" s="55">
        <v>39078</v>
      </c>
      <c r="G60" s="48">
        <f t="shared" si="17"/>
        <v>66.66</v>
      </c>
      <c r="H60" s="38">
        <f t="shared" si="18"/>
        <v>33.33</v>
      </c>
      <c r="I60" s="38">
        <f t="shared" si="19"/>
        <v>5.5549999999999997</v>
      </c>
      <c r="J60" s="49">
        <f>3+365</f>
        <v>368</v>
      </c>
      <c r="K60" s="48">
        <f t="shared" si="25"/>
        <v>132.7921095890411</v>
      </c>
      <c r="L60" s="48">
        <f t="shared" si="26"/>
        <v>67.20789041095891</v>
      </c>
      <c r="M60" s="49">
        <f t="shared" si="28"/>
        <v>550</v>
      </c>
      <c r="N60" s="38">
        <f t="shared" si="29"/>
        <v>100.53789041095891</v>
      </c>
      <c r="O60" s="38">
        <f t="shared" si="31"/>
        <v>99.462109589041091</v>
      </c>
      <c r="P60" s="52">
        <f t="shared" si="27"/>
        <v>33.330000000000013</v>
      </c>
      <c r="Q60" s="53">
        <f t="shared" si="32"/>
        <v>734</v>
      </c>
      <c r="R60" s="52">
        <f t="shared" si="23"/>
        <v>134.05052054794521</v>
      </c>
      <c r="S60" s="52">
        <f t="shared" si="24"/>
        <v>65.949479452054788</v>
      </c>
      <c r="T60" s="152">
        <f t="shared" si="30"/>
        <v>33.512630136986303</v>
      </c>
    </row>
    <row r="61" spans="1:21" s="39" customFormat="1" ht="13.5">
      <c r="B61" s="29" t="s">
        <v>120</v>
      </c>
      <c r="C61" s="54" t="s">
        <v>121</v>
      </c>
      <c r="D61" s="97">
        <v>160</v>
      </c>
      <c r="E61" s="98">
        <v>0.33329999999999999</v>
      </c>
      <c r="F61" s="55">
        <v>39078</v>
      </c>
      <c r="G61" s="48">
        <f t="shared" si="17"/>
        <v>53.327999999999996</v>
      </c>
      <c r="H61" s="38">
        <f t="shared" si="18"/>
        <v>26.664000000000001</v>
      </c>
      <c r="I61" s="38">
        <f t="shared" si="19"/>
        <v>4.444</v>
      </c>
      <c r="J61" s="49">
        <v>368</v>
      </c>
      <c r="K61" s="48">
        <f t="shared" si="25"/>
        <v>106.23368767123289</v>
      </c>
      <c r="L61" s="48">
        <f t="shared" si="26"/>
        <v>53.766312328767114</v>
      </c>
      <c r="M61" s="49">
        <f t="shared" si="28"/>
        <v>550</v>
      </c>
      <c r="N61" s="38">
        <f t="shared" si="29"/>
        <v>80.430312328767116</v>
      </c>
      <c r="O61" s="38">
        <f t="shared" si="31"/>
        <v>79.569687671232884</v>
      </c>
      <c r="P61" s="52">
        <f t="shared" si="27"/>
        <v>26.664000000000001</v>
      </c>
      <c r="Q61" s="53">
        <f t="shared" si="32"/>
        <v>734</v>
      </c>
      <c r="R61" s="52">
        <f t="shared" si="23"/>
        <v>107.24041643835615</v>
      </c>
      <c r="S61" s="52">
        <f t="shared" si="24"/>
        <v>52.759583561643851</v>
      </c>
      <c r="T61" s="152">
        <f t="shared" si="30"/>
        <v>26.810104109589034</v>
      </c>
    </row>
    <row r="62" spans="1:21" ht="13.5">
      <c r="A62" s="39"/>
      <c r="B62" s="29" t="s">
        <v>116</v>
      </c>
      <c r="C62" s="45" t="s">
        <v>122</v>
      </c>
      <c r="D62" s="97">
        <v>529.20000000000005</v>
      </c>
      <c r="E62" s="105">
        <v>0.33333299999999999</v>
      </c>
      <c r="F62" s="46">
        <v>39240</v>
      </c>
      <c r="G62" s="31">
        <f t="shared" si="17"/>
        <v>176.39982360000002</v>
      </c>
      <c r="H62" s="38">
        <f t="shared" si="18"/>
        <v>88.19991180000001</v>
      </c>
      <c r="I62" s="38">
        <f t="shared" si="19"/>
        <v>14.699985300000002</v>
      </c>
      <c r="J62" s="49">
        <f>24+31+31+30+31+30+31</f>
        <v>208</v>
      </c>
      <c r="K62" s="31">
        <f t="shared" si="25"/>
        <v>428.6762649073973</v>
      </c>
      <c r="L62" s="31">
        <f t="shared" si="26"/>
        <v>100.52373509260275</v>
      </c>
      <c r="M62" s="49">
        <f t="shared" si="28"/>
        <v>390</v>
      </c>
      <c r="N62" s="35">
        <f t="shared" si="29"/>
        <v>188.72364689260274</v>
      </c>
      <c r="O62" s="38">
        <f t="shared" si="31"/>
        <v>340.4763531073973</v>
      </c>
      <c r="P62" s="27">
        <f t="shared" si="27"/>
        <v>88.199911799999995</v>
      </c>
      <c r="Q62" s="28">
        <f t="shared" si="32"/>
        <v>574</v>
      </c>
      <c r="R62" s="27">
        <f t="shared" si="23"/>
        <v>277.40684588054796</v>
      </c>
      <c r="S62" s="27">
        <f t="shared" si="24"/>
        <v>251.79315411945208</v>
      </c>
      <c r="T62" s="195">
        <f t="shared" si="30"/>
        <v>88.683198987945218</v>
      </c>
    </row>
    <row r="63" spans="1:21" ht="13.5">
      <c r="A63" s="39"/>
      <c r="B63" s="29" t="s">
        <v>103</v>
      </c>
      <c r="C63" s="30" t="s">
        <v>123</v>
      </c>
      <c r="D63" s="104">
        <v>238</v>
      </c>
      <c r="E63" s="105">
        <v>0.33333299999999999</v>
      </c>
      <c r="F63" s="33">
        <v>39240</v>
      </c>
      <c r="G63" s="31">
        <f t="shared" si="17"/>
        <v>79.333253999999997</v>
      </c>
      <c r="H63" s="35">
        <f t="shared" si="18"/>
        <v>39.666626999999998</v>
      </c>
      <c r="I63" s="38">
        <f t="shared" si="19"/>
        <v>6.6111044999999997</v>
      </c>
      <c r="J63" s="30">
        <f>23+31+31+30+31+30+31</f>
        <v>207</v>
      </c>
      <c r="K63" s="31">
        <f t="shared" si="25"/>
        <v>193.00826416986303</v>
      </c>
      <c r="L63" s="31">
        <f t="shared" si="26"/>
        <v>44.991735830136982</v>
      </c>
      <c r="M63" s="49">
        <f t="shared" si="28"/>
        <v>389</v>
      </c>
      <c r="N63" s="35">
        <f t="shared" si="29"/>
        <v>84.65836283013698</v>
      </c>
      <c r="O63" s="35">
        <f t="shared" si="31"/>
        <v>153.34163716986302</v>
      </c>
      <c r="P63" s="27">
        <f t="shared" si="27"/>
        <v>39.666627000000005</v>
      </c>
      <c r="Q63" s="28">
        <f t="shared" si="32"/>
        <v>573</v>
      </c>
      <c r="R63" s="27">
        <f t="shared" si="23"/>
        <v>124.5423412109589</v>
      </c>
      <c r="S63" s="27">
        <f t="shared" si="24"/>
        <v>113.4576587890411</v>
      </c>
      <c r="T63" s="195">
        <f t="shared" si="30"/>
        <v>39.883978380821915</v>
      </c>
    </row>
    <row r="64" spans="1:21" ht="13.5">
      <c r="A64" s="39"/>
      <c r="B64" s="29" t="s">
        <v>116</v>
      </c>
      <c r="C64" s="54" t="s">
        <v>124</v>
      </c>
      <c r="D64" s="104">
        <v>518.55999999999995</v>
      </c>
      <c r="E64" s="105">
        <v>0.33333299999999999</v>
      </c>
      <c r="F64" s="33">
        <v>39254</v>
      </c>
      <c r="G64" s="31">
        <f t="shared" si="17"/>
        <v>172.85316047999999</v>
      </c>
      <c r="H64" s="38">
        <f t="shared" si="18"/>
        <v>86.426580239999993</v>
      </c>
      <c r="I64" s="38">
        <f t="shared" si="19"/>
        <v>14.404430039999999</v>
      </c>
      <c r="J64" s="49">
        <f>10+31+31+30+31+30+31</f>
        <v>194</v>
      </c>
      <c r="K64" s="31">
        <f t="shared" si="25"/>
        <v>426.68736127912325</v>
      </c>
      <c r="L64" s="31">
        <f t="shared" si="26"/>
        <v>91.872638720876694</v>
      </c>
      <c r="M64" s="49">
        <f t="shared" si="28"/>
        <v>376</v>
      </c>
      <c r="N64" s="35">
        <f t="shared" si="29"/>
        <v>178.29921896087669</v>
      </c>
      <c r="O64" s="38">
        <f t="shared" si="31"/>
        <v>340.26078103912323</v>
      </c>
      <c r="P64" s="27">
        <f t="shared" si="27"/>
        <v>86.426580240000021</v>
      </c>
      <c r="Q64" s="28">
        <f t="shared" si="32"/>
        <v>560</v>
      </c>
      <c r="R64" s="27">
        <f t="shared" si="23"/>
        <v>265.19936950356163</v>
      </c>
      <c r="S64" s="27">
        <f t="shared" si="24"/>
        <v>253.36063049643832</v>
      </c>
      <c r="T64" s="195">
        <f t="shared" si="30"/>
        <v>86.900150542684912</v>
      </c>
    </row>
    <row r="65" spans="1:20" ht="13.5">
      <c r="A65" s="39"/>
      <c r="B65" s="29" t="s">
        <v>107</v>
      </c>
      <c r="C65" s="30" t="s">
        <v>125</v>
      </c>
      <c r="D65" s="104">
        <v>235.2</v>
      </c>
      <c r="E65" s="105">
        <v>0.33333299999999999</v>
      </c>
      <c r="F65" s="33">
        <v>39275</v>
      </c>
      <c r="G65" s="31">
        <f t="shared" si="17"/>
        <v>78.399921599999999</v>
      </c>
      <c r="H65" s="35">
        <f t="shared" si="18"/>
        <v>39.199960799999999</v>
      </c>
      <c r="I65" s="38">
        <f t="shared" si="19"/>
        <v>6.5333268000000002</v>
      </c>
      <c r="J65" s="30">
        <f>19+31+30+31+30+31</f>
        <v>172</v>
      </c>
      <c r="K65" s="31">
        <f t="shared" si="25"/>
        <v>198.25537941041097</v>
      </c>
      <c r="L65" s="31">
        <f t="shared" si="26"/>
        <v>36.944620589589036</v>
      </c>
      <c r="M65" s="49">
        <f t="shared" si="28"/>
        <v>354</v>
      </c>
      <c r="N65" s="35">
        <f t="shared" si="29"/>
        <v>76.144581389589035</v>
      </c>
      <c r="O65" s="35">
        <f t="shared" si="31"/>
        <v>159.05541861041095</v>
      </c>
      <c r="P65" s="27">
        <f t="shared" si="27"/>
        <v>39.199960800000014</v>
      </c>
      <c r="Q65" s="28">
        <f t="shared" si="32"/>
        <v>538</v>
      </c>
      <c r="R65" s="27">
        <f t="shared" si="23"/>
        <v>115.55933649534246</v>
      </c>
      <c r="S65" s="27">
        <f t="shared" si="24"/>
        <v>119.64066350465752</v>
      </c>
      <c r="T65" s="195">
        <f t="shared" si="30"/>
        <v>39.414755105753429</v>
      </c>
    </row>
    <row r="66" spans="1:20" ht="13.5">
      <c r="A66" s="39"/>
      <c r="B66" s="107" t="s">
        <v>103</v>
      </c>
      <c r="C66" s="63" t="s">
        <v>126</v>
      </c>
      <c r="D66" s="108">
        <f>135*1.12</f>
        <v>151.20000000000002</v>
      </c>
      <c r="E66" s="109">
        <v>0.33333299999999999</v>
      </c>
      <c r="F66" s="110">
        <v>39505</v>
      </c>
      <c r="G66" s="31">
        <f t="shared" si="17"/>
        <v>50.399949600000006</v>
      </c>
      <c r="H66" s="35">
        <f t="shared" si="18"/>
        <v>25.199974800000007</v>
      </c>
      <c r="I66" s="38">
        <f t="shared" si="19"/>
        <v>4.1999958000000008</v>
      </c>
      <c r="J66" s="30">
        <v>0</v>
      </c>
      <c r="K66" s="31">
        <f t="shared" si="25"/>
        <v>151.20000000000002</v>
      </c>
      <c r="L66" s="31">
        <f t="shared" si="26"/>
        <v>0</v>
      </c>
      <c r="M66" s="111">
        <f>1+31+30+31+30</f>
        <v>123</v>
      </c>
      <c r="N66" s="27">
        <f t="shared" ref="N66:N73" si="33">(D66*E66)/365*M66</f>
        <v>16.984092604931512</v>
      </c>
      <c r="O66" s="35">
        <f t="shared" si="31"/>
        <v>134.21590739506851</v>
      </c>
      <c r="P66" s="27">
        <f t="shared" si="27"/>
        <v>16.984092604931504</v>
      </c>
      <c r="Q66" s="28">
        <f t="shared" si="32"/>
        <v>307</v>
      </c>
      <c r="R66" s="27">
        <f t="shared" si="23"/>
        <v>42.391190485479463</v>
      </c>
      <c r="S66" s="27">
        <f t="shared" si="24"/>
        <v>108.80880951452056</v>
      </c>
      <c r="T66" s="195">
        <f t="shared" si="30"/>
        <v>25.407097880547951</v>
      </c>
    </row>
    <row r="67" spans="1:20" ht="13.5">
      <c r="A67" s="39"/>
      <c r="B67" s="107" t="s">
        <v>107</v>
      </c>
      <c r="C67" s="63" t="s">
        <v>127</v>
      </c>
      <c r="D67" s="108">
        <f>113*1.12</f>
        <v>126.56000000000002</v>
      </c>
      <c r="E67" s="109">
        <v>0.33333299999999999</v>
      </c>
      <c r="F67" s="110">
        <v>39505</v>
      </c>
      <c r="G67" s="31">
        <f t="shared" si="17"/>
        <v>42.186624480000006</v>
      </c>
      <c r="H67" s="35">
        <f t="shared" si="18"/>
        <v>21.093312240000003</v>
      </c>
      <c r="I67" s="38">
        <f t="shared" si="19"/>
        <v>3.5155520400000007</v>
      </c>
      <c r="J67" s="30">
        <v>0</v>
      </c>
      <c r="K67" s="31">
        <f t="shared" si="25"/>
        <v>126.56000000000002</v>
      </c>
      <c r="L67" s="31">
        <f t="shared" si="26"/>
        <v>0</v>
      </c>
      <c r="M67" s="111">
        <v>123</v>
      </c>
      <c r="N67" s="27">
        <f t="shared" si="33"/>
        <v>14.216314550794522</v>
      </c>
      <c r="O67" s="35">
        <f t="shared" si="31"/>
        <v>112.34368544920549</v>
      </c>
      <c r="P67" s="27">
        <f t="shared" si="27"/>
        <v>14.216314550794522</v>
      </c>
      <c r="Q67" s="28">
        <f t="shared" si="32"/>
        <v>307</v>
      </c>
      <c r="R67" s="27">
        <f t="shared" si="23"/>
        <v>35.482996480438359</v>
      </c>
      <c r="S67" s="27">
        <f t="shared" si="24"/>
        <v>91.077003519561657</v>
      </c>
      <c r="T67" s="195">
        <f t="shared" si="30"/>
        <v>21.266681929643838</v>
      </c>
    </row>
    <row r="68" spans="1:20">
      <c r="A68" s="39"/>
      <c r="B68" s="62" t="s">
        <v>103</v>
      </c>
      <c r="C68" s="63" t="s">
        <v>128</v>
      </c>
      <c r="D68" s="108">
        <v>248.64</v>
      </c>
      <c r="E68" s="109">
        <v>0.33333299999999999</v>
      </c>
      <c r="F68" s="110">
        <v>39618</v>
      </c>
      <c r="G68" s="31">
        <f t="shared" si="17"/>
        <v>82.879917119999988</v>
      </c>
      <c r="H68" s="35">
        <f t="shared" si="18"/>
        <v>41.439958559999994</v>
      </c>
      <c r="I68" s="38">
        <f t="shared" si="19"/>
        <v>6.9066597599999993</v>
      </c>
      <c r="J68" s="30">
        <v>0</v>
      </c>
      <c r="K68" s="31">
        <f t="shared" si="25"/>
        <v>248.64</v>
      </c>
      <c r="L68" s="31">
        <f t="shared" si="26"/>
        <v>0</v>
      </c>
      <c r="M68" s="30">
        <f>30-19</f>
        <v>11</v>
      </c>
      <c r="N68" s="27">
        <f t="shared" si="33"/>
        <v>2.4977509269041094</v>
      </c>
      <c r="O68" s="35">
        <f t="shared" si="31"/>
        <v>246.14224907309588</v>
      </c>
      <c r="P68" s="27">
        <f t="shared" si="27"/>
        <v>2.4977509269041036</v>
      </c>
      <c r="Q68" s="28">
        <f t="shared" si="32"/>
        <v>195</v>
      </c>
      <c r="R68" s="27">
        <f t="shared" si="23"/>
        <v>44.278311886027389</v>
      </c>
      <c r="S68" s="27">
        <f t="shared" si="24"/>
        <v>204.3616881139726</v>
      </c>
      <c r="T68" s="195">
        <f t="shared" si="30"/>
        <v>41.780560959123278</v>
      </c>
    </row>
    <row r="69" spans="1:20">
      <c r="A69" s="39"/>
      <c r="B69" s="67" t="s">
        <v>129</v>
      </c>
      <c r="C69" s="68" t="s">
        <v>130</v>
      </c>
      <c r="D69" s="112">
        <v>553.11</v>
      </c>
      <c r="E69" s="113">
        <f>+E68</f>
        <v>0.33333299999999999</v>
      </c>
      <c r="F69" s="114">
        <v>39639</v>
      </c>
      <c r="G69" s="31">
        <f t="shared" si="17"/>
        <v>184.36981563000001</v>
      </c>
      <c r="H69" s="35">
        <f t="shared" si="18"/>
        <v>92.184907815000003</v>
      </c>
      <c r="I69" s="38">
        <f t="shared" si="19"/>
        <v>15.3641513025</v>
      </c>
      <c r="J69" s="30">
        <v>0</v>
      </c>
      <c r="K69" s="31">
        <f t="shared" si="25"/>
        <v>553.11</v>
      </c>
      <c r="L69" s="31">
        <f t="shared" si="26"/>
        <v>0</v>
      </c>
      <c r="M69" s="73">
        <v>0</v>
      </c>
      <c r="N69" s="27">
        <f t="shared" si="33"/>
        <v>0</v>
      </c>
      <c r="O69" s="35">
        <f t="shared" si="31"/>
        <v>553.11</v>
      </c>
      <c r="P69" s="27">
        <f t="shared" si="27"/>
        <v>0</v>
      </c>
      <c r="Q69" s="28">
        <f>21+31+30+31+30+31</f>
        <v>174</v>
      </c>
      <c r="R69" s="27">
        <f>(D69*E69)/365*Q69</f>
        <v>87.891364163342459</v>
      </c>
      <c r="S69" s="27">
        <f>+D69-R69</f>
        <v>465.21863583665754</v>
      </c>
      <c r="T69" s="195">
        <f>+O69-S69</f>
        <v>87.891364163342473</v>
      </c>
    </row>
    <row r="70" spans="1:20">
      <c r="A70" s="39"/>
      <c r="B70" s="67" t="s">
        <v>131</v>
      </c>
      <c r="C70" s="68" t="s">
        <v>132</v>
      </c>
      <c r="D70" s="112">
        <f>871.36-124.32</f>
        <v>747.04</v>
      </c>
      <c r="E70" s="113">
        <f>+E69</f>
        <v>0.33333299999999999</v>
      </c>
      <c r="F70" s="114">
        <v>39639</v>
      </c>
      <c r="G70" s="31">
        <f t="shared" si="17"/>
        <v>249.01308431999999</v>
      </c>
      <c r="H70" s="35">
        <f t="shared" si="18"/>
        <v>124.50654216</v>
      </c>
      <c r="I70" s="38">
        <f t="shared" si="19"/>
        <v>20.751090359999999</v>
      </c>
      <c r="J70" s="30">
        <v>0</v>
      </c>
      <c r="K70" s="31">
        <f t="shared" si="25"/>
        <v>747.04</v>
      </c>
      <c r="L70" s="31">
        <f t="shared" si="26"/>
        <v>0</v>
      </c>
      <c r="M70" s="73">
        <v>0</v>
      </c>
      <c r="N70" s="27">
        <f t="shared" si="33"/>
        <v>0</v>
      </c>
      <c r="O70" s="35">
        <f t="shared" si="31"/>
        <v>747.04</v>
      </c>
      <c r="P70" s="27">
        <f t="shared" si="27"/>
        <v>0</v>
      </c>
      <c r="Q70" s="28">
        <v>174</v>
      </c>
      <c r="R70" s="27">
        <f>(D70*E70)/365*Q70</f>
        <v>118.70760731967123</v>
      </c>
      <c r="S70" s="27">
        <f>+D70-R70</f>
        <v>628.33239268032878</v>
      </c>
      <c r="T70" s="195">
        <f>+O70-S70</f>
        <v>118.70760731967118</v>
      </c>
    </row>
    <row r="71" spans="1:20">
      <c r="A71" s="39"/>
      <c r="B71" s="67" t="s">
        <v>133</v>
      </c>
      <c r="C71" s="68" t="s">
        <v>134</v>
      </c>
      <c r="D71" s="112">
        <f>165.18-53.18</f>
        <v>112</v>
      </c>
      <c r="E71" s="113">
        <f>+E70</f>
        <v>0.33333299999999999</v>
      </c>
      <c r="F71" s="114">
        <v>39651</v>
      </c>
      <c r="G71" s="31">
        <f t="shared" si="17"/>
        <v>37.333295999999997</v>
      </c>
      <c r="H71" s="35">
        <f t="shared" si="18"/>
        <v>18.666647999999999</v>
      </c>
      <c r="I71" s="38">
        <f t="shared" si="19"/>
        <v>3.1111079999999998</v>
      </c>
      <c r="J71" s="30">
        <v>0</v>
      </c>
      <c r="K71" s="31">
        <f t="shared" si="25"/>
        <v>112</v>
      </c>
      <c r="L71" s="31">
        <f t="shared" si="26"/>
        <v>0</v>
      </c>
      <c r="M71" s="73">
        <v>0</v>
      </c>
      <c r="N71" s="27">
        <f t="shared" si="33"/>
        <v>0</v>
      </c>
      <c r="O71" s="35">
        <f t="shared" si="31"/>
        <v>112</v>
      </c>
      <c r="P71" s="27">
        <f t="shared" si="27"/>
        <v>0</v>
      </c>
      <c r="Q71" s="28">
        <f>9+31+30+31+30+31</f>
        <v>162</v>
      </c>
      <c r="R71" s="27">
        <f>(D71*E71)/365*Q71</f>
        <v>16.569846443835615</v>
      </c>
      <c r="S71" s="27">
        <f>+D71-R71</f>
        <v>95.430153556164385</v>
      </c>
      <c r="T71" s="195">
        <f>+O71-S71</f>
        <v>16.569846443835615</v>
      </c>
    </row>
    <row r="72" spans="1:20">
      <c r="A72" s="39"/>
      <c r="B72" s="67" t="s">
        <v>103</v>
      </c>
      <c r="C72" s="68" t="s">
        <v>135</v>
      </c>
      <c r="D72" s="112">
        <v>347.2</v>
      </c>
      <c r="E72" s="113">
        <f>+E71</f>
        <v>0.33333299999999999</v>
      </c>
      <c r="F72" s="114">
        <v>39799</v>
      </c>
      <c r="G72" s="31">
        <f t="shared" si="17"/>
        <v>115.73321759999999</v>
      </c>
      <c r="H72" s="35">
        <f t="shared" si="18"/>
        <v>57.866608799999995</v>
      </c>
      <c r="I72" s="38">
        <f t="shared" si="19"/>
        <v>9.6444347999999991</v>
      </c>
      <c r="J72" s="30">
        <v>0</v>
      </c>
      <c r="K72" s="31">
        <f t="shared" si="25"/>
        <v>347.2</v>
      </c>
      <c r="L72" s="31">
        <f t="shared" si="26"/>
        <v>0</v>
      </c>
      <c r="M72" s="73">
        <v>0</v>
      </c>
      <c r="N72" s="27">
        <f t="shared" si="33"/>
        <v>0</v>
      </c>
      <c r="O72" s="35">
        <f t="shared" si="31"/>
        <v>347.2</v>
      </c>
      <c r="P72" s="27">
        <f t="shared" si="27"/>
        <v>0</v>
      </c>
      <c r="Q72" s="28">
        <v>14</v>
      </c>
      <c r="R72" s="27">
        <f>(D72*E72)/365*Q72</f>
        <v>4.4390823189041093</v>
      </c>
      <c r="S72" s="27">
        <f>+D72-R72</f>
        <v>342.76091768109586</v>
      </c>
      <c r="T72" s="195">
        <f>+O72-S72</f>
        <v>4.4390823189041271</v>
      </c>
    </row>
    <row r="73" spans="1:20">
      <c r="A73" s="39"/>
      <c r="B73" s="67" t="s">
        <v>103</v>
      </c>
      <c r="C73" s="68" t="s">
        <v>136</v>
      </c>
      <c r="D73" s="112">
        <v>232</v>
      </c>
      <c r="E73" s="113">
        <f>+E72</f>
        <v>0.33333299999999999</v>
      </c>
      <c r="F73" s="114">
        <v>39806</v>
      </c>
      <c r="G73" s="31">
        <f t="shared" si="17"/>
        <v>77.333255999999992</v>
      </c>
      <c r="H73" s="35">
        <f t="shared" si="18"/>
        <v>38.666627999999996</v>
      </c>
      <c r="I73" s="38">
        <f t="shared" si="19"/>
        <v>6.444437999999999</v>
      </c>
      <c r="J73" s="30">
        <v>0</v>
      </c>
      <c r="K73" s="78">
        <f t="shared" si="25"/>
        <v>232</v>
      </c>
      <c r="L73" s="78">
        <f t="shared" si="26"/>
        <v>0</v>
      </c>
      <c r="M73" s="73">
        <v>0</v>
      </c>
      <c r="N73" s="115">
        <f t="shared" si="33"/>
        <v>0</v>
      </c>
      <c r="O73" s="74">
        <f t="shared" si="31"/>
        <v>232</v>
      </c>
      <c r="P73" s="27">
        <f t="shared" si="27"/>
        <v>0</v>
      </c>
      <c r="Q73" s="28">
        <v>7</v>
      </c>
      <c r="R73" s="27">
        <f>(D73*E73)/365*Q73</f>
        <v>1.4831035397260273</v>
      </c>
      <c r="S73" s="27">
        <f>+D73-R73</f>
        <v>230.51689646027398</v>
      </c>
      <c r="T73" s="195">
        <f>+O73-S73</f>
        <v>1.4831035397260166</v>
      </c>
    </row>
    <row r="74" spans="1:20">
      <c r="A74" s="39"/>
      <c r="B74" s="72"/>
      <c r="C74" s="73"/>
      <c r="D74" s="78"/>
      <c r="E74" s="185"/>
      <c r="F74" s="76"/>
      <c r="G74" s="76"/>
      <c r="H74" s="79"/>
      <c r="I74" s="186"/>
      <c r="J74" s="73"/>
      <c r="K74" s="73"/>
      <c r="L74" s="73"/>
      <c r="M74" s="73"/>
      <c r="N74" s="78"/>
      <c r="O74" s="74"/>
      <c r="P74" s="80"/>
      <c r="Q74" s="80"/>
      <c r="R74" s="80"/>
      <c r="S74" s="80"/>
      <c r="T74" s="197"/>
    </row>
    <row r="75" spans="1:20">
      <c r="A75" s="39"/>
      <c r="B75" s="199" t="s">
        <v>137</v>
      </c>
      <c r="C75" s="187"/>
      <c r="D75" s="188">
        <f>SUM(D50:D74)-386.4</f>
        <v>9188.2500000000018</v>
      </c>
      <c r="E75" s="189"/>
      <c r="F75" s="189"/>
      <c r="G75" s="188">
        <f>SUM(G50:G74)</f>
        <v>3191.5349284499998</v>
      </c>
      <c r="H75" s="188">
        <f t="shared" ref="H75:T75" si="34">SUM(H50:H74)</f>
        <v>1595.7674642249999</v>
      </c>
      <c r="I75" s="188">
        <f t="shared" si="34"/>
        <v>265.96124403750002</v>
      </c>
      <c r="J75" s="188">
        <f t="shared" si="34"/>
        <v>11150</v>
      </c>
      <c r="K75" s="188">
        <f t="shared" si="34"/>
        <v>4942.0286742087119</v>
      </c>
      <c r="L75" s="188">
        <f t="shared" si="34"/>
        <v>4632.6213257912877</v>
      </c>
      <c r="M75" s="188">
        <f t="shared" si="34"/>
        <v>13121</v>
      </c>
      <c r="N75" s="188">
        <f t="shared" si="34"/>
        <v>5361.4328965610421</v>
      </c>
      <c r="O75" s="188">
        <f t="shared" si="34"/>
        <v>4197.2146924603294</v>
      </c>
      <c r="P75" s="188">
        <f t="shared" si="34"/>
        <v>635.58494952263015</v>
      </c>
      <c r="Q75" s="188">
        <f t="shared" si="34"/>
        <v>6881</v>
      </c>
      <c r="R75" s="188">
        <f t="shared" si="34"/>
        <v>2779.8078687864659</v>
      </c>
      <c r="S75" s="188">
        <f t="shared" si="34"/>
        <v>6794.8421312135342</v>
      </c>
      <c r="T75" s="200">
        <f t="shared" si="34"/>
        <v>847.91012930679449</v>
      </c>
    </row>
    <row r="76" spans="1:20" ht="13.5" thickBot="1">
      <c r="A76" s="39"/>
      <c r="B76" s="215" t="s">
        <v>138</v>
      </c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7"/>
      <c r="P76" s="4"/>
      <c r="Q76" s="4"/>
      <c r="R76" s="4"/>
      <c r="S76" s="4"/>
      <c r="T76" s="198"/>
    </row>
    <row r="77" spans="1:20" ht="13.5">
      <c r="A77" s="39"/>
      <c r="B77" s="88" t="s">
        <v>139</v>
      </c>
      <c r="C77" s="124" t="s">
        <v>140</v>
      </c>
      <c r="D77" s="125">
        <v>160.54</v>
      </c>
      <c r="E77" s="126">
        <v>0.1</v>
      </c>
      <c r="F77" s="92">
        <v>37903</v>
      </c>
      <c r="G77" s="127">
        <f>+E77*D77</f>
        <v>16.053999999999998</v>
      </c>
      <c r="H77" s="93">
        <f t="shared" ref="H77:H83" si="35">+G77/12*6</f>
        <v>8.0269999999999992</v>
      </c>
      <c r="I77" s="93">
        <f t="shared" ref="I77:I83" si="36">+G77/12</f>
        <v>1.3378333333333332</v>
      </c>
      <c r="J77" s="128">
        <f>22+30+31+365*4</f>
        <v>1543</v>
      </c>
      <c r="K77" s="129">
        <f t="shared" ref="K77:K83" si="37">D77-((D77*E77)/365*J77)</f>
        <v>92.673364383561633</v>
      </c>
      <c r="L77" s="129">
        <f>+(D77*E77)/365*J77</f>
        <v>67.866635616438359</v>
      </c>
      <c r="M77" s="129">
        <f t="shared" ref="M77:M83" si="38">+J77+Z$5</f>
        <v>1725</v>
      </c>
      <c r="N77" s="35">
        <f t="shared" ref="N77:N83" si="39">+L77+H77</f>
        <v>75.89363561643836</v>
      </c>
      <c r="O77" s="93">
        <f t="shared" ref="O77:O83" si="40">D77-N77</f>
        <v>84.646364383561632</v>
      </c>
      <c r="P77" s="27">
        <f t="shared" ref="P77:P83" si="41">+K77-O77</f>
        <v>8.027000000000001</v>
      </c>
      <c r="Q77" s="28">
        <f t="shared" ref="Q77:Q83" si="42">+M77+$AE$5</f>
        <v>1909</v>
      </c>
      <c r="R77" s="27">
        <f t="shared" ref="R77:R83" si="43">(D77*E77)/365*Q77</f>
        <v>83.964619178082188</v>
      </c>
      <c r="S77" s="27">
        <f t="shared" ref="S77:S83" si="44">+D77-R77</f>
        <v>76.575380821917804</v>
      </c>
      <c r="T77" s="195">
        <f t="shared" ref="T77:T83" si="45">+O77-S77</f>
        <v>8.0709835616438284</v>
      </c>
    </row>
    <row r="78" spans="1:20" ht="13.5">
      <c r="A78" s="39"/>
      <c r="B78" s="29" t="s">
        <v>141</v>
      </c>
      <c r="C78" s="30" t="s">
        <v>142</v>
      </c>
      <c r="D78" s="104">
        <v>51</v>
      </c>
      <c r="E78" s="37">
        <v>0.1</v>
      </c>
      <c r="F78" s="33">
        <v>38196</v>
      </c>
      <c r="G78" s="31">
        <f>+E78*D78</f>
        <v>5.1000000000000005</v>
      </c>
      <c r="H78" s="38">
        <f t="shared" si="35"/>
        <v>2.5500000000000003</v>
      </c>
      <c r="I78" s="38">
        <f t="shared" si="36"/>
        <v>0.42500000000000004</v>
      </c>
      <c r="J78" s="30">
        <f>365*3+3+31+30+31+30+31</f>
        <v>1251</v>
      </c>
      <c r="K78" s="129">
        <f t="shared" si="37"/>
        <v>33.520273972602737</v>
      </c>
      <c r="L78" s="129">
        <f>+(D78*E78)/365*J78</f>
        <v>17.479726027397263</v>
      </c>
      <c r="M78" s="129">
        <f t="shared" si="38"/>
        <v>1433</v>
      </c>
      <c r="N78" s="35">
        <f t="shared" si="39"/>
        <v>20.029726027397263</v>
      </c>
      <c r="O78" s="38">
        <f t="shared" si="40"/>
        <v>30.970273972602737</v>
      </c>
      <c r="P78" s="27">
        <f t="shared" si="41"/>
        <v>2.5500000000000007</v>
      </c>
      <c r="Q78" s="28">
        <f t="shared" si="42"/>
        <v>1617</v>
      </c>
      <c r="R78" s="27">
        <f t="shared" si="43"/>
        <v>22.593698630136988</v>
      </c>
      <c r="S78" s="27">
        <f t="shared" si="44"/>
        <v>28.406301369863012</v>
      </c>
      <c r="T78" s="195">
        <f t="shared" si="45"/>
        <v>2.5639726027397245</v>
      </c>
    </row>
    <row r="79" spans="1:20" ht="13.5">
      <c r="A79" s="39"/>
      <c r="B79" s="29" t="s">
        <v>143</v>
      </c>
      <c r="C79" s="30"/>
      <c r="D79" s="104">
        <v>84</v>
      </c>
      <c r="E79" s="37">
        <v>0.1</v>
      </c>
      <c r="F79" s="33">
        <v>38201</v>
      </c>
      <c r="G79" s="31">
        <f>+E79*D79</f>
        <v>8.4</v>
      </c>
      <c r="H79" s="38">
        <f t="shared" si="35"/>
        <v>4.2</v>
      </c>
      <c r="I79" s="38">
        <f t="shared" si="36"/>
        <v>0.70000000000000007</v>
      </c>
      <c r="J79" s="30">
        <f>365*3+29+30+31+30+31</f>
        <v>1246</v>
      </c>
      <c r="K79" s="129">
        <f t="shared" si="37"/>
        <v>55.32493150684931</v>
      </c>
      <c r="L79" s="129">
        <f>+(D79*E79)/365*J79</f>
        <v>28.675068493150686</v>
      </c>
      <c r="M79" s="129">
        <f t="shared" si="38"/>
        <v>1428</v>
      </c>
      <c r="N79" s="35">
        <f t="shared" si="39"/>
        <v>32.875068493150685</v>
      </c>
      <c r="O79" s="38">
        <f t="shared" si="40"/>
        <v>51.124931506849315</v>
      </c>
      <c r="P79" s="27">
        <f t="shared" si="41"/>
        <v>4.1999999999999957</v>
      </c>
      <c r="Q79" s="28">
        <f t="shared" si="42"/>
        <v>1612</v>
      </c>
      <c r="R79" s="27">
        <f t="shared" si="43"/>
        <v>37.098082191780826</v>
      </c>
      <c r="S79" s="27">
        <f t="shared" si="44"/>
        <v>46.901917808219174</v>
      </c>
      <c r="T79" s="195">
        <f t="shared" si="45"/>
        <v>4.2230136986301403</v>
      </c>
    </row>
    <row r="80" spans="1:20" ht="13.5">
      <c r="A80" s="39"/>
      <c r="B80" s="29" t="s">
        <v>144</v>
      </c>
      <c r="C80" s="30" t="s">
        <v>145</v>
      </c>
      <c r="D80" s="104">
        <v>685</v>
      </c>
      <c r="E80" s="37">
        <v>0.1</v>
      </c>
      <c r="F80" s="46">
        <v>38772</v>
      </c>
      <c r="G80" s="31">
        <f>+D80*E80</f>
        <v>68.5</v>
      </c>
      <c r="H80" s="31">
        <f t="shared" si="35"/>
        <v>34.25</v>
      </c>
      <c r="I80" s="31">
        <f t="shared" si="36"/>
        <v>5.708333333333333</v>
      </c>
      <c r="J80" s="130">
        <f>365+4+31+30+31+30+31+31+30+31+30+31</f>
        <v>675</v>
      </c>
      <c r="K80" s="129">
        <f t="shared" si="37"/>
        <v>558.32191780821915</v>
      </c>
      <c r="L80" s="129">
        <f>+(D80*E80)/365*J80</f>
        <v>126.67808219178083</v>
      </c>
      <c r="M80" s="129">
        <f t="shared" si="38"/>
        <v>857</v>
      </c>
      <c r="N80" s="35">
        <f t="shared" si="39"/>
        <v>160.92808219178085</v>
      </c>
      <c r="O80" s="38">
        <f t="shared" si="40"/>
        <v>524.07191780821915</v>
      </c>
      <c r="P80" s="27">
        <f t="shared" si="41"/>
        <v>34.25</v>
      </c>
      <c r="Q80" s="28">
        <f t="shared" si="42"/>
        <v>1041</v>
      </c>
      <c r="R80" s="27">
        <f t="shared" si="43"/>
        <v>195.36575342465753</v>
      </c>
      <c r="S80" s="27">
        <f t="shared" si="44"/>
        <v>489.63424657534244</v>
      </c>
      <c r="T80" s="195">
        <f t="shared" si="45"/>
        <v>34.43767123287671</v>
      </c>
    </row>
    <row r="81" spans="1:20" s="39" customFormat="1">
      <c r="B81" s="100" t="s">
        <v>146</v>
      </c>
      <c r="C81" s="54" t="s">
        <v>147</v>
      </c>
      <c r="D81" s="38">
        <v>1090.22</v>
      </c>
      <c r="E81" s="57">
        <v>0.1</v>
      </c>
      <c r="F81" s="55">
        <v>38149</v>
      </c>
      <c r="G81" s="48">
        <f>+E81*D81</f>
        <v>109.02200000000001</v>
      </c>
      <c r="H81" s="38">
        <f t="shared" si="35"/>
        <v>54.51100000000001</v>
      </c>
      <c r="I81" s="38">
        <f t="shared" si="36"/>
        <v>9.0851666666666677</v>
      </c>
      <c r="J81" s="131">
        <f>365+365+365+19+31+31+30+31+30+31</f>
        <v>1298</v>
      </c>
      <c r="K81" s="50">
        <f t="shared" si="37"/>
        <v>702.5198465753424</v>
      </c>
      <c r="L81" s="50">
        <f>(D81*E81)/365*J81</f>
        <v>387.70015342465757</v>
      </c>
      <c r="M81" s="51">
        <f t="shared" si="38"/>
        <v>1480</v>
      </c>
      <c r="N81" s="23">
        <f t="shared" si="39"/>
        <v>442.2111534246576</v>
      </c>
      <c r="O81" s="38">
        <f t="shared" si="40"/>
        <v>648.00884657534243</v>
      </c>
      <c r="P81" s="52">
        <f t="shared" si="41"/>
        <v>54.510999999999967</v>
      </c>
      <c r="Q81" s="53">
        <f t="shared" si="42"/>
        <v>1664</v>
      </c>
      <c r="R81" s="52">
        <f t="shared" si="43"/>
        <v>497.02084383561646</v>
      </c>
      <c r="S81" s="52">
        <f t="shared" si="44"/>
        <v>593.19915616438357</v>
      </c>
      <c r="T81" s="152">
        <f t="shared" si="45"/>
        <v>54.809690410958865</v>
      </c>
    </row>
    <row r="82" spans="1:20" s="39" customFormat="1">
      <c r="B82" s="100" t="s">
        <v>148</v>
      </c>
      <c r="C82" s="54" t="s">
        <v>149</v>
      </c>
      <c r="D82" s="38">
        <v>1028.92</v>
      </c>
      <c r="E82" s="57">
        <v>0.1</v>
      </c>
      <c r="F82" s="55">
        <v>38769</v>
      </c>
      <c r="G82" s="48">
        <f>+E82*D82</f>
        <v>102.89200000000001</v>
      </c>
      <c r="H82" s="38">
        <f t="shared" si="35"/>
        <v>51.445999999999998</v>
      </c>
      <c r="I82" s="38">
        <f t="shared" si="36"/>
        <v>8.5743333333333336</v>
      </c>
      <c r="J82" s="49">
        <f>365+7+31+30+31+30+31+31+30+31+30+31</f>
        <v>678</v>
      </c>
      <c r="K82" s="50">
        <f t="shared" si="37"/>
        <v>837.79458630136992</v>
      </c>
      <c r="L82" s="50">
        <f>(D82*E82)/365*J82</f>
        <v>191.12541369863015</v>
      </c>
      <c r="M82" s="51">
        <f t="shared" si="38"/>
        <v>860</v>
      </c>
      <c r="N82" s="23">
        <f t="shared" si="39"/>
        <v>242.57141369863015</v>
      </c>
      <c r="O82" s="38">
        <f t="shared" si="40"/>
        <v>786.34858630136989</v>
      </c>
      <c r="P82" s="52">
        <f t="shared" si="41"/>
        <v>51.446000000000026</v>
      </c>
      <c r="Q82" s="53">
        <f t="shared" si="42"/>
        <v>1044</v>
      </c>
      <c r="R82" s="52">
        <f t="shared" si="43"/>
        <v>294.29930958904112</v>
      </c>
      <c r="S82" s="52">
        <f t="shared" si="44"/>
        <v>734.62069041095901</v>
      </c>
      <c r="T82" s="152">
        <f t="shared" si="45"/>
        <v>51.727895890410878</v>
      </c>
    </row>
    <row r="83" spans="1:20" s="39" customFormat="1" ht="13.5">
      <c r="B83" s="29" t="s">
        <v>150</v>
      </c>
      <c r="C83" s="54" t="s">
        <v>151</v>
      </c>
      <c r="D83" s="97">
        <v>980</v>
      </c>
      <c r="E83" s="57">
        <v>0.1</v>
      </c>
      <c r="F83" s="55">
        <v>38885</v>
      </c>
      <c r="G83" s="48">
        <f>+D83*E83</f>
        <v>98</v>
      </c>
      <c r="H83" s="48">
        <f t="shared" si="35"/>
        <v>49</v>
      </c>
      <c r="I83" s="48">
        <f t="shared" si="36"/>
        <v>8.1666666666666661</v>
      </c>
      <c r="J83" s="132">
        <f>365+14+31+31+30+31+30+31</f>
        <v>563</v>
      </c>
      <c r="K83" s="131">
        <f t="shared" si="37"/>
        <v>828.83835616438353</v>
      </c>
      <c r="L83" s="131">
        <f>+(D83*E83)/365*J83</f>
        <v>151.16164383561645</v>
      </c>
      <c r="M83" s="131">
        <f t="shared" si="38"/>
        <v>745</v>
      </c>
      <c r="N83" s="38">
        <f t="shared" si="39"/>
        <v>200.16164383561645</v>
      </c>
      <c r="O83" s="38">
        <f t="shared" si="40"/>
        <v>779.83835616438353</v>
      </c>
      <c r="P83" s="52">
        <f t="shared" si="41"/>
        <v>49</v>
      </c>
      <c r="Q83" s="53">
        <f t="shared" si="42"/>
        <v>929</v>
      </c>
      <c r="R83" s="52">
        <f t="shared" si="43"/>
        <v>249.43013698630136</v>
      </c>
      <c r="S83" s="52">
        <f t="shared" si="44"/>
        <v>730.56986301369864</v>
      </c>
      <c r="T83" s="152">
        <f t="shared" si="45"/>
        <v>49.26849315068489</v>
      </c>
    </row>
    <row r="84" spans="1:20" ht="13.5">
      <c r="A84" s="39"/>
      <c r="B84" s="107" t="s">
        <v>152</v>
      </c>
      <c r="C84" s="63" t="s">
        <v>153</v>
      </c>
      <c r="D84" s="108">
        <v>303.14999999999998</v>
      </c>
      <c r="E84" s="133">
        <v>0.1</v>
      </c>
      <c r="F84" s="110">
        <v>39811</v>
      </c>
      <c r="G84" s="31"/>
      <c r="H84" s="31"/>
      <c r="I84" s="31"/>
      <c r="J84" s="130"/>
      <c r="K84" s="129"/>
      <c r="L84" s="129"/>
      <c r="M84" s="129"/>
      <c r="N84" s="35"/>
      <c r="O84" s="38"/>
      <c r="P84" s="27"/>
      <c r="Q84" s="28"/>
      <c r="R84" s="27"/>
      <c r="S84" s="27"/>
      <c r="T84" s="195"/>
    </row>
    <row r="85" spans="1:20" ht="13.5" thickBot="1">
      <c r="A85" s="39"/>
      <c r="B85" s="120" t="s">
        <v>154</v>
      </c>
      <c r="C85" s="121"/>
      <c r="D85" s="122">
        <f>SUM(D77:D84)</f>
        <v>4382.83</v>
      </c>
      <c r="E85" s="123"/>
      <c r="F85" s="123"/>
      <c r="G85" s="122">
        <f>SUM(G77:G84)+352.81</f>
        <v>760.77800000000002</v>
      </c>
      <c r="H85" s="122">
        <f t="shared" ref="H85:T85" si="46">SUM(H77:H84)</f>
        <v>203.98400000000001</v>
      </c>
      <c r="I85" s="122">
        <f t="shared" si="46"/>
        <v>33.99733333333333</v>
      </c>
      <c r="J85" s="122">
        <f t="shared" si="46"/>
        <v>7254</v>
      </c>
      <c r="K85" s="122">
        <f t="shared" si="46"/>
        <v>3108.9932767123287</v>
      </c>
      <c r="L85" s="122">
        <f t="shared" si="46"/>
        <v>970.68672328767127</v>
      </c>
      <c r="M85" s="122">
        <f t="shared" si="46"/>
        <v>8528</v>
      </c>
      <c r="N85" s="122">
        <f t="shared" si="46"/>
        <v>1174.6707232876713</v>
      </c>
      <c r="O85" s="122">
        <f t="shared" si="46"/>
        <v>2905.0092767123288</v>
      </c>
      <c r="P85" s="122">
        <f t="shared" si="46"/>
        <v>203.98399999999998</v>
      </c>
      <c r="Q85" s="122">
        <f t="shared" si="46"/>
        <v>9816</v>
      </c>
      <c r="R85" s="122">
        <f t="shared" si="46"/>
        <v>1379.7724438356163</v>
      </c>
      <c r="S85" s="122">
        <f t="shared" si="46"/>
        <v>2699.9075561643835</v>
      </c>
      <c r="T85" s="201">
        <f t="shared" si="46"/>
        <v>205.10172054794504</v>
      </c>
    </row>
    <row r="86" spans="1:20" ht="13.5" thickBot="1">
      <c r="A86" s="39"/>
      <c r="B86" s="215" t="s">
        <v>155</v>
      </c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4"/>
      <c r="Q86" s="4"/>
      <c r="R86" s="4"/>
      <c r="S86" s="4"/>
      <c r="T86" s="198"/>
    </row>
    <row r="87" spans="1:20" ht="13.5" thickBot="1">
      <c r="A87" s="39"/>
      <c r="B87" s="134" t="s">
        <v>155</v>
      </c>
      <c r="C87" s="135" t="s">
        <v>156</v>
      </c>
      <c r="D87" s="135">
        <v>267833.48</v>
      </c>
      <c r="E87" s="136">
        <v>0.05</v>
      </c>
      <c r="F87" s="85">
        <v>39266</v>
      </c>
      <c r="G87" s="137">
        <f>+D87*E87</f>
        <v>13391.673999999999</v>
      </c>
      <c r="H87" s="137">
        <f>+G87/12*6</f>
        <v>6695.8369999999995</v>
      </c>
      <c r="I87" s="137">
        <f>+G87/12</f>
        <v>1115.9728333333333</v>
      </c>
      <c r="J87" s="138">
        <f>28+31+30+31+30+31</f>
        <v>181</v>
      </c>
      <c r="K87" s="139">
        <f>D87-((D87*E87)/365*J87)</f>
        <v>261192.67727671232</v>
      </c>
      <c r="L87" s="139">
        <f>+(D87*E87)/365*J87</f>
        <v>6640.8027232876711</v>
      </c>
      <c r="M87" s="138">
        <f>+J87+Z5</f>
        <v>363</v>
      </c>
      <c r="N87" s="139">
        <f>+L87+H87</f>
        <v>13336.63972328767</v>
      </c>
      <c r="O87" s="140">
        <f>D87-N87</f>
        <v>254496.84027671232</v>
      </c>
      <c r="P87" s="177">
        <f>+K87-O87</f>
        <v>6695.8369999999995</v>
      </c>
      <c r="Q87" s="4">
        <f>+M87+AE5</f>
        <v>547</v>
      </c>
      <c r="R87" s="177">
        <f>(D87*E87)/365*Q87</f>
        <v>20069.166241095892</v>
      </c>
      <c r="S87" s="177">
        <f>+D87-R87</f>
        <v>247764.31375890409</v>
      </c>
      <c r="T87" s="202">
        <f>+O87-S87</f>
        <v>6732.5265178082336</v>
      </c>
    </row>
    <row r="88" spans="1:20">
      <c r="A88" s="39"/>
      <c r="B88" s="203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4"/>
      <c r="Q88" s="4"/>
      <c r="R88" s="4"/>
      <c r="S88" s="4"/>
      <c r="T88" s="198"/>
    </row>
    <row r="89" spans="1:20" ht="13.5" thickBot="1">
      <c r="A89" s="39"/>
      <c r="B89" s="215" t="s">
        <v>157</v>
      </c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4"/>
      <c r="Q89" s="4"/>
      <c r="R89" s="4"/>
      <c r="S89" s="4"/>
      <c r="T89" s="198"/>
    </row>
    <row r="90" spans="1:20" ht="13.5">
      <c r="A90" s="39"/>
      <c r="B90" s="88" t="s">
        <v>158</v>
      </c>
      <c r="C90" s="141" t="s">
        <v>159</v>
      </c>
      <c r="D90" s="142">
        <v>428.96</v>
      </c>
      <c r="E90" s="143">
        <v>0.1</v>
      </c>
      <c r="F90" s="144">
        <v>39217</v>
      </c>
      <c r="G90" s="127">
        <f>+E90*D90</f>
        <v>42.896000000000001</v>
      </c>
      <c r="H90" s="93">
        <f>+G90/12*6</f>
        <v>21.448</v>
      </c>
      <c r="I90" s="93">
        <f>+G90/12</f>
        <v>3.5746666666666669</v>
      </c>
      <c r="J90" s="145">
        <f>16+30+31+31+30+31+30+31</f>
        <v>230</v>
      </c>
      <c r="K90" s="146">
        <f>D90-((D90*E90)/365*J90)</f>
        <v>401.92964383561639</v>
      </c>
      <c r="L90" s="146">
        <f>+(D90*E90)/365*J90</f>
        <v>27.030356164383562</v>
      </c>
      <c r="M90" s="145">
        <f>+J90+Z$5</f>
        <v>412</v>
      </c>
      <c r="N90" s="142">
        <f>+L90+H90</f>
        <v>48.478356164383563</v>
      </c>
      <c r="O90" s="93">
        <f>D90-N90</f>
        <v>380.48164383561641</v>
      </c>
      <c r="P90" s="147">
        <f>+K90-O90</f>
        <v>21.447999999999979</v>
      </c>
      <c r="Q90" s="148">
        <f>+M90+AE5</f>
        <v>596</v>
      </c>
      <c r="R90" s="147">
        <f>(D90*E90)/365*Q90</f>
        <v>70.043879452054796</v>
      </c>
      <c r="S90" s="147">
        <f>+D90-R90</f>
        <v>358.91612054794518</v>
      </c>
      <c r="T90" s="149">
        <f>+O90-S90</f>
        <v>21.565523287671226</v>
      </c>
    </row>
    <row r="91" spans="1:20" s="87" customFormat="1">
      <c r="B91" s="42" t="s">
        <v>160</v>
      </c>
      <c r="C91" s="45" t="s">
        <v>161</v>
      </c>
      <c r="D91" s="38">
        <v>99.68</v>
      </c>
      <c r="E91" s="47">
        <v>0.1</v>
      </c>
      <c r="F91" s="46">
        <v>37986</v>
      </c>
      <c r="G91" s="38">
        <f>+E91*D91</f>
        <v>9.9680000000000017</v>
      </c>
      <c r="H91" s="38">
        <f>+G91/12*6</f>
        <v>4.9840000000000009</v>
      </c>
      <c r="I91" s="38">
        <f>+G91/12</f>
        <v>0.83066666666666678</v>
      </c>
      <c r="J91" s="49">
        <f>365*4</f>
        <v>1460</v>
      </c>
      <c r="K91" s="150">
        <f>D91-((D91*E91)/365*J91)</f>
        <v>59.808</v>
      </c>
      <c r="L91" s="150">
        <f>(D91*E91)/365*J91</f>
        <v>39.872000000000007</v>
      </c>
      <c r="M91" s="49">
        <f>+J91+Z$5</f>
        <v>1642</v>
      </c>
      <c r="N91" s="38">
        <f>+L91+H91</f>
        <v>44.856000000000009</v>
      </c>
      <c r="O91" s="38">
        <f>D91-N91</f>
        <v>54.823999999999998</v>
      </c>
      <c r="P91" s="95">
        <f>+K91-O91</f>
        <v>4.9840000000000018</v>
      </c>
      <c r="Q91" s="96">
        <f>+M91+$AE$5</f>
        <v>1826</v>
      </c>
      <c r="R91" s="95">
        <f>(D91*E91)/365*Q91</f>
        <v>49.867309589041106</v>
      </c>
      <c r="S91" s="95">
        <f>+D91-R91</f>
        <v>49.812690410958901</v>
      </c>
      <c r="T91" s="151">
        <f>+O91-S91</f>
        <v>5.0113095890410975</v>
      </c>
    </row>
    <row r="92" spans="1:20" s="39" customFormat="1" ht="13.5">
      <c r="B92" s="29" t="s">
        <v>152</v>
      </c>
      <c r="C92" s="45" t="s">
        <v>162</v>
      </c>
      <c r="D92" s="38">
        <v>385</v>
      </c>
      <c r="E92" s="47">
        <v>0.1</v>
      </c>
      <c r="F92" s="46">
        <v>38687</v>
      </c>
      <c r="G92" s="56">
        <f>+E92*D92</f>
        <v>38.5</v>
      </c>
      <c r="H92" s="58">
        <f>+G92/12*6</f>
        <v>19.25</v>
      </c>
      <c r="I92" s="59">
        <f>+G92/12</f>
        <v>3.2083333333333335</v>
      </c>
      <c r="J92" s="49">
        <f>365*2+30</f>
        <v>760</v>
      </c>
      <c r="K92" s="150">
        <f>D92-((D92*E92)/365*J92)</f>
        <v>304.83561643835617</v>
      </c>
      <c r="L92" s="150">
        <f>(D92*E92)/365*J92</f>
        <v>80.164383561643831</v>
      </c>
      <c r="M92" s="49">
        <f>+J92+Z$5</f>
        <v>942</v>
      </c>
      <c r="N92" s="38">
        <f>+L92+H92</f>
        <v>99.414383561643831</v>
      </c>
      <c r="O92" s="38">
        <f>D92-N92</f>
        <v>285.58561643835617</v>
      </c>
      <c r="P92" s="52">
        <f>+K92-O92</f>
        <v>19.25</v>
      </c>
      <c r="Q92" s="53">
        <f>+M92+$AE$5</f>
        <v>1126</v>
      </c>
      <c r="R92" s="52">
        <f>(D92*E92)/365*Q92</f>
        <v>118.76986301369863</v>
      </c>
      <c r="S92" s="52">
        <f>+D92-R92</f>
        <v>266.23013698630137</v>
      </c>
      <c r="T92" s="152">
        <f>+O92-S92</f>
        <v>19.355479452054794</v>
      </c>
    </row>
    <row r="93" spans="1:20" ht="14.25" thickBot="1">
      <c r="A93" s="39"/>
      <c r="B93" s="153" t="s">
        <v>37</v>
      </c>
      <c r="C93" s="116" t="s">
        <v>163</v>
      </c>
      <c r="D93" s="117">
        <v>546.22</v>
      </c>
      <c r="E93" s="154">
        <v>0.1</v>
      </c>
      <c r="F93" s="155">
        <v>39423</v>
      </c>
      <c r="G93" s="156">
        <f>+E93*D93</f>
        <v>54.622000000000007</v>
      </c>
      <c r="H93" s="157">
        <f>+G93/12*6</f>
        <v>27.311</v>
      </c>
      <c r="I93" s="119">
        <f>+G93/12</f>
        <v>4.5518333333333336</v>
      </c>
      <c r="J93" s="158">
        <v>24</v>
      </c>
      <c r="K93" s="159">
        <f>D93-((D93*E93)/365*J93)</f>
        <v>542.62841643835623</v>
      </c>
      <c r="L93" s="159">
        <f>+(D93*E93)/365*J93</f>
        <v>3.5915835616438359</v>
      </c>
      <c r="M93" s="158">
        <f>+J93+Z$5</f>
        <v>206</v>
      </c>
      <c r="N93" s="119">
        <f>+L93+H93</f>
        <v>30.902583561643837</v>
      </c>
      <c r="O93" s="119">
        <f>D93-N93</f>
        <v>515.31741643835619</v>
      </c>
      <c r="P93" s="160">
        <f>+K93-O93</f>
        <v>27.311000000000035</v>
      </c>
      <c r="Q93" s="161">
        <f>+M93+AE5</f>
        <v>390</v>
      </c>
      <c r="R93" s="160">
        <f>(D93*E93)/365*Q93</f>
        <v>58.363232876712331</v>
      </c>
      <c r="S93" s="160">
        <f>+D93-R93</f>
        <v>487.85676712328768</v>
      </c>
      <c r="T93" s="162">
        <f>+O93-S93</f>
        <v>27.460649315068508</v>
      </c>
    </row>
    <row r="94" spans="1:20" ht="13.5" thickBot="1">
      <c r="A94" s="39"/>
      <c r="B94" s="163" t="s">
        <v>164</v>
      </c>
      <c r="C94" s="164"/>
      <c r="D94" s="165">
        <f>SUM(D90:D93)</f>
        <v>1459.8600000000001</v>
      </c>
      <c r="E94" s="166"/>
      <c r="F94" s="166"/>
      <c r="G94" s="165">
        <f>SUM(G90:G93)</f>
        <v>145.98600000000002</v>
      </c>
      <c r="H94" s="165">
        <f t="shared" ref="H94:T94" si="47">SUM(H90:H93)</f>
        <v>72.992999999999995</v>
      </c>
      <c r="I94" s="165">
        <f t="shared" si="47"/>
        <v>12.165500000000002</v>
      </c>
      <c r="J94" s="165">
        <f t="shared" si="47"/>
        <v>2474</v>
      </c>
      <c r="K94" s="165">
        <f t="shared" si="47"/>
        <v>1309.2016767123287</v>
      </c>
      <c r="L94" s="165">
        <f t="shared" si="47"/>
        <v>150.65832328767124</v>
      </c>
      <c r="M94" s="165">
        <f t="shared" si="47"/>
        <v>3202</v>
      </c>
      <c r="N94" s="165">
        <f t="shared" si="47"/>
        <v>223.65132328767123</v>
      </c>
      <c r="O94" s="165">
        <f t="shared" si="47"/>
        <v>1236.2086767123287</v>
      </c>
      <c r="P94" s="165">
        <f t="shared" si="47"/>
        <v>72.993000000000023</v>
      </c>
      <c r="Q94" s="165">
        <f t="shared" si="47"/>
        <v>3938</v>
      </c>
      <c r="R94" s="165">
        <f t="shared" si="47"/>
        <v>297.04428493150687</v>
      </c>
      <c r="S94" s="165">
        <f t="shared" si="47"/>
        <v>1162.8157150684931</v>
      </c>
      <c r="T94" s="204">
        <f t="shared" si="47"/>
        <v>73.392961643835633</v>
      </c>
    </row>
    <row r="95" spans="1:20">
      <c r="A95" s="39"/>
      <c r="B95" s="20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198"/>
    </row>
    <row r="96" spans="1:20">
      <c r="A96" s="39"/>
      <c r="B96" s="206" t="s">
        <v>165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198"/>
    </row>
    <row r="97" spans="1:20" ht="13.5">
      <c r="A97" s="39"/>
      <c r="B97" s="29" t="s">
        <v>103</v>
      </c>
      <c r="C97" s="45" t="s">
        <v>166</v>
      </c>
      <c r="D97" s="97">
        <v>226.24</v>
      </c>
      <c r="E97" s="105">
        <v>0.33333299999999999</v>
      </c>
      <c r="F97" s="46">
        <v>38183</v>
      </c>
      <c r="G97" s="31">
        <f>+D97*E97</f>
        <v>75.413257920000007</v>
      </c>
      <c r="H97" s="38">
        <f>+G97/12*6</f>
        <v>37.706628960000003</v>
      </c>
      <c r="I97" s="38">
        <f>+G97/12</f>
        <v>6.2844381600000006</v>
      </c>
      <c r="J97" s="49">
        <f>365*3</f>
        <v>1095</v>
      </c>
      <c r="K97" s="31">
        <f>D97-((D97*E97)/365*J97)</f>
        <v>2.2623999998927502E-4</v>
      </c>
      <c r="L97" s="31">
        <f>(D97*E97)/365*J97</f>
        <v>226.23977376000002</v>
      </c>
      <c r="M97" s="30">
        <v>1095</v>
      </c>
      <c r="N97" s="35">
        <f>+(D97*E97)/365*M97</f>
        <v>226.23977376000002</v>
      </c>
      <c r="O97" s="38">
        <f>D97-N97</f>
        <v>2.2623999998927502E-4</v>
      </c>
      <c r="P97" s="27">
        <f>+K97-O97</f>
        <v>0</v>
      </c>
      <c r="Q97" s="28">
        <v>0</v>
      </c>
      <c r="R97" s="27">
        <f>(D97*E97)/365*Q97</f>
        <v>0</v>
      </c>
      <c r="S97" s="27">
        <f>+D97-R97</f>
        <v>226.24</v>
      </c>
      <c r="T97" s="195">
        <v>0</v>
      </c>
    </row>
    <row r="98" spans="1:20" s="4" customFormat="1" ht="13.5">
      <c r="A98" s="167"/>
      <c r="B98" s="207"/>
      <c r="C98" s="168"/>
      <c r="D98" s="169"/>
      <c r="E98" s="170"/>
      <c r="F98" s="171"/>
      <c r="G98" s="172"/>
      <c r="H98" s="173"/>
      <c r="I98" s="173"/>
      <c r="J98" s="174"/>
      <c r="K98" s="172"/>
      <c r="L98" s="172"/>
      <c r="M98" s="175"/>
      <c r="N98" s="176"/>
      <c r="O98" s="173"/>
      <c r="P98" s="177"/>
      <c r="Q98" s="178"/>
      <c r="R98" s="177"/>
      <c r="S98" s="177"/>
      <c r="T98" s="202"/>
    </row>
    <row r="99" spans="1:20" ht="13.5">
      <c r="A99" s="39"/>
      <c r="B99" s="29" t="s">
        <v>167</v>
      </c>
      <c r="C99" s="30"/>
      <c r="D99" s="30">
        <v>1232</v>
      </c>
      <c r="E99" s="179"/>
      <c r="F99" s="180"/>
      <c r="G99" s="31">
        <f>+E99*D99</f>
        <v>0</v>
      </c>
      <c r="H99" s="38">
        <f>+G99/12*6</f>
        <v>0</v>
      </c>
      <c r="I99" s="38">
        <f>+G99/12</f>
        <v>0</v>
      </c>
      <c r="J99" s="30"/>
      <c r="K99" s="30"/>
      <c r="L99" s="30"/>
      <c r="M99" s="30"/>
      <c r="N99" s="35"/>
      <c r="O99" s="38"/>
      <c r="P99" s="27"/>
      <c r="Q99" s="111"/>
      <c r="R99" s="111"/>
      <c r="S99" s="111"/>
      <c r="T99" s="208"/>
    </row>
    <row r="100" spans="1:20">
      <c r="A100" s="39"/>
      <c r="B100" s="20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98"/>
    </row>
    <row r="101" spans="1:20" ht="14.25" thickBot="1">
      <c r="A101" s="39"/>
      <c r="B101" s="153" t="s">
        <v>168</v>
      </c>
      <c r="C101" s="116" t="s">
        <v>169</v>
      </c>
      <c r="D101" s="117">
        <v>893.48</v>
      </c>
      <c r="E101" s="154">
        <v>0.1</v>
      </c>
      <c r="F101" s="155">
        <v>38614</v>
      </c>
      <c r="G101" s="156">
        <f>+E101*D101</f>
        <v>89.348000000000013</v>
      </c>
      <c r="H101" s="209">
        <f>+G101/12*6</f>
        <v>44.674000000000007</v>
      </c>
      <c r="I101" s="210">
        <f>+G101/12</f>
        <v>7.4456666666666678</v>
      </c>
      <c r="J101" s="158">
        <f>365*2+11+31+30+31</f>
        <v>833</v>
      </c>
      <c r="K101" s="159">
        <f>D101-((D101*E101)/365*J101)</f>
        <v>689.57072876712323</v>
      </c>
      <c r="L101" s="159">
        <f>(D101*E101)/365*J101</f>
        <v>203.90927123287673</v>
      </c>
      <c r="M101" s="158">
        <f>+J101+Z$5</f>
        <v>1015</v>
      </c>
      <c r="N101" s="119">
        <f>+L101+H101</f>
        <v>248.58327123287674</v>
      </c>
      <c r="O101" s="118">
        <f>D101-N101</f>
        <v>644.89672876712325</v>
      </c>
      <c r="P101" s="160">
        <f>+K101-O101</f>
        <v>44.673999999999978</v>
      </c>
      <c r="Q101" s="211">
        <f>+M101+$AE$5</f>
        <v>1199</v>
      </c>
      <c r="R101" s="160">
        <f>(D101*E101)/365*Q101</f>
        <v>293.50206027397263</v>
      </c>
      <c r="S101" s="160">
        <f>+D101-R101</f>
        <v>599.97793972602744</v>
      </c>
      <c r="T101" s="162">
        <f>+O101-S101</f>
        <v>44.918789041095806</v>
      </c>
    </row>
    <row r="102" spans="1:20">
      <c r="A102" s="39"/>
    </row>
    <row r="105" spans="1:20">
      <c r="B105" t="s">
        <v>183</v>
      </c>
      <c r="G105" s="106">
        <f>G48+G75+G87+G94+G101+G97+G85</f>
        <v>18476.595546370001</v>
      </c>
      <c r="I105" s="106"/>
    </row>
    <row r="106" spans="1:20">
      <c r="E106" s="106"/>
    </row>
    <row r="108" spans="1:20">
      <c r="P108" s="106"/>
    </row>
    <row r="130" spans="2:7">
      <c r="F130" s="183" t="s">
        <v>181</v>
      </c>
    </row>
    <row r="131" spans="2:7">
      <c r="B131" s="9" t="s">
        <v>170</v>
      </c>
      <c r="C131" s="9" t="s">
        <v>171</v>
      </c>
      <c r="F131" s="106"/>
    </row>
    <row r="132" spans="2:7">
      <c r="B132" t="s">
        <v>172</v>
      </c>
      <c r="C132" s="106">
        <f>+T48</f>
        <v>405.89138421917812</v>
      </c>
      <c r="F132" s="182" t="s">
        <v>173</v>
      </c>
      <c r="G132" s="182">
        <f>D50</f>
        <v>386.4</v>
      </c>
    </row>
    <row r="133" spans="2:7">
      <c r="B133" t="s">
        <v>174</v>
      </c>
      <c r="C133" s="106">
        <f>+T75</f>
        <v>847.91012930679449</v>
      </c>
      <c r="F133" s="182" t="s">
        <v>175</v>
      </c>
      <c r="G133" s="2">
        <v>117.96</v>
      </c>
    </row>
    <row r="134" spans="2:7">
      <c r="B134" t="s">
        <v>176</v>
      </c>
      <c r="C134" s="106">
        <f>+T85</f>
        <v>205.10172054794504</v>
      </c>
      <c r="F134" s="182" t="s">
        <v>177</v>
      </c>
      <c r="G134">
        <v>235.2</v>
      </c>
    </row>
    <row r="135" spans="2:7">
      <c r="B135" t="s">
        <v>157</v>
      </c>
      <c r="C135" s="106">
        <f>+T94</f>
        <v>73.392961643835633</v>
      </c>
      <c r="F135" s="106"/>
      <c r="G135" s="106">
        <f>SUM(G132:G134)</f>
        <v>739.56</v>
      </c>
    </row>
    <row r="136" spans="2:7">
      <c r="B136" t="s">
        <v>165</v>
      </c>
      <c r="C136" s="106">
        <f>+T97</f>
        <v>0</v>
      </c>
      <c r="F136" s="183"/>
    </row>
    <row r="137" spans="2:7">
      <c r="B137" t="s">
        <v>155</v>
      </c>
      <c r="C137" s="106">
        <f>+T87</f>
        <v>6732.5265178082336</v>
      </c>
      <c r="G137" s="184">
        <v>1749.06</v>
      </c>
    </row>
    <row r="138" spans="2:7">
      <c r="B138" t="s">
        <v>178</v>
      </c>
      <c r="C138" s="106">
        <f>+T101</f>
        <v>44.918789041095806</v>
      </c>
    </row>
    <row r="139" spans="2:7">
      <c r="G139" s="184">
        <f>G137-G135</f>
        <v>1009.5</v>
      </c>
    </row>
    <row r="140" spans="2:7">
      <c r="C140" s="106">
        <f>SUM(C132:C139)</f>
        <v>8309.7415025670834</v>
      </c>
    </row>
  </sheetData>
  <mergeCells count="5">
    <mergeCell ref="B7:O7"/>
    <mergeCell ref="B49:O49"/>
    <mergeCell ref="B76:O76"/>
    <mergeCell ref="B86:O86"/>
    <mergeCell ref="B89:O89"/>
  </mergeCells>
  <pageMargins left="0.74803149606299213" right="0.51181102362204722" top="0.98425196850393704" bottom="0.98425196850393704" header="0" footer="0"/>
  <pageSetup paperSize="9" scale="70" orientation="landscape" horizontalDpi="300" verticalDpi="72" r:id="rId1"/>
  <headerFooter alignWithMargins="0"/>
  <rowBreaks count="1" manualBreakCount="1">
    <brk id="8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5"/>
  <sheetViews>
    <sheetView showGridLines="0" zoomScaleSheetLayoutView="100" workbookViewId="0">
      <selection activeCell="B9" sqref="B9"/>
    </sheetView>
  </sheetViews>
  <sheetFormatPr baseColWidth="10" defaultRowHeight="12.75"/>
  <cols>
    <col min="1" max="1" width="4.85546875" style="237" customWidth="1"/>
    <col min="2" max="2" width="12.5703125" style="237" customWidth="1"/>
    <col min="3" max="3" width="8.28515625" style="237" customWidth="1"/>
    <col min="4" max="4" width="12" style="237" customWidth="1"/>
    <col min="5" max="5" width="13.7109375" style="237" customWidth="1"/>
    <col min="6" max="6" width="10.28515625" style="237" customWidth="1"/>
    <col min="7" max="8" width="11.42578125" style="237"/>
    <col min="9" max="9" width="8.28515625" style="237" customWidth="1"/>
    <col min="10" max="10" width="11.42578125" style="237"/>
    <col min="11" max="11" width="9.28515625" style="237" customWidth="1"/>
    <col min="12" max="12" width="6.85546875" style="237" customWidth="1"/>
    <col min="13" max="13" width="8.28515625" style="237" customWidth="1"/>
    <col min="14" max="14" width="5.28515625" style="237" customWidth="1"/>
    <col min="15" max="16" width="6.5703125" style="237" customWidth="1"/>
    <col min="17" max="17" width="21.5703125" style="237" customWidth="1"/>
    <col min="18" max="19" width="0" style="237" hidden="1" customWidth="1"/>
    <col min="20" max="20" width="10" style="237" customWidth="1"/>
    <col min="21" max="21" width="10.7109375" style="237" customWidth="1"/>
    <col min="22" max="256" width="11.42578125" style="237"/>
    <col min="257" max="257" width="4.85546875" style="237" customWidth="1"/>
    <col min="258" max="258" width="12.5703125" style="237" customWidth="1"/>
    <col min="259" max="259" width="8.28515625" style="237" customWidth="1"/>
    <col min="260" max="260" width="12" style="237" customWidth="1"/>
    <col min="261" max="261" width="13.7109375" style="237" customWidth="1"/>
    <col min="262" max="262" width="10.28515625" style="237" customWidth="1"/>
    <col min="263" max="264" width="11.42578125" style="237"/>
    <col min="265" max="265" width="8.28515625" style="237" customWidth="1"/>
    <col min="266" max="266" width="11.42578125" style="237"/>
    <col min="267" max="267" width="9.28515625" style="237" customWidth="1"/>
    <col min="268" max="268" width="6.85546875" style="237" customWidth="1"/>
    <col min="269" max="269" width="8.28515625" style="237" customWidth="1"/>
    <col min="270" max="270" width="5.28515625" style="237" customWidth="1"/>
    <col min="271" max="272" width="6.5703125" style="237" customWidth="1"/>
    <col min="273" max="273" width="21.5703125" style="237" customWidth="1"/>
    <col min="274" max="275" width="0" style="237" hidden="1" customWidth="1"/>
    <col min="276" max="276" width="10" style="237" customWidth="1"/>
    <col min="277" max="277" width="10.7109375" style="237" customWidth="1"/>
    <col min="278" max="512" width="11.42578125" style="237"/>
    <col min="513" max="513" width="4.85546875" style="237" customWidth="1"/>
    <col min="514" max="514" width="12.5703125" style="237" customWidth="1"/>
    <col min="515" max="515" width="8.28515625" style="237" customWidth="1"/>
    <col min="516" max="516" width="12" style="237" customWidth="1"/>
    <col min="517" max="517" width="13.7109375" style="237" customWidth="1"/>
    <col min="518" max="518" width="10.28515625" style="237" customWidth="1"/>
    <col min="519" max="520" width="11.42578125" style="237"/>
    <col min="521" max="521" width="8.28515625" style="237" customWidth="1"/>
    <col min="522" max="522" width="11.42578125" style="237"/>
    <col min="523" max="523" width="9.28515625" style="237" customWidth="1"/>
    <col min="524" max="524" width="6.85546875" style="237" customWidth="1"/>
    <col min="525" max="525" width="8.28515625" style="237" customWidth="1"/>
    <col min="526" max="526" width="5.28515625" style="237" customWidth="1"/>
    <col min="527" max="528" width="6.5703125" style="237" customWidth="1"/>
    <col min="529" max="529" width="21.5703125" style="237" customWidth="1"/>
    <col min="530" max="531" width="0" style="237" hidden="1" customWidth="1"/>
    <col min="532" max="532" width="10" style="237" customWidth="1"/>
    <col min="533" max="533" width="10.7109375" style="237" customWidth="1"/>
    <col min="534" max="768" width="11.42578125" style="237"/>
    <col min="769" max="769" width="4.85546875" style="237" customWidth="1"/>
    <col min="770" max="770" width="12.5703125" style="237" customWidth="1"/>
    <col min="771" max="771" width="8.28515625" style="237" customWidth="1"/>
    <col min="772" max="772" width="12" style="237" customWidth="1"/>
    <col min="773" max="773" width="13.7109375" style="237" customWidth="1"/>
    <col min="774" max="774" width="10.28515625" style="237" customWidth="1"/>
    <col min="775" max="776" width="11.42578125" style="237"/>
    <col min="777" max="777" width="8.28515625" style="237" customWidth="1"/>
    <col min="778" max="778" width="11.42578125" style="237"/>
    <col min="779" max="779" width="9.28515625" style="237" customWidth="1"/>
    <col min="780" max="780" width="6.85546875" style="237" customWidth="1"/>
    <col min="781" max="781" width="8.28515625" style="237" customWidth="1"/>
    <col min="782" max="782" width="5.28515625" style="237" customWidth="1"/>
    <col min="783" max="784" width="6.5703125" style="237" customWidth="1"/>
    <col min="785" max="785" width="21.5703125" style="237" customWidth="1"/>
    <col min="786" max="787" width="0" style="237" hidden="1" customWidth="1"/>
    <col min="788" max="788" width="10" style="237" customWidth="1"/>
    <col min="789" max="789" width="10.7109375" style="237" customWidth="1"/>
    <col min="790" max="1024" width="11.42578125" style="237"/>
    <col min="1025" max="1025" width="4.85546875" style="237" customWidth="1"/>
    <col min="1026" max="1026" width="12.5703125" style="237" customWidth="1"/>
    <col min="1027" max="1027" width="8.28515625" style="237" customWidth="1"/>
    <col min="1028" max="1028" width="12" style="237" customWidth="1"/>
    <col min="1029" max="1029" width="13.7109375" style="237" customWidth="1"/>
    <col min="1030" max="1030" width="10.28515625" style="237" customWidth="1"/>
    <col min="1031" max="1032" width="11.42578125" style="237"/>
    <col min="1033" max="1033" width="8.28515625" style="237" customWidth="1"/>
    <col min="1034" max="1034" width="11.42578125" style="237"/>
    <col min="1035" max="1035" width="9.28515625" style="237" customWidth="1"/>
    <col min="1036" max="1036" width="6.85546875" style="237" customWidth="1"/>
    <col min="1037" max="1037" width="8.28515625" style="237" customWidth="1"/>
    <col min="1038" max="1038" width="5.28515625" style="237" customWidth="1"/>
    <col min="1039" max="1040" width="6.5703125" style="237" customWidth="1"/>
    <col min="1041" max="1041" width="21.5703125" style="237" customWidth="1"/>
    <col min="1042" max="1043" width="0" style="237" hidden="1" customWidth="1"/>
    <col min="1044" max="1044" width="10" style="237" customWidth="1"/>
    <col min="1045" max="1045" width="10.7109375" style="237" customWidth="1"/>
    <col min="1046" max="1280" width="11.42578125" style="237"/>
    <col min="1281" max="1281" width="4.85546875" style="237" customWidth="1"/>
    <col min="1282" max="1282" width="12.5703125" style="237" customWidth="1"/>
    <col min="1283" max="1283" width="8.28515625" style="237" customWidth="1"/>
    <col min="1284" max="1284" width="12" style="237" customWidth="1"/>
    <col min="1285" max="1285" width="13.7109375" style="237" customWidth="1"/>
    <col min="1286" max="1286" width="10.28515625" style="237" customWidth="1"/>
    <col min="1287" max="1288" width="11.42578125" style="237"/>
    <col min="1289" max="1289" width="8.28515625" style="237" customWidth="1"/>
    <col min="1290" max="1290" width="11.42578125" style="237"/>
    <col min="1291" max="1291" width="9.28515625" style="237" customWidth="1"/>
    <col min="1292" max="1292" width="6.85546875" style="237" customWidth="1"/>
    <col min="1293" max="1293" width="8.28515625" style="237" customWidth="1"/>
    <col min="1294" max="1294" width="5.28515625" style="237" customWidth="1"/>
    <col min="1295" max="1296" width="6.5703125" style="237" customWidth="1"/>
    <col min="1297" max="1297" width="21.5703125" style="237" customWidth="1"/>
    <col min="1298" max="1299" width="0" style="237" hidden="1" customWidth="1"/>
    <col min="1300" max="1300" width="10" style="237" customWidth="1"/>
    <col min="1301" max="1301" width="10.7109375" style="237" customWidth="1"/>
    <col min="1302" max="1536" width="11.42578125" style="237"/>
    <col min="1537" max="1537" width="4.85546875" style="237" customWidth="1"/>
    <col min="1538" max="1538" width="12.5703125" style="237" customWidth="1"/>
    <col min="1539" max="1539" width="8.28515625" style="237" customWidth="1"/>
    <col min="1540" max="1540" width="12" style="237" customWidth="1"/>
    <col min="1541" max="1541" width="13.7109375" style="237" customWidth="1"/>
    <col min="1542" max="1542" width="10.28515625" style="237" customWidth="1"/>
    <col min="1543" max="1544" width="11.42578125" style="237"/>
    <col min="1545" max="1545" width="8.28515625" style="237" customWidth="1"/>
    <col min="1546" max="1546" width="11.42578125" style="237"/>
    <col min="1547" max="1547" width="9.28515625" style="237" customWidth="1"/>
    <col min="1548" max="1548" width="6.85546875" style="237" customWidth="1"/>
    <col min="1549" max="1549" width="8.28515625" style="237" customWidth="1"/>
    <col min="1550" max="1550" width="5.28515625" style="237" customWidth="1"/>
    <col min="1551" max="1552" width="6.5703125" style="237" customWidth="1"/>
    <col min="1553" max="1553" width="21.5703125" style="237" customWidth="1"/>
    <col min="1554" max="1555" width="0" style="237" hidden="1" customWidth="1"/>
    <col min="1556" max="1556" width="10" style="237" customWidth="1"/>
    <col min="1557" max="1557" width="10.7109375" style="237" customWidth="1"/>
    <col min="1558" max="1792" width="11.42578125" style="237"/>
    <col min="1793" max="1793" width="4.85546875" style="237" customWidth="1"/>
    <col min="1794" max="1794" width="12.5703125" style="237" customWidth="1"/>
    <col min="1795" max="1795" width="8.28515625" style="237" customWidth="1"/>
    <col min="1796" max="1796" width="12" style="237" customWidth="1"/>
    <col min="1797" max="1797" width="13.7109375" style="237" customWidth="1"/>
    <col min="1798" max="1798" width="10.28515625" style="237" customWidth="1"/>
    <col min="1799" max="1800" width="11.42578125" style="237"/>
    <col min="1801" max="1801" width="8.28515625" style="237" customWidth="1"/>
    <col min="1802" max="1802" width="11.42578125" style="237"/>
    <col min="1803" max="1803" width="9.28515625" style="237" customWidth="1"/>
    <col min="1804" max="1804" width="6.85546875" style="237" customWidth="1"/>
    <col min="1805" max="1805" width="8.28515625" style="237" customWidth="1"/>
    <col min="1806" max="1806" width="5.28515625" style="237" customWidth="1"/>
    <col min="1807" max="1808" width="6.5703125" style="237" customWidth="1"/>
    <col min="1809" max="1809" width="21.5703125" style="237" customWidth="1"/>
    <col min="1810" max="1811" width="0" style="237" hidden="1" customWidth="1"/>
    <col min="1812" max="1812" width="10" style="237" customWidth="1"/>
    <col min="1813" max="1813" width="10.7109375" style="237" customWidth="1"/>
    <col min="1814" max="2048" width="11.42578125" style="237"/>
    <col min="2049" max="2049" width="4.85546875" style="237" customWidth="1"/>
    <col min="2050" max="2050" width="12.5703125" style="237" customWidth="1"/>
    <col min="2051" max="2051" width="8.28515625" style="237" customWidth="1"/>
    <col min="2052" max="2052" width="12" style="237" customWidth="1"/>
    <col min="2053" max="2053" width="13.7109375" style="237" customWidth="1"/>
    <col min="2054" max="2054" width="10.28515625" style="237" customWidth="1"/>
    <col min="2055" max="2056" width="11.42578125" style="237"/>
    <col min="2057" max="2057" width="8.28515625" style="237" customWidth="1"/>
    <col min="2058" max="2058" width="11.42578125" style="237"/>
    <col min="2059" max="2059" width="9.28515625" style="237" customWidth="1"/>
    <col min="2060" max="2060" width="6.85546875" style="237" customWidth="1"/>
    <col min="2061" max="2061" width="8.28515625" style="237" customWidth="1"/>
    <col min="2062" max="2062" width="5.28515625" style="237" customWidth="1"/>
    <col min="2063" max="2064" width="6.5703125" style="237" customWidth="1"/>
    <col min="2065" max="2065" width="21.5703125" style="237" customWidth="1"/>
    <col min="2066" max="2067" width="0" style="237" hidden="1" customWidth="1"/>
    <col min="2068" max="2068" width="10" style="237" customWidth="1"/>
    <col min="2069" max="2069" width="10.7109375" style="237" customWidth="1"/>
    <col min="2070" max="2304" width="11.42578125" style="237"/>
    <col min="2305" max="2305" width="4.85546875" style="237" customWidth="1"/>
    <col min="2306" max="2306" width="12.5703125" style="237" customWidth="1"/>
    <col min="2307" max="2307" width="8.28515625" style="237" customWidth="1"/>
    <col min="2308" max="2308" width="12" style="237" customWidth="1"/>
    <col min="2309" max="2309" width="13.7109375" style="237" customWidth="1"/>
    <col min="2310" max="2310" width="10.28515625" style="237" customWidth="1"/>
    <col min="2311" max="2312" width="11.42578125" style="237"/>
    <col min="2313" max="2313" width="8.28515625" style="237" customWidth="1"/>
    <col min="2314" max="2314" width="11.42578125" style="237"/>
    <col min="2315" max="2315" width="9.28515625" style="237" customWidth="1"/>
    <col min="2316" max="2316" width="6.85546875" style="237" customWidth="1"/>
    <col min="2317" max="2317" width="8.28515625" style="237" customWidth="1"/>
    <col min="2318" max="2318" width="5.28515625" style="237" customWidth="1"/>
    <col min="2319" max="2320" width="6.5703125" style="237" customWidth="1"/>
    <col min="2321" max="2321" width="21.5703125" style="237" customWidth="1"/>
    <col min="2322" max="2323" width="0" style="237" hidden="1" customWidth="1"/>
    <col min="2324" max="2324" width="10" style="237" customWidth="1"/>
    <col min="2325" max="2325" width="10.7109375" style="237" customWidth="1"/>
    <col min="2326" max="2560" width="11.42578125" style="237"/>
    <col min="2561" max="2561" width="4.85546875" style="237" customWidth="1"/>
    <col min="2562" max="2562" width="12.5703125" style="237" customWidth="1"/>
    <col min="2563" max="2563" width="8.28515625" style="237" customWidth="1"/>
    <col min="2564" max="2564" width="12" style="237" customWidth="1"/>
    <col min="2565" max="2565" width="13.7109375" style="237" customWidth="1"/>
    <col min="2566" max="2566" width="10.28515625" style="237" customWidth="1"/>
    <col min="2567" max="2568" width="11.42578125" style="237"/>
    <col min="2569" max="2569" width="8.28515625" style="237" customWidth="1"/>
    <col min="2570" max="2570" width="11.42578125" style="237"/>
    <col min="2571" max="2571" width="9.28515625" style="237" customWidth="1"/>
    <col min="2572" max="2572" width="6.85546875" style="237" customWidth="1"/>
    <col min="2573" max="2573" width="8.28515625" style="237" customWidth="1"/>
    <col min="2574" max="2574" width="5.28515625" style="237" customWidth="1"/>
    <col min="2575" max="2576" width="6.5703125" style="237" customWidth="1"/>
    <col min="2577" max="2577" width="21.5703125" style="237" customWidth="1"/>
    <col min="2578" max="2579" width="0" style="237" hidden="1" customWidth="1"/>
    <col min="2580" max="2580" width="10" style="237" customWidth="1"/>
    <col min="2581" max="2581" width="10.7109375" style="237" customWidth="1"/>
    <col min="2582" max="2816" width="11.42578125" style="237"/>
    <col min="2817" max="2817" width="4.85546875" style="237" customWidth="1"/>
    <col min="2818" max="2818" width="12.5703125" style="237" customWidth="1"/>
    <col min="2819" max="2819" width="8.28515625" style="237" customWidth="1"/>
    <col min="2820" max="2820" width="12" style="237" customWidth="1"/>
    <col min="2821" max="2821" width="13.7109375" style="237" customWidth="1"/>
    <col min="2822" max="2822" width="10.28515625" style="237" customWidth="1"/>
    <col min="2823" max="2824" width="11.42578125" style="237"/>
    <col min="2825" max="2825" width="8.28515625" style="237" customWidth="1"/>
    <col min="2826" max="2826" width="11.42578125" style="237"/>
    <col min="2827" max="2827" width="9.28515625" style="237" customWidth="1"/>
    <col min="2828" max="2828" width="6.85546875" style="237" customWidth="1"/>
    <col min="2829" max="2829" width="8.28515625" style="237" customWidth="1"/>
    <col min="2830" max="2830" width="5.28515625" style="237" customWidth="1"/>
    <col min="2831" max="2832" width="6.5703125" style="237" customWidth="1"/>
    <col min="2833" max="2833" width="21.5703125" style="237" customWidth="1"/>
    <col min="2834" max="2835" width="0" style="237" hidden="1" customWidth="1"/>
    <col min="2836" max="2836" width="10" style="237" customWidth="1"/>
    <col min="2837" max="2837" width="10.7109375" style="237" customWidth="1"/>
    <col min="2838" max="3072" width="11.42578125" style="237"/>
    <col min="3073" max="3073" width="4.85546875" style="237" customWidth="1"/>
    <col min="3074" max="3074" width="12.5703125" style="237" customWidth="1"/>
    <col min="3075" max="3075" width="8.28515625" style="237" customWidth="1"/>
    <col min="3076" max="3076" width="12" style="237" customWidth="1"/>
    <col min="3077" max="3077" width="13.7109375" style="237" customWidth="1"/>
    <col min="3078" max="3078" width="10.28515625" style="237" customWidth="1"/>
    <col min="3079" max="3080" width="11.42578125" style="237"/>
    <col min="3081" max="3081" width="8.28515625" style="237" customWidth="1"/>
    <col min="3082" max="3082" width="11.42578125" style="237"/>
    <col min="3083" max="3083" width="9.28515625" style="237" customWidth="1"/>
    <col min="3084" max="3084" width="6.85546875" style="237" customWidth="1"/>
    <col min="3085" max="3085" width="8.28515625" style="237" customWidth="1"/>
    <col min="3086" max="3086" width="5.28515625" style="237" customWidth="1"/>
    <col min="3087" max="3088" width="6.5703125" style="237" customWidth="1"/>
    <col min="3089" max="3089" width="21.5703125" style="237" customWidth="1"/>
    <col min="3090" max="3091" width="0" style="237" hidden="1" customWidth="1"/>
    <col min="3092" max="3092" width="10" style="237" customWidth="1"/>
    <col min="3093" max="3093" width="10.7109375" style="237" customWidth="1"/>
    <col min="3094" max="3328" width="11.42578125" style="237"/>
    <col min="3329" max="3329" width="4.85546875" style="237" customWidth="1"/>
    <col min="3330" max="3330" width="12.5703125" style="237" customWidth="1"/>
    <col min="3331" max="3331" width="8.28515625" style="237" customWidth="1"/>
    <col min="3332" max="3332" width="12" style="237" customWidth="1"/>
    <col min="3333" max="3333" width="13.7109375" style="237" customWidth="1"/>
    <col min="3334" max="3334" width="10.28515625" style="237" customWidth="1"/>
    <col min="3335" max="3336" width="11.42578125" style="237"/>
    <col min="3337" max="3337" width="8.28515625" style="237" customWidth="1"/>
    <col min="3338" max="3338" width="11.42578125" style="237"/>
    <col min="3339" max="3339" width="9.28515625" style="237" customWidth="1"/>
    <col min="3340" max="3340" width="6.85546875" style="237" customWidth="1"/>
    <col min="3341" max="3341" width="8.28515625" style="237" customWidth="1"/>
    <col min="3342" max="3342" width="5.28515625" style="237" customWidth="1"/>
    <col min="3343" max="3344" width="6.5703125" style="237" customWidth="1"/>
    <col min="3345" max="3345" width="21.5703125" style="237" customWidth="1"/>
    <col min="3346" max="3347" width="0" style="237" hidden="1" customWidth="1"/>
    <col min="3348" max="3348" width="10" style="237" customWidth="1"/>
    <col min="3349" max="3349" width="10.7109375" style="237" customWidth="1"/>
    <col min="3350" max="3584" width="11.42578125" style="237"/>
    <col min="3585" max="3585" width="4.85546875" style="237" customWidth="1"/>
    <col min="3586" max="3586" width="12.5703125" style="237" customWidth="1"/>
    <col min="3587" max="3587" width="8.28515625" style="237" customWidth="1"/>
    <col min="3588" max="3588" width="12" style="237" customWidth="1"/>
    <col min="3589" max="3589" width="13.7109375" style="237" customWidth="1"/>
    <col min="3590" max="3590" width="10.28515625" style="237" customWidth="1"/>
    <col min="3591" max="3592" width="11.42578125" style="237"/>
    <col min="3593" max="3593" width="8.28515625" style="237" customWidth="1"/>
    <col min="3594" max="3594" width="11.42578125" style="237"/>
    <col min="3595" max="3595" width="9.28515625" style="237" customWidth="1"/>
    <col min="3596" max="3596" width="6.85546875" style="237" customWidth="1"/>
    <col min="3597" max="3597" width="8.28515625" style="237" customWidth="1"/>
    <col min="3598" max="3598" width="5.28515625" style="237" customWidth="1"/>
    <col min="3599" max="3600" width="6.5703125" style="237" customWidth="1"/>
    <col min="3601" max="3601" width="21.5703125" style="237" customWidth="1"/>
    <col min="3602" max="3603" width="0" style="237" hidden="1" customWidth="1"/>
    <col min="3604" max="3604" width="10" style="237" customWidth="1"/>
    <col min="3605" max="3605" width="10.7109375" style="237" customWidth="1"/>
    <col min="3606" max="3840" width="11.42578125" style="237"/>
    <col min="3841" max="3841" width="4.85546875" style="237" customWidth="1"/>
    <col min="3842" max="3842" width="12.5703125" style="237" customWidth="1"/>
    <col min="3843" max="3843" width="8.28515625" style="237" customWidth="1"/>
    <col min="3844" max="3844" width="12" style="237" customWidth="1"/>
    <col min="3845" max="3845" width="13.7109375" style="237" customWidth="1"/>
    <col min="3846" max="3846" width="10.28515625" style="237" customWidth="1"/>
    <col min="3847" max="3848" width="11.42578125" style="237"/>
    <col min="3849" max="3849" width="8.28515625" style="237" customWidth="1"/>
    <col min="3850" max="3850" width="11.42578125" style="237"/>
    <col min="3851" max="3851" width="9.28515625" style="237" customWidth="1"/>
    <col min="3852" max="3852" width="6.85546875" style="237" customWidth="1"/>
    <col min="3853" max="3853" width="8.28515625" style="237" customWidth="1"/>
    <col min="3854" max="3854" width="5.28515625" style="237" customWidth="1"/>
    <col min="3855" max="3856" width="6.5703125" style="237" customWidth="1"/>
    <col min="3857" max="3857" width="21.5703125" style="237" customWidth="1"/>
    <col min="3858" max="3859" width="0" style="237" hidden="1" customWidth="1"/>
    <col min="3860" max="3860" width="10" style="237" customWidth="1"/>
    <col min="3861" max="3861" width="10.7109375" style="237" customWidth="1"/>
    <col min="3862" max="4096" width="11.42578125" style="237"/>
    <col min="4097" max="4097" width="4.85546875" style="237" customWidth="1"/>
    <col min="4098" max="4098" width="12.5703125" style="237" customWidth="1"/>
    <col min="4099" max="4099" width="8.28515625" style="237" customWidth="1"/>
    <col min="4100" max="4100" width="12" style="237" customWidth="1"/>
    <col min="4101" max="4101" width="13.7109375" style="237" customWidth="1"/>
    <col min="4102" max="4102" width="10.28515625" style="237" customWidth="1"/>
    <col min="4103" max="4104" width="11.42578125" style="237"/>
    <col min="4105" max="4105" width="8.28515625" style="237" customWidth="1"/>
    <col min="4106" max="4106" width="11.42578125" style="237"/>
    <col min="4107" max="4107" width="9.28515625" style="237" customWidth="1"/>
    <col min="4108" max="4108" width="6.85546875" style="237" customWidth="1"/>
    <col min="4109" max="4109" width="8.28515625" style="237" customWidth="1"/>
    <col min="4110" max="4110" width="5.28515625" style="237" customWidth="1"/>
    <col min="4111" max="4112" width="6.5703125" style="237" customWidth="1"/>
    <col min="4113" max="4113" width="21.5703125" style="237" customWidth="1"/>
    <col min="4114" max="4115" width="0" style="237" hidden="1" customWidth="1"/>
    <col min="4116" max="4116" width="10" style="237" customWidth="1"/>
    <col min="4117" max="4117" width="10.7109375" style="237" customWidth="1"/>
    <col min="4118" max="4352" width="11.42578125" style="237"/>
    <col min="4353" max="4353" width="4.85546875" style="237" customWidth="1"/>
    <col min="4354" max="4354" width="12.5703125" style="237" customWidth="1"/>
    <col min="4355" max="4355" width="8.28515625" style="237" customWidth="1"/>
    <col min="4356" max="4356" width="12" style="237" customWidth="1"/>
    <col min="4357" max="4357" width="13.7109375" style="237" customWidth="1"/>
    <col min="4358" max="4358" width="10.28515625" style="237" customWidth="1"/>
    <col min="4359" max="4360" width="11.42578125" style="237"/>
    <col min="4361" max="4361" width="8.28515625" style="237" customWidth="1"/>
    <col min="4362" max="4362" width="11.42578125" style="237"/>
    <col min="4363" max="4363" width="9.28515625" style="237" customWidth="1"/>
    <col min="4364" max="4364" width="6.85546875" style="237" customWidth="1"/>
    <col min="4365" max="4365" width="8.28515625" style="237" customWidth="1"/>
    <col min="4366" max="4366" width="5.28515625" style="237" customWidth="1"/>
    <col min="4367" max="4368" width="6.5703125" style="237" customWidth="1"/>
    <col min="4369" max="4369" width="21.5703125" style="237" customWidth="1"/>
    <col min="4370" max="4371" width="0" style="237" hidden="1" customWidth="1"/>
    <col min="4372" max="4372" width="10" style="237" customWidth="1"/>
    <col min="4373" max="4373" width="10.7109375" style="237" customWidth="1"/>
    <col min="4374" max="4608" width="11.42578125" style="237"/>
    <col min="4609" max="4609" width="4.85546875" style="237" customWidth="1"/>
    <col min="4610" max="4610" width="12.5703125" style="237" customWidth="1"/>
    <col min="4611" max="4611" width="8.28515625" style="237" customWidth="1"/>
    <col min="4612" max="4612" width="12" style="237" customWidth="1"/>
    <col min="4613" max="4613" width="13.7109375" style="237" customWidth="1"/>
    <col min="4614" max="4614" width="10.28515625" style="237" customWidth="1"/>
    <col min="4615" max="4616" width="11.42578125" style="237"/>
    <col min="4617" max="4617" width="8.28515625" style="237" customWidth="1"/>
    <col min="4618" max="4618" width="11.42578125" style="237"/>
    <col min="4619" max="4619" width="9.28515625" style="237" customWidth="1"/>
    <col min="4620" max="4620" width="6.85546875" style="237" customWidth="1"/>
    <col min="4621" max="4621" width="8.28515625" style="237" customWidth="1"/>
    <col min="4622" max="4622" width="5.28515625" style="237" customWidth="1"/>
    <col min="4623" max="4624" width="6.5703125" style="237" customWidth="1"/>
    <col min="4625" max="4625" width="21.5703125" style="237" customWidth="1"/>
    <col min="4626" max="4627" width="0" style="237" hidden="1" customWidth="1"/>
    <col min="4628" max="4628" width="10" style="237" customWidth="1"/>
    <col min="4629" max="4629" width="10.7109375" style="237" customWidth="1"/>
    <col min="4630" max="4864" width="11.42578125" style="237"/>
    <col min="4865" max="4865" width="4.85546875" style="237" customWidth="1"/>
    <col min="4866" max="4866" width="12.5703125" style="237" customWidth="1"/>
    <col min="4867" max="4867" width="8.28515625" style="237" customWidth="1"/>
    <col min="4868" max="4868" width="12" style="237" customWidth="1"/>
    <col min="4869" max="4869" width="13.7109375" style="237" customWidth="1"/>
    <col min="4870" max="4870" width="10.28515625" style="237" customWidth="1"/>
    <col min="4871" max="4872" width="11.42578125" style="237"/>
    <col min="4873" max="4873" width="8.28515625" style="237" customWidth="1"/>
    <col min="4874" max="4874" width="11.42578125" style="237"/>
    <col min="4875" max="4875" width="9.28515625" style="237" customWidth="1"/>
    <col min="4876" max="4876" width="6.85546875" style="237" customWidth="1"/>
    <col min="4877" max="4877" width="8.28515625" style="237" customWidth="1"/>
    <col min="4878" max="4878" width="5.28515625" style="237" customWidth="1"/>
    <col min="4879" max="4880" width="6.5703125" style="237" customWidth="1"/>
    <col min="4881" max="4881" width="21.5703125" style="237" customWidth="1"/>
    <col min="4882" max="4883" width="0" style="237" hidden="1" customWidth="1"/>
    <col min="4884" max="4884" width="10" style="237" customWidth="1"/>
    <col min="4885" max="4885" width="10.7109375" style="237" customWidth="1"/>
    <col min="4886" max="5120" width="11.42578125" style="237"/>
    <col min="5121" max="5121" width="4.85546875" style="237" customWidth="1"/>
    <col min="5122" max="5122" width="12.5703125" style="237" customWidth="1"/>
    <col min="5123" max="5123" width="8.28515625" style="237" customWidth="1"/>
    <col min="5124" max="5124" width="12" style="237" customWidth="1"/>
    <col min="5125" max="5125" width="13.7109375" style="237" customWidth="1"/>
    <col min="5126" max="5126" width="10.28515625" style="237" customWidth="1"/>
    <col min="5127" max="5128" width="11.42578125" style="237"/>
    <col min="5129" max="5129" width="8.28515625" style="237" customWidth="1"/>
    <col min="5130" max="5130" width="11.42578125" style="237"/>
    <col min="5131" max="5131" width="9.28515625" style="237" customWidth="1"/>
    <col min="5132" max="5132" width="6.85546875" style="237" customWidth="1"/>
    <col min="5133" max="5133" width="8.28515625" style="237" customWidth="1"/>
    <col min="5134" max="5134" width="5.28515625" style="237" customWidth="1"/>
    <col min="5135" max="5136" width="6.5703125" style="237" customWidth="1"/>
    <col min="5137" max="5137" width="21.5703125" style="237" customWidth="1"/>
    <col min="5138" max="5139" width="0" style="237" hidden="1" customWidth="1"/>
    <col min="5140" max="5140" width="10" style="237" customWidth="1"/>
    <col min="5141" max="5141" width="10.7109375" style="237" customWidth="1"/>
    <col min="5142" max="5376" width="11.42578125" style="237"/>
    <col min="5377" max="5377" width="4.85546875" style="237" customWidth="1"/>
    <col min="5378" max="5378" width="12.5703125" style="237" customWidth="1"/>
    <col min="5379" max="5379" width="8.28515625" style="237" customWidth="1"/>
    <col min="5380" max="5380" width="12" style="237" customWidth="1"/>
    <col min="5381" max="5381" width="13.7109375" style="237" customWidth="1"/>
    <col min="5382" max="5382" width="10.28515625" style="237" customWidth="1"/>
    <col min="5383" max="5384" width="11.42578125" style="237"/>
    <col min="5385" max="5385" width="8.28515625" style="237" customWidth="1"/>
    <col min="5386" max="5386" width="11.42578125" style="237"/>
    <col min="5387" max="5387" width="9.28515625" style="237" customWidth="1"/>
    <col min="5388" max="5388" width="6.85546875" style="237" customWidth="1"/>
    <col min="5389" max="5389" width="8.28515625" style="237" customWidth="1"/>
    <col min="5390" max="5390" width="5.28515625" style="237" customWidth="1"/>
    <col min="5391" max="5392" width="6.5703125" style="237" customWidth="1"/>
    <col min="5393" max="5393" width="21.5703125" style="237" customWidth="1"/>
    <col min="5394" max="5395" width="0" style="237" hidden="1" customWidth="1"/>
    <col min="5396" max="5396" width="10" style="237" customWidth="1"/>
    <col min="5397" max="5397" width="10.7109375" style="237" customWidth="1"/>
    <col min="5398" max="5632" width="11.42578125" style="237"/>
    <col min="5633" max="5633" width="4.85546875" style="237" customWidth="1"/>
    <col min="5634" max="5634" width="12.5703125" style="237" customWidth="1"/>
    <col min="5635" max="5635" width="8.28515625" style="237" customWidth="1"/>
    <col min="5636" max="5636" width="12" style="237" customWidth="1"/>
    <col min="5637" max="5637" width="13.7109375" style="237" customWidth="1"/>
    <col min="5638" max="5638" width="10.28515625" style="237" customWidth="1"/>
    <col min="5639" max="5640" width="11.42578125" style="237"/>
    <col min="5641" max="5641" width="8.28515625" style="237" customWidth="1"/>
    <col min="5642" max="5642" width="11.42578125" style="237"/>
    <col min="5643" max="5643" width="9.28515625" style="237" customWidth="1"/>
    <col min="5644" max="5644" width="6.85546875" style="237" customWidth="1"/>
    <col min="5645" max="5645" width="8.28515625" style="237" customWidth="1"/>
    <col min="5646" max="5646" width="5.28515625" style="237" customWidth="1"/>
    <col min="5647" max="5648" width="6.5703125" style="237" customWidth="1"/>
    <col min="5649" max="5649" width="21.5703125" style="237" customWidth="1"/>
    <col min="5650" max="5651" width="0" style="237" hidden="1" customWidth="1"/>
    <col min="5652" max="5652" width="10" style="237" customWidth="1"/>
    <col min="5653" max="5653" width="10.7109375" style="237" customWidth="1"/>
    <col min="5654" max="5888" width="11.42578125" style="237"/>
    <col min="5889" max="5889" width="4.85546875" style="237" customWidth="1"/>
    <col min="5890" max="5890" width="12.5703125" style="237" customWidth="1"/>
    <col min="5891" max="5891" width="8.28515625" style="237" customWidth="1"/>
    <col min="5892" max="5892" width="12" style="237" customWidth="1"/>
    <col min="5893" max="5893" width="13.7109375" style="237" customWidth="1"/>
    <col min="5894" max="5894" width="10.28515625" style="237" customWidth="1"/>
    <col min="5895" max="5896" width="11.42578125" style="237"/>
    <col min="5897" max="5897" width="8.28515625" style="237" customWidth="1"/>
    <col min="5898" max="5898" width="11.42578125" style="237"/>
    <col min="5899" max="5899" width="9.28515625" style="237" customWidth="1"/>
    <col min="5900" max="5900" width="6.85546875" style="237" customWidth="1"/>
    <col min="5901" max="5901" width="8.28515625" style="237" customWidth="1"/>
    <col min="5902" max="5902" width="5.28515625" style="237" customWidth="1"/>
    <col min="5903" max="5904" width="6.5703125" style="237" customWidth="1"/>
    <col min="5905" max="5905" width="21.5703125" style="237" customWidth="1"/>
    <col min="5906" max="5907" width="0" style="237" hidden="1" customWidth="1"/>
    <col min="5908" max="5908" width="10" style="237" customWidth="1"/>
    <col min="5909" max="5909" width="10.7109375" style="237" customWidth="1"/>
    <col min="5910" max="6144" width="11.42578125" style="237"/>
    <col min="6145" max="6145" width="4.85546875" style="237" customWidth="1"/>
    <col min="6146" max="6146" width="12.5703125" style="237" customWidth="1"/>
    <col min="6147" max="6147" width="8.28515625" style="237" customWidth="1"/>
    <col min="6148" max="6148" width="12" style="237" customWidth="1"/>
    <col min="6149" max="6149" width="13.7109375" style="237" customWidth="1"/>
    <col min="6150" max="6150" width="10.28515625" style="237" customWidth="1"/>
    <col min="6151" max="6152" width="11.42578125" style="237"/>
    <col min="6153" max="6153" width="8.28515625" style="237" customWidth="1"/>
    <col min="6154" max="6154" width="11.42578125" style="237"/>
    <col min="6155" max="6155" width="9.28515625" style="237" customWidth="1"/>
    <col min="6156" max="6156" width="6.85546875" style="237" customWidth="1"/>
    <col min="6157" max="6157" width="8.28515625" style="237" customWidth="1"/>
    <col min="6158" max="6158" width="5.28515625" style="237" customWidth="1"/>
    <col min="6159" max="6160" width="6.5703125" style="237" customWidth="1"/>
    <col min="6161" max="6161" width="21.5703125" style="237" customWidth="1"/>
    <col min="6162" max="6163" width="0" style="237" hidden="1" customWidth="1"/>
    <col min="6164" max="6164" width="10" style="237" customWidth="1"/>
    <col min="6165" max="6165" width="10.7109375" style="237" customWidth="1"/>
    <col min="6166" max="6400" width="11.42578125" style="237"/>
    <col min="6401" max="6401" width="4.85546875" style="237" customWidth="1"/>
    <col min="6402" max="6402" width="12.5703125" style="237" customWidth="1"/>
    <col min="6403" max="6403" width="8.28515625" style="237" customWidth="1"/>
    <col min="6404" max="6404" width="12" style="237" customWidth="1"/>
    <col min="6405" max="6405" width="13.7109375" style="237" customWidth="1"/>
    <col min="6406" max="6406" width="10.28515625" style="237" customWidth="1"/>
    <col min="6407" max="6408" width="11.42578125" style="237"/>
    <col min="6409" max="6409" width="8.28515625" style="237" customWidth="1"/>
    <col min="6410" max="6410" width="11.42578125" style="237"/>
    <col min="6411" max="6411" width="9.28515625" style="237" customWidth="1"/>
    <col min="6412" max="6412" width="6.85546875" style="237" customWidth="1"/>
    <col min="6413" max="6413" width="8.28515625" style="237" customWidth="1"/>
    <col min="6414" max="6414" width="5.28515625" style="237" customWidth="1"/>
    <col min="6415" max="6416" width="6.5703125" style="237" customWidth="1"/>
    <col min="6417" max="6417" width="21.5703125" style="237" customWidth="1"/>
    <col min="6418" max="6419" width="0" style="237" hidden="1" customWidth="1"/>
    <col min="6420" max="6420" width="10" style="237" customWidth="1"/>
    <col min="6421" max="6421" width="10.7109375" style="237" customWidth="1"/>
    <col min="6422" max="6656" width="11.42578125" style="237"/>
    <col min="6657" max="6657" width="4.85546875" style="237" customWidth="1"/>
    <col min="6658" max="6658" width="12.5703125" style="237" customWidth="1"/>
    <col min="6659" max="6659" width="8.28515625" style="237" customWidth="1"/>
    <col min="6660" max="6660" width="12" style="237" customWidth="1"/>
    <col min="6661" max="6661" width="13.7109375" style="237" customWidth="1"/>
    <col min="6662" max="6662" width="10.28515625" style="237" customWidth="1"/>
    <col min="6663" max="6664" width="11.42578125" style="237"/>
    <col min="6665" max="6665" width="8.28515625" style="237" customWidth="1"/>
    <col min="6666" max="6666" width="11.42578125" style="237"/>
    <col min="6667" max="6667" width="9.28515625" style="237" customWidth="1"/>
    <col min="6668" max="6668" width="6.85546875" style="237" customWidth="1"/>
    <col min="6669" max="6669" width="8.28515625" style="237" customWidth="1"/>
    <col min="6670" max="6670" width="5.28515625" style="237" customWidth="1"/>
    <col min="6671" max="6672" width="6.5703125" style="237" customWidth="1"/>
    <col min="6673" max="6673" width="21.5703125" style="237" customWidth="1"/>
    <col min="6674" max="6675" width="0" style="237" hidden="1" customWidth="1"/>
    <col min="6676" max="6676" width="10" style="237" customWidth="1"/>
    <col min="6677" max="6677" width="10.7109375" style="237" customWidth="1"/>
    <col min="6678" max="6912" width="11.42578125" style="237"/>
    <col min="6913" max="6913" width="4.85546875" style="237" customWidth="1"/>
    <col min="6914" max="6914" width="12.5703125" style="237" customWidth="1"/>
    <col min="6915" max="6915" width="8.28515625" style="237" customWidth="1"/>
    <col min="6916" max="6916" width="12" style="237" customWidth="1"/>
    <col min="6917" max="6917" width="13.7109375" style="237" customWidth="1"/>
    <col min="6918" max="6918" width="10.28515625" style="237" customWidth="1"/>
    <col min="6919" max="6920" width="11.42578125" style="237"/>
    <col min="6921" max="6921" width="8.28515625" style="237" customWidth="1"/>
    <col min="6922" max="6922" width="11.42578125" style="237"/>
    <col min="6923" max="6923" width="9.28515625" style="237" customWidth="1"/>
    <col min="6924" max="6924" width="6.85546875" style="237" customWidth="1"/>
    <col min="6925" max="6925" width="8.28515625" style="237" customWidth="1"/>
    <col min="6926" max="6926" width="5.28515625" style="237" customWidth="1"/>
    <col min="6927" max="6928" width="6.5703125" style="237" customWidth="1"/>
    <col min="6929" max="6929" width="21.5703125" style="237" customWidth="1"/>
    <col min="6930" max="6931" width="0" style="237" hidden="1" customWidth="1"/>
    <col min="6932" max="6932" width="10" style="237" customWidth="1"/>
    <col min="6933" max="6933" width="10.7109375" style="237" customWidth="1"/>
    <col min="6934" max="7168" width="11.42578125" style="237"/>
    <col min="7169" max="7169" width="4.85546875" style="237" customWidth="1"/>
    <col min="7170" max="7170" width="12.5703125" style="237" customWidth="1"/>
    <col min="7171" max="7171" width="8.28515625" style="237" customWidth="1"/>
    <col min="7172" max="7172" width="12" style="237" customWidth="1"/>
    <col min="7173" max="7173" width="13.7109375" style="237" customWidth="1"/>
    <col min="7174" max="7174" width="10.28515625" style="237" customWidth="1"/>
    <col min="7175" max="7176" width="11.42578125" style="237"/>
    <col min="7177" max="7177" width="8.28515625" style="237" customWidth="1"/>
    <col min="7178" max="7178" width="11.42578125" style="237"/>
    <col min="7179" max="7179" width="9.28515625" style="237" customWidth="1"/>
    <col min="7180" max="7180" width="6.85546875" style="237" customWidth="1"/>
    <col min="7181" max="7181" width="8.28515625" style="237" customWidth="1"/>
    <col min="7182" max="7182" width="5.28515625" style="237" customWidth="1"/>
    <col min="7183" max="7184" width="6.5703125" style="237" customWidth="1"/>
    <col min="7185" max="7185" width="21.5703125" style="237" customWidth="1"/>
    <col min="7186" max="7187" width="0" style="237" hidden="1" customWidth="1"/>
    <col min="7188" max="7188" width="10" style="237" customWidth="1"/>
    <col min="7189" max="7189" width="10.7109375" style="237" customWidth="1"/>
    <col min="7190" max="7424" width="11.42578125" style="237"/>
    <col min="7425" max="7425" width="4.85546875" style="237" customWidth="1"/>
    <col min="7426" max="7426" width="12.5703125" style="237" customWidth="1"/>
    <col min="7427" max="7427" width="8.28515625" style="237" customWidth="1"/>
    <col min="7428" max="7428" width="12" style="237" customWidth="1"/>
    <col min="7429" max="7429" width="13.7109375" style="237" customWidth="1"/>
    <col min="7430" max="7430" width="10.28515625" style="237" customWidth="1"/>
    <col min="7431" max="7432" width="11.42578125" style="237"/>
    <col min="7433" max="7433" width="8.28515625" style="237" customWidth="1"/>
    <col min="7434" max="7434" width="11.42578125" style="237"/>
    <col min="7435" max="7435" width="9.28515625" style="237" customWidth="1"/>
    <col min="7436" max="7436" width="6.85546875" style="237" customWidth="1"/>
    <col min="7437" max="7437" width="8.28515625" style="237" customWidth="1"/>
    <col min="7438" max="7438" width="5.28515625" style="237" customWidth="1"/>
    <col min="7439" max="7440" width="6.5703125" style="237" customWidth="1"/>
    <col min="7441" max="7441" width="21.5703125" style="237" customWidth="1"/>
    <col min="7442" max="7443" width="0" style="237" hidden="1" customWidth="1"/>
    <col min="7444" max="7444" width="10" style="237" customWidth="1"/>
    <col min="7445" max="7445" width="10.7109375" style="237" customWidth="1"/>
    <col min="7446" max="7680" width="11.42578125" style="237"/>
    <col min="7681" max="7681" width="4.85546875" style="237" customWidth="1"/>
    <col min="7682" max="7682" width="12.5703125" style="237" customWidth="1"/>
    <col min="7683" max="7683" width="8.28515625" style="237" customWidth="1"/>
    <col min="7684" max="7684" width="12" style="237" customWidth="1"/>
    <col min="7685" max="7685" width="13.7109375" style="237" customWidth="1"/>
    <col min="7686" max="7686" width="10.28515625" style="237" customWidth="1"/>
    <col min="7687" max="7688" width="11.42578125" style="237"/>
    <col min="7689" max="7689" width="8.28515625" style="237" customWidth="1"/>
    <col min="7690" max="7690" width="11.42578125" style="237"/>
    <col min="7691" max="7691" width="9.28515625" style="237" customWidth="1"/>
    <col min="7692" max="7692" width="6.85546875" style="237" customWidth="1"/>
    <col min="7693" max="7693" width="8.28515625" style="237" customWidth="1"/>
    <col min="7694" max="7694" width="5.28515625" style="237" customWidth="1"/>
    <col min="7695" max="7696" width="6.5703125" style="237" customWidth="1"/>
    <col min="7697" max="7697" width="21.5703125" style="237" customWidth="1"/>
    <col min="7698" max="7699" width="0" style="237" hidden="1" customWidth="1"/>
    <col min="7700" max="7700" width="10" style="237" customWidth="1"/>
    <col min="7701" max="7701" width="10.7109375" style="237" customWidth="1"/>
    <col min="7702" max="7936" width="11.42578125" style="237"/>
    <col min="7937" max="7937" width="4.85546875" style="237" customWidth="1"/>
    <col min="7938" max="7938" width="12.5703125" style="237" customWidth="1"/>
    <col min="7939" max="7939" width="8.28515625" style="237" customWidth="1"/>
    <col min="7940" max="7940" width="12" style="237" customWidth="1"/>
    <col min="7941" max="7941" width="13.7109375" style="237" customWidth="1"/>
    <col min="7942" max="7942" width="10.28515625" style="237" customWidth="1"/>
    <col min="7943" max="7944" width="11.42578125" style="237"/>
    <col min="7945" max="7945" width="8.28515625" style="237" customWidth="1"/>
    <col min="7946" max="7946" width="11.42578125" style="237"/>
    <col min="7947" max="7947" width="9.28515625" style="237" customWidth="1"/>
    <col min="7948" max="7948" width="6.85546875" style="237" customWidth="1"/>
    <col min="7949" max="7949" width="8.28515625" style="237" customWidth="1"/>
    <col min="7950" max="7950" width="5.28515625" style="237" customWidth="1"/>
    <col min="7951" max="7952" width="6.5703125" style="237" customWidth="1"/>
    <col min="7953" max="7953" width="21.5703125" style="237" customWidth="1"/>
    <col min="7954" max="7955" width="0" style="237" hidden="1" customWidth="1"/>
    <col min="7956" max="7956" width="10" style="237" customWidth="1"/>
    <col min="7957" max="7957" width="10.7109375" style="237" customWidth="1"/>
    <col min="7958" max="8192" width="11.42578125" style="237"/>
    <col min="8193" max="8193" width="4.85546875" style="237" customWidth="1"/>
    <col min="8194" max="8194" width="12.5703125" style="237" customWidth="1"/>
    <col min="8195" max="8195" width="8.28515625" style="237" customWidth="1"/>
    <col min="8196" max="8196" width="12" style="237" customWidth="1"/>
    <col min="8197" max="8197" width="13.7109375" style="237" customWidth="1"/>
    <col min="8198" max="8198" width="10.28515625" style="237" customWidth="1"/>
    <col min="8199" max="8200" width="11.42578125" style="237"/>
    <col min="8201" max="8201" width="8.28515625" style="237" customWidth="1"/>
    <col min="8202" max="8202" width="11.42578125" style="237"/>
    <col min="8203" max="8203" width="9.28515625" style="237" customWidth="1"/>
    <col min="8204" max="8204" width="6.85546875" style="237" customWidth="1"/>
    <col min="8205" max="8205" width="8.28515625" style="237" customWidth="1"/>
    <col min="8206" max="8206" width="5.28515625" style="237" customWidth="1"/>
    <col min="8207" max="8208" width="6.5703125" style="237" customWidth="1"/>
    <col min="8209" max="8209" width="21.5703125" style="237" customWidth="1"/>
    <col min="8210" max="8211" width="0" style="237" hidden="1" customWidth="1"/>
    <col min="8212" max="8212" width="10" style="237" customWidth="1"/>
    <col min="8213" max="8213" width="10.7109375" style="237" customWidth="1"/>
    <col min="8214" max="8448" width="11.42578125" style="237"/>
    <col min="8449" max="8449" width="4.85546875" style="237" customWidth="1"/>
    <col min="8450" max="8450" width="12.5703125" style="237" customWidth="1"/>
    <col min="8451" max="8451" width="8.28515625" style="237" customWidth="1"/>
    <col min="8452" max="8452" width="12" style="237" customWidth="1"/>
    <col min="8453" max="8453" width="13.7109375" style="237" customWidth="1"/>
    <col min="8454" max="8454" width="10.28515625" style="237" customWidth="1"/>
    <col min="8455" max="8456" width="11.42578125" style="237"/>
    <col min="8457" max="8457" width="8.28515625" style="237" customWidth="1"/>
    <col min="8458" max="8458" width="11.42578125" style="237"/>
    <col min="8459" max="8459" width="9.28515625" style="237" customWidth="1"/>
    <col min="8460" max="8460" width="6.85546875" style="237" customWidth="1"/>
    <col min="8461" max="8461" width="8.28515625" style="237" customWidth="1"/>
    <col min="8462" max="8462" width="5.28515625" style="237" customWidth="1"/>
    <col min="8463" max="8464" width="6.5703125" style="237" customWidth="1"/>
    <col min="8465" max="8465" width="21.5703125" style="237" customWidth="1"/>
    <col min="8466" max="8467" width="0" style="237" hidden="1" customWidth="1"/>
    <col min="8468" max="8468" width="10" style="237" customWidth="1"/>
    <col min="8469" max="8469" width="10.7109375" style="237" customWidth="1"/>
    <col min="8470" max="8704" width="11.42578125" style="237"/>
    <col min="8705" max="8705" width="4.85546875" style="237" customWidth="1"/>
    <col min="8706" max="8706" width="12.5703125" style="237" customWidth="1"/>
    <col min="8707" max="8707" width="8.28515625" style="237" customWidth="1"/>
    <col min="8708" max="8708" width="12" style="237" customWidth="1"/>
    <col min="8709" max="8709" width="13.7109375" style="237" customWidth="1"/>
    <col min="8710" max="8710" width="10.28515625" style="237" customWidth="1"/>
    <col min="8711" max="8712" width="11.42578125" style="237"/>
    <col min="8713" max="8713" width="8.28515625" style="237" customWidth="1"/>
    <col min="8714" max="8714" width="11.42578125" style="237"/>
    <col min="8715" max="8715" width="9.28515625" style="237" customWidth="1"/>
    <col min="8716" max="8716" width="6.85546875" style="237" customWidth="1"/>
    <col min="8717" max="8717" width="8.28515625" style="237" customWidth="1"/>
    <col min="8718" max="8718" width="5.28515625" style="237" customWidth="1"/>
    <col min="8719" max="8720" width="6.5703125" style="237" customWidth="1"/>
    <col min="8721" max="8721" width="21.5703125" style="237" customWidth="1"/>
    <col min="8722" max="8723" width="0" style="237" hidden="1" customWidth="1"/>
    <col min="8724" max="8724" width="10" style="237" customWidth="1"/>
    <col min="8725" max="8725" width="10.7109375" style="237" customWidth="1"/>
    <col min="8726" max="8960" width="11.42578125" style="237"/>
    <col min="8961" max="8961" width="4.85546875" style="237" customWidth="1"/>
    <col min="8962" max="8962" width="12.5703125" style="237" customWidth="1"/>
    <col min="8963" max="8963" width="8.28515625" style="237" customWidth="1"/>
    <col min="8964" max="8964" width="12" style="237" customWidth="1"/>
    <col min="8965" max="8965" width="13.7109375" style="237" customWidth="1"/>
    <col min="8966" max="8966" width="10.28515625" style="237" customWidth="1"/>
    <col min="8967" max="8968" width="11.42578125" style="237"/>
    <col min="8969" max="8969" width="8.28515625" style="237" customWidth="1"/>
    <col min="8970" max="8970" width="11.42578125" style="237"/>
    <col min="8971" max="8971" width="9.28515625" style="237" customWidth="1"/>
    <col min="8972" max="8972" width="6.85546875" style="237" customWidth="1"/>
    <col min="8973" max="8973" width="8.28515625" style="237" customWidth="1"/>
    <col min="8974" max="8974" width="5.28515625" style="237" customWidth="1"/>
    <col min="8975" max="8976" width="6.5703125" style="237" customWidth="1"/>
    <col min="8977" max="8977" width="21.5703125" style="237" customWidth="1"/>
    <col min="8978" max="8979" width="0" style="237" hidden="1" customWidth="1"/>
    <col min="8980" max="8980" width="10" style="237" customWidth="1"/>
    <col min="8981" max="8981" width="10.7109375" style="237" customWidth="1"/>
    <col min="8982" max="9216" width="11.42578125" style="237"/>
    <col min="9217" max="9217" width="4.85546875" style="237" customWidth="1"/>
    <col min="9218" max="9218" width="12.5703125" style="237" customWidth="1"/>
    <col min="9219" max="9219" width="8.28515625" style="237" customWidth="1"/>
    <col min="9220" max="9220" width="12" style="237" customWidth="1"/>
    <col min="9221" max="9221" width="13.7109375" style="237" customWidth="1"/>
    <col min="9222" max="9222" width="10.28515625" style="237" customWidth="1"/>
    <col min="9223" max="9224" width="11.42578125" style="237"/>
    <col min="9225" max="9225" width="8.28515625" style="237" customWidth="1"/>
    <col min="9226" max="9226" width="11.42578125" style="237"/>
    <col min="9227" max="9227" width="9.28515625" style="237" customWidth="1"/>
    <col min="9228" max="9228" width="6.85546875" style="237" customWidth="1"/>
    <col min="9229" max="9229" width="8.28515625" style="237" customWidth="1"/>
    <col min="9230" max="9230" width="5.28515625" style="237" customWidth="1"/>
    <col min="9231" max="9232" width="6.5703125" style="237" customWidth="1"/>
    <col min="9233" max="9233" width="21.5703125" style="237" customWidth="1"/>
    <col min="9234" max="9235" width="0" style="237" hidden="1" customWidth="1"/>
    <col min="9236" max="9236" width="10" style="237" customWidth="1"/>
    <col min="9237" max="9237" width="10.7109375" style="237" customWidth="1"/>
    <col min="9238" max="9472" width="11.42578125" style="237"/>
    <col min="9473" max="9473" width="4.85546875" style="237" customWidth="1"/>
    <col min="9474" max="9474" width="12.5703125" style="237" customWidth="1"/>
    <col min="9475" max="9475" width="8.28515625" style="237" customWidth="1"/>
    <col min="9476" max="9476" width="12" style="237" customWidth="1"/>
    <col min="9477" max="9477" width="13.7109375" style="237" customWidth="1"/>
    <col min="9478" max="9478" width="10.28515625" style="237" customWidth="1"/>
    <col min="9479" max="9480" width="11.42578125" style="237"/>
    <col min="9481" max="9481" width="8.28515625" style="237" customWidth="1"/>
    <col min="9482" max="9482" width="11.42578125" style="237"/>
    <col min="9483" max="9483" width="9.28515625" style="237" customWidth="1"/>
    <col min="9484" max="9484" width="6.85546875" style="237" customWidth="1"/>
    <col min="9485" max="9485" width="8.28515625" style="237" customWidth="1"/>
    <col min="9486" max="9486" width="5.28515625" style="237" customWidth="1"/>
    <col min="9487" max="9488" width="6.5703125" style="237" customWidth="1"/>
    <col min="9489" max="9489" width="21.5703125" style="237" customWidth="1"/>
    <col min="9490" max="9491" width="0" style="237" hidden="1" customWidth="1"/>
    <col min="9492" max="9492" width="10" style="237" customWidth="1"/>
    <col min="9493" max="9493" width="10.7109375" style="237" customWidth="1"/>
    <col min="9494" max="9728" width="11.42578125" style="237"/>
    <col min="9729" max="9729" width="4.85546875" style="237" customWidth="1"/>
    <col min="9730" max="9730" width="12.5703125" style="237" customWidth="1"/>
    <col min="9731" max="9731" width="8.28515625" style="237" customWidth="1"/>
    <col min="9732" max="9732" width="12" style="237" customWidth="1"/>
    <col min="9733" max="9733" width="13.7109375" style="237" customWidth="1"/>
    <col min="9734" max="9734" width="10.28515625" style="237" customWidth="1"/>
    <col min="9735" max="9736" width="11.42578125" style="237"/>
    <col min="9737" max="9737" width="8.28515625" style="237" customWidth="1"/>
    <col min="9738" max="9738" width="11.42578125" style="237"/>
    <col min="9739" max="9739" width="9.28515625" style="237" customWidth="1"/>
    <col min="9740" max="9740" width="6.85546875" style="237" customWidth="1"/>
    <col min="9741" max="9741" width="8.28515625" style="237" customWidth="1"/>
    <col min="9742" max="9742" width="5.28515625" style="237" customWidth="1"/>
    <col min="9743" max="9744" width="6.5703125" style="237" customWidth="1"/>
    <col min="9745" max="9745" width="21.5703125" style="237" customWidth="1"/>
    <col min="9746" max="9747" width="0" style="237" hidden="1" customWidth="1"/>
    <col min="9748" max="9748" width="10" style="237" customWidth="1"/>
    <col min="9749" max="9749" width="10.7109375" style="237" customWidth="1"/>
    <col min="9750" max="9984" width="11.42578125" style="237"/>
    <col min="9985" max="9985" width="4.85546875" style="237" customWidth="1"/>
    <col min="9986" max="9986" width="12.5703125" style="237" customWidth="1"/>
    <col min="9987" max="9987" width="8.28515625" style="237" customWidth="1"/>
    <col min="9988" max="9988" width="12" style="237" customWidth="1"/>
    <col min="9989" max="9989" width="13.7109375" style="237" customWidth="1"/>
    <col min="9990" max="9990" width="10.28515625" style="237" customWidth="1"/>
    <col min="9991" max="9992" width="11.42578125" style="237"/>
    <col min="9993" max="9993" width="8.28515625" style="237" customWidth="1"/>
    <col min="9994" max="9994" width="11.42578125" style="237"/>
    <col min="9995" max="9995" width="9.28515625" style="237" customWidth="1"/>
    <col min="9996" max="9996" width="6.85546875" style="237" customWidth="1"/>
    <col min="9997" max="9997" width="8.28515625" style="237" customWidth="1"/>
    <col min="9998" max="9998" width="5.28515625" style="237" customWidth="1"/>
    <col min="9999" max="10000" width="6.5703125" style="237" customWidth="1"/>
    <col min="10001" max="10001" width="21.5703125" style="237" customWidth="1"/>
    <col min="10002" max="10003" width="0" style="237" hidden="1" customWidth="1"/>
    <col min="10004" max="10004" width="10" style="237" customWidth="1"/>
    <col min="10005" max="10005" width="10.7109375" style="237" customWidth="1"/>
    <col min="10006" max="10240" width="11.42578125" style="237"/>
    <col min="10241" max="10241" width="4.85546875" style="237" customWidth="1"/>
    <col min="10242" max="10242" width="12.5703125" style="237" customWidth="1"/>
    <col min="10243" max="10243" width="8.28515625" style="237" customWidth="1"/>
    <col min="10244" max="10244" width="12" style="237" customWidth="1"/>
    <col min="10245" max="10245" width="13.7109375" style="237" customWidth="1"/>
    <col min="10246" max="10246" width="10.28515625" style="237" customWidth="1"/>
    <col min="10247" max="10248" width="11.42578125" style="237"/>
    <col min="10249" max="10249" width="8.28515625" style="237" customWidth="1"/>
    <col min="10250" max="10250" width="11.42578125" style="237"/>
    <col min="10251" max="10251" width="9.28515625" style="237" customWidth="1"/>
    <col min="10252" max="10252" width="6.85546875" style="237" customWidth="1"/>
    <col min="10253" max="10253" width="8.28515625" style="237" customWidth="1"/>
    <col min="10254" max="10254" width="5.28515625" style="237" customWidth="1"/>
    <col min="10255" max="10256" width="6.5703125" style="237" customWidth="1"/>
    <col min="10257" max="10257" width="21.5703125" style="237" customWidth="1"/>
    <col min="10258" max="10259" width="0" style="237" hidden="1" customWidth="1"/>
    <col min="10260" max="10260" width="10" style="237" customWidth="1"/>
    <col min="10261" max="10261" width="10.7109375" style="237" customWidth="1"/>
    <col min="10262" max="10496" width="11.42578125" style="237"/>
    <col min="10497" max="10497" width="4.85546875" style="237" customWidth="1"/>
    <col min="10498" max="10498" width="12.5703125" style="237" customWidth="1"/>
    <col min="10499" max="10499" width="8.28515625" style="237" customWidth="1"/>
    <col min="10500" max="10500" width="12" style="237" customWidth="1"/>
    <col min="10501" max="10501" width="13.7109375" style="237" customWidth="1"/>
    <col min="10502" max="10502" width="10.28515625" style="237" customWidth="1"/>
    <col min="10503" max="10504" width="11.42578125" style="237"/>
    <col min="10505" max="10505" width="8.28515625" style="237" customWidth="1"/>
    <col min="10506" max="10506" width="11.42578125" style="237"/>
    <col min="10507" max="10507" width="9.28515625" style="237" customWidth="1"/>
    <col min="10508" max="10508" width="6.85546875" style="237" customWidth="1"/>
    <col min="10509" max="10509" width="8.28515625" style="237" customWidth="1"/>
    <col min="10510" max="10510" width="5.28515625" style="237" customWidth="1"/>
    <col min="10511" max="10512" width="6.5703125" style="237" customWidth="1"/>
    <col min="10513" max="10513" width="21.5703125" style="237" customWidth="1"/>
    <col min="10514" max="10515" width="0" style="237" hidden="1" customWidth="1"/>
    <col min="10516" max="10516" width="10" style="237" customWidth="1"/>
    <col min="10517" max="10517" width="10.7109375" style="237" customWidth="1"/>
    <col min="10518" max="10752" width="11.42578125" style="237"/>
    <col min="10753" max="10753" width="4.85546875" style="237" customWidth="1"/>
    <col min="10754" max="10754" width="12.5703125" style="237" customWidth="1"/>
    <col min="10755" max="10755" width="8.28515625" style="237" customWidth="1"/>
    <col min="10756" max="10756" width="12" style="237" customWidth="1"/>
    <col min="10757" max="10757" width="13.7109375" style="237" customWidth="1"/>
    <col min="10758" max="10758" width="10.28515625" style="237" customWidth="1"/>
    <col min="10759" max="10760" width="11.42578125" style="237"/>
    <col min="10761" max="10761" width="8.28515625" style="237" customWidth="1"/>
    <col min="10762" max="10762" width="11.42578125" style="237"/>
    <col min="10763" max="10763" width="9.28515625" style="237" customWidth="1"/>
    <col min="10764" max="10764" width="6.85546875" style="237" customWidth="1"/>
    <col min="10765" max="10765" width="8.28515625" style="237" customWidth="1"/>
    <col min="10766" max="10766" width="5.28515625" style="237" customWidth="1"/>
    <col min="10767" max="10768" width="6.5703125" style="237" customWidth="1"/>
    <col min="10769" max="10769" width="21.5703125" style="237" customWidth="1"/>
    <col min="10770" max="10771" width="0" style="237" hidden="1" customWidth="1"/>
    <col min="10772" max="10772" width="10" style="237" customWidth="1"/>
    <col min="10773" max="10773" width="10.7109375" style="237" customWidth="1"/>
    <col min="10774" max="11008" width="11.42578125" style="237"/>
    <col min="11009" max="11009" width="4.85546875" style="237" customWidth="1"/>
    <col min="11010" max="11010" width="12.5703125" style="237" customWidth="1"/>
    <col min="11011" max="11011" width="8.28515625" style="237" customWidth="1"/>
    <col min="11012" max="11012" width="12" style="237" customWidth="1"/>
    <col min="11013" max="11013" width="13.7109375" style="237" customWidth="1"/>
    <col min="11014" max="11014" width="10.28515625" style="237" customWidth="1"/>
    <col min="11015" max="11016" width="11.42578125" style="237"/>
    <col min="11017" max="11017" width="8.28515625" style="237" customWidth="1"/>
    <col min="11018" max="11018" width="11.42578125" style="237"/>
    <col min="11019" max="11019" width="9.28515625" style="237" customWidth="1"/>
    <col min="11020" max="11020" width="6.85546875" style="237" customWidth="1"/>
    <col min="11021" max="11021" width="8.28515625" style="237" customWidth="1"/>
    <col min="11022" max="11022" width="5.28515625" style="237" customWidth="1"/>
    <col min="11023" max="11024" width="6.5703125" style="237" customWidth="1"/>
    <col min="11025" max="11025" width="21.5703125" style="237" customWidth="1"/>
    <col min="11026" max="11027" width="0" style="237" hidden="1" customWidth="1"/>
    <col min="11028" max="11028" width="10" style="237" customWidth="1"/>
    <col min="11029" max="11029" width="10.7109375" style="237" customWidth="1"/>
    <col min="11030" max="11264" width="11.42578125" style="237"/>
    <col min="11265" max="11265" width="4.85546875" style="237" customWidth="1"/>
    <col min="11266" max="11266" width="12.5703125" style="237" customWidth="1"/>
    <col min="11267" max="11267" width="8.28515625" style="237" customWidth="1"/>
    <col min="11268" max="11268" width="12" style="237" customWidth="1"/>
    <col min="11269" max="11269" width="13.7109375" style="237" customWidth="1"/>
    <col min="11270" max="11270" width="10.28515625" style="237" customWidth="1"/>
    <col min="11271" max="11272" width="11.42578125" style="237"/>
    <col min="11273" max="11273" width="8.28515625" style="237" customWidth="1"/>
    <col min="11274" max="11274" width="11.42578125" style="237"/>
    <col min="11275" max="11275" width="9.28515625" style="237" customWidth="1"/>
    <col min="11276" max="11276" width="6.85546875" style="237" customWidth="1"/>
    <col min="11277" max="11277" width="8.28515625" style="237" customWidth="1"/>
    <col min="11278" max="11278" width="5.28515625" style="237" customWidth="1"/>
    <col min="11279" max="11280" width="6.5703125" style="237" customWidth="1"/>
    <col min="11281" max="11281" width="21.5703125" style="237" customWidth="1"/>
    <col min="11282" max="11283" width="0" style="237" hidden="1" customWidth="1"/>
    <col min="11284" max="11284" width="10" style="237" customWidth="1"/>
    <col min="11285" max="11285" width="10.7109375" style="237" customWidth="1"/>
    <col min="11286" max="11520" width="11.42578125" style="237"/>
    <col min="11521" max="11521" width="4.85546875" style="237" customWidth="1"/>
    <col min="11522" max="11522" width="12.5703125" style="237" customWidth="1"/>
    <col min="11523" max="11523" width="8.28515625" style="237" customWidth="1"/>
    <col min="11524" max="11524" width="12" style="237" customWidth="1"/>
    <col min="11525" max="11525" width="13.7109375" style="237" customWidth="1"/>
    <col min="11526" max="11526" width="10.28515625" style="237" customWidth="1"/>
    <col min="11527" max="11528" width="11.42578125" style="237"/>
    <col min="11529" max="11529" width="8.28515625" style="237" customWidth="1"/>
    <col min="11530" max="11530" width="11.42578125" style="237"/>
    <col min="11531" max="11531" width="9.28515625" style="237" customWidth="1"/>
    <col min="11532" max="11532" width="6.85546875" style="237" customWidth="1"/>
    <col min="11533" max="11533" width="8.28515625" style="237" customWidth="1"/>
    <col min="11534" max="11534" width="5.28515625" style="237" customWidth="1"/>
    <col min="11535" max="11536" width="6.5703125" style="237" customWidth="1"/>
    <col min="11537" max="11537" width="21.5703125" style="237" customWidth="1"/>
    <col min="11538" max="11539" width="0" style="237" hidden="1" customWidth="1"/>
    <col min="11540" max="11540" width="10" style="237" customWidth="1"/>
    <col min="11541" max="11541" width="10.7109375" style="237" customWidth="1"/>
    <col min="11542" max="11776" width="11.42578125" style="237"/>
    <col min="11777" max="11777" width="4.85546875" style="237" customWidth="1"/>
    <col min="11778" max="11778" width="12.5703125" style="237" customWidth="1"/>
    <col min="11779" max="11779" width="8.28515625" style="237" customWidth="1"/>
    <col min="11780" max="11780" width="12" style="237" customWidth="1"/>
    <col min="11781" max="11781" width="13.7109375" style="237" customWidth="1"/>
    <col min="11782" max="11782" width="10.28515625" style="237" customWidth="1"/>
    <col min="11783" max="11784" width="11.42578125" style="237"/>
    <col min="11785" max="11785" width="8.28515625" style="237" customWidth="1"/>
    <col min="11786" max="11786" width="11.42578125" style="237"/>
    <col min="11787" max="11787" width="9.28515625" style="237" customWidth="1"/>
    <col min="11788" max="11788" width="6.85546875" style="237" customWidth="1"/>
    <col min="11789" max="11789" width="8.28515625" style="237" customWidth="1"/>
    <col min="11790" max="11790" width="5.28515625" style="237" customWidth="1"/>
    <col min="11791" max="11792" width="6.5703125" style="237" customWidth="1"/>
    <col min="11793" max="11793" width="21.5703125" style="237" customWidth="1"/>
    <col min="11794" max="11795" width="0" style="237" hidden="1" customWidth="1"/>
    <col min="11796" max="11796" width="10" style="237" customWidth="1"/>
    <col min="11797" max="11797" width="10.7109375" style="237" customWidth="1"/>
    <col min="11798" max="12032" width="11.42578125" style="237"/>
    <col min="12033" max="12033" width="4.85546875" style="237" customWidth="1"/>
    <col min="12034" max="12034" width="12.5703125" style="237" customWidth="1"/>
    <col min="12035" max="12035" width="8.28515625" style="237" customWidth="1"/>
    <col min="12036" max="12036" width="12" style="237" customWidth="1"/>
    <col min="12037" max="12037" width="13.7109375" style="237" customWidth="1"/>
    <col min="12038" max="12038" width="10.28515625" style="237" customWidth="1"/>
    <col min="12039" max="12040" width="11.42578125" style="237"/>
    <col min="12041" max="12041" width="8.28515625" style="237" customWidth="1"/>
    <col min="12042" max="12042" width="11.42578125" style="237"/>
    <col min="12043" max="12043" width="9.28515625" style="237" customWidth="1"/>
    <col min="12044" max="12044" width="6.85546875" style="237" customWidth="1"/>
    <col min="12045" max="12045" width="8.28515625" style="237" customWidth="1"/>
    <col min="12046" max="12046" width="5.28515625" style="237" customWidth="1"/>
    <col min="12047" max="12048" width="6.5703125" style="237" customWidth="1"/>
    <col min="12049" max="12049" width="21.5703125" style="237" customWidth="1"/>
    <col min="12050" max="12051" width="0" style="237" hidden="1" customWidth="1"/>
    <col min="12052" max="12052" width="10" style="237" customWidth="1"/>
    <col min="12053" max="12053" width="10.7109375" style="237" customWidth="1"/>
    <col min="12054" max="12288" width="11.42578125" style="237"/>
    <col min="12289" max="12289" width="4.85546875" style="237" customWidth="1"/>
    <col min="12290" max="12290" width="12.5703125" style="237" customWidth="1"/>
    <col min="12291" max="12291" width="8.28515625" style="237" customWidth="1"/>
    <col min="12292" max="12292" width="12" style="237" customWidth="1"/>
    <col min="12293" max="12293" width="13.7109375" style="237" customWidth="1"/>
    <col min="12294" max="12294" width="10.28515625" style="237" customWidth="1"/>
    <col min="12295" max="12296" width="11.42578125" style="237"/>
    <col min="12297" max="12297" width="8.28515625" style="237" customWidth="1"/>
    <col min="12298" max="12298" width="11.42578125" style="237"/>
    <col min="12299" max="12299" width="9.28515625" style="237" customWidth="1"/>
    <col min="12300" max="12300" width="6.85546875" style="237" customWidth="1"/>
    <col min="12301" max="12301" width="8.28515625" style="237" customWidth="1"/>
    <col min="12302" max="12302" width="5.28515625" style="237" customWidth="1"/>
    <col min="12303" max="12304" width="6.5703125" style="237" customWidth="1"/>
    <col min="12305" max="12305" width="21.5703125" style="237" customWidth="1"/>
    <col min="12306" max="12307" width="0" style="237" hidden="1" customWidth="1"/>
    <col min="12308" max="12308" width="10" style="237" customWidth="1"/>
    <col min="12309" max="12309" width="10.7109375" style="237" customWidth="1"/>
    <col min="12310" max="12544" width="11.42578125" style="237"/>
    <col min="12545" max="12545" width="4.85546875" style="237" customWidth="1"/>
    <col min="12546" max="12546" width="12.5703125" style="237" customWidth="1"/>
    <col min="12547" max="12547" width="8.28515625" style="237" customWidth="1"/>
    <col min="12548" max="12548" width="12" style="237" customWidth="1"/>
    <col min="12549" max="12549" width="13.7109375" style="237" customWidth="1"/>
    <col min="12550" max="12550" width="10.28515625" style="237" customWidth="1"/>
    <col min="12551" max="12552" width="11.42578125" style="237"/>
    <col min="12553" max="12553" width="8.28515625" style="237" customWidth="1"/>
    <col min="12554" max="12554" width="11.42578125" style="237"/>
    <col min="12555" max="12555" width="9.28515625" style="237" customWidth="1"/>
    <col min="12556" max="12556" width="6.85546875" style="237" customWidth="1"/>
    <col min="12557" max="12557" width="8.28515625" style="237" customWidth="1"/>
    <col min="12558" max="12558" width="5.28515625" style="237" customWidth="1"/>
    <col min="12559" max="12560" width="6.5703125" style="237" customWidth="1"/>
    <col min="12561" max="12561" width="21.5703125" style="237" customWidth="1"/>
    <col min="12562" max="12563" width="0" style="237" hidden="1" customWidth="1"/>
    <col min="12564" max="12564" width="10" style="237" customWidth="1"/>
    <col min="12565" max="12565" width="10.7109375" style="237" customWidth="1"/>
    <col min="12566" max="12800" width="11.42578125" style="237"/>
    <col min="12801" max="12801" width="4.85546875" style="237" customWidth="1"/>
    <col min="12802" max="12802" width="12.5703125" style="237" customWidth="1"/>
    <col min="12803" max="12803" width="8.28515625" style="237" customWidth="1"/>
    <col min="12804" max="12804" width="12" style="237" customWidth="1"/>
    <col min="12805" max="12805" width="13.7109375" style="237" customWidth="1"/>
    <col min="12806" max="12806" width="10.28515625" style="237" customWidth="1"/>
    <col min="12807" max="12808" width="11.42578125" style="237"/>
    <col min="12809" max="12809" width="8.28515625" style="237" customWidth="1"/>
    <col min="12810" max="12810" width="11.42578125" style="237"/>
    <col min="12811" max="12811" width="9.28515625" style="237" customWidth="1"/>
    <col min="12812" max="12812" width="6.85546875" style="237" customWidth="1"/>
    <col min="12813" max="12813" width="8.28515625" style="237" customWidth="1"/>
    <col min="12814" max="12814" width="5.28515625" style="237" customWidth="1"/>
    <col min="12815" max="12816" width="6.5703125" style="237" customWidth="1"/>
    <col min="12817" max="12817" width="21.5703125" style="237" customWidth="1"/>
    <col min="12818" max="12819" width="0" style="237" hidden="1" customWidth="1"/>
    <col min="12820" max="12820" width="10" style="237" customWidth="1"/>
    <col min="12821" max="12821" width="10.7109375" style="237" customWidth="1"/>
    <col min="12822" max="13056" width="11.42578125" style="237"/>
    <col min="13057" max="13057" width="4.85546875" style="237" customWidth="1"/>
    <col min="13058" max="13058" width="12.5703125" style="237" customWidth="1"/>
    <col min="13059" max="13059" width="8.28515625" style="237" customWidth="1"/>
    <col min="13060" max="13060" width="12" style="237" customWidth="1"/>
    <col min="13061" max="13061" width="13.7109375" style="237" customWidth="1"/>
    <col min="13062" max="13062" width="10.28515625" style="237" customWidth="1"/>
    <col min="13063" max="13064" width="11.42578125" style="237"/>
    <col min="13065" max="13065" width="8.28515625" style="237" customWidth="1"/>
    <col min="13066" max="13066" width="11.42578125" style="237"/>
    <col min="13067" max="13067" width="9.28515625" style="237" customWidth="1"/>
    <col min="13068" max="13068" width="6.85546875" style="237" customWidth="1"/>
    <col min="13069" max="13069" width="8.28515625" style="237" customWidth="1"/>
    <col min="13070" max="13070" width="5.28515625" style="237" customWidth="1"/>
    <col min="13071" max="13072" width="6.5703125" style="237" customWidth="1"/>
    <col min="13073" max="13073" width="21.5703125" style="237" customWidth="1"/>
    <col min="13074" max="13075" width="0" style="237" hidden="1" customWidth="1"/>
    <col min="13076" max="13076" width="10" style="237" customWidth="1"/>
    <col min="13077" max="13077" width="10.7109375" style="237" customWidth="1"/>
    <col min="13078" max="13312" width="11.42578125" style="237"/>
    <col min="13313" max="13313" width="4.85546875" style="237" customWidth="1"/>
    <col min="13314" max="13314" width="12.5703125" style="237" customWidth="1"/>
    <col min="13315" max="13315" width="8.28515625" style="237" customWidth="1"/>
    <col min="13316" max="13316" width="12" style="237" customWidth="1"/>
    <col min="13317" max="13317" width="13.7109375" style="237" customWidth="1"/>
    <col min="13318" max="13318" width="10.28515625" style="237" customWidth="1"/>
    <col min="13319" max="13320" width="11.42578125" style="237"/>
    <col min="13321" max="13321" width="8.28515625" style="237" customWidth="1"/>
    <col min="13322" max="13322" width="11.42578125" style="237"/>
    <col min="13323" max="13323" width="9.28515625" style="237" customWidth="1"/>
    <col min="13324" max="13324" width="6.85546875" style="237" customWidth="1"/>
    <col min="13325" max="13325" width="8.28515625" style="237" customWidth="1"/>
    <col min="13326" max="13326" width="5.28515625" style="237" customWidth="1"/>
    <col min="13327" max="13328" width="6.5703125" style="237" customWidth="1"/>
    <col min="13329" max="13329" width="21.5703125" style="237" customWidth="1"/>
    <col min="13330" max="13331" width="0" style="237" hidden="1" customWidth="1"/>
    <col min="13332" max="13332" width="10" style="237" customWidth="1"/>
    <col min="13333" max="13333" width="10.7109375" style="237" customWidth="1"/>
    <col min="13334" max="13568" width="11.42578125" style="237"/>
    <col min="13569" max="13569" width="4.85546875" style="237" customWidth="1"/>
    <col min="13570" max="13570" width="12.5703125" style="237" customWidth="1"/>
    <col min="13571" max="13571" width="8.28515625" style="237" customWidth="1"/>
    <col min="13572" max="13572" width="12" style="237" customWidth="1"/>
    <col min="13573" max="13573" width="13.7109375" style="237" customWidth="1"/>
    <col min="13574" max="13574" width="10.28515625" style="237" customWidth="1"/>
    <col min="13575" max="13576" width="11.42578125" style="237"/>
    <col min="13577" max="13577" width="8.28515625" style="237" customWidth="1"/>
    <col min="13578" max="13578" width="11.42578125" style="237"/>
    <col min="13579" max="13579" width="9.28515625" style="237" customWidth="1"/>
    <col min="13580" max="13580" width="6.85546875" style="237" customWidth="1"/>
    <col min="13581" max="13581" width="8.28515625" style="237" customWidth="1"/>
    <col min="13582" max="13582" width="5.28515625" style="237" customWidth="1"/>
    <col min="13583" max="13584" width="6.5703125" style="237" customWidth="1"/>
    <col min="13585" max="13585" width="21.5703125" style="237" customWidth="1"/>
    <col min="13586" max="13587" width="0" style="237" hidden="1" customWidth="1"/>
    <col min="13588" max="13588" width="10" style="237" customWidth="1"/>
    <col min="13589" max="13589" width="10.7109375" style="237" customWidth="1"/>
    <col min="13590" max="13824" width="11.42578125" style="237"/>
    <col min="13825" max="13825" width="4.85546875" style="237" customWidth="1"/>
    <col min="13826" max="13826" width="12.5703125" style="237" customWidth="1"/>
    <col min="13827" max="13827" width="8.28515625" style="237" customWidth="1"/>
    <col min="13828" max="13828" width="12" style="237" customWidth="1"/>
    <col min="13829" max="13829" width="13.7109375" style="237" customWidth="1"/>
    <col min="13830" max="13830" width="10.28515625" style="237" customWidth="1"/>
    <col min="13831" max="13832" width="11.42578125" style="237"/>
    <col min="13833" max="13833" width="8.28515625" style="237" customWidth="1"/>
    <col min="13834" max="13834" width="11.42578125" style="237"/>
    <col min="13835" max="13835" width="9.28515625" style="237" customWidth="1"/>
    <col min="13836" max="13836" width="6.85546875" style="237" customWidth="1"/>
    <col min="13837" max="13837" width="8.28515625" style="237" customWidth="1"/>
    <col min="13838" max="13838" width="5.28515625" style="237" customWidth="1"/>
    <col min="13839" max="13840" width="6.5703125" style="237" customWidth="1"/>
    <col min="13841" max="13841" width="21.5703125" style="237" customWidth="1"/>
    <col min="13842" max="13843" width="0" style="237" hidden="1" customWidth="1"/>
    <col min="13844" max="13844" width="10" style="237" customWidth="1"/>
    <col min="13845" max="13845" width="10.7109375" style="237" customWidth="1"/>
    <col min="13846" max="14080" width="11.42578125" style="237"/>
    <col min="14081" max="14081" width="4.85546875" style="237" customWidth="1"/>
    <col min="14082" max="14082" width="12.5703125" style="237" customWidth="1"/>
    <col min="14083" max="14083" width="8.28515625" style="237" customWidth="1"/>
    <col min="14084" max="14084" width="12" style="237" customWidth="1"/>
    <col min="14085" max="14085" width="13.7109375" style="237" customWidth="1"/>
    <col min="14086" max="14086" width="10.28515625" style="237" customWidth="1"/>
    <col min="14087" max="14088" width="11.42578125" style="237"/>
    <col min="14089" max="14089" width="8.28515625" style="237" customWidth="1"/>
    <col min="14090" max="14090" width="11.42578125" style="237"/>
    <col min="14091" max="14091" width="9.28515625" style="237" customWidth="1"/>
    <col min="14092" max="14092" width="6.85546875" style="237" customWidth="1"/>
    <col min="14093" max="14093" width="8.28515625" style="237" customWidth="1"/>
    <col min="14094" max="14094" width="5.28515625" style="237" customWidth="1"/>
    <col min="14095" max="14096" width="6.5703125" style="237" customWidth="1"/>
    <col min="14097" max="14097" width="21.5703125" style="237" customWidth="1"/>
    <col min="14098" max="14099" width="0" style="237" hidden="1" customWidth="1"/>
    <col min="14100" max="14100" width="10" style="237" customWidth="1"/>
    <col min="14101" max="14101" width="10.7109375" style="237" customWidth="1"/>
    <col min="14102" max="14336" width="11.42578125" style="237"/>
    <col min="14337" max="14337" width="4.85546875" style="237" customWidth="1"/>
    <col min="14338" max="14338" width="12.5703125" style="237" customWidth="1"/>
    <col min="14339" max="14339" width="8.28515625" style="237" customWidth="1"/>
    <col min="14340" max="14340" width="12" style="237" customWidth="1"/>
    <col min="14341" max="14341" width="13.7109375" style="237" customWidth="1"/>
    <col min="14342" max="14342" width="10.28515625" style="237" customWidth="1"/>
    <col min="14343" max="14344" width="11.42578125" style="237"/>
    <col min="14345" max="14345" width="8.28515625" style="237" customWidth="1"/>
    <col min="14346" max="14346" width="11.42578125" style="237"/>
    <col min="14347" max="14347" width="9.28515625" style="237" customWidth="1"/>
    <col min="14348" max="14348" width="6.85546875" style="237" customWidth="1"/>
    <col min="14349" max="14349" width="8.28515625" style="237" customWidth="1"/>
    <col min="14350" max="14350" width="5.28515625" style="237" customWidth="1"/>
    <col min="14351" max="14352" width="6.5703125" style="237" customWidth="1"/>
    <col min="14353" max="14353" width="21.5703125" style="237" customWidth="1"/>
    <col min="14354" max="14355" width="0" style="237" hidden="1" customWidth="1"/>
    <col min="14356" max="14356" width="10" style="237" customWidth="1"/>
    <col min="14357" max="14357" width="10.7109375" style="237" customWidth="1"/>
    <col min="14358" max="14592" width="11.42578125" style="237"/>
    <col min="14593" max="14593" width="4.85546875" style="237" customWidth="1"/>
    <col min="14594" max="14594" width="12.5703125" style="237" customWidth="1"/>
    <col min="14595" max="14595" width="8.28515625" style="237" customWidth="1"/>
    <col min="14596" max="14596" width="12" style="237" customWidth="1"/>
    <col min="14597" max="14597" width="13.7109375" style="237" customWidth="1"/>
    <col min="14598" max="14598" width="10.28515625" style="237" customWidth="1"/>
    <col min="14599" max="14600" width="11.42578125" style="237"/>
    <col min="14601" max="14601" width="8.28515625" style="237" customWidth="1"/>
    <col min="14602" max="14602" width="11.42578125" style="237"/>
    <col min="14603" max="14603" width="9.28515625" style="237" customWidth="1"/>
    <col min="14604" max="14604" width="6.85546875" style="237" customWidth="1"/>
    <col min="14605" max="14605" width="8.28515625" style="237" customWidth="1"/>
    <col min="14606" max="14606" width="5.28515625" style="237" customWidth="1"/>
    <col min="14607" max="14608" width="6.5703125" style="237" customWidth="1"/>
    <col min="14609" max="14609" width="21.5703125" style="237" customWidth="1"/>
    <col min="14610" max="14611" width="0" style="237" hidden="1" customWidth="1"/>
    <col min="14612" max="14612" width="10" style="237" customWidth="1"/>
    <col min="14613" max="14613" width="10.7109375" style="237" customWidth="1"/>
    <col min="14614" max="14848" width="11.42578125" style="237"/>
    <col min="14849" max="14849" width="4.85546875" style="237" customWidth="1"/>
    <col min="14850" max="14850" width="12.5703125" style="237" customWidth="1"/>
    <col min="14851" max="14851" width="8.28515625" style="237" customWidth="1"/>
    <col min="14852" max="14852" width="12" style="237" customWidth="1"/>
    <col min="14853" max="14853" width="13.7109375" style="237" customWidth="1"/>
    <col min="14854" max="14854" width="10.28515625" style="237" customWidth="1"/>
    <col min="14855" max="14856" width="11.42578125" style="237"/>
    <col min="14857" max="14857" width="8.28515625" style="237" customWidth="1"/>
    <col min="14858" max="14858" width="11.42578125" style="237"/>
    <col min="14859" max="14859" width="9.28515625" style="237" customWidth="1"/>
    <col min="14860" max="14860" width="6.85546875" style="237" customWidth="1"/>
    <col min="14861" max="14861" width="8.28515625" style="237" customWidth="1"/>
    <col min="14862" max="14862" width="5.28515625" style="237" customWidth="1"/>
    <col min="14863" max="14864" width="6.5703125" style="237" customWidth="1"/>
    <col min="14865" max="14865" width="21.5703125" style="237" customWidth="1"/>
    <col min="14866" max="14867" width="0" style="237" hidden="1" customWidth="1"/>
    <col min="14868" max="14868" width="10" style="237" customWidth="1"/>
    <col min="14869" max="14869" width="10.7109375" style="237" customWidth="1"/>
    <col min="14870" max="15104" width="11.42578125" style="237"/>
    <col min="15105" max="15105" width="4.85546875" style="237" customWidth="1"/>
    <col min="15106" max="15106" width="12.5703125" style="237" customWidth="1"/>
    <col min="15107" max="15107" width="8.28515625" style="237" customWidth="1"/>
    <col min="15108" max="15108" width="12" style="237" customWidth="1"/>
    <col min="15109" max="15109" width="13.7109375" style="237" customWidth="1"/>
    <col min="15110" max="15110" width="10.28515625" style="237" customWidth="1"/>
    <col min="15111" max="15112" width="11.42578125" style="237"/>
    <col min="15113" max="15113" width="8.28515625" style="237" customWidth="1"/>
    <col min="15114" max="15114" width="11.42578125" style="237"/>
    <col min="15115" max="15115" width="9.28515625" style="237" customWidth="1"/>
    <col min="15116" max="15116" width="6.85546875" style="237" customWidth="1"/>
    <col min="15117" max="15117" width="8.28515625" style="237" customWidth="1"/>
    <col min="15118" max="15118" width="5.28515625" style="237" customWidth="1"/>
    <col min="15119" max="15120" width="6.5703125" style="237" customWidth="1"/>
    <col min="15121" max="15121" width="21.5703125" style="237" customWidth="1"/>
    <col min="15122" max="15123" width="0" style="237" hidden="1" customWidth="1"/>
    <col min="15124" max="15124" width="10" style="237" customWidth="1"/>
    <col min="15125" max="15125" width="10.7109375" style="237" customWidth="1"/>
    <col min="15126" max="15360" width="11.42578125" style="237"/>
    <col min="15361" max="15361" width="4.85546875" style="237" customWidth="1"/>
    <col min="15362" max="15362" width="12.5703125" style="237" customWidth="1"/>
    <col min="15363" max="15363" width="8.28515625" style="237" customWidth="1"/>
    <col min="15364" max="15364" width="12" style="237" customWidth="1"/>
    <col min="15365" max="15365" width="13.7109375" style="237" customWidth="1"/>
    <col min="15366" max="15366" width="10.28515625" style="237" customWidth="1"/>
    <col min="15367" max="15368" width="11.42578125" style="237"/>
    <col min="15369" max="15369" width="8.28515625" style="237" customWidth="1"/>
    <col min="15370" max="15370" width="11.42578125" style="237"/>
    <col min="15371" max="15371" width="9.28515625" style="237" customWidth="1"/>
    <col min="15372" max="15372" width="6.85546875" style="237" customWidth="1"/>
    <col min="15373" max="15373" width="8.28515625" style="237" customWidth="1"/>
    <col min="15374" max="15374" width="5.28515625" style="237" customWidth="1"/>
    <col min="15375" max="15376" width="6.5703125" style="237" customWidth="1"/>
    <col min="15377" max="15377" width="21.5703125" style="237" customWidth="1"/>
    <col min="15378" max="15379" width="0" style="237" hidden="1" customWidth="1"/>
    <col min="15380" max="15380" width="10" style="237" customWidth="1"/>
    <col min="15381" max="15381" width="10.7109375" style="237" customWidth="1"/>
    <col min="15382" max="15616" width="11.42578125" style="237"/>
    <col min="15617" max="15617" width="4.85546875" style="237" customWidth="1"/>
    <col min="15618" max="15618" width="12.5703125" style="237" customWidth="1"/>
    <col min="15619" max="15619" width="8.28515625" style="237" customWidth="1"/>
    <col min="15620" max="15620" width="12" style="237" customWidth="1"/>
    <col min="15621" max="15621" width="13.7109375" style="237" customWidth="1"/>
    <col min="15622" max="15622" width="10.28515625" style="237" customWidth="1"/>
    <col min="15623" max="15624" width="11.42578125" style="237"/>
    <col min="15625" max="15625" width="8.28515625" style="237" customWidth="1"/>
    <col min="15626" max="15626" width="11.42578125" style="237"/>
    <col min="15627" max="15627" width="9.28515625" style="237" customWidth="1"/>
    <col min="15628" max="15628" width="6.85546875" style="237" customWidth="1"/>
    <col min="15629" max="15629" width="8.28515625" style="237" customWidth="1"/>
    <col min="15630" max="15630" width="5.28515625" style="237" customWidth="1"/>
    <col min="15631" max="15632" width="6.5703125" style="237" customWidth="1"/>
    <col min="15633" max="15633" width="21.5703125" style="237" customWidth="1"/>
    <col min="15634" max="15635" width="0" style="237" hidden="1" customWidth="1"/>
    <col min="15636" max="15636" width="10" style="237" customWidth="1"/>
    <col min="15637" max="15637" width="10.7109375" style="237" customWidth="1"/>
    <col min="15638" max="15872" width="11.42578125" style="237"/>
    <col min="15873" max="15873" width="4.85546875" style="237" customWidth="1"/>
    <col min="15874" max="15874" width="12.5703125" style="237" customWidth="1"/>
    <col min="15875" max="15875" width="8.28515625" style="237" customWidth="1"/>
    <col min="15876" max="15876" width="12" style="237" customWidth="1"/>
    <col min="15877" max="15877" width="13.7109375" style="237" customWidth="1"/>
    <col min="15878" max="15878" width="10.28515625" style="237" customWidth="1"/>
    <col min="15879" max="15880" width="11.42578125" style="237"/>
    <col min="15881" max="15881" width="8.28515625" style="237" customWidth="1"/>
    <col min="15882" max="15882" width="11.42578125" style="237"/>
    <col min="15883" max="15883" width="9.28515625" style="237" customWidth="1"/>
    <col min="15884" max="15884" width="6.85546875" style="237" customWidth="1"/>
    <col min="15885" max="15885" width="8.28515625" style="237" customWidth="1"/>
    <col min="15886" max="15886" width="5.28515625" style="237" customWidth="1"/>
    <col min="15887" max="15888" width="6.5703125" style="237" customWidth="1"/>
    <col min="15889" max="15889" width="21.5703125" style="237" customWidth="1"/>
    <col min="15890" max="15891" width="0" style="237" hidden="1" customWidth="1"/>
    <col min="15892" max="15892" width="10" style="237" customWidth="1"/>
    <col min="15893" max="15893" width="10.7109375" style="237" customWidth="1"/>
    <col min="15894" max="16128" width="11.42578125" style="237"/>
    <col min="16129" max="16129" width="4.85546875" style="237" customWidth="1"/>
    <col min="16130" max="16130" width="12.5703125" style="237" customWidth="1"/>
    <col min="16131" max="16131" width="8.28515625" style="237" customWidth="1"/>
    <col min="16132" max="16132" width="12" style="237" customWidth="1"/>
    <col min="16133" max="16133" width="13.7109375" style="237" customWidth="1"/>
    <col min="16134" max="16134" width="10.28515625" style="237" customWidth="1"/>
    <col min="16135" max="16136" width="11.42578125" style="237"/>
    <col min="16137" max="16137" width="8.28515625" style="237" customWidth="1"/>
    <col min="16138" max="16138" width="11.42578125" style="237"/>
    <col min="16139" max="16139" width="9.28515625" style="237" customWidth="1"/>
    <col min="16140" max="16140" width="6.85546875" style="237" customWidth="1"/>
    <col min="16141" max="16141" width="8.28515625" style="237" customWidth="1"/>
    <col min="16142" max="16142" width="5.28515625" style="237" customWidth="1"/>
    <col min="16143" max="16144" width="6.5703125" style="237" customWidth="1"/>
    <col min="16145" max="16145" width="21.5703125" style="237" customWidth="1"/>
    <col min="16146" max="16147" width="0" style="237" hidden="1" customWidth="1"/>
    <col min="16148" max="16148" width="10" style="237" customWidth="1"/>
    <col min="16149" max="16149" width="10.7109375" style="237" customWidth="1"/>
    <col min="16150" max="16384" width="11.42578125" style="237"/>
  </cols>
  <sheetData>
    <row r="1" spans="1:21" s="236" customFormat="1">
      <c r="A1" s="235" t="s">
        <v>207</v>
      </c>
    </row>
    <row r="2" spans="1:21" s="236" customFormat="1" ht="13.5" thickBot="1"/>
    <row r="3" spans="1:21" ht="13.5" thickBot="1">
      <c r="E3" s="238" t="s">
        <v>208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40"/>
    </row>
    <row r="4" spans="1:21" s="251" customFormat="1" ht="30" customHeight="1">
      <c r="A4" s="241" t="s">
        <v>209</v>
      </c>
      <c r="B4" s="241" t="s">
        <v>210</v>
      </c>
      <c r="C4" s="242" t="s">
        <v>211</v>
      </c>
      <c r="D4" s="242" t="s">
        <v>212</v>
      </c>
      <c r="E4" s="242" t="s">
        <v>213</v>
      </c>
      <c r="F4" s="243" t="s">
        <v>214</v>
      </c>
      <c r="G4" s="244" t="s">
        <v>215</v>
      </c>
      <c r="H4" s="242" t="s">
        <v>216</v>
      </c>
      <c r="I4" s="242"/>
      <c r="J4" s="242"/>
      <c r="K4" s="245" t="s">
        <v>217</v>
      </c>
      <c r="L4" s="245"/>
      <c r="M4" s="245"/>
      <c r="N4" s="246" t="s">
        <v>218</v>
      </c>
      <c r="O4" s="247"/>
      <c r="P4" s="248"/>
      <c r="Q4" s="245" t="s">
        <v>219</v>
      </c>
      <c r="R4" s="249" t="s">
        <v>220</v>
      </c>
      <c r="S4" s="249" t="s">
        <v>221</v>
      </c>
      <c r="T4" s="242" t="s">
        <v>222</v>
      </c>
      <c r="U4" s="250" t="s">
        <v>223</v>
      </c>
    </row>
    <row r="5" spans="1:21" s="251" customFormat="1" ht="17.25" customHeight="1">
      <c r="A5" s="252"/>
      <c r="B5" s="252"/>
      <c r="C5" s="253"/>
      <c r="D5" s="253"/>
      <c r="E5" s="253"/>
      <c r="F5" s="254"/>
      <c r="G5" s="255"/>
      <c r="H5" s="256" t="s">
        <v>224</v>
      </c>
      <c r="I5" s="256" t="s">
        <v>225</v>
      </c>
      <c r="J5" s="256" t="s">
        <v>226</v>
      </c>
      <c r="K5" s="256" t="s">
        <v>224</v>
      </c>
      <c r="L5" s="256" t="s">
        <v>225</v>
      </c>
      <c r="M5" s="256" t="s">
        <v>227</v>
      </c>
      <c r="N5" s="256" t="s">
        <v>209</v>
      </c>
      <c r="O5" s="256" t="s">
        <v>225</v>
      </c>
      <c r="P5" s="256" t="s">
        <v>227</v>
      </c>
      <c r="Q5" s="257"/>
      <c r="R5" s="256"/>
      <c r="S5" s="256"/>
      <c r="T5" s="257"/>
      <c r="U5" s="258"/>
    </row>
    <row r="6" spans="1:21">
      <c r="A6" s="259">
        <v>1</v>
      </c>
      <c r="B6" s="260">
        <v>39452</v>
      </c>
      <c r="C6" s="261">
        <v>57352</v>
      </c>
      <c r="D6" s="262">
        <v>39780</v>
      </c>
      <c r="E6" s="263" t="s">
        <v>228</v>
      </c>
      <c r="F6" s="263" t="s">
        <v>229</v>
      </c>
      <c r="G6" s="263" t="s">
        <v>230</v>
      </c>
      <c r="H6" s="263" t="s">
        <v>231</v>
      </c>
      <c r="I6" s="263" t="s">
        <v>231</v>
      </c>
      <c r="J6" s="263" t="s">
        <v>232</v>
      </c>
      <c r="K6" s="263"/>
      <c r="L6" s="263"/>
      <c r="M6" s="263"/>
      <c r="N6" s="263"/>
      <c r="O6" s="263"/>
      <c r="P6" s="263"/>
      <c r="Q6" s="263" t="s">
        <v>233</v>
      </c>
      <c r="R6" s="261">
        <v>329</v>
      </c>
      <c r="S6" s="261">
        <v>523</v>
      </c>
      <c r="T6" s="262">
        <v>39943</v>
      </c>
      <c r="U6" s="261" t="s">
        <v>234</v>
      </c>
    </row>
    <row r="7" spans="1:21">
      <c r="A7" s="264">
        <v>2</v>
      </c>
      <c r="B7" s="260">
        <v>39454</v>
      </c>
      <c r="C7" s="261">
        <v>57379</v>
      </c>
      <c r="D7" s="262">
        <v>39784</v>
      </c>
      <c r="E7" s="263" t="s">
        <v>235</v>
      </c>
      <c r="F7" s="263" t="s">
        <v>229</v>
      </c>
      <c r="G7" s="263" t="s">
        <v>236</v>
      </c>
      <c r="H7" s="263"/>
      <c r="I7" s="263"/>
      <c r="J7" s="263"/>
      <c r="K7" s="263"/>
      <c r="L7" s="263"/>
      <c r="M7" s="263"/>
      <c r="N7" s="263" t="s">
        <v>231</v>
      </c>
      <c r="O7" s="263" t="s">
        <v>231</v>
      </c>
      <c r="P7" s="263" t="s">
        <v>237</v>
      </c>
      <c r="Q7" s="263" t="s">
        <v>238</v>
      </c>
      <c r="R7" s="261">
        <v>303</v>
      </c>
      <c r="S7" s="261">
        <v>503</v>
      </c>
      <c r="T7" s="262">
        <v>39828</v>
      </c>
      <c r="U7" s="261" t="s">
        <v>234</v>
      </c>
    </row>
    <row r="8" spans="1:21">
      <c r="A8" s="264">
        <v>3</v>
      </c>
      <c r="B8" s="260">
        <v>39454</v>
      </c>
      <c r="C8" s="265">
        <v>57384</v>
      </c>
      <c r="D8" s="262">
        <v>39783</v>
      </c>
      <c r="E8" s="263" t="s">
        <v>239</v>
      </c>
      <c r="F8" s="263" t="s">
        <v>229</v>
      </c>
      <c r="G8" s="263" t="s">
        <v>240</v>
      </c>
      <c r="H8" s="263" t="s">
        <v>231</v>
      </c>
      <c r="I8" s="263" t="s">
        <v>231</v>
      </c>
      <c r="J8" s="263" t="s">
        <v>241</v>
      </c>
      <c r="K8" s="263"/>
      <c r="L8" s="263"/>
      <c r="M8" s="263"/>
      <c r="N8" s="263"/>
      <c r="O8" s="263"/>
      <c r="P8" s="263"/>
      <c r="Q8" s="263" t="s">
        <v>242</v>
      </c>
      <c r="R8" s="261">
        <v>329</v>
      </c>
      <c r="S8" s="261">
        <v>523</v>
      </c>
      <c r="T8" s="262">
        <v>39841</v>
      </c>
      <c r="U8" s="261" t="s">
        <v>234</v>
      </c>
    </row>
    <row r="9" spans="1:21">
      <c r="A9" s="264">
        <v>4</v>
      </c>
      <c r="B9" s="260">
        <v>39456</v>
      </c>
      <c r="C9" s="261">
        <v>57448</v>
      </c>
      <c r="D9" s="262">
        <v>39786</v>
      </c>
      <c r="E9" s="263" t="s">
        <v>243</v>
      </c>
      <c r="F9" s="263" t="s">
        <v>229</v>
      </c>
      <c r="G9" s="263" t="s">
        <v>244</v>
      </c>
      <c r="H9" s="263" t="s">
        <v>231</v>
      </c>
      <c r="I9" s="263" t="s">
        <v>231</v>
      </c>
      <c r="J9" s="263" t="s">
        <v>245</v>
      </c>
      <c r="K9" s="263"/>
      <c r="L9" s="263"/>
      <c r="M9" s="263"/>
      <c r="N9" s="263"/>
      <c r="O9" s="263"/>
      <c r="P9" s="263"/>
      <c r="Q9" s="263" t="s">
        <v>246</v>
      </c>
      <c r="R9" s="261">
        <v>329</v>
      </c>
      <c r="S9" s="261">
        <v>523</v>
      </c>
      <c r="T9" s="262">
        <v>39841</v>
      </c>
      <c r="U9" s="261" t="s">
        <v>234</v>
      </c>
    </row>
    <row r="10" spans="1:21">
      <c r="A10" s="264">
        <v>5</v>
      </c>
      <c r="B10" s="260">
        <v>39457</v>
      </c>
      <c r="C10" s="261">
        <v>57455</v>
      </c>
      <c r="D10" s="262">
        <v>39774</v>
      </c>
      <c r="E10" s="263" t="s">
        <v>247</v>
      </c>
      <c r="F10" s="263" t="s">
        <v>229</v>
      </c>
      <c r="G10" s="263" t="s">
        <v>248</v>
      </c>
      <c r="H10" s="263" t="s">
        <v>231</v>
      </c>
      <c r="I10" s="263" t="s">
        <v>249</v>
      </c>
      <c r="J10" s="263" t="s">
        <v>250</v>
      </c>
      <c r="K10" s="263"/>
      <c r="L10" s="263"/>
      <c r="M10" s="263"/>
      <c r="N10" s="263"/>
      <c r="O10" s="263"/>
      <c r="P10" s="263"/>
      <c r="Q10" s="263" t="s">
        <v>251</v>
      </c>
      <c r="R10" s="261">
        <v>329</v>
      </c>
      <c r="S10" s="261">
        <v>533</v>
      </c>
      <c r="T10" s="262">
        <v>39989</v>
      </c>
      <c r="U10" s="261" t="s">
        <v>234</v>
      </c>
    </row>
    <row r="11" spans="1:21">
      <c r="A11" s="264">
        <v>6</v>
      </c>
      <c r="B11" s="260">
        <v>39472</v>
      </c>
      <c r="C11" s="261">
        <v>57454</v>
      </c>
      <c r="D11" s="262">
        <v>39774</v>
      </c>
      <c r="E11" s="263" t="s">
        <v>247</v>
      </c>
      <c r="F11" s="263" t="s">
        <v>229</v>
      </c>
      <c r="G11" s="263" t="s">
        <v>248</v>
      </c>
      <c r="H11" s="263" t="s">
        <v>231</v>
      </c>
      <c r="I11" s="263" t="s">
        <v>249</v>
      </c>
      <c r="J11" s="263" t="s">
        <v>252</v>
      </c>
      <c r="K11" s="263"/>
      <c r="L11" s="263"/>
      <c r="M11" s="263"/>
      <c r="N11" s="263"/>
      <c r="O11" s="263"/>
      <c r="P11" s="263"/>
      <c r="Q11" s="263" t="s">
        <v>251</v>
      </c>
      <c r="R11" s="261">
        <v>329</v>
      </c>
      <c r="S11" s="261">
        <v>533</v>
      </c>
      <c r="T11" s="262">
        <v>39989</v>
      </c>
      <c r="U11" s="261" t="s">
        <v>234</v>
      </c>
    </row>
    <row r="12" spans="1:21">
      <c r="A12" s="264">
        <v>7</v>
      </c>
      <c r="B12" s="260">
        <v>39476</v>
      </c>
      <c r="C12" s="261">
        <v>57453</v>
      </c>
      <c r="D12" s="262">
        <v>39774</v>
      </c>
      <c r="E12" s="263" t="s">
        <v>247</v>
      </c>
      <c r="F12" s="263" t="s">
        <v>229</v>
      </c>
      <c r="G12" s="263" t="s">
        <v>248</v>
      </c>
      <c r="H12" s="263" t="s">
        <v>231</v>
      </c>
      <c r="I12" s="263" t="s">
        <v>249</v>
      </c>
      <c r="J12" s="263" t="s">
        <v>253</v>
      </c>
      <c r="K12" s="263"/>
      <c r="L12" s="263"/>
      <c r="M12" s="263"/>
      <c r="N12" s="263"/>
      <c r="O12" s="263"/>
      <c r="P12" s="263"/>
      <c r="Q12" s="263" t="s">
        <v>251</v>
      </c>
      <c r="R12" s="261">
        <v>329</v>
      </c>
      <c r="S12" s="261">
        <v>533</v>
      </c>
      <c r="T12" s="262">
        <v>39989</v>
      </c>
      <c r="U12" s="261" t="s">
        <v>234</v>
      </c>
    </row>
    <row r="13" spans="1:21">
      <c r="A13" s="264">
        <v>8</v>
      </c>
      <c r="B13" s="260">
        <v>39480</v>
      </c>
      <c r="C13" s="261">
        <v>57451</v>
      </c>
      <c r="D13" s="262">
        <v>39774</v>
      </c>
      <c r="E13" s="263" t="s">
        <v>247</v>
      </c>
      <c r="F13" s="263" t="s">
        <v>229</v>
      </c>
      <c r="G13" s="263" t="s">
        <v>248</v>
      </c>
      <c r="H13" s="263" t="s">
        <v>231</v>
      </c>
      <c r="I13" s="263" t="s">
        <v>249</v>
      </c>
      <c r="J13" s="263" t="s">
        <v>254</v>
      </c>
      <c r="K13" s="263"/>
      <c r="L13" s="263"/>
      <c r="M13" s="263"/>
      <c r="N13" s="263"/>
      <c r="O13" s="263"/>
      <c r="P13" s="263"/>
      <c r="Q13" s="263" t="s">
        <v>251</v>
      </c>
      <c r="R13" s="261">
        <v>329</v>
      </c>
      <c r="S13" s="261">
        <v>533</v>
      </c>
      <c r="T13" s="262">
        <v>39989</v>
      </c>
      <c r="U13" s="261" t="s">
        <v>234</v>
      </c>
    </row>
    <row r="14" spans="1:21">
      <c r="A14" s="264">
        <v>9</v>
      </c>
      <c r="B14" s="260">
        <v>39483</v>
      </c>
      <c r="C14" s="261">
        <v>57450</v>
      </c>
      <c r="D14" s="262">
        <v>39774</v>
      </c>
      <c r="E14" s="263" t="s">
        <v>247</v>
      </c>
      <c r="F14" s="263" t="s">
        <v>229</v>
      </c>
      <c r="G14" s="263" t="s">
        <v>248</v>
      </c>
      <c r="H14" s="263" t="s">
        <v>231</v>
      </c>
      <c r="I14" s="263" t="s">
        <v>249</v>
      </c>
      <c r="J14" s="263" t="s">
        <v>255</v>
      </c>
      <c r="K14" s="263"/>
      <c r="L14" s="263"/>
      <c r="M14" s="263"/>
      <c r="N14" s="263"/>
      <c r="O14" s="263"/>
      <c r="P14" s="263"/>
      <c r="Q14" s="263" t="s">
        <v>251</v>
      </c>
      <c r="R14" s="261">
        <v>329</v>
      </c>
      <c r="S14" s="261">
        <v>533</v>
      </c>
      <c r="T14" s="262">
        <v>39989</v>
      </c>
      <c r="U14" s="261" t="s">
        <v>234</v>
      </c>
    </row>
    <row r="15" spans="1:21">
      <c r="A15" s="264">
        <v>10</v>
      </c>
      <c r="B15" s="260">
        <v>39484</v>
      </c>
      <c r="C15" s="261">
        <v>57456</v>
      </c>
      <c r="D15" s="262">
        <v>39774</v>
      </c>
      <c r="E15" s="263" t="s">
        <v>247</v>
      </c>
      <c r="F15" s="263" t="s">
        <v>229</v>
      </c>
      <c r="G15" s="263" t="s">
        <v>248</v>
      </c>
      <c r="H15" s="263" t="s">
        <v>231</v>
      </c>
      <c r="I15" s="263" t="s">
        <v>249</v>
      </c>
      <c r="J15" s="263" t="s">
        <v>256</v>
      </c>
      <c r="K15" s="263"/>
      <c r="L15" s="263"/>
      <c r="M15" s="263"/>
      <c r="N15" s="263"/>
      <c r="O15" s="263"/>
      <c r="P15" s="263"/>
      <c r="Q15" s="263" t="s">
        <v>251</v>
      </c>
      <c r="R15" s="261">
        <v>329</v>
      </c>
      <c r="S15" s="261">
        <v>533</v>
      </c>
      <c r="T15" s="262">
        <v>39989</v>
      </c>
      <c r="U15" s="261" t="s">
        <v>234</v>
      </c>
    </row>
    <row r="16" spans="1:21">
      <c r="A16" s="264">
        <v>11</v>
      </c>
      <c r="B16" s="260">
        <v>39488</v>
      </c>
      <c r="C16" s="261">
        <v>57457</v>
      </c>
      <c r="D16" s="262">
        <v>39774</v>
      </c>
      <c r="E16" s="263" t="s">
        <v>247</v>
      </c>
      <c r="F16" s="263" t="s">
        <v>229</v>
      </c>
      <c r="G16" s="263" t="s">
        <v>248</v>
      </c>
      <c r="H16" s="263" t="s">
        <v>231</v>
      </c>
      <c r="I16" s="263" t="s">
        <v>249</v>
      </c>
      <c r="J16" s="263" t="s">
        <v>257</v>
      </c>
      <c r="K16" s="263"/>
      <c r="L16" s="263"/>
      <c r="M16" s="263"/>
      <c r="N16" s="263"/>
      <c r="O16" s="263"/>
      <c r="P16" s="263"/>
      <c r="Q16" s="263" t="s">
        <v>251</v>
      </c>
      <c r="R16" s="261">
        <v>329</v>
      </c>
      <c r="S16" s="261">
        <v>533</v>
      </c>
      <c r="T16" s="262">
        <v>39989</v>
      </c>
      <c r="U16" s="261" t="s">
        <v>234</v>
      </c>
    </row>
    <row r="17" spans="1:21">
      <c r="A17" s="264">
        <v>12</v>
      </c>
      <c r="B17" s="266">
        <v>39504</v>
      </c>
      <c r="C17" s="261">
        <v>57481</v>
      </c>
      <c r="D17" s="262">
        <v>39776</v>
      </c>
      <c r="E17" s="263" t="s">
        <v>258</v>
      </c>
      <c r="F17" s="263" t="s">
        <v>229</v>
      </c>
      <c r="G17" s="263" t="s">
        <v>259</v>
      </c>
      <c r="H17" s="263" t="s">
        <v>231</v>
      </c>
      <c r="I17" s="263" t="s">
        <v>231</v>
      </c>
      <c r="J17" s="263" t="s">
        <v>260</v>
      </c>
      <c r="K17" s="263"/>
      <c r="L17" s="263"/>
      <c r="M17" s="263"/>
      <c r="N17" s="263"/>
      <c r="O17" s="263"/>
      <c r="P17" s="263"/>
      <c r="Q17" s="263" t="s">
        <v>261</v>
      </c>
      <c r="R17" s="261">
        <v>329</v>
      </c>
      <c r="S17" s="261">
        <v>523</v>
      </c>
      <c r="T17" s="262">
        <v>39994</v>
      </c>
      <c r="U17" s="261" t="s">
        <v>234</v>
      </c>
    </row>
    <row r="18" spans="1:21">
      <c r="A18" s="264">
        <v>13</v>
      </c>
      <c r="B18" s="266">
        <v>39504</v>
      </c>
      <c r="C18" s="261">
        <v>57509</v>
      </c>
      <c r="D18" s="262">
        <v>39783</v>
      </c>
      <c r="E18" s="263" t="s">
        <v>262</v>
      </c>
      <c r="F18" s="263" t="s">
        <v>229</v>
      </c>
      <c r="G18" s="263" t="s">
        <v>263</v>
      </c>
      <c r="H18" s="263" t="s">
        <v>264</v>
      </c>
      <c r="I18" s="263" t="s">
        <v>264</v>
      </c>
      <c r="J18" s="263" t="s">
        <v>265</v>
      </c>
      <c r="K18" s="263"/>
      <c r="L18" s="263"/>
      <c r="M18" s="263"/>
      <c r="N18" s="263"/>
      <c r="O18" s="263"/>
      <c r="P18" s="263"/>
      <c r="Q18" s="263" t="s">
        <v>266</v>
      </c>
      <c r="R18" s="261">
        <v>329</v>
      </c>
      <c r="S18" s="261">
        <v>533</v>
      </c>
      <c r="T18" s="262">
        <v>39979</v>
      </c>
      <c r="U18" s="261" t="s">
        <v>234</v>
      </c>
    </row>
    <row r="19" spans="1:21">
      <c r="A19" s="264">
        <v>14</v>
      </c>
      <c r="B19" s="266">
        <v>39505</v>
      </c>
      <c r="C19" s="261">
        <v>57510</v>
      </c>
      <c r="D19" s="262">
        <v>39791</v>
      </c>
      <c r="E19" s="263" t="s">
        <v>267</v>
      </c>
      <c r="F19" s="263" t="s">
        <v>229</v>
      </c>
      <c r="G19" s="263" t="s">
        <v>268</v>
      </c>
      <c r="H19" s="263" t="s">
        <v>264</v>
      </c>
      <c r="I19" s="263" t="s">
        <v>231</v>
      </c>
      <c r="J19" s="263" t="s">
        <v>269</v>
      </c>
      <c r="K19" s="263"/>
      <c r="L19" s="263"/>
      <c r="M19" s="263"/>
      <c r="N19" s="263"/>
      <c r="O19" s="263"/>
      <c r="P19" s="263"/>
      <c r="Q19" s="263" t="s">
        <v>270</v>
      </c>
      <c r="R19" s="261">
        <v>309</v>
      </c>
      <c r="S19" s="261">
        <v>521</v>
      </c>
      <c r="T19" s="262">
        <v>39974</v>
      </c>
      <c r="U19" s="261" t="s">
        <v>234</v>
      </c>
    </row>
    <row r="20" spans="1:21">
      <c r="A20" s="264">
        <v>15</v>
      </c>
      <c r="B20" s="266">
        <v>39508</v>
      </c>
      <c r="C20" s="261">
        <v>11803</v>
      </c>
      <c r="D20" s="262">
        <v>39791</v>
      </c>
      <c r="E20" s="263" t="s">
        <v>271</v>
      </c>
      <c r="F20" s="263" t="s">
        <v>229</v>
      </c>
      <c r="G20" s="263" t="s">
        <v>272</v>
      </c>
      <c r="H20" s="263" t="s">
        <v>231</v>
      </c>
      <c r="I20" s="263" t="s">
        <v>231</v>
      </c>
      <c r="J20" s="263" t="s">
        <v>273</v>
      </c>
      <c r="K20" s="263"/>
      <c r="L20" s="263"/>
      <c r="M20" s="263"/>
      <c r="N20" s="263"/>
      <c r="O20" s="263"/>
      <c r="P20" s="263"/>
      <c r="Q20" s="263" t="s">
        <v>274</v>
      </c>
      <c r="R20" s="261">
        <v>307</v>
      </c>
      <c r="S20" s="261">
        <v>521</v>
      </c>
      <c r="T20" s="262">
        <v>40008</v>
      </c>
      <c r="U20" s="261" t="s">
        <v>234</v>
      </c>
    </row>
    <row r="21" spans="1:21">
      <c r="A21" s="264">
        <v>16</v>
      </c>
      <c r="B21" s="266">
        <v>39511</v>
      </c>
      <c r="C21" s="261">
        <v>11803</v>
      </c>
      <c r="D21" s="262">
        <v>39791</v>
      </c>
      <c r="E21" s="263" t="s">
        <v>271</v>
      </c>
      <c r="F21" s="263" t="s">
        <v>229</v>
      </c>
      <c r="G21" s="263" t="s">
        <v>275</v>
      </c>
      <c r="H21" s="263" t="s">
        <v>231</v>
      </c>
      <c r="I21" s="263" t="s">
        <v>231</v>
      </c>
      <c r="J21" s="263" t="s">
        <v>276</v>
      </c>
      <c r="K21" s="263"/>
      <c r="L21" s="263"/>
      <c r="M21" s="263"/>
      <c r="N21" s="263"/>
      <c r="O21" s="263"/>
      <c r="P21" s="263"/>
      <c r="Q21" s="263" t="s">
        <v>277</v>
      </c>
      <c r="R21" s="261">
        <v>307</v>
      </c>
      <c r="S21" s="261">
        <v>521</v>
      </c>
      <c r="T21" s="262">
        <v>40008</v>
      </c>
      <c r="U21" s="261" t="s">
        <v>234</v>
      </c>
    </row>
    <row r="22" spans="1:21">
      <c r="A22" s="264">
        <v>17</v>
      </c>
      <c r="B22" s="266">
        <v>39513</v>
      </c>
      <c r="C22" s="261">
        <v>11803</v>
      </c>
      <c r="D22" s="262">
        <v>39791</v>
      </c>
      <c r="E22" s="263" t="s">
        <v>271</v>
      </c>
      <c r="F22" s="263" t="s">
        <v>229</v>
      </c>
      <c r="G22" s="263" t="s">
        <v>278</v>
      </c>
      <c r="H22" s="263" t="s">
        <v>231</v>
      </c>
      <c r="I22" s="263" t="s">
        <v>231</v>
      </c>
      <c r="J22" s="263" t="s">
        <v>279</v>
      </c>
      <c r="K22" s="263"/>
      <c r="L22" s="263"/>
      <c r="M22" s="263"/>
      <c r="N22" s="263"/>
      <c r="O22" s="263"/>
      <c r="P22" s="263"/>
      <c r="Q22" s="267" t="s">
        <v>280</v>
      </c>
      <c r="R22" s="261">
        <v>307</v>
      </c>
      <c r="S22" s="261">
        <v>533</v>
      </c>
      <c r="T22" s="262">
        <v>40008</v>
      </c>
      <c r="U22" s="261" t="s">
        <v>234</v>
      </c>
    </row>
    <row r="23" spans="1:21">
      <c r="A23" s="264">
        <v>18</v>
      </c>
      <c r="B23" s="266">
        <v>39512</v>
      </c>
      <c r="C23" s="261">
        <v>11803</v>
      </c>
      <c r="D23" s="262">
        <v>39791</v>
      </c>
      <c r="E23" s="263" t="s">
        <v>271</v>
      </c>
      <c r="F23" s="263" t="s">
        <v>229</v>
      </c>
      <c r="G23" s="263" t="s">
        <v>281</v>
      </c>
      <c r="H23" s="263" t="s">
        <v>231</v>
      </c>
      <c r="I23" s="263" t="s">
        <v>282</v>
      </c>
      <c r="J23" s="263" t="s">
        <v>283</v>
      </c>
      <c r="K23" s="263"/>
      <c r="L23" s="263"/>
      <c r="M23" s="263"/>
      <c r="N23" s="263"/>
      <c r="O23" s="263"/>
      <c r="P23" s="263"/>
      <c r="Q23" s="263" t="s">
        <v>284</v>
      </c>
      <c r="R23" s="261">
        <v>307</v>
      </c>
      <c r="S23" s="261">
        <v>521</v>
      </c>
      <c r="T23" s="262">
        <v>40008</v>
      </c>
      <c r="U23" s="261" t="s">
        <v>234</v>
      </c>
    </row>
    <row r="24" spans="1:21">
      <c r="A24" s="264">
        <v>19</v>
      </c>
      <c r="B24" s="266">
        <v>39533</v>
      </c>
      <c r="C24" s="261">
        <v>11803</v>
      </c>
      <c r="D24" s="262">
        <v>39791</v>
      </c>
      <c r="E24" s="263" t="s">
        <v>271</v>
      </c>
      <c r="F24" s="263" t="s">
        <v>229</v>
      </c>
      <c r="G24" s="263" t="s">
        <v>285</v>
      </c>
      <c r="H24" s="263" t="s">
        <v>231</v>
      </c>
      <c r="I24" s="263" t="s">
        <v>282</v>
      </c>
      <c r="J24" s="263" t="s">
        <v>286</v>
      </c>
      <c r="K24" s="263"/>
      <c r="L24" s="263"/>
      <c r="M24" s="263"/>
      <c r="N24" s="263"/>
      <c r="O24" s="263"/>
      <c r="P24" s="263"/>
      <c r="Q24" s="263" t="s">
        <v>287</v>
      </c>
      <c r="R24" s="261">
        <v>307</v>
      </c>
      <c r="S24" s="261">
        <v>533</v>
      </c>
      <c r="T24" s="262">
        <v>40008</v>
      </c>
      <c r="U24" s="261" t="s">
        <v>234</v>
      </c>
    </row>
    <row r="25" spans="1:21">
      <c r="A25" s="264">
        <v>20</v>
      </c>
      <c r="B25" s="266">
        <v>39533</v>
      </c>
      <c r="C25" s="261">
        <v>57508</v>
      </c>
      <c r="D25" s="262">
        <v>39785</v>
      </c>
      <c r="E25" s="263" t="s">
        <v>288</v>
      </c>
      <c r="F25" s="263" t="s">
        <v>229</v>
      </c>
      <c r="G25" s="263" t="s">
        <v>289</v>
      </c>
      <c r="H25" s="263" t="s">
        <v>231</v>
      </c>
      <c r="I25" s="263" t="s">
        <v>231</v>
      </c>
      <c r="J25" s="263" t="s">
        <v>290</v>
      </c>
      <c r="K25" s="263"/>
      <c r="L25" s="263"/>
      <c r="M25" s="263"/>
      <c r="N25" s="263"/>
      <c r="O25" s="263"/>
      <c r="P25" s="263"/>
      <c r="Q25" s="263" t="s">
        <v>291</v>
      </c>
      <c r="R25" s="261">
        <v>329</v>
      </c>
      <c r="S25" s="261">
        <v>533</v>
      </c>
      <c r="T25" s="262">
        <v>39958</v>
      </c>
      <c r="U25" s="261" t="s">
        <v>234</v>
      </c>
    </row>
    <row r="26" spans="1:21">
      <c r="A26" s="264">
        <v>21</v>
      </c>
      <c r="B26" s="266">
        <v>39534</v>
      </c>
      <c r="C26" s="261">
        <v>57502</v>
      </c>
      <c r="D26" s="262">
        <v>39790</v>
      </c>
      <c r="E26" s="263" t="s">
        <v>292</v>
      </c>
      <c r="F26" s="263" t="s">
        <v>229</v>
      </c>
      <c r="G26" s="263" t="s">
        <v>293</v>
      </c>
      <c r="H26" s="263" t="s">
        <v>231</v>
      </c>
      <c r="I26" s="263" t="s">
        <v>231</v>
      </c>
      <c r="J26" s="263" t="s">
        <v>294</v>
      </c>
      <c r="K26" s="263"/>
      <c r="L26" s="263"/>
      <c r="M26" s="263"/>
      <c r="N26" s="263"/>
      <c r="O26" s="263"/>
      <c r="P26" s="263"/>
      <c r="Q26" s="263" t="s">
        <v>295</v>
      </c>
      <c r="R26" s="261">
        <v>307</v>
      </c>
      <c r="S26" s="261"/>
      <c r="T26" s="262">
        <v>40008</v>
      </c>
      <c r="U26" s="261" t="s">
        <v>234</v>
      </c>
    </row>
    <row r="27" spans="1:21">
      <c r="A27" s="264">
        <v>22</v>
      </c>
      <c r="B27" s="266">
        <v>39575</v>
      </c>
      <c r="C27" s="261">
        <v>11804</v>
      </c>
      <c r="D27" s="262">
        <v>39792</v>
      </c>
      <c r="E27" s="263" t="s">
        <v>296</v>
      </c>
      <c r="F27" s="263" t="s">
        <v>229</v>
      </c>
      <c r="G27" s="263" t="s">
        <v>297</v>
      </c>
      <c r="H27" s="263" t="s">
        <v>264</v>
      </c>
      <c r="I27" s="263" t="s">
        <v>298</v>
      </c>
      <c r="J27" s="263" t="s">
        <v>299</v>
      </c>
      <c r="K27" s="263"/>
      <c r="L27" s="263"/>
      <c r="M27" s="263"/>
      <c r="N27" s="263"/>
      <c r="O27" s="263"/>
      <c r="P27" s="263"/>
      <c r="Q27" s="263" t="s">
        <v>300</v>
      </c>
      <c r="R27" s="261">
        <v>329</v>
      </c>
      <c r="S27" s="261">
        <v>521</v>
      </c>
      <c r="T27" s="262">
        <v>40008</v>
      </c>
      <c r="U27" s="261" t="s">
        <v>234</v>
      </c>
    </row>
    <row r="28" spans="1:21">
      <c r="A28" s="264">
        <v>23</v>
      </c>
      <c r="B28" s="266">
        <v>39576</v>
      </c>
      <c r="C28" s="261">
        <v>57577</v>
      </c>
      <c r="D28" s="262">
        <v>39780</v>
      </c>
      <c r="E28" s="263" t="s">
        <v>301</v>
      </c>
      <c r="F28" s="263" t="s">
        <v>229</v>
      </c>
      <c r="G28" s="263" t="s">
        <v>302</v>
      </c>
      <c r="H28" s="268" t="s">
        <v>303</v>
      </c>
      <c r="I28" s="263" t="s">
        <v>231</v>
      </c>
      <c r="J28" s="263" t="s">
        <v>304</v>
      </c>
      <c r="K28" s="263"/>
      <c r="L28" s="263"/>
      <c r="M28" s="263"/>
      <c r="N28" s="263"/>
      <c r="O28" s="263"/>
      <c r="P28" s="263"/>
      <c r="Q28" s="268" t="s">
        <v>305</v>
      </c>
      <c r="R28" s="261">
        <v>331</v>
      </c>
      <c r="S28" s="261">
        <v>523</v>
      </c>
      <c r="T28" s="262">
        <v>40008</v>
      </c>
      <c r="U28" s="261" t="s">
        <v>234</v>
      </c>
    </row>
    <row r="29" spans="1:21">
      <c r="A29" s="264">
        <v>24</v>
      </c>
      <c r="B29" s="266">
        <v>39576</v>
      </c>
      <c r="C29" s="261">
        <v>57577</v>
      </c>
      <c r="D29" s="262">
        <v>39791</v>
      </c>
      <c r="E29" s="263" t="s">
        <v>306</v>
      </c>
      <c r="F29" s="263" t="s">
        <v>229</v>
      </c>
      <c r="G29" s="263" t="s">
        <v>307</v>
      </c>
      <c r="H29" s="263" t="s">
        <v>264</v>
      </c>
      <c r="I29" s="263" t="s">
        <v>231</v>
      </c>
      <c r="J29" s="263" t="s">
        <v>308</v>
      </c>
      <c r="K29" s="263"/>
      <c r="L29" s="263"/>
      <c r="M29" s="263"/>
      <c r="N29" s="263"/>
      <c r="O29" s="263"/>
      <c r="P29" s="263"/>
      <c r="Q29" s="268" t="s">
        <v>309</v>
      </c>
      <c r="R29" s="261">
        <v>331</v>
      </c>
      <c r="S29" s="261">
        <v>503</v>
      </c>
      <c r="T29" s="262">
        <v>40008</v>
      </c>
      <c r="U29" s="261" t="s">
        <v>234</v>
      </c>
    </row>
    <row r="30" spans="1:21">
      <c r="A30" s="264">
        <v>25</v>
      </c>
      <c r="B30" s="266">
        <v>39577</v>
      </c>
      <c r="C30" s="261">
        <v>57577</v>
      </c>
      <c r="D30" s="262">
        <v>39780</v>
      </c>
      <c r="E30" s="263" t="s">
        <v>306</v>
      </c>
      <c r="F30" s="263" t="s">
        <v>229</v>
      </c>
      <c r="G30" s="263" t="s">
        <v>307</v>
      </c>
      <c r="H30" s="263" t="s">
        <v>264</v>
      </c>
      <c r="I30" s="263" t="s">
        <v>231</v>
      </c>
      <c r="J30" s="263" t="s">
        <v>310</v>
      </c>
      <c r="K30" s="263"/>
      <c r="L30" s="263"/>
      <c r="M30" s="263"/>
      <c r="N30" s="263"/>
      <c r="O30" s="263"/>
      <c r="P30" s="263"/>
      <c r="Q30" s="268" t="s">
        <v>311</v>
      </c>
      <c r="R30" s="261"/>
      <c r="S30" s="261">
        <v>513</v>
      </c>
      <c r="T30" s="262">
        <v>39943</v>
      </c>
      <c r="U30" s="261" t="s">
        <v>234</v>
      </c>
    </row>
    <row r="31" spans="1:21">
      <c r="A31" s="264">
        <v>26</v>
      </c>
      <c r="B31" s="266">
        <v>39577</v>
      </c>
      <c r="C31" s="261">
        <v>11821</v>
      </c>
      <c r="D31" s="262">
        <v>39790</v>
      </c>
      <c r="E31" s="263" t="s">
        <v>312</v>
      </c>
      <c r="F31" s="263" t="s">
        <v>229</v>
      </c>
      <c r="G31" s="263" t="s">
        <v>313</v>
      </c>
      <c r="H31" s="263" t="s">
        <v>231</v>
      </c>
      <c r="I31" s="263" t="s">
        <v>231</v>
      </c>
      <c r="J31" s="263" t="s">
        <v>314</v>
      </c>
      <c r="K31" s="263"/>
      <c r="L31" s="263"/>
      <c r="M31" s="263"/>
      <c r="N31" s="263"/>
      <c r="O31" s="263"/>
      <c r="P31" s="263"/>
      <c r="Q31" s="263" t="s">
        <v>315</v>
      </c>
      <c r="R31" s="261">
        <v>329</v>
      </c>
      <c r="S31" s="261">
        <v>533</v>
      </c>
      <c r="T31" s="262">
        <v>39828</v>
      </c>
      <c r="U31" s="261" t="s">
        <v>234</v>
      </c>
    </row>
    <row r="32" spans="1:21">
      <c r="A32" s="264">
        <v>27</v>
      </c>
      <c r="B32" s="266">
        <v>39582</v>
      </c>
      <c r="C32" s="261">
        <v>57632</v>
      </c>
      <c r="D32" s="262">
        <v>39794</v>
      </c>
      <c r="E32" s="263" t="s">
        <v>316</v>
      </c>
      <c r="F32" s="263" t="s">
        <v>229</v>
      </c>
      <c r="G32" s="263" t="s">
        <v>317</v>
      </c>
      <c r="H32" s="263" t="s">
        <v>264</v>
      </c>
      <c r="I32" s="263" t="s">
        <v>318</v>
      </c>
      <c r="J32" s="263" t="s">
        <v>319</v>
      </c>
      <c r="K32" s="263"/>
      <c r="L32" s="263"/>
      <c r="M32" s="263"/>
      <c r="N32" s="263"/>
      <c r="O32" s="263"/>
      <c r="P32" s="263"/>
      <c r="Q32" s="263" t="s">
        <v>320</v>
      </c>
      <c r="R32" s="261">
        <v>307</v>
      </c>
      <c r="S32" s="261">
        <v>533</v>
      </c>
      <c r="T32" s="262">
        <v>39841</v>
      </c>
      <c r="U32" s="261" t="s">
        <v>234</v>
      </c>
    </row>
    <row r="33" spans="1:21">
      <c r="A33" s="264">
        <v>28</v>
      </c>
      <c r="B33" s="266">
        <v>39589</v>
      </c>
      <c r="C33" s="261">
        <v>11823</v>
      </c>
      <c r="D33" s="262">
        <v>39794</v>
      </c>
      <c r="E33" s="263" t="s">
        <v>321</v>
      </c>
      <c r="F33" s="263" t="s">
        <v>229</v>
      </c>
      <c r="G33" s="263" t="s">
        <v>322</v>
      </c>
      <c r="H33" s="263" t="s">
        <v>231</v>
      </c>
      <c r="I33" s="263" t="s">
        <v>231</v>
      </c>
      <c r="J33" s="263" t="s">
        <v>323</v>
      </c>
      <c r="K33" s="263"/>
      <c r="L33" s="263"/>
      <c r="M33" s="263"/>
      <c r="N33" s="263"/>
      <c r="O33" s="263"/>
      <c r="P33" s="263"/>
      <c r="Q33" s="263" t="s">
        <v>324</v>
      </c>
      <c r="R33" s="269" t="s">
        <v>325</v>
      </c>
      <c r="S33" s="269" t="s">
        <v>326</v>
      </c>
      <c r="T33" s="262">
        <v>39841</v>
      </c>
      <c r="U33" s="261" t="s">
        <v>234</v>
      </c>
    </row>
    <row r="34" spans="1:21">
      <c r="A34" s="264">
        <v>29</v>
      </c>
      <c r="B34" s="266">
        <v>39591</v>
      </c>
      <c r="C34" s="261">
        <v>57633</v>
      </c>
      <c r="D34" s="262">
        <v>39792</v>
      </c>
      <c r="E34" s="263" t="s">
        <v>327</v>
      </c>
      <c r="F34" s="263" t="s">
        <v>229</v>
      </c>
      <c r="G34" s="263" t="s">
        <v>328</v>
      </c>
      <c r="H34" s="263" t="s">
        <v>231</v>
      </c>
      <c r="I34" s="263" t="s">
        <v>231</v>
      </c>
      <c r="J34" s="263" t="s">
        <v>329</v>
      </c>
      <c r="K34" s="263"/>
      <c r="L34" s="263"/>
      <c r="M34" s="263"/>
      <c r="N34" s="263"/>
      <c r="O34" s="263"/>
      <c r="P34" s="263"/>
      <c r="Q34" s="263" t="s">
        <v>330</v>
      </c>
      <c r="R34" s="261">
        <v>329</v>
      </c>
      <c r="S34" s="261">
        <v>523</v>
      </c>
      <c r="T34" s="262">
        <v>39989</v>
      </c>
      <c r="U34" s="261" t="s">
        <v>234</v>
      </c>
    </row>
    <row r="35" spans="1:21">
      <c r="A35" s="264">
        <v>30</v>
      </c>
      <c r="B35" s="266">
        <v>39596</v>
      </c>
      <c r="C35" s="261">
        <v>57651</v>
      </c>
      <c r="D35" s="262">
        <v>39798</v>
      </c>
      <c r="E35" s="263" t="s">
        <v>331</v>
      </c>
      <c r="F35" s="263" t="s">
        <v>229</v>
      </c>
      <c r="G35" s="263" t="s">
        <v>236</v>
      </c>
      <c r="H35" s="263" t="s">
        <v>231</v>
      </c>
      <c r="I35" s="263" t="s">
        <v>231</v>
      </c>
      <c r="J35" s="263" t="s">
        <v>332</v>
      </c>
      <c r="K35" s="263"/>
      <c r="L35" s="263"/>
      <c r="M35" s="263"/>
      <c r="N35" s="263"/>
      <c r="O35" s="263"/>
      <c r="P35" s="263"/>
      <c r="Q35" s="263" t="s">
        <v>333</v>
      </c>
      <c r="R35" s="261">
        <v>329</v>
      </c>
      <c r="S35" s="261">
        <v>533</v>
      </c>
      <c r="T35" s="262">
        <v>39989</v>
      </c>
      <c r="U35" s="261" t="s">
        <v>234</v>
      </c>
    </row>
    <row r="36" spans="1:21">
      <c r="A36" s="264">
        <v>31</v>
      </c>
      <c r="B36" s="266">
        <v>39596</v>
      </c>
      <c r="C36" s="261">
        <v>57650</v>
      </c>
      <c r="D36" s="262">
        <v>39796</v>
      </c>
      <c r="E36" s="263" t="s">
        <v>321</v>
      </c>
      <c r="F36" s="263" t="s">
        <v>229</v>
      </c>
      <c r="G36" s="263" t="s">
        <v>322</v>
      </c>
      <c r="H36" s="263" t="s">
        <v>231</v>
      </c>
      <c r="I36" s="263" t="s">
        <v>231</v>
      </c>
      <c r="J36" s="263" t="s">
        <v>334</v>
      </c>
      <c r="K36" s="263"/>
      <c r="L36" s="263"/>
      <c r="M36" s="263"/>
      <c r="N36" s="263"/>
      <c r="O36" s="263"/>
      <c r="P36" s="263"/>
      <c r="Q36" s="263" t="s">
        <v>335</v>
      </c>
      <c r="R36" s="261">
        <v>329</v>
      </c>
      <c r="S36" s="261">
        <v>523</v>
      </c>
      <c r="T36" s="262">
        <v>39989</v>
      </c>
      <c r="U36" s="261" t="s">
        <v>234</v>
      </c>
    </row>
    <row r="37" spans="1:21">
      <c r="A37" s="264">
        <v>32</v>
      </c>
      <c r="B37" s="266">
        <v>39605</v>
      </c>
      <c r="C37" s="261">
        <v>57657</v>
      </c>
      <c r="D37" s="262">
        <v>39799</v>
      </c>
      <c r="E37" s="263" t="s">
        <v>336</v>
      </c>
      <c r="F37" s="263" t="s">
        <v>229</v>
      </c>
      <c r="G37" s="263" t="s">
        <v>337</v>
      </c>
      <c r="H37" s="263" t="s">
        <v>231</v>
      </c>
      <c r="I37" s="263" t="s">
        <v>231</v>
      </c>
      <c r="J37" s="263" t="s">
        <v>338</v>
      </c>
      <c r="K37" s="263"/>
      <c r="L37" s="263"/>
      <c r="M37" s="263"/>
      <c r="N37" s="263"/>
      <c r="O37" s="263"/>
      <c r="P37" s="263"/>
      <c r="Q37" s="263" t="s">
        <v>339</v>
      </c>
      <c r="R37" s="261">
        <v>312</v>
      </c>
      <c r="S37" s="261">
        <v>522</v>
      </c>
      <c r="T37" s="262">
        <v>39989</v>
      </c>
      <c r="U37" s="261" t="s">
        <v>234</v>
      </c>
    </row>
    <row r="38" spans="1:21">
      <c r="A38" s="264">
        <v>33</v>
      </c>
      <c r="B38" s="266">
        <v>39618</v>
      </c>
      <c r="C38" s="261">
        <v>57675</v>
      </c>
      <c r="D38" s="262">
        <v>39798</v>
      </c>
      <c r="E38" s="263" t="s">
        <v>340</v>
      </c>
      <c r="F38" s="263" t="s">
        <v>229</v>
      </c>
      <c r="G38" s="263" t="s">
        <v>341</v>
      </c>
      <c r="H38" s="263" t="s">
        <v>231</v>
      </c>
      <c r="I38" s="263" t="s">
        <v>231</v>
      </c>
      <c r="J38" s="263" t="s">
        <v>342</v>
      </c>
      <c r="K38" s="263"/>
      <c r="L38" s="263"/>
      <c r="M38" s="263"/>
      <c r="N38" s="263"/>
      <c r="O38" s="263"/>
      <c r="P38" s="263"/>
      <c r="Q38" s="263" t="s">
        <v>343</v>
      </c>
      <c r="R38" s="261">
        <v>307</v>
      </c>
      <c r="S38" s="261">
        <v>533</v>
      </c>
      <c r="T38" s="262">
        <v>39989</v>
      </c>
      <c r="U38" s="261" t="s">
        <v>234</v>
      </c>
    </row>
    <row r="39" spans="1:21">
      <c r="A39" s="264">
        <v>34</v>
      </c>
      <c r="B39" s="266">
        <v>39619</v>
      </c>
      <c r="C39" s="270">
        <v>57704</v>
      </c>
      <c r="D39" s="271">
        <v>39800</v>
      </c>
      <c r="E39" s="267" t="s">
        <v>331</v>
      </c>
      <c r="F39" s="263" t="s">
        <v>229</v>
      </c>
      <c r="G39" s="267" t="s">
        <v>236</v>
      </c>
      <c r="H39" s="267" t="s">
        <v>231</v>
      </c>
      <c r="I39" s="267" t="s">
        <v>231</v>
      </c>
      <c r="J39" s="267" t="s">
        <v>344</v>
      </c>
      <c r="K39" s="267"/>
      <c r="L39" s="267"/>
      <c r="M39" s="267"/>
      <c r="N39" s="267"/>
      <c r="O39" s="267"/>
      <c r="P39" s="267"/>
      <c r="Q39" s="267" t="s">
        <v>345</v>
      </c>
      <c r="R39" s="270">
        <v>329</v>
      </c>
      <c r="S39" s="270">
        <v>533</v>
      </c>
      <c r="T39" s="271">
        <v>39989</v>
      </c>
      <c r="U39" s="270" t="s">
        <v>234</v>
      </c>
    </row>
    <row r="40" spans="1:21">
      <c r="A40" s="264">
        <v>35</v>
      </c>
      <c r="B40" s="266">
        <v>39624</v>
      </c>
      <c r="C40" s="270">
        <v>57701</v>
      </c>
      <c r="D40" s="271">
        <v>39794</v>
      </c>
      <c r="E40" s="267" t="s">
        <v>346</v>
      </c>
      <c r="F40" s="263" t="s">
        <v>229</v>
      </c>
      <c r="G40" s="267" t="s">
        <v>347</v>
      </c>
      <c r="H40" s="267" t="s">
        <v>231</v>
      </c>
      <c r="I40" s="267" t="s">
        <v>231</v>
      </c>
      <c r="J40" s="267" t="s">
        <v>348</v>
      </c>
      <c r="K40" s="267"/>
      <c r="L40" s="267"/>
      <c r="M40" s="267"/>
      <c r="N40" s="267"/>
      <c r="O40" s="267"/>
      <c r="P40" s="267"/>
      <c r="Q40" s="267" t="s">
        <v>349</v>
      </c>
      <c r="R40" s="270"/>
      <c r="S40" s="270">
        <v>533</v>
      </c>
      <c r="T40" s="262">
        <v>39994</v>
      </c>
      <c r="U40" s="261" t="s">
        <v>234</v>
      </c>
    </row>
    <row r="41" spans="1:21">
      <c r="A41" s="264">
        <v>36</v>
      </c>
      <c r="B41" s="266">
        <v>39624</v>
      </c>
      <c r="C41" s="270">
        <v>57701</v>
      </c>
      <c r="D41" s="271">
        <v>39794</v>
      </c>
      <c r="E41" s="272" t="s">
        <v>350</v>
      </c>
      <c r="F41" s="263" t="s">
        <v>229</v>
      </c>
      <c r="G41" s="272" t="s">
        <v>351</v>
      </c>
      <c r="H41" s="272" t="s">
        <v>231</v>
      </c>
      <c r="I41" s="272" t="s">
        <v>352</v>
      </c>
      <c r="J41" s="272" t="s">
        <v>353</v>
      </c>
      <c r="K41" s="267"/>
      <c r="L41" s="267"/>
      <c r="M41" s="267"/>
      <c r="N41" s="267"/>
      <c r="O41" s="267"/>
      <c r="P41" s="267"/>
      <c r="Q41" s="272" t="s">
        <v>354</v>
      </c>
      <c r="R41" s="270"/>
      <c r="S41" s="273" t="s">
        <v>355</v>
      </c>
      <c r="T41" s="262">
        <v>39979</v>
      </c>
      <c r="U41" s="261" t="s">
        <v>234</v>
      </c>
    </row>
    <row r="42" spans="1:21">
      <c r="A42" s="264">
        <v>37</v>
      </c>
      <c r="B42" s="266">
        <v>39625</v>
      </c>
      <c r="C42" s="261">
        <v>57698</v>
      </c>
      <c r="D42" s="262">
        <v>39785</v>
      </c>
      <c r="E42" s="263" t="s">
        <v>356</v>
      </c>
      <c r="F42" s="263" t="s">
        <v>229</v>
      </c>
      <c r="G42" s="263" t="s">
        <v>357</v>
      </c>
      <c r="H42" s="263" t="s">
        <v>264</v>
      </c>
      <c r="I42" s="263" t="s">
        <v>231</v>
      </c>
      <c r="J42" s="263" t="s">
        <v>358</v>
      </c>
      <c r="K42" s="263"/>
      <c r="L42" s="263"/>
      <c r="M42" s="263"/>
      <c r="N42" s="263"/>
      <c r="O42" s="263"/>
      <c r="P42" s="263"/>
      <c r="Q42" s="268" t="s">
        <v>359</v>
      </c>
      <c r="R42" s="261">
        <v>307</v>
      </c>
      <c r="S42" s="261">
        <v>501</v>
      </c>
      <c r="T42" s="262">
        <v>39974</v>
      </c>
      <c r="U42" s="261" t="s">
        <v>234</v>
      </c>
    </row>
    <row r="43" spans="1:21">
      <c r="A43" s="264">
        <v>38</v>
      </c>
      <c r="B43" s="266">
        <v>39629</v>
      </c>
      <c r="C43" s="261">
        <v>57698</v>
      </c>
      <c r="D43" s="262">
        <v>39800</v>
      </c>
      <c r="E43" s="263" t="s">
        <v>356</v>
      </c>
      <c r="F43" s="263" t="s">
        <v>229</v>
      </c>
      <c r="G43" s="263" t="s">
        <v>360</v>
      </c>
      <c r="H43" s="263"/>
      <c r="I43" s="263"/>
      <c r="J43" s="263"/>
      <c r="K43" s="263" t="s">
        <v>264</v>
      </c>
      <c r="L43" s="263" t="s">
        <v>231</v>
      </c>
      <c r="M43" s="263" t="s">
        <v>361</v>
      </c>
      <c r="N43" s="263"/>
      <c r="O43" s="263"/>
      <c r="P43" s="263"/>
      <c r="Q43" s="263" t="s">
        <v>362</v>
      </c>
      <c r="R43" s="261"/>
      <c r="S43" s="261">
        <v>508</v>
      </c>
      <c r="T43" s="262">
        <v>40008</v>
      </c>
      <c r="U43" s="261" t="s">
        <v>234</v>
      </c>
    </row>
    <row r="44" spans="1:21">
      <c r="A44" s="264">
        <v>39</v>
      </c>
      <c r="B44" s="266">
        <v>39629</v>
      </c>
      <c r="C44" s="261">
        <v>57698</v>
      </c>
      <c r="D44" s="262">
        <v>39784</v>
      </c>
      <c r="E44" s="263" t="s">
        <v>356</v>
      </c>
      <c r="F44" s="263" t="s">
        <v>229</v>
      </c>
      <c r="G44" s="263" t="s">
        <v>357</v>
      </c>
      <c r="H44" s="263" t="s">
        <v>264</v>
      </c>
      <c r="I44" s="263" t="s">
        <v>231</v>
      </c>
      <c r="J44" s="263" t="s">
        <v>363</v>
      </c>
      <c r="K44" s="263"/>
      <c r="L44" s="263"/>
      <c r="M44" s="263"/>
      <c r="N44" s="263"/>
      <c r="O44" s="263"/>
      <c r="P44" s="263"/>
      <c r="Q44" s="268" t="s">
        <v>359</v>
      </c>
      <c r="R44" s="261">
        <v>307</v>
      </c>
      <c r="S44" s="261">
        <v>501</v>
      </c>
      <c r="T44" s="262">
        <v>40008</v>
      </c>
      <c r="U44" s="261" t="s">
        <v>234</v>
      </c>
    </row>
    <row r="45" spans="1:21">
      <c r="A45" s="264">
        <v>40</v>
      </c>
      <c r="B45" s="266">
        <v>39637</v>
      </c>
      <c r="C45" s="261">
        <v>57698</v>
      </c>
      <c r="D45" s="262">
        <v>39800</v>
      </c>
      <c r="E45" s="263" t="s">
        <v>356</v>
      </c>
      <c r="F45" s="263" t="s">
        <v>229</v>
      </c>
      <c r="G45" s="263" t="s">
        <v>360</v>
      </c>
      <c r="H45" s="263"/>
      <c r="I45" s="263"/>
      <c r="J45" s="263"/>
      <c r="K45" s="263" t="s">
        <v>264</v>
      </c>
      <c r="L45" s="263" t="s">
        <v>231</v>
      </c>
      <c r="M45" s="263" t="s">
        <v>364</v>
      </c>
      <c r="N45" s="263"/>
      <c r="O45" s="263"/>
      <c r="P45" s="263"/>
      <c r="Q45" s="263" t="s">
        <v>362</v>
      </c>
      <c r="R45" s="261"/>
      <c r="S45" s="261">
        <v>508</v>
      </c>
      <c r="T45" s="262">
        <v>40008</v>
      </c>
      <c r="U45" s="261" t="s">
        <v>234</v>
      </c>
    </row>
    <row r="46" spans="1:21">
      <c r="A46" s="264">
        <v>41</v>
      </c>
      <c r="B46" s="266">
        <v>39637</v>
      </c>
      <c r="C46" s="261">
        <v>57698</v>
      </c>
      <c r="D46" s="262">
        <v>39783</v>
      </c>
      <c r="E46" s="263" t="s">
        <v>356</v>
      </c>
      <c r="F46" s="263" t="s">
        <v>229</v>
      </c>
      <c r="G46" s="263" t="s">
        <v>357</v>
      </c>
      <c r="H46" s="263" t="s">
        <v>264</v>
      </c>
      <c r="I46" s="263" t="s">
        <v>231</v>
      </c>
      <c r="J46" s="263" t="s">
        <v>365</v>
      </c>
      <c r="K46" s="263"/>
      <c r="L46" s="263"/>
      <c r="M46" s="263"/>
      <c r="N46" s="263"/>
      <c r="O46" s="263"/>
      <c r="P46" s="263"/>
      <c r="Q46" s="268" t="s">
        <v>359</v>
      </c>
      <c r="R46" s="261">
        <v>307</v>
      </c>
      <c r="S46" s="261">
        <v>501</v>
      </c>
      <c r="T46" s="262">
        <v>40008</v>
      </c>
      <c r="U46" s="261" t="s">
        <v>234</v>
      </c>
    </row>
    <row r="47" spans="1:21">
      <c r="A47" s="264">
        <v>42</v>
      </c>
      <c r="B47" s="266">
        <v>39639</v>
      </c>
      <c r="C47" s="261">
        <v>57698</v>
      </c>
      <c r="D47" s="262">
        <v>39800</v>
      </c>
      <c r="E47" s="263" t="s">
        <v>356</v>
      </c>
      <c r="F47" s="263" t="s">
        <v>229</v>
      </c>
      <c r="G47" s="263" t="s">
        <v>360</v>
      </c>
      <c r="H47" s="263"/>
      <c r="I47" s="263"/>
      <c r="J47" s="263"/>
      <c r="K47" s="263" t="s">
        <v>264</v>
      </c>
      <c r="L47" s="263" t="s">
        <v>231</v>
      </c>
      <c r="M47" s="263" t="s">
        <v>366</v>
      </c>
      <c r="N47" s="263"/>
      <c r="O47" s="263"/>
      <c r="P47" s="263"/>
      <c r="Q47" s="263" t="s">
        <v>362</v>
      </c>
      <c r="R47" s="261"/>
      <c r="S47" s="261">
        <v>508</v>
      </c>
      <c r="T47" s="262">
        <v>40008</v>
      </c>
      <c r="U47" s="261" t="s">
        <v>234</v>
      </c>
    </row>
    <row r="48" spans="1:21">
      <c r="A48" s="264">
        <v>43</v>
      </c>
      <c r="B48" s="266">
        <v>39639</v>
      </c>
      <c r="C48" s="261">
        <v>57698</v>
      </c>
      <c r="D48" s="262">
        <v>39786</v>
      </c>
      <c r="E48" s="263" t="s">
        <v>356</v>
      </c>
      <c r="F48" s="263" t="s">
        <v>229</v>
      </c>
      <c r="G48" s="263" t="s">
        <v>357</v>
      </c>
      <c r="H48" s="263" t="s">
        <v>264</v>
      </c>
      <c r="I48" s="263" t="s">
        <v>231</v>
      </c>
      <c r="J48" s="263" t="s">
        <v>367</v>
      </c>
      <c r="K48" s="263"/>
      <c r="L48" s="263"/>
      <c r="M48" s="263"/>
      <c r="N48" s="263"/>
      <c r="O48" s="263"/>
      <c r="P48" s="263"/>
      <c r="Q48" s="268" t="s">
        <v>359</v>
      </c>
      <c r="R48" s="261">
        <v>307</v>
      </c>
      <c r="S48" s="261">
        <v>501</v>
      </c>
      <c r="T48" s="262">
        <v>39958</v>
      </c>
      <c r="U48" s="261" t="s">
        <v>234</v>
      </c>
    </row>
    <row r="49" spans="1:21">
      <c r="A49" s="264">
        <v>44</v>
      </c>
      <c r="B49" s="266">
        <v>39643</v>
      </c>
      <c r="C49" s="261">
        <v>57698</v>
      </c>
      <c r="D49" s="262">
        <v>39800</v>
      </c>
      <c r="E49" s="263" t="s">
        <v>356</v>
      </c>
      <c r="F49" s="263" t="s">
        <v>229</v>
      </c>
      <c r="G49" s="263" t="s">
        <v>360</v>
      </c>
      <c r="H49" s="263"/>
      <c r="I49" s="263"/>
      <c r="J49" s="263"/>
      <c r="K49" s="263" t="s">
        <v>264</v>
      </c>
      <c r="L49" s="263" t="s">
        <v>231</v>
      </c>
      <c r="M49" s="263" t="s">
        <v>368</v>
      </c>
      <c r="N49" s="263"/>
      <c r="O49" s="263"/>
      <c r="P49" s="263"/>
      <c r="Q49" s="263" t="s">
        <v>362</v>
      </c>
      <c r="R49" s="261"/>
      <c r="S49" s="261">
        <v>508</v>
      </c>
      <c r="T49" s="262">
        <v>40008</v>
      </c>
      <c r="U49" s="261" t="s">
        <v>234</v>
      </c>
    </row>
    <row r="50" spans="1:21">
      <c r="A50" s="264">
        <v>45</v>
      </c>
      <c r="B50" s="266">
        <v>39643</v>
      </c>
      <c r="C50" s="261">
        <v>57698</v>
      </c>
      <c r="D50" s="262">
        <v>39787</v>
      </c>
      <c r="E50" s="263" t="s">
        <v>356</v>
      </c>
      <c r="F50" s="263" t="s">
        <v>229</v>
      </c>
      <c r="G50" s="263" t="s">
        <v>357</v>
      </c>
      <c r="H50" s="263" t="s">
        <v>264</v>
      </c>
      <c r="I50" s="263" t="s">
        <v>231</v>
      </c>
      <c r="J50" s="263" t="s">
        <v>369</v>
      </c>
      <c r="K50" s="263"/>
      <c r="L50" s="263"/>
      <c r="M50" s="263"/>
      <c r="N50" s="263"/>
      <c r="O50" s="263"/>
      <c r="P50" s="263"/>
      <c r="Q50" s="268" t="s">
        <v>359</v>
      </c>
      <c r="R50" s="261">
        <v>307</v>
      </c>
      <c r="S50" s="261">
        <v>501</v>
      </c>
      <c r="T50" s="262">
        <v>40008</v>
      </c>
      <c r="U50" s="261" t="s">
        <v>234</v>
      </c>
    </row>
    <row r="51" spans="1:21">
      <c r="A51" s="264">
        <v>46</v>
      </c>
      <c r="B51" s="266">
        <v>39657</v>
      </c>
      <c r="C51" s="261">
        <v>57698</v>
      </c>
      <c r="D51" s="262">
        <v>39800</v>
      </c>
      <c r="E51" s="263" t="s">
        <v>356</v>
      </c>
      <c r="F51" s="263" t="s">
        <v>229</v>
      </c>
      <c r="G51" s="263" t="s">
        <v>360</v>
      </c>
      <c r="H51" s="263"/>
      <c r="I51" s="263"/>
      <c r="J51" s="263"/>
      <c r="K51" s="263" t="s">
        <v>264</v>
      </c>
      <c r="L51" s="263" t="s">
        <v>231</v>
      </c>
      <c r="M51" s="263" t="s">
        <v>370</v>
      </c>
      <c r="N51" s="263"/>
      <c r="O51" s="263"/>
      <c r="P51" s="263"/>
      <c r="Q51" s="263" t="s">
        <v>362</v>
      </c>
      <c r="R51" s="261"/>
      <c r="S51" s="261">
        <v>508</v>
      </c>
      <c r="T51" s="262">
        <v>40008</v>
      </c>
      <c r="U51" s="261" t="s">
        <v>234</v>
      </c>
    </row>
    <row r="52" spans="1:21">
      <c r="A52" s="264">
        <v>47</v>
      </c>
      <c r="B52" s="266">
        <v>39658</v>
      </c>
      <c r="C52" s="261">
        <v>57698</v>
      </c>
      <c r="D52" s="262">
        <v>39787</v>
      </c>
      <c r="E52" s="263" t="s">
        <v>356</v>
      </c>
      <c r="F52" s="263" t="s">
        <v>229</v>
      </c>
      <c r="G52" s="263" t="s">
        <v>357</v>
      </c>
      <c r="H52" s="263" t="s">
        <v>264</v>
      </c>
      <c r="I52" s="263" t="s">
        <v>231</v>
      </c>
      <c r="J52" s="263" t="s">
        <v>371</v>
      </c>
      <c r="K52" s="263"/>
      <c r="L52" s="263"/>
      <c r="M52" s="263"/>
      <c r="N52" s="263"/>
      <c r="O52" s="263"/>
      <c r="P52" s="263"/>
      <c r="Q52" s="268" t="s">
        <v>359</v>
      </c>
      <c r="R52" s="261">
        <v>307</v>
      </c>
      <c r="S52" s="261">
        <v>501</v>
      </c>
      <c r="T52" s="262">
        <v>40008</v>
      </c>
      <c r="U52" s="261" t="s">
        <v>234</v>
      </c>
    </row>
    <row r="53" spans="1:21">
      <c r="A53" s="264">
        <v>48</v>
      </c>
      <c r="B53" s="266">
        <v>39658</v>
      </c>
      <c r="C53" s="261">
        <v>57698</v>
      </c>
      <c r="D53" s="262">
        <v>39800</v>
      </c>
      <c r="E53" s="263" t="s">
        <v>356</v>
      </c>
      <c r="F53" s="263" t="s">
        <v>229</v>
      </c>
      <c r="G53" s="263" t="s">
        <v>360</v>
      </c>
      <c r="H53" s="263"/>
      <c r="I53" s="263"/>
      <c r="J53" s="263"/>
      <c r="K53" s="263" t="s">
        <v>264</v>
      </c>
      <c r="L53" s="263" t="s">
        <v>231</v>
      </c>
      <c r="M53" s="263" t="s">
        <v>372</v>
      </c>
      <c r="N53" s="263"/>
      <c r="O53" s="263"/>
      <c r="P53" s="263"/>
      <c r="Q53" s="263" t="s">
        <v>362</v>
      </c>
      <c r="R53" s="261"/>
      <c r="S53" s="261">
        <v>508</v>
      </c>
      <c r="T53" s="262">
        <v>39943</v>
      </c>
      <c r="U53" s="261" t="s">
        <v>234</v>
      </c>
    </row>
    <row r="54" spans="1:21">
      <c r="A54" s="264">
        <v>49</v>
      </c>
      <c r="B54" s="266">
        <v>39667</v>
      </c>
      <c r="C54" s="261">
        <v>57698</v>
      </c>
      <c r="D54" s="262">
        <v>39790</v>
      </c>
      <c r="E54" s="263" t="s">
        <v>356</v>
      </c>
      <c r="F54" s="263" t="s">
        <v>229</v>
      </c>
      <c r="G54" s="263" t="s">
        <v>357</v>
      </c>
      <c r="H54" s="263" t="s">
        <v>264</v>
      </c>
      <c r="I54" s="263" t="s">
        <v>264</v>
      </c>
      <c r="J54" s="263" t="s">
        <v>373</v>
      </c>
      <c r="K54" s="263"/>
      <c r="L54" s="263"/>
      <c r="M54" s="263"/>
      <c r="N54" s="263"/>
      <c r="O54" s="263"/>
      <c r="P54" s="263"/>
      <c r="Q54" s="268" t="s">
        <v>359</v>
      </c>
      <c r="R54" s="261">
        <v>307</v>
      </c>
      <c r="S54" s="261">
        <v>501</v>
      </c>
      <c r="T54" s="262">
        <v>39828</v>
      </c>
      <c r="U54" s="261" t="s">
        <v>234</v>
      </c>
    </row>
    <row r="55" spans="1:21">
      <c r="A55" s="264">
        <v>50</v>
      </c>
      <c r="B55" s="266">
        <v>39667</v>
      </c>
      <c r="C55" s="261">
        <v>57698</v>
      </c>
      <c r="D55" s="262">
        <v>39800</v>
      </c>
      <c r="E55" s="263" t="s">
        <v>356</v>
      </c>
      <c r="F55" s="263" t="s">
        <v>229</v>
      </c>
      <c r="G55" s="263" t="s">
        <v>360</v>
      </c>
      <c r="H55" s="263"/>
      <c r="I55" s="263"/>
      <c r="J55" s="263"/>
      <c r="K55" s="263" t="s">
        <v>264</v>
      </c>
      <c r="L55" s="263" t="s">
        <v>231</v>
      </c>
      <c r="M55" s="263" t="s">
        <v>374</v>
      </c>
      <c r="N55" s="263"/>
      <c r="O55" s="263"/>
      <c r="P55" s="263"/>
      <c r="Q55" s="263" t="s">
        <v>362</v>
      </c>
      <c r="R55" s="261"/>
      <c r="S55" s="261">
        <v>508</v>
      </c>
      <c r="T55" s="262">
        <v>39841</v>
      </c>
      <c r="U55" s="261" t="s">
        <v>234</v>
      </c>
    </row>
    <row r="56" spans="1:21">
      <c r="A56" s="264">
        <v>51</v>
      </c>
      <c r="B56" s="266">
        <v>39667</v>
      </c>
      <c r="C56" s="261">
        <v>57698</v>
      </c>
      <c r="D56" s="262">
        <v>39791</v>
      </c>
      <c r="E56" s="263" t="s">
        <v>356</v>
      </c>
      <c r="F56" s="263" t="s">
        <v>229</v>
      </c>
      <c r="G56" s="263" t="s">
        <v>357</v>
      </c>
      <c r="H56" s="263" t="s">
        <v>264</v>
      </c>
      <c r="I56" s="263" t="s">
        <v>231</v>
      </c>
      <c r="J56" s="263" t="s">
        <v>375</v>
      </c>
      <c r="K56" s="263"/>
      <c r="L56" s="263"/>
      <c r="M56" s="263"/>
      <c r="N56" s="263"/>
      <c r="O56" s="263"/>
      <c r="P56" s="263"/>
      <c r="Q56" s="268" t="s">
        <v>359</v>
      </c>
      <c r="R56" s="261">
        <v>307</v>
      </c>
      <c r="S56" s="261">
        <v>501</v>
      </c>
      <c r="T56" s="262">
        <v>39841</v>
      </c>
      <c r="U56" s="261" t="s">
        <v>234</v>
      </c>
    </row>
    <row r="57" spans="1:21">
      <c r="A57" s="264">
        <v>52</v>
      </c>
      <c r="B57" s="266">
        <v>39674</v>
      </c>
      <c r="C57" s="261">
        <v>57698</v>
      </c>
      <c r="D57" s="262">
        <v>39800</v>
      </c>
      <c r="E57" s="263" t="s">
        <v>356</v>
      </c>
      <c r="F57" s="263" t="s">
        <v>229</v>
      </c>
      <c r="G57" s="263" t="s">
        <v>360</v>
      </c>
      <c r="H57" s="261"/>
      <c r="I57" s="261"/>
      <c r="J57" s="261"/>
      <c r="K57" s="263" t="s">
        <v>264</v>
      </c>
      <c r="L57" s="263" t="s">
        <v>231</v>
      </c>
      <c r="M57" s="263" t="s">
        <v>376</v>
      </c>
      <c r="N57" s="263"/>
      <c r="O57" s="263"/>
      <c r="P57" s="263"/>
      <c r="Q57" s="263" t="s">
        <v>362</v>
      </c>
      <c r="R57" s="261"/>
      <c r="S57" s="261">
        <v>508</v>
      </c>
      <c r="T57" s="262">
        <v>39989</v>
      </c>
      <c r="U57" s="261" t="s">
        <v>234</v>
      </c>
    </row>
    <row r="58" spans="1:21">
      <c r="A58" s="264">
        <v>53</v>
      </c>
      <c r="B58" s="266">
        <v>39679</v>
      </c>
      <c r="C58" s="261">
        <v>57698</v>
      </c>
      <c r="D58" s="262">
        <v>39792</v>
      </c>
      <c r="E58" s="263" t="s">
        <v>356</v>
      </c>
      <c r="F58" s="263" t="s">
        <v>229</v>
      </c>
      <c r="G58" s="263" t="s">
        <v>357</v>
      </c>
      <c r="H58" s="263" t="s">
        <v>264</v>
      </c>
      <c r="I58" s="263" t="s">
        <v>231</v>
      </c>
      <c r="J58" s="263" t="s">
        <v>377</v>
      </c>
      <c r="K58" s="263"/>
      <c r="L58" s="263"/>
      <c r="M58" s="263"/>
      <c r="N58" s="263"/>
      <c r="O58" s="263"/>
      <c r="P58" s="263"/>
      <c r="Q58" s="268" t="s">
        <v>359</v>
      </c>
      <c r="R58" s="261">
        <v>307</v>
      </c>
      <c r="S58" s="261">
        <v>501</v>
      </c>
      <c r="T58" s="262">
        <v>39989</v>
      </c>
      <c r="U58" s="261" t="s">
        <v>234</v>
      </c>
    </row>
    <row r="59" spans="1:21">
      <c r="A59" s="264">
        <v>54</v>
      </c>
      <c r="B59" s="266">
        <v>39681</v>
      </c>
      <c r="C59" s="261">
        <v>57698</v>
      </c>
      <c r="D59" s="262">
        <v>39800</v>
      </c>
      <c r="E59" s="263" t="s">
        <v>356</v>
      </c>
      <c r="F59" s="263" t="s">
        <v>229</v>
      </c>
      <c r="G59" s="263" t="s">
        <v>360</v>
      </c>
      <c r="H59" s="263"/>
      <c r="I59" s="263"/>
      <c r="J59" s="263"/>
      <c r="K59" s="263" t="s">
        <v>264</v>
      </c>
      <c r="L59" s="263" t="s">
        <v>231</v>
      </c>
      <c r="M59" s="263" t="s">
        <v>378</v>
      </c>
      <c r="N59" s="263"/>
      <c r="O59" s="263"/>
      <c r="P59" s="263"/>
      <c r="Q59" s="263" t="s">
        <v>362</v>
      </c>
      <c r="R59" s="261"/>
      <c r="S59" s="261">
        <v>508</v>
      </c>
      <c r="T59" s="262">
        <v>39989</v>
      </c>
      <c r="U59" s="261" t="s">
        <v>234</v>
      </c>
    </row>
    <row r="60" spans="1:21">
      <c r="A60" s="264">
        <v>55</v>
      </c>
      <c r="B60" s="266">
        <v>39681</v>
      </c>
      <c r="C60" s="261">
        <v>57698</v>
      </c>
      <c r="D60" s="262">
        <v>39798</v>
      </c>
      <c r="E60" s="263" t="s">
        <v>356</v>
      </c>
      <c r="F60" s="263" t="s">
        <v>229</v>
      </c>
      <c r="G60" s="263" t="s">
        <v>357</v>
      </c>
      <c r="H60" s="263" t="s">
        <v>264</v>
      </c>
      <c r="I60" s="263" t="s">
        <v>231</v>
      </c>
      <c r="J60" s="263" t="s">
        <v>379</v>
      </c>
      <c r="K60" s="263"/>
      <c r="L60" s="263"/>
      <c r="M60" s="263"/>
      <c r="N60" s="263"/>
      <c r="O60" s="263"/>
      <c r="P60" s="263"/>
      <c r="Q60" s="268" t="s">
        <v>359</v>
      </c>
      <c r="R60" s="261">
        <v>307</v>
      </c>
      <c r="S60" s="261">
        <v>501</v>
      </c>
      <c r="T60" s="262">
        <v>39989</v>
      </c>
      <c r="U60" s="261" t="s">
        <v>234</v>
      </c>
    </row>
    <row r="61" spans="1:21">
      <c r="A61" s="264">
        <v>56</v>
      </c>
      <c r="B61" s="266">
        <v>39687</v>
      </c>
      <c r="C61" s="261">
        <v>57698</v>
      </c>
      <c r="D61" s="262">
        <v>39800</v>
      </c>
      <c r="E61" s="263" t="s">
        <v>356</v>
      </c>
      <c r="F61" s="263" t="s">
        <v>229</v>
      </c>
      <c r="G61" s="263" t="s">
        <v>360</v>
      </c>
      <c r="H61" s="263"/>
      <c r="I61" s="263"/>
      <c r="J61" s="263"/>
      <c r="K61" s="263" t="s">
        <v>264</v>
      </c>
      <c r="L61" s="263" t="s">
        <v>231</v>
      </c>
      <c r="M61" s="263" t="s">
        <v>380</v>
      </c>
      <c r="N61" s="263"/>
      <c r="O61" s="263"/>
      <c r="P61" s="263"/>
      <c r="Q61" s="263" t="s">
        <v>362</v>
      </c>
      <c r="R61" s="261"/>
      <c r="S61" s="261">
        <v>508</v>
      </c>
      <c r="T61" s="262">
        <v>39989</v>
      </c>
      <c r="U61" s="261" t="s">
        <v>234</v>
      </c>
    </row>
    <row r="62" spans="1:21">
      <c r="A62" s="264">
        <v>57</v>
      </c>
      <c r="B62" s="266">
        <v>39687</v>
      </c>
      <c r="C62" s="261">
        <v>57698</v>
      </c>
      <c r="D62" s="262">
        <v>39795</v>
      </c>
      <c r="E62" s="263" t="s">
        <v>356</v>
      </c>
      <c r="F62" s="263" t="s">
        <v>229</v>
      </c>
      <c r="G62" s="263" t="s">
        <v>357</v>
      </c>
      <c r="H62" s="263" t="s">
        <v>264</v>
      </c>
      <c r="I62" s="263" t="s">
        <v>231</v>
      </c>
      <c r="J62" s="263" t="s">
        <v>381</v>
      </c>
      <c r="K62" s="263"/>
      <c r="L62" s="263"/>
      <c r="M62" s="263"/>
      <c r="N62" s="263"/>
      <c r="O62" s="263"/>
      <c r="P62" s="263"/>
      <c r="Q62" s="268" t="s">
        <v>359</v>
      </c>
      <c r="R62" s="261">
        <v>307</v>
      </c>
      <c r="S62" s="261">
        <v>501</v>
      </c>
      <c r="T62" s="262">
        <v>39989</v>
      </c>
      <c r="U62" s="261" t="s">
        <v>234</v>
      </c>
    </row>
    <row r="63" spans="1:21">
      <c r="A63" s="264">
        <v>58</v>
      </c>
      <c r="B63" s="266">
        <v>39702</v>
      </c>
      <c r="C63" s="261">
        <v>57698</v>
      </c>
      <c r="D63" s="262">
        <v>39800</v>
      </c>
      <c r="E63" s="263" t="s">
        <v>356</v>
      </c>
      <c r="F63" s="263" t="s">
        <v>229</v>
      </c>
      <c r="G63" s="263" t="s">
        <v>360</v>
      </c>
      <c r="H63" s="263"/>
      <c r="I63" s="263"/>
      <c r="J63" s="263"/>
      <c r="K63" s="263" t="s">
        <v>264</v>
      </c>
      <c r="L63" s="263" t="s">
        <v>231</v>
      </c>
      <c r="M63" s="263" t="s">
        <v>382</v>
      </c>
      <c r="N63" s="263"/>
      <c r="O63" s="263"/>
      <c r="P63" s="263"/>
      <c r="Q63" s="263" t="s">
        <v>362</v>
      </c>
      <c r="R63" s="261"/>
      <c r="S63" s="261">
        <v>508</v>
      </c>
      <c r="T63" s="262">
        <v>39989</v>
      </c>
      <c r="U63" s="261" t="s">
        <v>234</v>
      </c>
    </row>
    <row r="64" spans="1:21">
      <c r="A64" s="264">
        <v>59</v>
      </c>
      <c r="B64" s="266">
        <v>39709</v>
      </c>
      <c r="C64" s="261">
        <v>57698</v>
      </c>
      <c r="D64" s="262">
        <v>39795</v>
      </c>
      <c r="E64" s="263" t="s">
        <v>356</v>
      </c>
      <c r="F64" s="263" t="s">
        <v>229</v>
      </c>
      <c r="G64" s="263" t="s">
        <v>357</v>
      </c>
      <c r="H64" s="263" t="s">
        <v>264</v>
      </c>
      <c r="I64" s="263" t="s">
        <v>231</v>
      </c>
      <c r="J64" s="263" t="s">
        <v>383</v>
      </c>
      <c r="K64" s="263"/>
      <c r="L64" s="263"/>
      <c r="M64" s="263"/>
      <c r="N64" s="263"/>
      <c r="O64" s="263"/>
      <c r="P64" s="263"/>
      <c r="Q64" s="268" t="s">
        <v>359</v>
      </c>
      <c r="R64" s="261">
        <v>307</v>
      </c>
      <c r="S64" s="261">
        <v>501</v>
      </c>
      <c r="T64" s="262">
        <v>39994</v>
      </c>
      <c r="U64" s="261" t="s">
        <v>234</v>
      </c>
    </row>
    <row r="65" spans="1:21">
      <c r="A65" s="264">
        <v>60</v>
      </c>
      <c r="B65" s="266">
        <v>39721</v>
      </c>
      <c r="C65" s="261">
        <v>57698</v>
      </c>
      <c r="D65" s="262">
        <v>39800</v>
      </c>
      <c r="E65" s="263" t="s">
        <v>356</v>
      </c>
      <c r="F65" s="263" t="s">
        <v>229</v>
      </c>
      <c r="G65" s="263" t="s">
        <v>360</v>
      </c>
      <c r="H65" s="263"/>
      <c r="I65" s="263"/>
      <c r="J65" s="263"/>
      <c r="K65" s="263" t="s">
        <v>264</v>
      </c>
      <c r="L65" s="263" t="s">
        <v>231</v>
      </c>
      <c r="M65" s="263" t="s">
        <v>384</v>
      </c>
      <c r="N65" s="263"/>
      <c r="O65" s="263"/>
      <c r="P65" s="263"/>
      <c r="Q65" s="263" t="s">
        <v>362</v>
      </c>
      <c r="R65" s="261"/>
      <c r="S65" s="261">
        <v>508</v>
      </c>
      <c r="T65" s="262">
        <v>39979</v>
      </c>
      <c r="U65" s="261" t="s">
        <v>234</v>
      </c>
    </row>
    <row r="66" spans="1:21">
      <c r="A66" s="264">
        <v>61</v>
      </c>
      <c r="B66" s="266">
        <v>39721</v>
      </c>
      <c r="C66" s="261">
        <v>57698</v>
      </c>
      <c r="D66" s="262">
        <v>39800</v>
      </c>
      <c r="E66" s="263" t="s">
        <v>356</v>
      </c>
      <c r="F66" s="263" t="s">
        <v>229</v>
      </c>
      <c r="G66" s="263" t="s">
        <v>357</v>
      </c>
      <c r="H66" s="263" t="s">
        <v>264</v>
      </c>
      <c r="I66" s="263" t="s">
        <v>231</v>
      </c>
      <c r="J66" s="263" t="s">
        <v>385</v>
      </c>
      <c r="K66" s="263"/>
      <c r="L66" s="263"/>
      <c r="M66" s="263"/>
      <c r="N66" s="263"/>
      <c r="O66" s="263"/>
      <c r="P66" s="263"/>
      <c r="Q66" s="268" t="s">
        <v>359</v>
      </c>
      <c r="R66" s="261">
        <v>307</v>
      </c>
      <c r="S66" s="261">
        <v>501</v>
      </c>
      <c r="T66" s="262">
        <v>39974</v>
      </c>
      <c r="U66" s="261" t="s">
        <v>234</v>
      </c>
    </row>
    <row r="67" spans="1:21">
      <c r="A67" s="264">
        <v>62</v>
      </c>
      <c r="B67" s="266">
        <v>39721</v>
      </c>
      <c r="C67" s="261">
        <v>57698</v>
      </c>
      <c r="D67" s="262">
        <v>39800</v>
      </c>
      <c r="E67" s="263" t="s">
        <v>356</v>
      </c>
      <c r="F67" s="263" t="s">
        <v>229</v>
      </c>
      <c r="G67" s="263" t="s">
        <v>360</v>
      </c>
      <c r="H67" s="263"/>
      <c r="I67" s="263"/>
      <c r="J67" s="263"/>
      <c r="K67" s="263" t="s">
        <v>264</v>
      </c>
      <c r="L67" s="263" t="s">
        <v>231</v>
      </c>
      <c r="M67" s="263" t="s">
        <v>386</v>
      </c>
      <c r="N67" s="263"/>
      <c r="O67" s="263"/>
      <c r="P67" s="263"/>
      <c r="Q67" s="263" t="s">
        <v>362</v>
      </c>
      <c r="R67" s="261"/>
      <c r="S67" s="261">
        <v>508</v>
      </c>
      <c r="T67" s="262">
        <v>40008</v>
      </c>
      <c r="U67" s="261" t="s">
        <v>234</v>
      </c>
    </row>
    <row r="68" spans="1:21">
      <c r="A68" s="264">
        <v>63</v>
      </c>
      <c r="B68" s="266">
        <v>39723</v>
      </c>
      <c r="C68" s="261">
        <v>57698</v>
      </c>
      <c r="D68" s="262">
        <v>39793</v>
      </c>
      <c r="E68" s="263" t="s">
        <v>356</v>
      </c>
      <c r="F68" s="263" t="s">
        <v>229</v>
      </c>
      <c r="G68" s="263" t="s">
        <v>357</v>
      </c>
      <c r="H68" s="263" t="s">
        <v>264</v>
      </c>
      <c r="I68" s="263" t="s">
        <v>231</v>
      </c>
      <c r="J68" s="263" t="s">
        <v>387</v>
      </c>
      <c r="K68" s="263"/>
      <c r="L68" s="263"/>
      <c r="M68" s="263"/>
      <c r="N68" s="263"/>
      <c r="O68" s="263"/>
      <c r="P68" s="263"/>
      <c r="Q68" s="268" t="s">
        <v>359</v>
      </c>
      <c r="R68" s="261">
        <v>307</v>
      </c>
      <c r="S68" s="261">
        <v>501</v>
      </c>
      <c r="T68" s="262">
        <v>40008</v>
      </c>
      <c r="U68" s="261" t="s">
        <v>234</v>
      </c>
    </row>
    <row r="69" spans="1:21">
      <c r="A69" s="264">
        <v>64</v>
      </c>
      <c r="B69" s="266">
        <v>39727</v>
      </c>
      <c r="C69" s="261">
        <v>57698</v>
      </c>
      <c r="D69" s="262">
        <v>39800</v>
      </c>
      <c r="E69" s="263" t="s">
        <v>356</v>
      </c>
      <c r="F69" s="263" t="s">
        <v>229</v>
      </c>
      <c r="G69" s="263" t="s">
        <v>360</v>
      </c>
      <c r="H69" s="263"/>
      <c r="I69" s="263"/>
      <c r="J69" s="263"/>
      <c r="K69" s="263" t="s">
        <v>264</v>
      </c>
      <c r="L69" s="263" t="s">
        <v>231</v>
      </c>
      <c r="M69" s="263" t="s">
        <v>388</v>
      </c>
      <c r="N69" s="263"/>
      <c r="O69" s="263"/>
      <c r="P69" s="263"/>
      <c r="Q69" s="263" t="s">
        <v>362</v>
      </c>
      <c r="R69" s="261"/>
      <c r="S69" s="261">
        <v>508</v>
      </c>
      <c r="T69" s="262">
        <v>40008</v>
      </c>
      <c r="U69" s="261" t="s">
        <v>234</v>
      </c>
    </row>
    <row r="70" spans="1:21">
      <c r="A70" s="264">
        <v>65</v>
      </c>
      <c r="B70" s="266">
        <v>39727</v>
      </c>
      <c r="C70" s="261">
        <v>57698</v>
      </c>
      <c r="D70" s="262">
        <v>39793</v>
      </c>
      <c r="E70" s="263" t="s">
        <v>356</v>
      </c>
      <c r="F70" s="263" t="s">
        <v>229</v>
      </c>
      <c r="G70" s="263" t="s">
        <v>357</v>
      </c>
      <c r="H70" s="263" t="s">
        <v>264</v>
      </c>
      <c r="I70" s="263" t="s">
        <v>231</v>
      </c>
      <c r="J70" s="263" t="s">
        <v>389</v>
      </c>
      <c r="K70" s="263"/>
      <c r="L70" s="263"/>
      <c r="M70" s="263"/>
      <c r="N70" s="263"/>
      <c r="O70" s="263"/>
      <c r="P70" s="263"/>
      <c r="Q70" s="268" t="s">
        <v>359</v>
      </c>
      <c r="R70" s="261">
        <v>307</v>
      </c>
      <c r="S70" s="261">
        <v>501</v>
      </c>
      <c r="T70" s="262">
        <v>40008</v>
      </c>
      <c r="U70" s="261" t="s">
        <v>234</v>
      </c>
    </row>
    <row r="71" spans="1:21">
      <c r="A71" s="264">
        <v>66</v>
      </c>
      <c r="B71" s="266">
        <v>39750</v>
      </c>
      <c r="C71" s="261">
        <v>57698</v>
      </c>
      <c r="D71" s="262">
        <v>39804</v>
      </c>
      <c r="E71" s="263" t="s">
        <v>356</v>
      </c>
      <c r="F71" s="263" t="s">
        <v>229</v>
      </c>
      <c r="G71" s="263" t="s">
        <v>360</v>
      </c>
      <c r="H71" s="263"/>
      <c r="I71" s="263"/>
      <c r="J71" s="263"/>
      <c r="K71" s="263" t="s">
        <v>264</v>
      </c>
      <c r="L71" s="263" t="s">
        <v>231</v>
      </c>
      <c r="M71" s="263" t="s">
        <v>390</v>
      </c>
      <c r="N71" s="263"/>
      <c r="O71" s="263"/>
      <c r="P71" s="263"/>
      <c r="Q71" s="263" t="s">
        <v>362</v>
      </c>
      <c r="R71" s="261"/>
      <c r="S71" s="261">
        <v>508</v>
      </c>
      <c r="T71" s="262">
        <v>40008</v>
      </c>
      <c r="U71" s="261" t="s">
        <v>234</v>
      </c>
    </row>
    <row r="72" spans="1:21">
      <c r="A72" s="264">
        <v>67</v>
      </c>
      <c r="B72" s="266">
        <v>39750</v>
      </c>
      <c r="C72" s="261">
        <v>57698</v>
      </c>
      <c r="D72" s="262">
        <v>39793</v>
      </c>
      <c r="E72" s="263" t="s">
        <v>356</v>
      </c>
      <c r="F72" s="263" t="s">
        <v>229</v>
      </c>
      <c r="G72" s="263" t="s">
        <v>357</v>
      </c>
      <c r="H72" s="263" t="s">
        <v>264</v>
      </c>
      <c r="I72" s="263" t="s">
        <v>231</v>
      </c>
      <c r="J72" s="263" t="s">
        <v>391</v>
      </c>
      <c r="K72" s="263"/>
      <c r="L72" s="263"/>
      <c r="M72" s="263"/>
      <c r="N72" s="263"/>
      <c r="O72" s="263"/>
      <c r="P72" s="263"/>
      <c r="Q72" s="268" t="s">
        <v>359</v>
      </c>
      <c r="R72" s="261">
        <v>307</v>
      </c>
      <c r="S72" s="261">
        <v>501</v>
      </c>
      <c r="T72" s="262">
        <v>39958</v>
      </c>
      <c r="U72" s="261" t="s">
        <v>234</v>
      </c>
    </row>
    <row r="73" spans="1:21">
      <c r="A73" s="264">
        <v>68</v>
      </c>
      <c r="B73" s="266">
        <v>39759</v>
      </c>
      <c r="C73" s="261">
        <v>57698</v>
      </c>
      <c r="D73" s="262">
        <v>39800</v>
      </c>
      <c r="E73" s="263" t="s">
        <v>356</v>
      </c>
      <c r="F73" s="263" t="s">
        <v>229</v>
      </c>
      <c r="G73" s="263" t="s">
        <v>360</v>
      </c>
      <c r="H73" s="263"/>
      <c r="I73" s="263"/>
      <c r="J73" s="263"/>
      <c r="K73" s="263" t="s">
        <v>264</v>
      </c>
      <c r="L73" s="263" t="s">
        <v>231</v>
      </c>
      <c r="M73" s="263" t="s">
        <v>392</v>
      </c>
      <c r="N73" s="263"/>
      <c r="O73" s="263"/>
      <c r="P73" s="263"/>
      <c r="Q73" s="263" t="s">
        <v>362</v>
      </c>
      <c r="R73" s="261"/>
      <c r="S73" s="261">
        <v>508</v>
      </c>
      <c r="T73" s="262">
        <v>40008</v>
      </c>
      <c r="U73" s="261" t="s">
        <v>234</v>
      </c>
    </row>
    <row r="74" spans="1:21">
      <c r="A74" s="264">
        <v>69</v>
      </c>
      <c r="B74" s="266">
        <v>39759</v>
      </c>
      <c r="C74" s="261">
        <v>57722</v>
      </c>
      <c r="D74" s="262">
        <v>39800</v>
      </c>
      <c r="E74" s="263" t="s">
        <v>267</v>
      </c>
      <c r="F74" s="263" t="s">
        <v>229</v>
      </c>
      <c r="G74" s="263" t="s">
        <v>268</v>
      </c>
      <c r="H74" s="263" t="s">
        <v>231</v>
      </c>
      <c r="I74" s="263" t="s">
        <v>231</v>
      </c>
      <c r="J74" s="263" t="s">
        <v>393</v>
      </c>
      <c r="K74" s="263"/>
      <c r="L74" s="263"/>
      <c r="M74" s="263"/>
      <c r="N74" s="263"/>
      <c r="O74" s="263"/>
      <c r="P74" s="263"/>
      <c r="Q74" s="263" t="s">
        <v>394</v>
      </c>
      <c r="R74" s="261"/>
      <c r="S74" s="261">
        <v>533</v>
      </c>
      <c r="T74" s="262">
        <v>40008</v>
      </c>
      <c r="U74" s="261" t="s">
        <v>234</v>
      </c>
    </row>
    <row r="75" spans="1:21">
      <c r="A75" s="264">
        <v>70</v>
      </c>
      <c r="B75" s="266">
        <v>39759</v>
      </c>
      <c r="C75" s="261">
        <v>57739</v>
      </c>
      <c r="D75" s="262">
        <v>39804</v>
      </c>
      <c r="E75" s="263" t="s">
        <v>331</v>
      </c>
      <c r="F75" s="263" t="s">
        <v>229</v>
      </c>
      <c r="G75" s="263" t="s">
        <v>395</v>
      </c>
      <c r="H75" s="263" t="s">
        <v>231</v>
      </c>
      <c r="I75" s="263" t="s">
        <v>231</v>
      </c>
      <c r="J75" s="263" t="s">
        <v>396</v>
      </c>
      <c r="K75" s="263"/>
      <c r="L75" s="263"/>
      <c r="M75" s="263"/>
      <c r="N75" s="263"/>
      <c r="O75" s="263"/>
      <c r="P75" s="263"/>
      <c r="Q75" s="263" t="s">
        <v>397</v>
      </c>
      <c r="R75" s="261"/>
      <c r="S75" s="261">
        <v>503</v>
      </c>
      <c r="T75" s="262">
        <v>40008</v>
      </c>
      <c r="U75" s="261" t="s">
        <v>234</v>
      </c>
    </row>
    <row r="76" spans="1:21">
      <c r="A76" s="264">
        <v>71</v>
      </c>
      <c r="B76" s="266">
        <v>39767</v>
      </c>
      <c r="C76" s="261">
        <v>11877</v>
      </c>
      <c r="D76" s="262">
        <v>39800</v>
      </c>
      <c r="E76" s="263" t="s">
        <v>398</v>
      </c>
      <c r="F76" s="263" t="s">
        <v>229</v>
      </c>
      <c r="G76" s="263" t="s">
        <v>399</v>
      </c>
      <c r="H76" s="263" t="s">
        <v>231</v>
      </c>
      <c r="I76" s="263" t="s">
        <v>231</v>
      </c>
      <c r="J76" s="263" t="s">
        <v>400</v>
      </c>
      <c r="K76" s="263"/>
      <c r="L76" s="263"/>
      <c r="M76" s="263"/>
      <c r="N76" s="263"/>
      <c r="O76" s="263"/>
      <c r="P76" s="263"/>
      <c r="Q76" s="263" t="s">
        <v>401</v>
      </c>
      <c r="R76" s="261">
        <v>307</v>
      </c>
      <c r="S76" s="261">
        <v>513</v>
      </c>
      <c r="T76" s="262">
        <v>40008</v>
      </c>
      <c r="U76" s="261" t="s">
        <v>234</v>
      </c>
    </row>
    <row r="77" spans="1:21">
      <c r="A77" s="264">
        <v>72</v>
      </c>
      <c r="B77" s="266">
        <v>39772</v>
      </c>
      <c r="C77" s="261">
        <v>57753</v>
      </c>
      <c r="D77" s="262">
        <v>39806</v>
      </c>
      <c r="E77" s="263" t="s">
        <v>327</v>
      </c>
      <c r="F77" s="263" t="s">
        <v>229</v>
      </c>
      <c r="G77" s="263" t="s">
        <v>328</v>
      </c>
      <c r="H77" s="263" t="s">
        <v>231</v>
      </c>
      <c r="I77" s="263" t="s">
        <v>231</v>
      </c>
      <c r="J77" s="263" t="s">
        <v>402</v>
      </c>
      <c r="K77" s="263"/>
      <c r="L77" s="263"/>
      <c r="M77" s="263"/>
      <c r="N77" s="263"/>
      <c r="O77" s="263"/>
      <c r="P77" s="263"/>
      <c r="Q77" s="263" t="s">
        <v>403</v>
      </c>
      <c r="R77" s="261">
        <v>312</v>
      </c>
      <c r="S77" s="261">
        <v>522</v>
      </c>
      <c r="T77" s="262">
        <v>39841</v>
      </c>
      <c r="U77" s="261" t="s">
        <v>234</v>
      </c>
    </row>
    <row r="78" spans="1:21">
      <c r="A78" s="264">
        <v>73</v>
      </c>
      <c r="B78" s="266">
        <v>39777</v>
      </c>
      <c r="C78" s="261">
        <v>57764</v>
      </c>
      <c r="D78" s="262">
        <v>39811</v>
      </c>
      <c r="E78" s="263" t="s">
        <v>404</v>
      </c>
      <c r="F78" s="263" t="s">
        <v>229</v>
      </c>
      <c r="G78" s="263" t="s">
        <v>405</v>
      </c>
      <c r="H78" s="263" t="s">
        <v>282</v>
      </c>
      <c r="I78" s="263" t="s">
        <v>406</v>
      </c>
      <c r="J78" s="263" t="s">
        <v>407</v>
      </c>
      <c r="K78" s="263"/>
      <c r="L78" s="263"/>
      <c r="M78" s="263"/>
      <c r="N78" s="263"/>
      <c r="O78" s="263"/>
      <c r="P78" s="263"/>
      <c r="Q78" s="263" t="s">
        <v>408</v>
      </c>
      <c r="R78" s="261">
        <v>331</v>
      </c>
      <c r="S78" s="261">
        <v>503</v>
      </c>
      <c r="T78" s="262">
        <v>39989</v>
      </c>
      <c r="U78" s="261" t="s">
        <v>234</v>
      </c>
    </row>
    <row r="79" spans="1:21">
      <c r="A79" s="264">
        <v>74</v>
      </c>
      <c r="B79" s="266">
        <v>39778</v>
      </c>
      <c r="C79" s="261">
        <v>57765</v>
      </c>
      <c r="D79" s="262">
        <v>39811</v>
      </c>
      <c r="E79" s="263" t="s">
        <v>331</v>
      </c>
      <c r="F79" s="263" t="s">
        <v>229</v>
      </c>
      <c r="G79" s="263" t="s">
        <v>236</v>
      </c>
      <c r="H79" s="263" t="s">
        <v>231</v>
      </c>
      <c r="I79" s="263" t="s">
        <v>231</v>
      </c>
      <c r="J79" s="263" t="s">
        <v>409</v>
      </c>
      <c r="K79" s="263"/>
      <c r="L79" s="263"/>
      <c r="M79" s="263"/>
      <c r="N79" s="263"/>
      <c r="O79" s="263"/>
      <c r="P79" s="263"/>
      <c r="Q79" s="263" t="s">
        <v>410</v>
      </c>
      <c r="R79" s="261">
        <v>303</v>
      </c>
      <c r="S79" s="261">
        <v>503</v>
      </c>
      <c r="T79" s="262">
        <v>39989</v>
      </c>
      <c r="U79" s="261" t="s">
        <v>234</v>
      </c>
    </row>
    <row r="80" spans="1:21">
      <c r="A80" s="264">
        <v>75</v>
      </c>
      <c r="B80" s="266">
        <v>39782</v>
      </c>
      <c r="C80" s="261">
        <v>57766</v>
      </c>
      <c r="D80" s="262">
        <v>39811</v>
      </c>
      <c r="E80" s="263" t="s">
        <v>331</v>
      </c>
      <c r="F80" s="263" t="s">
        <v>229</v>
      </c>
      <c r="G80" s="263" t="s">
        <v>236</v>
      </c>
      <c r="H80" s="263" t="s">
        <v>231</v>
      </c>
      <c r="I80" s="263" t="s">
        <v>231</v>
      </c>
      <c r="J80" s="263" t="s">
        <v>411</v>
      </c>
      <c r="K80" s="263"/>
      <c r="L80" s="263"/>
      <c r="M80" s="263"/>
      <c r="N80" s="263"/>
      <c r="O80" s="263"/>
      <c r="P80" s="263"/>
      <c r="Q80" s="268" t="s">
        <v>412</v>
      </c>
      <c r="R80" s="261">
        <v>303</v>
      </c>
      <c r="S80" s="261">
        <v>503</v>
      </c>
      <c r="T80" s="262">
        <v>39989</v>
      </c>
      <c r="U80" s="261" t="s">
        <v>234</v>
      </c>
    </row>
    <row r="81" spans="1:21">
      <c r="A81" s="264">
        <v>76</v>
      </c>
      <c r="B81" s="266">
        <v>39789</v>
      </c>
      <c r="C81" s="261">
        <v>57768</v>
      </c>
      <c r="D81" s="262">
        <v>39811</v>
      </c>
      <c r="E81" s="263" t="s">
        <v>331</v>
      </c>
      <c r="F81" s="263" t="s">
        <v>229</v>
      </c>
      <c r="G81" s="263" t="s">
        <v>236</v>
      </c>
      <c r="H81" s="263" t="s">
        <v>231</v>
      </c>
      <c r="I81" s="263" t="s">
        <v>231</v>
      </c>
      <c r="J81" s="263" t="s">
        <v>413</v>
      </c>
      <c r="K81" s="263"/>
      <c r="L81" s="263"/>
      <c r="M81" s="263"/>
      <c r="N81" s="263"/>
      <c r="O81" s="263"/>
      <c r="P81" s="263"/>
      <c r="Q81" s="263" t="s">
        <v>414</v>
      </c>
      <c r="R81" s="261">
        <v>329</v>
      </c>
      <c r="S81" s="261">
        <v>503</v>
      </c>
      <c r="T81" s="262">
        <v>39989</v>
      </c>
      <c r="U81" s="261" t="s">
        <v>234</v>
      </c>
    </row>
    <row r="82" spans="1:21">
      <c r="A82" s="264">
        <v>77</v>
      </c>
      <c r="B82" s="266">
        <v>39792</v>
      </c>
      <c r="C82" s="261">
        <v>57769</v>
      </c>
      <c r="D82" s="262">
        <v>39811</v>
      </c>
      <c r="E82" s="263" t="s">
        <v>415</v>
      </c>
      <c r="F82" s="263" t="s">
        <v>229</v>
      </c>
      <c r="G82" s="263" t="s">
        <v>416</v>
      </c>
      <c r="H82" s="263" t="s">
        <v>417</v>
      </c>
      <c r="I82" s="263" t="s">
        <v>264</v>
      </c>
      <c r="J82" s="263" t="s">
        <v>418</v>
      </c>
      <c r="K82" s="263"/>
      <c r="L82" s="263"/>
      <c r="M82" s="263"/>
      <c r="N82" s="263"/>
      <c r="O82" s="263"/>
      <c r="P82" s="263"/>
      <c r="Q82" s="263" t="s">
        <v>419</v>
      </c>
      <c r="R82" s="261">
        <v>329</v>
      </c>
      <c r="S82" s="261">
        <v>522</v>
      </c>
      <c r="T82" s="262">
        <v>39989</v>
      </c>
      <c r="U82" s="261" t="s">
        <v>234</v>
      </c>
    </row>
    <row r="83" spans="1:21">
      <c r="A83" s="264">
        <v>78</v>
      </c>
      <c r="B83" s="266">
        <v>39795</v>
      </c>
      <c r="C83" s="261">
        <v>57774</v>
      </c>
      <c r="D83" s="262">
        <v>39811</v>
      </c>
      <c r="E83" s="263" t="s">
        <v>331</v>
      </c>
      <c r="F83" s="263" t="s">
        <v>229</v>
      </c>
      <c r="G83" s="263" t="s">
        <v>236</v>
      </c>
      <c r="H83" s="263" t="s">
        <v>231</v>
      </c>
      <c r="I83" s="263" t="s">
        <v>231</v>
      </c>
      <c r="J83" s="263" t="s">
        <v>420</v>
      </c>
      <c r="K83" s="263"/>
      <c r="L83" s="263"/>
      <c r="M83" s="263"/>
      <c r="N83" s="263"/>
      <c r="O83" s="263"/>
      <c r="P83" s="263"/>
      <c r="Q83" s="263" t="s">
        <v>421</v>
      </c>
      <c r="R83" s="261">
        <v>329</v>
      </c>
      <c r="S83" s="261">
        <v>523</v>
      </c>
      <c r="T83" s="262">
        <v>39989</v>
      </c>
      <c r="U83" s="261" t="s">
        <v>234</v>
      </c>
    </row>
    <row r="84" spans="1:21">
      <c r="A84" s="264">
        <v>79</v>
      </c>
      <c r="B84" s="266">
        <v>39798</v>
      </c>
      <c r="C84" s="261">
        <v>57781</v>
      </c>
      <c r="D84" s="262">
        <v>39808</v>
      </c>
      <c r="E84" s="263" t="s">
        <v>422</v>
      </c>
      <c r="F84" s="263" t="s">
        <v>229</v>
      </c>
      <c r="G84" s="263" t="s">
        <v>423</v>
      </c>
      <c r="H84" s="263" t="s">
        <v>231</v>
      </c>
      <c r="I84" s="263" t="s">
        <v>231</v>
      </c>
      <c r="J84" s="263" t="s">
        <v>424</v>
      </c>
      <c r="K84" s="263"/>
      <c r="L84" s="263"/>
      <c r="M84" s="263"/>
      <c r="N84" s="263"/>
      <c r="O84" s="263"/>
      <c r="P84" s="263"/>
      <c r="Q84" s="263" t="s">
        <v>425</v>
      </c>
      <c r="R84" s="261">
        <v>329</v>
      </c>
      <c r="S84" s="261">
        <v>523</v>
      </c>
      <c r="T84" s="262">
        <v>39989</v>
      </c>
      <c r="U84" s="261" t="s">
        <v>234</v>
      </c>
    </row>
    <row r="85" spans="1:21">
      <c r="A85" s="264">
        <v>80</v>
      </c>
      <c r="B85" s="266">
        <v>39801</v>
      </c>
      <c r="C85" s="261">
        <v>57770</v>
      </c>
      <c r="D85" s="262">
        <v>39800</v>
      </c>
      <c r="E85" s="263" t="s">
        <v>267</v>
      </c>
      <c r="F85" s="263" t="s">
        <v>229</v>
      </c>
      <c r="G85" s="263" t="s">
        <v>268</v>
      </c>
      <c r="H85" s="263" t="s">
        <v>231</v>
      </c>
      <c r="I85" s="263" t="s">
        <v>231</v>
      </c>
      <c r="J85" s="263" t="s">
        <v>393</v>
      </c>
      <c r="K85" s="263"/>
      <c r="L85" s="263"/>
      <c r="M85" s="263"/>
      <c r="N85" s="263"/>
      <c r="O85" s="263"/>
      <c r="P85" s="263"/>
      <c r="Q85" s="263" t="s">
        <v>394</v>
      </c>
      <c r="R85" s="261">
        <v>303</v>
      </c>
      <c r="S85" s="261">
        <v>523</v>
      </c>
      <c r="T85" s="262">
        <v>39994</v>
      </c>
      <c r="U85" s="261" t="s">
        <v>234</v>
      </c>
    </row>
    <row r="86" spans="1:21">
      <c r="A86" s="264">
        <v>81</v>
      </c>
      <c r="B86" s="266">
        <v>39804</v>
      </c>
      <c r="C86" s="261">
        <v>57798</v>
      </c>
      <c r="D86" s="262">
        <v>39812</v>
      </c>
      <c r="E86" s="263" t="s">
        <v>331</v>
      </c>
      <c r="F86" s="263" t="s">
        <v>229</v>
      </c>
      <c r="G86" s="263" t="s">
        <v>236</v>
      </c>
      <c r="H86" s="263" t="s">
        <v>231</v>
      </c>
      <c r="I86" s="263" t="s">
        <v>231</v>
      </c>
      <c r="J86" s="263" t="s">
        <v>426</v>
      </c>
      <c r="K86" s="263"/>
      <c r="L86" s="263"/>
      <c r="M86" s="263"/>
      <c r="N86" s="263"/>
      <c r="O86" s="263"/>
      <c r="P86" s="263"/>
      <c r="Q86" s="263" t="s">
        <v>412</v>
      </c>
      <c r="R86" s="261">
        <v>303</v>
      </c>
      <c r="S86" s="261">
        <v>503</v>
      </c>
      <c r="T86" s="262">
        <v>39979</v>
      </c>
      <c r="U86" s="261" t="s">
        <v>234</v>
      </c>
    </row>
    <row r="87" spans="1:21">
      <c r="A87" s="264">
        <v>82</v>
      </c>
      <c r="B87" s="266">
        <v>39807</v>
      </c>
      <c r="C87" s="261">
        <v>57787</v>
      </c>
      <c r="D87" s="262">
        <v>39812</v>
      </c>
      <c r="E87" s="263" t="s">
        <v>331</v>
      </c>
      <c r="F87" s="263" t="s">
        <v>229</v>
      </c>
      <c r="G87" s="263" t="s">
        <v>236</v>
      </c>
      <c r="H87" s="263" t="s">
        <v>231</v>
      </c>
      <c r="I87" s="263" t="s">
        <v>231</v>
      </c>
      <c r="J87" s="263" t="s">
        <v>427</v>
      </c>
      <c r="K87" s="263"/>
      <c r="L87" s="263"/>
      <c r="M87" s="263"/>
      <c r="N87" s="263"/>
      <c r="O87" s="263"/>
      <c r="P87" s="263"/>
      <c r="Q87" s="263" t="s">
        <v>428</v>
      </c>
      <c r="R87" s="261">
        <v>329</v>
      </c>
      <c r="S87" s="261">
        <v>533</v>
      </c>
      <c r="T87" s="262">
        <v>39974</v>
      </c>
      <c r="U87" s="261" t="s">
        <v>234</v>
      </c>
    </row>
    <row r="88" spans="1:21">
      <c r="A88" s="264">
        <v>83</v>
      </c>
      <c r="B88" s="266">
        <v>39810</v>
      </c>
      <c r="C88" s="261">
        <v>11905</v>
      </c>
      <c r="D88" s="262">
        <v>39795</v>
      </c>
      <c r="E88" s="263" t="s">
        <v>356</v>
      </c>
      <c r="F88" s="263" t="s">
        <v>229</v>
      </c>
      <c r="G88" s="263" t="s">
        <v>357</v>
      </c>
      <c r="H88" s="263" t="s">
        <v>264</v>
      </c>
      <c r="I88" s="263" t="s">
        <v>231</v>
      </c>
      <c r="J88" s="263" t="s">
        <v>429</v>
      </c>
      <c r="K88" s="263"/>
      <c r="L88" s="263"/>
      <c r="M88" s="263"/>
      <c r="N88" s="263"/>
      <c r="O88" s="263"/>
      <c r="P88" s="263"/>
      <c r="Q88" s="263" t="s">
        <v>430</v>
      </c>
      <c r="R88" s="261">
        <v>307</v>
      </c>
      <c r="S88" s="261">
        <v>513</v>
      </c>
      <c r="T88" s="262">
        <v>40008</v>
      </c>
      <c r="U88" s="261" t="s">
        <v>234</v>
      </c>
    </row>
    <row r="89" spans="1:21">
      <c r="A89" s="264">
        <v>84</v>
      </c>
      <c r="B89" s="266">
        <v>39810</v>
      </c>
      <c r="C89" s="261">
        <v>11905</v>
      </c>
      <c r="D89" s="262">
        <v>39806</v>
      </c>
      <c r="E89" s="263" t="s">
        <v>356</v>
      </c>
      <c r="F89" s="263" t="s">
        <v>229</v>
      </c>
      <c r="G89" s="263" t="s">
        <v>357</v>
      </c>
      <c r="H89" s="263" t="s">
        <v>264</v>
      </c>
      <c r="I89" s="263" t="s">
        <v>231</v>
      </c>
      <c r="J89" s="263" t="s">
        <v>431</v>
      </c>
      <c r="K89" s="263"/>
      <c r="L89" s="263"/>
      <c r="M89" s="263"/>
      <c r="N89" s="263"/>
      <c r="O89" s="263"/>
      <c r="P89" s="263"/>
      <c r="Q89" s="263" t="s">
        <v>430</v>
      </c>
      <c r="R89" s="261">
        <v>307</v>
      </c>
      <c r="S89" s="261">
        <v>513</v>
      </c>
      <c r="T89" s="262">
        <v>40008</v>
      </c>
      <c r="U89" s="261" t="s">
        <v>234</v>
      </c>
    </row>
    <row r="90" spans="1:21">
      <c r="A90" s="264">
        <v>85</v>
      </c>
      <c r="B90" s="266">
        <v>39810</v>
      </c>
      <c r="C90" s="261">
        <v>11904</v>
      </c>
      <c r="D90" s="262">
        <v>39812</v>
      </c>
      <c r="E90" s="263" t="s">
        <v>432</v>
      </c>
      <c r="F90" s="263" t="s">
        <v>229</v>
      </c>
      <c r="G90" s="263" t="s">
        <v>433</v>
      </c>
      <c r="H90" s="263" t="s">
        <v>231</v>
      </c>
      <c r="I90" s="263" t="s">
        <v>231</v>
      </c>
      <c r="J90" s="263" t="s">
        <v>434</v>
      </c>
      <c r="K90" s="263"/>
      <c r="L90" s="263"/>
      <c r="M90" s="263"/>
      <c r="N90" s="263"/>
      <c r="O90" s="263"/>
      <c r="P90" s="263"/>
      <c r="Q90" s="263" t="s">
        <v>435</v>
      </c>
      <c r="R90" s="261">
        <v>329</v>
      </c>
      <c r="S90" s="261">
        <v>533</v>
      </c>
      <c r="T90" s="262">
        <v>40008</v>
      </c>
      <c r="U90" s="261" t="s">
        <v>234</v>
      </c>
    </row>
    <row r="91" spans="1:21">
      <c r="A91" s="264">
        <v>86</v>
      </c>
      <c r="B91" s="266">
        <v>39810</v>
      </c>
      <c r="C91" s="261">
        <v>57796</v>
      </c>
      <c r="D91" s="262">
        <v>39730</v>
      </c>
      <c r="E91" s="263" t="s">
        <v>436</v>
      </c>
      <c r="F91" s="263" t="s">
        <v>229</v>
      </c>
      <c r="G91" s="263" t="s">
        <v>437</v>
      </c>
      <c r="H91" s="263" t="s">
        <v>438</v>
      </c>
      <c r="I91" s="263" t="s">
        <v>439</v>
      </c>
      <c r="J91" s="263" t="s">
        <v>440</v>
      </c>
      <c r="K91" s="263"/>
      <c r="L91" s="263"/>
      <c r="M91" s="263"/>
      <c r="N91" s="263"/>
      <c r="O91" s="263"/>
      <c r="P91" s="263"/>
      <c r="Q91" s="263" t="s">
        <v>441</v>
      </c>
      <c r="R91" s="261">
        <v>307</v>
      </c>
      <c r="S91" s="261">
        <v>533</v>
      </c>
      <c r="T91" s="262">
        <v>40008</v>
      </c>
      <c r="U91" s="261" t="s">
        <v>234</v>
      </c>
    </row>
    <row r="92" spans="1:21" ht="13.5" thickBot="1">
      <c r="A92" s="274">
        <v>87</v>
      </c>
      <c r="B92" s="275">
        <v>39810</v>
      </c>
      <c r="C92" s="276">
        <v>57794</v>
      </c>
      <c r="D92" s="277">
        <v>39812</v>
      </c>
      <c r="E92" s="278" t="s">
        <v>331</v>
      </c>
      <c r="F92" s="263" t="s">
        <v>229</v>
      </c>
      <c r="G92" s="278" t="s">
        <v>442</v>
      </c>
      <c r="H92" s="278" t="s">
        <v>231</v>
      </c>
      <c r="I92" s="278" t="s">
        <v>231</v>
      </c>
      <c r="J92" s="278" t="s">
        <v>443</v>
      </c>
      <c r="K92" s="278"/>
      <c r="L92" s="278"/>
      <c r="M92" s="278"/>
      <c r="N92" s="278"/>
      <c r="O92" s="278"/>
      <c r="P92" s="278"/>
      <c r="Q92" s="278" t="s">
        <v>444</v>
      </c>
      <c r="R92" s="276">
        <v>303</v>
      </c>
      <c r="S92" s="276">
        <v>503</v>
      </c>
      <c r="T92" s="277">
        <v>40008</v>
      </c>
      <c r="U92" s="276" t="s">
        <v>234</v>
      </c>
    </row>
    <row r="93" spans="1:21" s="236" customFormat="1"/>
    <row r="94" spans="1:21" s="236" customFormat="1"/>
    <row r="95" spans="1:21" s="236" customFormat="1"/>
  </sheetData>
  <mergeCells count="14">
    <mergeCell ref="N4:P4"/>
    <mergeCell ref="Q4:Q5"/>
    <mergeCell ref="T4:T5"/>
    <mergeCell ref="U4:U5"/>
    <mergeCell ref="E3:U3"/>
    <mergeCell ref="A4:A5"/>
    <mergeCell ref="B4:B5"/>
    <mergeCell ref="C4:C5"/>
    <mergeCell ref="D4:D5"/>
    <mergeCell ref="E4:E5"/>
    <mergeCell ref="F4:F5"/>
    <mergeCell ref="G4:G5"/>
    <mergeCell ref="H4:J4"/>
    <mergeCell ref="K4:M4"/>
  </mergeCells>
  <printOptions horizontalCentered="1"/>
  <pageMargins left="0.70866141732283472" right="0.70866141732283472" top="1.01" bottom="0.74803149606299213" header="0.31496062992125984" footer="0.31496062992125984"/>
  <pageSetup paperSize="9" scale="69" orientation="landscape" horizontalDpi="300" verticalDpi="0" r:id="rId1"/>
  <headerFooter>
    <oddFooter>&amp;L&amp;"-,Negrita"Elaborado por&amp;"-,Normal": Las Autoras</oddFooter>
  </headerFooter>
  <rowBreaks count="2" manualBreakCount="2">
    <brk id="47" max="20" man="1"/>
    <brk id="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C99"/>
  <sheetViews>
    <sheetView workbookViewId="0">
      <selection activeCell="G72" sqref="G72"/>
    </sheetView>
  </sheetViews>
  <sheetFormatPr baseColWidth="10" defaultRowHeight="14.25"/>
  <cols>
    <col min="1" max="1" width="6.28515625" style="279" customWidth="1"/>
    <col min="2" max="2" width="11.42578125" style="279"/>
    <col min="3" max="4" width="0" style="279" hidden="1" customWidth="1"/>
    <col min="5" max="5" width="13.5703125" style="279" customWidth="1"/>
    <col min="6" max="6" width="22.28515625" style="279" customWidth="1"/>
    <col min="7" max="7" width="10.28515625" style="279" customWidth="1"/>
    <col min="8" max="8" width="7.28515625" style="279" customWidth="1"/>
    <col min="9" max="9" width="6.85546875" style="279" customWidth="1"/>
    <col min="10" max="10" width="8.7109375" style="279" customWidth="1"/>
    <col min="11" max="11" width="10.28515625" style="279" customWidth="1"/>
    <col min="12" max="12" width="10.5703125" style="279" customWidth="1"/>
    <col min="13" max="13" width="10.85546875" style="279" customWidth="1"/>
    <col min="14" max="14" width="5" style="279" customWidth="1"/>
    <col min="15" max="15" width="5.5703125" style="279" customWidth="1"/>
    <col min="16" max="16" width="10.42578125" style="279" customWidth="1"/>
    <col min="17" max="17" width="6" style="279" customWidth="1"/>
    <col min="18" max="18" width="5.85546875" style="279" customWidth="1"/>
    <col min="19" max="19" width="7.7109375" style="279" customWidth="1"/>
    <col min="20" max="20" width="0" style="279" hidden="1" customWidth="1"/>
    <col min="21" max="21" width="6.7109375" style="279" hidden="1" customWidth="1"/>
    <col min="22" max="22" width="6.140625" style="279" customWidth="1"/>
    <col min="23" max="24" width="7.5703125" style="279" customWidth="1"/>
    <col min="25" max="25" width="0" style="279" hidden="1" customWidth="1"/>
    <col min="26" max="26" width="9.7109375" style="279" customWidth="1"/>
    <col min="27" max="29" width="11.42578125" style="280"/>
    <col min="30" max="16384" width="11.42578125" style="279"/>
  </cols>
  <sheetData>
    <row r="1" spans="1:29" s="280" customFormat="1"/>
    <row r="2" spans="1:29" s="338" customFormat="1" ht="15">
      <c r="A2" s="338" t="s">
        <v>529</v>
      </c>
    </row>
    <row r="3" spans="1:29" s="280" customFormat="1"/>
    <row r="4" spans="1:29" s="280" customFormat="1" ht="15" thickBot="1"/>
    <row r="5" spans="1:29" ht="15.75" thickBot="1">
      <c r="G5" s="337" t="s">
        <v>528</v>
      </c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5"/>
    </row>
    <row r="6" spans="1:29" s="317" customFormat="1" ht="15" customHeight="1">
      <c r="A6" s="327" t="s">
        <v>209</v>
      </c>
      <c r="B6" s="334" t="s">
        <v>210</v>
      </c>
      <c r="C6" s="329" t="s">
        <v>527</v>
      </c>
      <c r="D6" s="329" t="s">
        <v>212</v>
      </c>
      <c r="E6" s="333" t="s">
        <v>213</v>
      </c>
      <c r="F6" s="332" t="s">
        <v>219</v>
      </c>
      <c r="G6" s="333" t="s">
        <v>526</v>
      </c>
      <c r="H6" s="333" t="s">
        <v>525</v>
      </c>
      <c r="I6" s="333" t="s">
        <v>524</v>
      </c>
      <c r="J6" s="333" t="s">
        <v>523</v>
      </c>
      <c r="K6" s="333" t="s">
        <v>522</v>
      </c>
      <c r="L6" s="332" t="s">
        <v>521</v>
      </c>
      <c r="M6" s="332"/>
      <c r="N6" s="332"/>
      <c r="O6" s="332"/>
      <c r="P6" s="332"/>
      <c r="Q6" s="331" t="s">
        <v>520</v>
      </c>
      <c r="R6" s="331"/>
      <c r="S6" s="331"/>
      <c r="T6" s="329" t="s">
        <v>519</v>
      </c>
      <c r="U6" s="331" t="s">
        <v>518</v>
      </c>
      <c r="V6" s="331"/>
      <c r="W6" s="331"/>
      <c r="X6" s="330" t="s">
        <v>517</v>
      </c>
      <c r="Y6" s="329" t="s">
        <v>516</v>
      </c>
      <c r="Z6" s="328" t="s">
        <v>515</v>
      </c>
      <c r="AA6" s="318"/>
      <c r="AB6" s="318"/>
      <c r="AC6" s="318"/>
    </row>
    <row r="7" spans="1:29" s="317" customFormat="1" ht="11.25">
      <c r="A7" s="327"/>
      <c r="B7" s="326"/>
      <c r="C7" s="320"/>
      <c r="D7" s="320"/>
      <c r="E7" s="324"/>
      <c r="F7" s="325"/>
      <c r="G7" s="324"/>
      <c r="H7" s="324"/>
      <c r="I7" s="324"/>
      <c r="J7" s="324"/>
      <c r="K7" s="324"/>
      <c r="L7" s="323" t="s">
        <v>514</v>
      </c>
      <c r="M7" s="323" t="s">
        <v>513</v>
      </c>
      <c r="N7" s="323" t="s">
        <v>209</v>
      </c>
      <c r="O7" s="323" t="s">
        <v>225</v>
      </c>
      <c r="P7" s="323" t="s">
        <v>226</v>
      </c>
      <c r="Q7" s="322">
        <v>0.01</v>
      </c>
      <c r="R7" s="322">
        <v>0.02</v>
      </c>
      <c r="S7" s="322">
        <v>0.08</v>
      </c>
      <c r="T7" s="320"/>
      <c r="U7" s="322">
        <v>0.3</v>
      </c>
      <c r="V7" s="322">
        <v>0.7</v>
      </c>
      <c r="W7" s="322">
        <v>1</v>
      </c>
      <c r="X7" s="321"/>
      <c r="Y7" s="320"/>
      <c r="Z7" s="319"/>
      <c r="AA7" s="318"/>
      <c r="AB7" s="318"/>
      <c r="AC7" s="318"/>
    </row>
    <row r="8" spans="1:29" s="281" customFormat="1" ht="12">
      <c r="A8" s="289">
        <v>1</v>
      </c>
      <c r="B8" s="313">
        <v>39452</v>
      </c>
      <c r="C8" s="289">
        <v>57352</v>
      </c>
      <c r="D8" s="292">
        <v>39780</v>
      </c>
      <c r="E8" s="291" t="s">
        <v>228</v>
      </c>
      <c r="F8" s="291" t="s">
        <v>233</v>
      </c>
      <c r="G8" s="303">
        <v>66</v>
      </c>
      <c r="H8" s="289">
        <v>66</v>
      </c>
      <c r="I8" s="289"/>
      <c r="J8" s="293">
        <f>+H8*0.12</f>
        <v>7.92</v>
      </c>
      <c r="K8" s="293">
        <f>+H8+I8+J8</f>
        <v>73.92</v>
      </c>
      <c r="L8" s="292">
        <v>39784</v>
      </c>
      <c r="M8" s="291" t="s">
        <v>450</v>
      </c>
      <c r="N8" s="291" t="s">
        <v>231</v>
      </c>
      <c r="O8" s="291" t="s">
        <v>231</v>
      </c>
      <c r="P8" s="291" t="s">
        <v>512</v>
      </c>
      <c r="Q8" s="289"/>
      <c r="R8" s="289">
        <f>G8*0.02</f>
        <v>1.32</v>
      </c>
      <c r="S8" s="289"/>
      <c r="T8" s="289"/>
      <c r="U8" s="289"/>
      <c r="V8" s="303">
        <f>J8*0.7</f>
        <v>5.5439999999999996</v>
      </c>
      <c r="W8" s="289"/>
      <c r="X8" s="289">
        <f>SUM(Q8:W8)</f>
        <v>6.8639999999999999</v>
      </c>
      <c r="Y8" s="289">
        <v>708</v>
      </c>
      <c r="Z8" s="290" t="s">
        <v>203</v>
      </c>
      <c r="AA8" s="282"/>
      <c r="AB8" s="282"/>
      <c r="AC8" s="282"/>
    </row>
    <row r="9" spans="1:29" s="281" customFormat="1" ht="12">
      <c r="A9" s="289">
        <v>2</v>
      </c>
      <c r="B9" s="313">
        <v>39454</v>
      </c>
      <c r="C9" s="289">
        <v>57379</v>
      </c>
      <c r="D9" s="292">
        <v>39784</v>
      </c>
      <c r="E9" s="291" t="s">
        <v>235</v>
      </c>
      <c r="F9" s="291" t="s">
        <v>238</v>
      </c>
      <c r="G9" s="289">
        <v>418</v>
      </c>
      <c r="H9" s="289"/>
      <c r="I9" s="289">
        <v>418</v>
      </c>
      <c r="J9" s="293">
        <f>+H9*0.12</f>
        <v>0</v>
      </c>
      <c r="K9" s="293">
        <f>+H9+I9+J9</f>
        <v>418</v>
      </c>
      <c r="L9" s="292">
        <v>39784</v>
      </c>
      <c r="M9" s="291" t="s">
        <v>450</v>
      </c>
      <c r="N9" s="291" t="s">
        <v>231</v>
      </c>
      <c r="O9" s="291" t="s">
        <v>231</v>
      </c>
      <c r="P9" s="291" t="s">
        <v>511</v>
      </c>
      <c r="Q9" s="289"/>
      <c r="R9" s="289"/>
      <c r="S9" s="289">
        <f>G9*0.08</f>
        <v>33.44</v>
      </c>
      <c r="T9" s="289"/>
      <c r="U9" s="289"/>
      <c r="V9" s="289"/>
      <c r="W9" s="289"/>
      <c r="X9" s="289">
        <f>SUM(Q9:W9)</f>
        <v>33.44</v>
      </c>
      <c r="Y9" s="289"/>
      <c r="Z9" s="290" t="s">
        <v>203</v>
      </c>
      <c r="AA9" s="282"/>
      <c r="AB9" s="282"/>
      <c r="AC9" s="282"/>
    </row>
    <row r="10" spans="1:29" s="281" customFormat="1" ht="12">
      <c r="A10" s="289">
        <v>3</v>
      </c>
      <c r="B10" s="313">
        <v>39454</v>
      </c>
      <c r="C10" s="316">
        <v>57384</v>
      </c>
      <c r="D10" s="292">
        <v>39783</v>
      </c>
      <c r="E10" s="291" t="s">
        <v>239</v>
      </c>
      <c r="F10" s="291" t="s">
        <v>242</v>
      </c>
      <c r="G10" s="289">
        <v>25.4</v>
      </c>
      <c r="H10" s="289">
        <v>25.4</v>
      </c>
      <c r="I10" s="289"/>
      <c r="J10" s="293">
        <f>+H10*0.12</f>
        <v>3.0479999999999996</v>
      </c>
      <c r="K10" s="293">
        <f>+H10+I10+J10</f>
        <v>28.447999999999997</v>
      </c>
      <c r="L10" s="292">
        <v>39783</v>
      </c>
      <c r="M10" s="291" t="s">
        <v>450</v>
      </c>
      <c r="N10" s="291" t="s">
        <v>231</v>
      </c>
      <c r="O10" s="291" t="s">
        <v>231</v>
      </c>
      <c r="P10" s="291" t="s">
        <v>510</v>
      </c>
      <c r="Q10" s="289"/>
      <c r="R10" s="289">
        <v>0.51</v>
      </c>
      <c r="S10" s="289"/>
      <c r="T10" s="289"/>
      <c r="U10" s="289"/>
      <c r="V10" s="289"/>
      <c r="W10" s="289"/>
      <c r="X10" s="289">
        <f>SUM(Q10:W10)</f>
        <v>0.51</v>
      </c>
      <c r="Y10" s="289"/>
      <c r="Z10" s="290" t="s">
        <v>203</v>
      </c>
      <c r="AA10" s="282"/>
      <c r="AB10" s="282"/>
      <c r="AC10" s="282"/>
    </row>
    <row r="11" spans="1:29" s="281" customFormat="1" ht="12">
      <c r="A11" s="296">
        <v>4</v>
      </c>
      <c r="B11" s="300">
        <v>39456</v>
      </c>
      <c r="C11" s="296">
        <v>57448</v>
      </c>
      <c r="D11" s="298">
        <v>39786</v>
      </c>
      <c r="E11" s="297" t="s">
        <v>243</v>
      </c>
      <c r="F11" s="297" t="s">
        <v>246</v>
      </c>
      <c r="G11" s="296">
        <v>223.21</v>
      </c>
      <c r="H11" s="296">
        <v>223.21</v>
      </c>
      <c r="I11" s="296"/>
      <c r="J11" s="299">
        <f>+H11*0.12</f>
        <v>26.7852</v>
      </c>
      <c r="K11" s="299">
        <f>+H11+I11+J11</f>
        <v>249.99520000000001</v>
      </c>
      <c r="L11" s="298">
        <v>39787</v>
      </c>
      <c r="M11" s="297" t="s">
        <v>450</v>
      </c>
      <c r="N11" s="297" t="s">
        <v>231</v>
      </c>
      <c r="O11" s="297" t="s">
        <v>231</v>
      </c>
      <c r="P11" s="297" t="s">
        <v>509</v>
      </c>
      <c r="Q11" s="296"/>
      <c r="R11" s="296">
        <v>4.46</v>
      </c>
      <c r="S11" s="296"/>
      <c r="T11" s="296"/>
      <c r="U11" s="296"/>
      <c r="V11" s="296"/>
      <c r="W11" s="296"/>
      <c r="X11" s="296">
        <f>SUM(Q11:W11)</f>
        <v>4.46</v>
      </c>
      <c r="Y11" s="296"/>
      <c r="Z11" s="295" t="s">
        <v>447</v>
      </c>
      <c r="AA11" s="282"/>
      <c r="AB11" s="282"/>
      <c r="AC11" s="282"/>
    </row>
    <row r="12" spans="1:29" s="281" customFormat="1" ht="12">
      <c r="A12" s="304">
        <v>5</v>
      </c>
      <c r="B12" s="294">
        <v>39457</v>
      </c>
      <c r="C12" s="296">
        <v>57455</v>
      </c>
      <c r="D12" s="298">
        <v>39774</v>
      </c>
      <c r="E12" s="305" t="s">
        <v>247</v>
      </c>
      <c r="F12" s="305" t="s">
        <v>251</v>
      </c>
      <c r="G12" s="304">
        <v>66.150000000000006</v>
      </c>
      <c r="H12" s="304">
        <f>+G12</f>
        <v>66.150000000000006</v>
      </c>
      <c r="I12" s="304"/>
      <c r="J12" s="307">
        <f>+H12*0.12</f>
        <v>7.9380000000000006</v>
      </c>
      <c r="K12" s="307">
        <f>+H12+I12+J12</f>
        <v>74.088000000000008</v>
      </c>
      <c r="L12" s="306">
        <v>39787</v>
      </c>
      <c r="M12" s="305" t="s">
        <v>450</v>
      </c>
      <c r="N12" s="305" t="s">
        <v>231</v>
      </c>
      <c r="O12" s="305" t="s">
        <v>231</v>
      </c>
      <c r="P12" s="305" t="s">
        <v>508</v>
      </c>
      <c r="Q12" s="304"/>
      <c r="R12" s="315">
        <f>+G12*0.02</f>
        <v>1.3230000000000002</v>
      </c>
      <c r="S12" s="304"/>
      <c r="T12" s="296"/>
      <c r="U12" s="296"/>
      <c r="V12" s="304"/>
      <c r="W12" s="304"/>
      <c r="X12" s="304">
        <f>SUM(Q12:W12)</f>
        <v>1.3230000000000002</v>
      </c>
      <c r="Y12" s="296"/>
      <c r="Z12" s="314" t="s">
        <v>203</v>
      </c>
      <c r="AA12" s="282"/>
      <c r="AB12" s="282"/>
      <c r="AC12" s="282"/>
    </row>
    <row r="13" spans="1:29" s="281" customFormat="1" ht="12">
      <c r="A13" s="289">
        <v>6</v>
      </c>
      <c r="B13" s="313">
        <v>39472</v>
      </c>
      <c r="C13" s="289">
        <v>57454</v>
      </c>
      <c r="D13" s="292">
        <v>39774</v>
      </c>
      <c r="E13" s="291" t="s">
        <v>247</v>
      </c>
      <c r="F13" s="291" t="s">
        <v>251</v>
      </c>
      <c r="G13" s="289">
        <v>120.91</v>
      </c>
      <c r="H13" s="289">
        <f>+G13</f>
        <v>120.91</v>
      </c>
      <c r="I13" s="289"/>
      <c r="J13" s="293">
        <f>+H13*0.12</f>
        <v>14.5092</v>
      </c>
      <c r="K13" s="293">
        <f>+H13+I13+J13</f>
        <v>135.41919999999999</v>
      </c>
      <c r="L13" s="292">
        <v>39787</v>
      </c>
      <c r="M13" s="291" t="s">
        <v>450</v>
      </c>
      <c r="N13" s="291" t="s">
        <v>231</v>
      </c>
      <c r="O13" s="291" t="s">
        <v>231</v>
      </c>
      <c r="P13" s="291" t="s">
        <v>507</v>
      </c>
      <c r="Q13" s="289"/>
      <c r="R13" s="303">
        <f>+G13*0.02</f>
        <v>2.4182000000000001</v>
      </c>
      <c r="S13" s="289"/>
      <c r="T13" s="289"/>
      <c r="U13" s="289"/>
      <c r="V13" s="289"/>
      <c r="W13" s="289"/>
      <c r="X13" s="289">
        <f>SUM(Q13:W13)</f>
        <v>2.4182000000000001</v>
      </c>
      <c r="Y13" s="289"/>
      <c r="Z13" s="290" t="s">
        <v>203</v>
      </c>
      <c r="AA13" s="282"/>
      <c r="AB13" s="282"/>
      <c r="AC13" s="282"/>
    </row>
    <row r="14" spans="1:29" s="281" customFormat="1" ht="12">
      <c r="A14" s="289">
        <v>7</v>
      </c>
      <c r="B14" s="313">
        <v>39476</v>
      </c>
      <c r="C14" s="289">
        <v>57453</v>
      </c>
      <c r="D14" s="292">
        <v>39774</v>
      </c>
      <c r="E14" s="291" t="s">
        <v>247</v>
      </c>
      <c r="F14" s="291" t="s">
        <v>251</v>
      </c>
      <c r="G14" s="289">
        <v>191.13</v>
      </c>
      <c r="H14" s="289">
        <f>+G14</f>
        <v>191.13</v>
      </c>
      <c r="I14" s="289"/>
      <c r="J14" s="293">
        <f>+H14*0.12</f>
        <v>22.935599999999997</v>
      </c>
      <c r="K14" s="293">
        <f>+H14+I14+J14</f>
        <v>214.06559999999999</v>
      </c>
      <c r="L14" s="292">
        <v>39787</v>
      </c>
      <c r="M14" s="291" t="s">
        <v>450</v>
      </c>
      <c r="N14" s="291" t="s">
        <v>231</v>
      </c>
      <c r="O14" s="291" t="s">
        <v>231</v>
      </c>
      <c r="P14" s="291" t="s">
        <v>506</v>
      </c>
      <c r="Q14" s="289"/>
      <c r="R14" s="303">
        <f>+G14*0.02</f>
        <v>3.8226</v>
      </c>
      <c r="S14" s="289"/>
      <c r="T14" s="289"/>
      <c r="U14" s="289"/>
      <c r="V14" s="289"/>
      <c r="W14" s="289"/>
      <c r="X14" s="289">
        <f>SUM(Q14:W14)</f>
        <v>3.8226</v>
      </c>
      <c r="Y14" s="289"/>
      <c r="Z14" s="290" t="s">
        <v>203</v>
      </c>
      <c r="AA14" s="282"/>
      <c r="AB14" s="282"/>
      <c r="AC14" s="282"/>
    </row>
    <row r="15" spans="1:29" s="281" customFormat="1" ht="12">
      <c r="A15" s="289">
        <v>8</v>
      </c>
      <c r="B15" s="313">
        <v>39480</v>
      </c>
      <c r="C15" s="289">
        <v>57451</v>
      </c>
      <c r="D15" s="292">
        <v>39774</v>
      </c>
      <c r="E15" s="291" t="s">
        <v>247</v>
      </c>
      <c r="F15" s="291" t="s">
        <v>251</v>
      </c>
      <c r="G15" s="289">
        <v>72.56</v>
      </c>
      <c r="H15" s="289">
        <f>+G15</f>
        <v>72.56</v>
      </c>
      <c r="I15" s="289"/>
      <c r="J15" s="293">
        <f>+H15*0.12</f>
        <v>8.7072000000000003</v>
      </c>
      <c r="K15" s="293">
        <f>+H15+I15+J15</f>
        <v>81.267200000000003</v>
      </c>
      <c r="L15" s="292">
        <v>39787</v>
      </c>
      <c r="M15" s="291" t="s">
        <v>450</v>
      </c>
      <c r="N15" s="291" t="s">
        <v>231</v>
      </c>
      <c r="O15" s="291" t="s">
        <v>231</v>
      </c>
      <c r="P15" s="291" t="s">
        <v>505</v>
      </c>
      <c r="Q15" s="289"/>
      <c r="R15" s="303">
        <f>+G15*0.02</f>
        <v>1.4512</v>
      </c>
      <c r="S15" s="289"/>
      <c r="T15" s="289"/>
      <c r="U15" s="289"/>
      <c r="V15" s="289"/>
      <c r="W15" s="289"/>
      <c r="X15" s="289">
        <f>SUM(Q15:W15)</f>
        <v>1.4512</v>
      </c>
      <c r="Y15" s="289"/>
      <c r="Z15" s="290" t="s">
        <v>203</v>
      </c>
      <c r="AA15" s="282"/>
      <c r="AB15" s="282"/>
      <c r="AC15" s="282"/>
    </row>
    <row r="16" spans="1:29" s="281" customFormat="1" ht="12">
      <c r="A16" s="289">
        <v>9</v>
      </c>
      <c r="B16" s="313">
        <v>39483</v>
      </c>
      <c r="C16" s="289">
        <v>57450</v>
      </c>
      <c r="D16" s="292">
        <v>39774</v>
      </c>
      <c r="E16" s="291" t="s">
        <v>247</v>
      </c>
      <c r="F16" s="291" t="s">
        <v>251</v>
      </c>
      <c r="G16" s="289">
        <v>200.83</v>
      </c>
      <c r="H16" s="289">
        <f>+G16</f>
        <v>200.83</v>
      </c>
      <c r="I16" s="289"/>
      <c r="J16" s="293">
        <f>+H16*0.12</f>
        <v>24.099600000000002</v>
      </c>
      <c r="K16" s="293">
        <f>+H16+I16+J16</f>
        <v>224.92960000000002</v>
      </c>
      <c r="L16" s="292">
        <v>39787</v>
      </c>
      <c r="M16" s="291" t="s">
        <v>450</v>
      </c>
      <c r="N16" s="291" t="s">
        <v>231</v>
      </c>
      <c r="O16" s="291" t="s">
        <v>231</v>
      </c>
      <c r="P16" s="291" t="s">
        <v>504</v>
      </c>
      <c r="Q16" s="289"/>
      <c r="R16" s="303">
        <f>+G16*0.02</f>
        <v>4.0166000000000004</v>
      </c>
      <c r="S16" s="289"/>
      <c r="T16" s="289"/>
      <c r="U16" s="289"/>
      <c r="V16" s="289"/>
      <c r="W16" s="289"/>
      <c r="X16" s="289">
        <f>SUM(Q16:W16)</f>
        <v>4.0166000000000004</v>
      </c>
      <c r="Y16" s="289"/>
      <c r="Z16" s="290" t="s">
        <v>203</v>
      </c>
      <c r="AA16" s="282"/>
      <c r="AB16" s="282"/>
      <c r="AC16" s="282"/>
    </row>
    <row r="17" spans="1:29" s="281" customFormat="1" ht="12">
      <c r="A17" s="289">
        <v>10</v>
      </c>
      <c r="B17" s="313">
        <v>39484</v>
      </c>
      <c r="C17" s="289">
        <v>57456</v>
      </c>
      <c r="D17" s="292">
        <v>39774</v>
      </c>
      <c r="E17" s="291" t="s">
        <v>247</v>
      </c>
      <c r="F17" s="291" t="s">
        <v>251</v>
      </c>
      <c r="G17" s="289">
        <v>81.040000000000006</v>
      </c>
      <c r="H17" s="289">
        <f>+G17</f>
        <v>81.040000000000006</v>
      </c>
      <c r="I17" s="289"/>
      <c r="J17" s="293">
        <f>+H17*0.12</f>
        <v>9.7248000000000001</v>
      </c>
      <c r="K17" s="293">
        <f>+H17+I17+J17</f>
        <v>90.764800000000008</v>
      </c>
      <c r="L17" s="292">
        <v>39787</v>
      </c>
      <c r="M17" s="291" t="s">
        <v>450</v>
      </c>
      <c r="N17" s="291" t="s">
        <v>231</v>
      </c>
      <c r="O17" s="291" t="s">
        <v>231</v>
      </c>
      <c r="P17" s="291" t="s">
        <v>503</v>
      </c>
      <c r="Q17" s="289"/>
      <c r="R17" s="303">
        <f>+G17*0.02</f>
        <v>1.6208000000000002</v>
      </c>
      <c r="S17" s="289"/>
      <c r="T17" s="289"/>
      <c r="U17" s="289"/>
      <c r="V17" s="289"/>
      <c r="W17" s="289"/>
      <c r="X17" s="289">
        <f>SUM(Q17:W17)</f>
        <v>1.6208000000000002</v>
      </c>
      <c r="Y17" s="289"/>
      <c r="Z17" s="290" t="s">
        <v>203</v>
      </c>
      <c r="AA17" s="282"/>
      <c r="AB17" s="282"/>
      <c r="AC17" s="282"/>
    </row>
    <row r="18" spans="1:29" s="281" customFormat="1" ht="12">
      <c r="A18" s="289">
        <v>11</v>
      </c>
      <c r="B18" s="313">
        <v>39488</v>
      </c>
      <c r="C18" s="289">
        <v>57457</v>
      </c>
      <c r="D18" s="292">
        <v>39774</v>
      </c>
      <c r="E18" s="291" t="s">
        <v>247</v>
      </c>
      <c r="F18" s="291" t="s">
        <v>251</v>
      </c>
      <c r="G18" s="289">
        <v>70.36</v>
      </c>
      <c r="H18" s="289">
        <v>70.36</v>
      </c>
      <c r="I18" s="289"/>
      <c r="J18" s="293">
        <f>+H18*0.12</f>
        <v>8.4431999999999992</v>
      </c>
      <c r="K18" s="293">
        <f>+H18+I18+J18</f>
        <v>78.803200000000004</v>
      </c>
      <c r="L18" s="292">
        <v>39787</v>
      </c>
      <c r="M18" s="291" t="s">
        <v>450</v>
      </c>
      <c r="N18" s="291" t="s">
        <v>231</v>
      </c>
      <c r="O18" s="291" t="s">
        <v>231</v>
      </c>
      <c r="P18" s="291" t="s">
        <v>502</v>
      </c>
      <c r="Q18" s="289"/>
      <c r="R18" s="289">
        <v>1.41</v>
      </c>
      <c r="S18" s="289"/>
      <c r="T18" s="289"/>
      <c r="U18" s="289"/>
      <c r="V18" s="289"/>
      <c r="W18" s="289"/>
      <c r="X18" s="289">
        <f>SUM(Q18:W18)</f>
        <v>1.41</v>
      </c>
      <c r="Y18" s="289"/>
      <c r="Z18" s="290" t="s">
        <v>203</v>
      </c>
      <c r="AA18" s="282"/>
      <c r="AB18" s="282"/>
      <c r="AC18" s="282"/>
    </row>
    <row r="19" spans="1:29" s="281" customFormat="1" ht="12">
      <c r="A19" s="289">
        <v>12</v>
      </c>
      <c r="B19" s="294">
        <v>39504</v>
      </c>
      <c r="C19" s="289">
        <v>57481</v>
      </c>
      <c r="D19" s="292">
        <v>39776</v>
      </c>
      <c r="E19" s="291" t="s">
        <v>258</v>
      </c>
      <c r="F19" s="291" t="s">
        <v>261</v>
      </c>
      <c r="G19" s="289">
        <v>315</v>
      </c>
      <c r="H19" s="289">
        <v>315</v>
      </c>
      <c r="I19" s="289"/>
      <c r="J19" s="293">
        <f>+H19*0.12</f>
        <v>37.799999999999997</v>
      </c>
      <c r="K19" s="293">
        <f>+H19+I19+J19</f>
        <v>352.8</v>
      </c>
      <c r="L19" s="292">
        <v>39790</v>
      </c>
      <c r="M19" s="291" t="s">
        <v>450</v>
      </c>
      <c r="N19" s="291" t="s">
        <v>231</v>
      </c>
      <c r="O19" s="291" t="s">
        <v>231</v>
      </c>
      <c r="P19" s="291" t="s">
        <v>501</v>
      </c>
      <c r="Q19" s="289"/>
      <c r="R19" s="289">
        <v>6.3</v>
      </c>
      <c r="S19" s="289"/>
      <c r="T19" s="289"/>
      <c r="U19" s="289"/>
      <c r="V19" s="289"/>
      <c r="W19" s="289"/>
      <c r="X19" s="289">
        <f>SUM(Q19:W19)</f>
        <v>6.3</v>
      </c>
      <c r="Y19" s="289"/>
      <c r="Z19" s="290" t="s">
        <v>203</v>
      </c>
      <c r="AA19" s="282"/>
      <c r="AB19" s="282"/>
      <c r="AC19" s="282"/>
    </row>
    <row r="20" spans="1:29" s="281" customFormat="1" ht="12">
      <c r="A20" s="289">
        <v>13</v>
      </c>
      <c r="B20" s="294">
        <v>39504</v>
      </c>
      <c r="C20" s="289">
        <v>57509</v>
      </c>
      <c r="D20" s="292">
        <v>39783</v>
      </c>
      <c r="E20" s="291" t="s">
        <v>262</v>
      </c>
      <c r="F20" s="291" t="s">
        <v>266</v>
      </c>
      <c r="G20" s="289">
        <v>31.5</v>
      </c>
      <c r="H20" s="289">
        <v>31.5</v>
      </c>
      <c r="I20" s="289"/>
      <c r="J20" s="293">
        <f>+H20*0.12</f>
        <v>3.78</v>
      </c>
      <c r="K20" s="293">
        <f>+H20+I20+J20</f>
        <v>35.28</v>
      </c>
      <c r="L20" s="292">
        <v>39791</v>
      </c>
      <c r="M20" s="291" t="s">
        <v>450</v>
      </c>
      <c r="N20" s="291" t="s">
        <v>231</v>
      </c>
      <c r="O20" s="291" t="s">
        <v>231</v>
      </c>
      <c r="P20" s="291" t="s">
        <v>500</v>
      </c>
      <c r="Q20" s="289"/>
      <c r="R20" s="289">
        <v>0.63</v>
      </c>
      <c r="S20" s="289"/>
      <c r="T20" s="289"/>
      <c r="U20" s="289"/>
      <c r="V20" s="289"/>
      <c r="W20" s="289"/>
      <c r="X20" s="289">
        <f>SUM(Q20:W20)</f>
        <v>0.63</v>
      </c>
      <c r="Y20" s="289"/>
      <c r="Z20" s="290" t="s">
        <v>203</v>
      </c>
      <c r="AA20" s="282"/>
      <c r="AB20" s="282"/>
      <c r="AC20" s="282"/>
    </row>
    <row r="21" spans="1:29" s="281" customFormat="1" ht="12">
      <c r="A21" s="289">
        <v>14</v>
      </c>
      <c r="B21" s="294">
        <v>39505</v>
      </c>
      <c r="C21" s="289">
        <v>57510</v>
      </c>
      <c r="D21" s="292">
        <v>39791</v>
      </c>
      <c r="E21" s="291" t="s">
        <v>267</v>
      </c>
      <c r="F21" s="291" t="s">
        <v>270</v>
      </c>
      <c r="G21" s="289">
        <v>59.6</v>
      </c>
      <c r="H21" s="289">
        <f>+G21</f>
        <v>59.6</v>
      </c>
      <c r="I21" s="289"/>
      <c r="J21" s="293">
        <f>+H21*0.12</f>
        <v>7.1520000000000001</v>
      </c>
      <c r="K21" s="293">
        <f>+H21+I21+J21</f>
        <v>66.751999999999995</v>
      </c>
      <c r="L21" s="292">
        <v>39791</v>
      </c>
      <c r="M21" s="291" t="s">
        <v>450</v>
      </c>
      <c r="N21" s="291" t="s">
        <v>231</v>
      </c>
      <c r="O21" s="291" t="s">
        <v>231</v>
      </c>
      <c r="P21" s="291" t="s">
        <v>499</v>
      </c>
      <c r="Q21" s="289">
        <v>0.6</v>
      </c>
      <c r="R21" s="289"/>
      <c r="S21" s="289"/>
      <c r="T21" s="289"/>
      <c r="U21" s="289"/>
      <c r="V21" s="289"/>
      <c r="W21" s="289"/>
      <c r="X21" s="289">
        <f>SUM(Q21:W21)</f>
        <v>0.6</v>
      </c>
      <c r="Y21" s="289"/>
      <c r="Z21" s="290" t="s">
        <v>203</v>
      </c>
      <c r="AA21" s="282"/>
      <c r="AB21" s="282"/>
      <c r="AC21" s="282"/>
    </row>
    <row r="22" spans="1:29" s="281" customFormat="1" ht="12">
      <c r="A22" s="289">
        <v>15</v>
      </c>
      <c r="B22" s="294">
        <v>39508</v>
      </c>
      <c r="C22" s="289">
        <v>11803</v>
      </c>
      <c r="D22" s="292">
        <v>39791</v>
      </c>
      <c r="E22" s="291" t="s">
        <v>271</v>
      </c>
      <c r="F22" s="291" t="s">
        <v>274</v>
      </c>
      <c r="G22" s="289">
        <v>15.18</v>
      </c>
      <c r="H22" s="289">
        <v>15.18</v>
      </c>
      <c r="I22" s="289"/>
      <c r="J22" s="293">
        <f>+H22*0.12</f>
        <v>1.8215999999999999</v>
      </c>
      <c r="K22" s="293">
        <f>+H22+I22+J22</f>
        <v>17.0016</v>
      </c>
      <c r="L22" s="292">
        <v>39791</v>
      </c>
      <c r="M22" s="291" t="s">
        <v>450</v>
      </c>
      <c r="N22" s="291" t="s">
        <v>231</v>
      </c>
      <c r="O22" s="291" t="s">
        <v>231</v>
      </c>
      <c r="P22" s="291" t="s">
        <v>498</v>
      </c>
      <c r="Q22" s="289">
        <v>0.15</v>
      </c>
      <c r="R22" s="289"/>
      <c r="S22" s="289"/>
      <c r="T22" s="289"/>
      <c r="U22" s="289"/>
      <c r="V22" s="289"/>
      <c r="W22" s="289"/>
      <c r="X22" s="289">
        <f>SUM(Q22:W22)</f>
        <v>0.15</v>
      </c>
      <c r="Y22" s="289"/>
      <c r="Z22" s="290" t="s">
        <v>203</v>
      </c>
      <c r="AA22" s="282"/>
      <c r="AB22" s="282"/>
      <c r="AC22" s="282"/>
    </row>
    <row r="23" spans="1:29" s="281" customFormat="1" ht="12">
      <c r="A23" s="289">
        <v>16</v>
      </c>
      <c r="B23" s="294">
        <v>39511</v>
      </c>
      <c r="C23" s="289">
        <v>11803</v>
      </c>
      <c r="D23" s="292">
        <v>39791</v>
      </c>
      <c r="E23" s="291" t="s">
        <v>271</v>
      </c>
      <c r="F23" s="291" t="s">
        <v>277</v>
      </c>
      <c r="G23" s="289">
        <v>121.7</v>
      </c>
      <c r="H23" s="289">
        <v>121.7</v>
      </c>
      <c r="I23" s="289"/>
      <c r="J23" s="293">
        <f>+H23*0.12</f>
        <v>14.603999999999999</v>
      </c>
      <c r="K23" s="293">
        <f>+H23+I23+J23</f>
        <v>136.304</v>
      </c>
      <c r="L23" s="292">
        <v>39791</v>
      </c>
      <c r="M23" s="291" t="s">
        <v>450</v>
      </c>
      <c r="N23" s="291" t="s">
        <v>231</v>
      </c>
      <c r="O23" s="291" t="s">
        <v>231</v>
      </c>
      <c r="P23" s="291" t="s">
        <v>496</v>
      </c>
      <c r="Q23" s="289">
        <v>1.22</v>
      </c>
      <c r="R23" s="289"/>
      <c r="S23" s="289"/>
      <c r="T23" s="289"/>
      <c r="U23" s="289"/>
      <c r="V23" s="289"/>
      <c r="W23" s="289"/>
      <c r="X23" s="289">
        <f>SUM(Q23:W23)</f>
        <v>1.22</v>
      </c>
      <c r="Y23" s="289"/>
      <c r="Z23" s="290" t="s">
        <v>203</v>
      </c>
      <c r="AA23" s="282"/>
      <c r="AB23" s="282"/>
      <c r="AC23" s="282"/>
    </row>
    <row r="24" spans="1:29" s="281" customFormat="1" ht="12">
      <c r="A24" s="289">
        <v>17</v>
      </c>
      <c r="B24" s="294">
        <v>39513</v>
      </c>
      <c r="C24" s="289">
        <v>11803</v>
      </c>
      <c r="D24" s="292">
        <v>39791</v>
      </c>
      <c r="E24" s="291" t="s">
        <v>271</v>
      </c>
      <c r="F24" s="305" t="s">
        <v>280</v>
      </c>
      <c r="G24" s="289">
        <v>22.5</v>
      </c>
      <c r="H24" s="289">
        <v>22.5</v>
      </c>
      <c r="I24" s="289"/>
      <c r="J24" s="293">
        <f>+H24*0.12</f>
        <v>2.6999999999999997</v>
      </c>
      <c r="K24" s="293">
        <f>+H24+I24+J24</f>
        <v>25.2</v>
      </c>
      <c r="L24" s="292">
        <v>39791</v>
      </c>
      <c r="M24" s="291" t="s">
        <v>450</v>
      </c>
      <c r="N24" s="291" t="s">
        <v>231</v>
      </c>
      <c r="O24" s="291" t="s">
        <v>231</v>
      </c>
      <c r="P24" s="291" t="s">
        <v>497</v>
      </c>
      <c r="Q24" s="289">
        <v>0.23</v>
      </c>
      <c r="R24" s="289"/>
      <c r="S24" s="289"/>
      <c r="T24" s="289"/>
      <c r="U24" s="289"/>
      <c r="V24" s="289"/>
      <c r="W24" s="289"/>
      <c r="X24" s="289">
        <f>SUM(Q24:W24)</f>
        <v>0.23</v>
      </c>
      <c r="Y24" s="289"/>
      <c r="Z24" s="290" t="s">
        <v>203</v>
      </c>
      <c r="AA24" s="282"/>
      <c r="AB24" s="282"/>
      <c r="AC24" s="282"/>
    </row>
    <row r="25" spans="1:29" s="281" customFormat="1" ht="12">
      <c r="A25" s="289">
        <v>18</v>
      </c>
      <c r="B25" s="294">
        <v>39512</v>
      </c>
      <c r="C25" s="289">
        <v>11803</v>
      </c>
      <c r="D25" s="292">
        <v>39791</v>
      </c>
      <c r="E25" s="291" t="s">
        <v>271</v>
      </c>
      <c r="F25" s="291" t="s">
        <v>284</v>
      </c>
      <c r="G25" s="289">
        <v>166.27</v>
      </c>
      <c r="H25" s="289">
        <v>166.27</v>
      </c>
      <c r="I25" s="289"/>
      <c r="J25" s="293">
        <f>+H25*0.12</f>
        <v>19.952400000000001</v>
      </c>
      <c r="K25" s="293">
        <f>+H25+I25+J25</f>
        <v>186.22240000000002</v>
      </c>
      <c r="L25" s="292">
        <v>39791</v>
      </c>
      <c r="M25" s="291" t="s">
        <v>450</v>
      </c>
      <c r="N25" s="291" t="s">
        <v>231</v>
      </c>
      <c r="O25" s="291" t="s">
        <v>231</v>
      </c>
      <c r="P25" s="291" t="s">
        <v>496</v>
      </c>
      <c r="Q25" s="303">
        <f>+G25*0.01</f>
        <v>1.6627000000000001</v>
      </c>
      <c r="R25" s="289"/>
      <c r="S25" s="289"/>
      <c r="T25" s="289"/>
      <c r="U25" s="289"/>
      <c r="V25" s="289"/>
      <c r="W25" s="289"/>
      <c r="X25" s="289">
        <f>SUM(Q25:W25)</f>
        <v>1.6627000000000001</v>
      </c>
      <c r="Y25" s="289"/>
      <c r="Z25" s="290" t="s">
        <v>203</v>
      </c>
      <c r="AA25" s="282"/>
      <c r="AB25" s="282"/>
      <c r="AC25" s="282"/>
    </row>
    <row r="26" spans="1:29" s="281" customFormat="1" ht="12">
      <c r="A26" s="289">
        <v>19</v>
      </c>
      <c r="B26" s="294">
        <v>39533</v>
      </c>
      <c r="C26" s="289">
        <v>11803</v>
      </c>
      <c r="D26" s="292">
        <v>39791</v>
      </c>
      <c r="E26" s="291" t="s">
        <v>271</v>
      </c>
      <c r="F26" s="291" t="s">
        <v>287</v>
      </c>
      <c r="G26" s="289">
        <v>19.239999999999998</v>
      </c>
      <c r="H26" s="289">
        <v>19.239999999999998</v>
      </c>
      <c r="I26" s="289"/>
      <c r="J26" s="293">
        <f>+H26*0.12</f>
        <v>2.3087999999999997</v>
      </c>
      <c r="K26" s="293">
        <f>+H26+I26+J26</f>
        <v>21.5488</v>
      </c>
      <c r="L26" s="292">
        <v>39791</v>
      </c>
      <c r="M26" s="291" t="s">
        <v>450</v>
      </c>
      <c r="N26" s="291" t="s">
        <v>231</v>
      </c>
      <c r="O26" s="291" t="s">
        <v>231</v>
      </c>
      <c r="P26" s="291" t="s">
        <v>495</v>
      </c>
      <c r="Q26" s="289">
        <v>0.19</v>
      </c>
      <c r="R26" s="289"/>
      <c r="S26" s="289"/>
      <c r="T26" s="289"/>
      <c r="U26" s="289"/>
      <c r="V26" s="289"/>
      <c r="W26" s="289"/>
      <c r="X26" s="289">
        <f>SUM(Q26:W26)</f>
        <v>0.19</v>
      </c>
      <c r="Y26" s="289"/>
      <c r="Z26" s="290" t="s">
        <v>203</v>
      </c>
      <c r="AA26" s="282"/>
      <c r="AB26" s="282"/>
      <c r="AC26" s="282"/>
    </row>
    <row r="27" spans="1:29" s="281" customFormat="1" ht="12">
      <c r="A27" s="289">
        <v>20</v>
      </c>
      <c r="B27" s="294">
        <v>39533</v>
      </c>
      <c r="C27" s="289">
        <v>57508</v>
      </c>
      <c r="D27" s="292">
        <v>39785</v>
      </c>
      <c r="E27" s="291" t="s">
        <v>288</v>
      </c>
      <c r="F27" s="291" t="s">
        <v>291</v>
      </c>
      <c r="G27" s="289">
        <v>1980</v>
      </c>
      <c r="H27" s="289">
        <v>1980</v>
      </c>
      <c r="I27" s="289"/>
      <c r="J27" s="293">
        <f>+H27*0.12</f>
        <v>237.6</v>
      </c>
      <c r="K27" s="293">
        <f>+H27+I27+J27</f>
        <v>2217.6</v>
      </c>
      <c r="L27" s="292">
        <v>39791</v>
      </c>
      <c r="M27" s="291" t="s">
        <v>450</v>
      </c>
      <c r="N27" s="291" t="s">
        <v>231</v>
      </c>
      <c r="O27" s="291" t="s">
        <v>231</v>
      </c>
      <c r="P27" s="291" t="s">
        <v>494</v>
      </c>
      <c r="Q27" s="289"/>
      <c r="R27" s="289">
        <v>39.6</v>
      </c>
      <c r="S27" s="289"/>
      <c r="T27" s="289"/>
      <c r="U27" s="289"/>
      <c r="V27" s="289">
        <f>+J27*0.7</f>
        <v>166.32</v>
      </c>
      <c r="W27" s="289"/>
      <c r="X27" s="289">
        <f>SUM(Q27:W27)</f>
        <v>205.92</v>
      </c>
      <c r="Y27" s="289">
        <v>708</v>
      </c>
      <c r="Z27" s="290" t="s">
        <v>203</v>
      </c>
      <c r="AA27" s="282"/>
      <c r="AB27" s="282"/>
      <c r="AC27" s="282"/>
    </row>
    <row r="28" spans="1:29" s="281" customFormat="1" ht="12">
      <c r="A28" s="289">
        <v>21</v>
      </c>
      <c r="B28" s="294">
        <v>39534</v>
      </c>
      <c r="C28" s="289">
        <v>57502</v>
      </c>
      <c r="D28" s="292">
        <v>39790</v>
      </c>
      <c r="E28" s="291" t="s">
        <v>292</v>
      </c>
      <c r="F28" s="291" t="s">
        <v>295</v>
      </c>
      <c r="G28" s="289">
        <v>8830.36</v>
      </c>
      <c r="H28" s="289">
        <v>8830.36</v>
      </c>
      <c r="I28" s="289"/>
      <c r="J28" s="312">
        <f>+H28*0.12</f>
        <v>1059.6432</v>
      </c>
      <c r="K28" s="293">
        <f>+H28+I28+J28</f>
        <v>9890.003200000001</v>
      </c>
      <c r="L28" s="292">
        <v>39791</v>
      </c>
      <c r="M28" s="291" t="s">
        <v>450</v>
      </c>
      <c r="N28" s="291" t="s">
        <v>231</v>
      </c>
      <c r="O28" s="291" t="s">
        <v>231</v>
      </c>
      <c r="P28" s="291" t="s">
        <v>493</v>
      </c>
      <c r="Q28" s="289">
        <v>88.3</v>
      </c>
      <c r="R28" s="289"/>
      <c r="S28" s="289"/>
      <c r="T28" s="289"/>
      <c r="U28" s="289"/>
      <c r="V28" s="289"/>
      <c r="W28" s="289"/>
      <c r="X28" s="289">
        <f>SUM(Q28:W28)</f>
        <v>88.3</v>
      </c>
      <c r="Y28" s="289"/>
      <c r="Z28" s="290" t="s">
        <v>203</v>
      </c>
      <c r="AA28" s="282"/>
      <c r="AB28" s="282"/>
      <c r="AC28" s="282"/>
    </row>
    <row r="29" spans="1:29" s="281" customFormat="1" ht="12">
      <c r="A29" s="289">
        <v>22</v>
      </c>
      <c r="B29" s="294">
        <v>39575</v>
      </c>
      <c r="C29" s="289">
        <v>11804</v>
      </c>
      <c r="D29" s="292">
        <v>39792</v>
      </c>
      <c r="E29" s="291" t="s">
        <v>296</v>
      </c>
      <c r="F29" s="291" t="s">
        <v>300</v>
      </c>
      <c r="G29" s="289">
        <v>44.34</v>
      </c>
      <c r="H29" s="289">
        <v>44.34</v>
      </c>
      <c r="I29" s="289"/>
      <c r="J29" s="293">
        <f>+H29*0.12</f>
        <v>5.3208000000000002</v>
      </c>
      <c r="K29" s="293">
        <f>+H29+I29+J29</f>
        <v>49.660800000000002</v>
      </c>
      <c r="L29" s="292">
        <v>39792</v>
      </c>
      <c r="M29" s="291" t="s">
        <v>450</v>
      </c>
      <c r="N29" s="291" t="s">
        <v>231</v>
      </c>
      <c r="O29" s="291" t="s">
        <v>231</v>
      </c>
      <c r="P29" s="291" t="s">
        <v>492</v>
      </c>
      <c r="Q29" s="289">
        <v>0.44</v>
      </c>
      <c r="R29" s="289"/>
      <c r="S29" s="289"/>
      <c r="T29" s="289"/>
      <c r="U29" s="289"/>
      <c r="V29" s="289"/>
      <c r="W29" s="289"/>
      <c r="X29" s="289">
        <f>SUM(Q29:W29)</f>
        <v>0.44</v>
      </c>
      <c r="Y29" s="289"/>
      <c r="Z29" s="290" t="s">
        <v>203</v>
      </c>
      <c r="AA29" s="282"/>
      <c r="AB29" s="282"/>
      <c r="AC29" s="282"/>
    </row>
    <row r="30" spans="1:29" s="281" customFormat="1" ht="12">
      <c r="A30" s="289">
        <v>23</v>
      </c>
      <c r="B30" s="294">
        <v>39576</v>
      </c>
      <c r="C30" s="289">
        <v>57577</v>
      </c>
      <c r="D30" s="292">
        <v>39780</v>
      </c>
      <c r="E30" s="291" t="s">
        <v>301</v>
      </c>
      <c r="F30" s="301" t="s">
        <v>305</v>
      </c>
      <c r="G30" s="289">
        <v>14.92</v>
      </c>
      <c r="H30" s="289">
        <v>14.92</v>
      </c>
      <c r="I30" s="289"/>
      <c r="J30" s="293">
        <f>+H30*0.12</f>
        <v>1.7904</v>
      </c>
      <c r="K30" s="293">
        <f>+H30+I30+J30</f>
        <v>16.7104</v>
      </c>
      <c r="L30" s="292">
        <v>39794</v>
      </c>
      <c r="M30" s="291" t="s">
        <v>450</v>
      </c>
      <c r="N30" s="291" t="s">
        <v>231</v>
      </c>
      <c r="O30" s="291" t="s">
        <v>231</v>
      </c>
      <c r="P30" s="291" t="s">
        <v>491</v>
      </c>
      <c r="Q30" s="289"/>
      <c r="R30" s="289">
        <v>0.3</v>
      </c>
      <c r="S30" s="289"/>
      <c r="T30" s="289"/>
      <c r="U30" s="289"/>
      <c r="V30" s="289"/>
      <c r="W30" s="289"/>
      <c r="X30" s="289">
        <f>SUM(Q30:W30)</f>
        <v>0.3</v>
      </c>
      <c r="Y30" s="289"/>
      <c r="Z30" s="290" t="s">
        <v>203</v>
      </c>
      <c r="AA30" s="282"/>
      <c r="AB30" s="282"/>
      <c r="AC30" s="282"/>
    </row>
    <row r="31" spans="1:29" s="281" customFormat="1" ht="12">
      <c r="A31" s="289">
        <v>24</v>
      </c>
      <c r="B31" s="294">
        <v>39576</v>
      </c>
      <c r="C31" s="289">
        <v>57577</v>
      </c>
      <c r="D31" s="292">
        <v>39791</v>
      </c>
      <c r="E31" s="291" t="s">
        <v>306</v>
      </c>
      <c r="F31" s="301" t="s">
        <v>309</v>
      </c>
      <c r="G31" s="289">
        <v>97.31</v>
      </c>
      <c r="H31" s="289"/>
      <c r="I31" s="289">
        <v>117</v>
      </c>
      <c r="J31" s="293">
        <f>+H31*0.12</f>
        <v>0</v>
      </c>
      <c r="K31" s="293">
        <f>+H31+I31+J31</f>
        <v>117</v>
      </c>
      <c r="L31" s="292">
        <v>39794</v>
      </c>
      <c r="M31" s="291" t="s">
        <v>450</v>
      </c>
      <c r="N31" s="291" t="s">
        <v>231</v>
      </c>
      <c r="O31" s="291" t="s">
        <v>231</v>
      </c>
      <c r="P31" s="291" t="s">
        <v>490</v>
      </c>
      <c r="Q31" s="289">
        <v>0.97</v>
      </c>
      <c r="R31" s="289"/>
      <c r="S31" s="289"/>
      <c r="T31" s="289"/>
      <c r="U31" s="289"/>
      <c r="V31" s="289"/>
      <c r="W31" s="289"/>
      <c r="X31" s="289">
        <f>SUM(Q31:W31)</f>
        <v>0.97</v>
      </c>
      <c r="Y31" s="289"/>
      <c r="Z31" s="290" t="s">
        <v>203</v>
      </c>
      <c r="AA31" s="282"/>
      <c r="AB31" s="282"/>
      <c r="AC31" s="282"/>
    </row>
    <row r="32" spans="1:29" s="281" customFormat="1" ht="48">
      <c r="A32" s="296">
        <v>25</v>
      </c>
      <c r="B32" s="300">
        <v>39577</v>
      </c>
      <c r="C32" s="296">
        <v>57577</v>
      </c>
      <c r="D32" s="298">
        <v>39780</v>
      </c>
      <c r="E32" s="297" t="s">
        <v>306</v>
      </c>
      <c r="F32" s="311" t="s">
        <v>311</v>
      </c>
      <c r="G32" s="296">
        <v>101.63</v>
      </c>
      <c r="H32" s="296"/>
      <c r="I32" s="296">
        <v>122.14</v>
      </c>
      <c r="J32" s="299">
        <f>+H32*0.12</f>
        <v>0</v>
      </c>
      <c r="K32" s="299">
        <f>+H32+I32+J32</f>
        <v>122.14</v>
      </c>
      <c r="L32" s="296"/>
      <c r="M32" s="297"/>
      <c r="N32" s="297"/>
      <c r="O32" s="297"/>
      <c r="P32" s="297"/>
      <c r="Q32" s="296"/>
      <c r="R32" s="296"/>
      <c r="S32" s="296"/>
      <c r="T32" s="296"/>
      <c r="U32" s="296"/>
      <c r="V32" s="296"/>
      <c r="W32" s="296"/>
      <c r="X32" s="296">
        <f>SUM(Q32:W32)</f>
        <v>0</v>
      </c>
      <c r="Y32" s="296"/>
      <c r="Z32" s="310" t="s">
        <v>489</v>
      </c>
      <c r="AA32" s="282"/>
      <c r="AB32" s="282"/>
      <c r="AC32" s="282"/>
    </row>
    <row r="33" spans="1:29" s="281" customFormat="1" ht="12">
      <c r="A33" s="289">
        <v>26</v>
      </c>
      <c r="B33" s="294">
        <v>39577</v>
      </c>
      <c r="C33" s="289">
        <v>11821</v>
      </c>
      <c r="D33" s="292">
        <v>39790</v>
      </c>
      <c r="E33" s="291" t="s">
        <v>312</v>
      </c>
      <c r="F33" s="291" t="s">
        <v>315</v>
      </c>
      <c r="G33" s="289">
        <v>120</v>
      </c>
      <c r="H33" s="289">
        <v>120</v>
      </c>
      <c r="I33" s="289"/>
      <c r="J33" s="293">
        <f>+H33*0.12</f>
        <v>14.399999999999999</v>
      </c>
      <c r="K33" s="293">
        <f>+H33+I33+J33</f>
        <v>134.4</v>
      </c>
      <c r="L33" s="292">
        <v>39794</v>
      </c>
      <c r="M33" s="291" t="s">
        <v>450</v>
      </c>
      <c r="N33" s="291" t="s">
        <v>231</v>
      </c>
      <c r="O33" s="291" t="s">
        <v>231</v>
      </c>
      <c r="P33" s="291" t="s">
        <v>488</v>
      </c>
      <c r="Q33" s="289"/>
      <c r="R33" s="289">
        <v>2.4</v>
      </c>
      <c r="S33" s="289"/>
      <c r="T33" s="289"/>
      <c r="U33" s="289"/>
      <c r="V33" s="289"/>
      <c r="W33" s="293">
        <f>+J33</f>
        <v>14.399999999999999</v>
      </c>
      <c r="X33" s="289">
        <f>SUM(Q33:W33)</f>
        <v>16.799999999999997</v>
      </c>
      <c r="Y33" s="289">
        <v>701</v>
      </c>
      <c r="Z33" s="290" t="s">
        <v>203</v>
      </c>
      <c r="AA33" s="282"/>
      <c r="AB33" s="282"/>
      <c r="AC33" s="282"/>
    </row>
    <row r="34" spans="1:29" s="281" customFormat="1" ht="12">
      <c r="A34" s="289">
        <v>27</v>
      </c>
      <c r="B34" s="294">
        <v>39582</v>
      </c>
      <c r="C34" s="289">
        <v>57632</v>
      </c>
      <c r="D34" s="292">
        <v>39794</v>
      </c>
      <c r="E34" s="291" t="s">
        <v>316</v>
      </c>
      <c r="F34" s="291" t="s">
        <v>320</v>
      </c>
      <c r="G34" s="289">
        <v>108</v>
      </c>
      <c r="H34" s="289">
        <v>108</v>
      </c>
      <c r="I34" s="289"/>
      <c r="J34" s="293">
        <f>+H34*0.12</f>
        <v>12.959999999999999</v>
      </c>
      <c r="K34" s="293">
        <f>+H34+I34+J34</f>
        <v>120.96</v>
      </c>
      <c r="L34" s="292">
        <v>39797</v>
      </c>
      <c r="M34" s="291" t="s">
        <v>450</v>
      </c>
      <c r="N34" s="291" t="s">
        <v>231</v>
      </c>
      <c r="O34" s="291" t="s">
        <v>231</v>
      </c>
      <c r="P34" s="291" t="s">
        <v>487</v>
      </c>
      <c r="Q34" s="289">
        <v>1.08</v>
      </c>
      <c r="R34" s="289"/>
      <c r="S34" s="289"/>
      <c r="T34" s="289"/>
      <c r="U34" s="289"/>
      <c r="V34" s="289"/>
      <c r="W34" s="289"/>
      <c r="X34" s="289">
        <f>SUM(Q34:W34)</f>
        <v>1.08</v>
      </c>
      <c r="Y34" s="289"/>
      <c r="Z34" s="290" t="s">
        <v>203</v>
      </c>
      <c r="AA34" s="282"/>
      <c r="AB34" s="282"/>
      <c r="AC34" s="282"/>
    </row>
    <row r="35" spans="1:29" s="281" customFormat="1" ht="12">
      <c r="A35" s="289">
        <v>28</v>
      </c>
      <c r="B35" s="300">
        <v>39589</v>
      </c>
      <c r="C35" s="296">
        <v>11823</v>
      </c>
      <c r="D35" s="298">
        <v>39794</v>
      </c>
      <c r="E35" s="297" t="s">
        <v>321</v>
      </c>
      <c r="F35" s="297" t="s">
        <v>324</v>
      </c>
      <c r="G35" s="296">
        <v>430</v>
      </c>
      <c r="H35" s="296">
        <v>390</v>
      </c>
      <c r="I35" s="296">
        <v>40</v>
      </c>
      <c r="J35" s="299">
        <f>+H35*0.12</f>
        <v>46.8</v>
      </c>
      <c r="K35" s="299">
        <f>+H35+I35+J35</f>
        <v>476.8</v>
      </c>
      <c r="L35" s="298">
        <v>39797</v>
      </c>
      <c r="M35" s="297" t="s">
        <v>450</v>
      </c>
      <c r="N35" s="297" t="s">
        <v>231</v>
      </c>
      <c r="O35" s="297" t="s">
        <v>231</v>
      </c>
      <c r="P35" s="297" t="s">
        <v>486</v>
      </c>
      <c r="Q35" s="296">
        <f>+I35*0.01</f>
        <v>0.4</v>
      </c>
      <c r="R35" s="296">
        <f>+H35*0.02</f>
        <v>7.8</v>
      </c>
      <c r="S35" s="296"/>
      <c r="T35" s="296"/>
      <c r="U35" s="296"/>
      <c r="V35" s="296"/>
      <c r="W35" s="296"/>
      <c r="X35" s="296">
        <f>SUM(Q35:W35)</f>
        <v>8.1999999999999993</v>
      </c>
      <c r="Y35" s="296"/>
      <c r="Z35" s="295" t="s">
        <v>447</v>
      </c>
      <c r="AA35" s="282"/>
      <c r="AB35" s="282"/>
      <c r="AC35" s="282"/>
    </row>
    <row r="36" spans="1:29" s="281" customFormat="1" ht="12">
      <c r="A36" s="289">
        <v>29</v>
      </c>
      <c r="B36" s="294">
        <v>39591</v>
      </c>
      <c r="C36" s="289">
        <v>57633</v>
      </c>
      <c r="D36" s="292">
        <v>39792</v>
      </c>
      <c r="E36" s="291" t="s">
        <v>327</v>
      </c>
      <c r="F36" s="291" t="s">
        <v>330</v>
      </c>
      <c r="G36" s="289">
        <v>45</v>
      </c>
      <c r="H36" s="289">
        <v>45</v>
      </c>
      <c r="I36" s="289"/>
      <c r="J36" s="293">
        <f>+H36*0.12</f>
        <v>5.3999999999999995</v>
      </c>
      <c r="K36" s="293">
        <f>+H36+I36+J36</f>
        <v>50.4</v>
      </c>
      <c r="L36" s="292">
        <v>39797</v>
      </c>
      <c r="M36" s="291" t="s">
        <v>450</v>
      </c>
      <c r="N36" s="291" t="s">
        <v>231</v>
      </c>
      <c r="O36" s="291" t="s">
        <v>231</v>
      </c>
      <c r="P36" s="291" t="s">
        <v>485</v>
      </c>
      <c r="Q36" s="289"/>
      <c r="R36" s="289">
        <v>0.9</v>
      </c>
      <c r="S36" s="289"/>
      <c r="T36" s="289"/>
      <c r="U36" s="289"/>
      <c r="V36" s="289"/>
      <c r="W36" s="289"/>
      <c r="X36" s="289">
        <f>SUM(Q36:W36)</f>
        <v>0.9</v>
      </c>
      <c r="Y36" s="289"/>
      <c r="Z36" s="290" t="s">
        <v>203</v>
      </c>
      <c r="AA36" s="282"/>
      <c r="AB36" s="282"/>
      <c r="AC36" s="282"/>
    </row>
    <row r="37" spans="1:29" s="281" customFormat="1" ht="12">
      <c r="A37" s="289">
        <v>30</v>
      </c>
      <c r="B37" s="294">
        <v>39596</v>
      </c>
      <c r="C37" s="289">
        <v>57651</v>
      </c>
      <c r="D37" s="292">
        <v>39798</v>
      </c>
      <c r="E37" s="291" t="s">
        <v>331</v>
      </c>
      <c r="F37" s="291" t="s">
        <v>333</v>
      </c>
      <c r="G37" s="289">
        <v>30</v>
      </c>
      <c r="H37" s="289">
        <v>30</v>
      </c>
      <c r="I37" s="289"/>
      <c r="J37" s="293">
        <f>+H37*0.12</f>
        <v>3.5999999999999996</v>
      </c>
      <c r="K37" s="293">
        <f>+H37+I37+J37</f>
        <v>33.6</v>
      </c>
      <c r="L37" s="292">
        <v>39798</v>
      </c>
      <c r="M37" s="291" t="s">
        <v>450</v>
      </c>
      <c r="N37" s="291" t="s">
        <v>231</v>
      </c>
      <c r="O37" s="291" t="s">
        <v>231</v>
      </c>
      <c r="P37" s="291" t="s">
        <v>484</v>
      </c>
      <c r="Q37" s="289"/>
      <c r="R37" s="289">
        <v>0.6</v>
      </c>
      <c r="S37" s="289"/>
      <c r="T37" s="289"/>
      <c r="U37" s="289"/>
      <c r="V37" s="289"/>
      <c r="W37" s="293">
        <f>+J37</f>
        <v>3.5999999999999996</v>
      </c>
      <c r="X37" s="289">
        <f>SUM(Q37:W37)</f>
        <v>4.1999999999999993</v>
      </c>
      <c r="Y37" s="289">
        <v>703</v>
      </c>
      <c r="Z37" s="290" t="s">
        <v>203</v>
      </c>
      <c r="AA37" s="282"/>
      <c r="AB37" s="282"/>
      <c r="AC37" s="282"/>
    </row>
    <row r="38" spans="1:29" s="281" customFormat="1" ht="12">
      <c r="A38" s="289">
        <v>31</v>
      </c>
      <c r="B38" s="294">
        <v>39596</v>
      </c>
      <c r="C38" s="289">
        <v>57650</v>
      </c>
      <c r="D38" s="292">
        <v>39796</v>
      </c>
      <c r="E38" s="291" t="s">
        <v>321</v>
      </c>
      <c r="F38" s="291" t="s">
        <v>335</v>
      </c>
      <c r="G38" s="289">
        <v>30</v>
      </c>
      <c r="H38" s="289">
        <v>30</v>
      </c>
      <c r="I38" s="289"/>
      <c r="J38" s="293">
        <f>+H38*0.12</f>
        <v>3.5999999999999996</v>
      </c>
      <c r="K38" s="293">
        <f>+H38+I38+J38</f>
        <v>33.6</v>
      </c>
      <c r="L38" s="292">
        <v>39798</v>
      </c>
      <c r="M38" s="291" t="s">
        <v>450</v>
      </c>
      <c r="N38" s="291" t="s">
        <v>231</v>
      </c>
      <c r="O38" s="291" t="s">
        <v>231</v>
      </c>
      <c r="P38" s="291" t="s">
        <v>483</v>
      </c>
      <c r="Q38" s="289"/>
      <c r="R38" s="289">
        <v>0.6</v>
      </c>
      <c r="S38" s="289"/>
      <c r="T38" s="289"/>
      <c r="U38" s="289"/>
      <c r="V38" s="289"/>
      <c r="W38" s="289"/>
      <c r="X38" s="289">
        <f>SUM(Q38:W38)</f>
        <v>0.6</v>
      </c>
      <c r="Y38" s="289"/>
      <c r="Z38" s="290" t="s">
        <v>203</v>
      </c>
      <c r="AA38" s="282"/>
      <c r="AB38" s="282"/>
      <c r="AC38" s="282"/>
    </row>
    <row r="39" spans="1:29" s="281" customFormat="1" ht="12">
      <c r="A39" s="289">
        <v>32</v>
      </c>
      <c r="B39" s="294">
        <v>39605</v>
      </c>
      <c r="C39" s="289">
        <v>57657</v>
      </c>
      <c r="D39" s="292">
        <v>39799</v>
      </c>
      <c r="E39" s="291" t="s">
        <v>336</v>
      </c>
      <c r="F39" s="291" t="s">
        <v>339</v>
      </c>
      <c r="G39" s="289">
        <v>310</v>
      </c>
      <c r="H39" s="289">
        <v>310</v>
      </c>
      <c r="I39" s="289"/>
      <c r="J39" s="293">
        <f>+H39*0.12</f>
        <v>37.199999999999996</v>
      </c>
      <c r="K39" s="293">
        <f>+H39+I39+J39</f>
        <v>347.2</v>
      </c>
      <c r="L39" s="292">
        <v>39799</v>
      </c>
      <c r="M39" s="291" t="s">
        <v>450</v>
      </c>
      <c r="N39" s="291" t="s">
        <v>231</v>
      </c>
      <c r="O39" s="291" t="s">
        <v>231</v>
      </c>
      <c r="P39" s="291" t="s">
        <v>482</v>
      </c>
      <c r="Q39" s="289">
        <v>3.1</v>
      </c>
      <c r="R39" s="289"/>
      <c r="S39" s="289"/>
      <c r="T39" s="289"/>
      <c r="U39" s="289"/>
      <c r="V39" s="289"/>
      <c r="W39" s="289"/>
      <c r="X39" s="289">
        <f>SUM(Q39:W39)</f>
        <v>3.1</v>
      </c>
      <c r="Y39" s="289"/>
      <c r="Z39" s="290" t="s">
        <v>203</v>
      </c>
      <c r="AA39" s="282"/>
      <c r="AB39" s="282"/>
      <c r="AC39" s="282"/>
    </row>
    <row r="40" spans="1:29" s="281" customFormat="1" ht="12">
      <c r="A40" s="289">
        <v>33</v>
      </c>
      <c r="B40" s="294">
        <v>39618</v>
      </c>
      <c r="C40" s="289">
        <v>57675</v>
      </c>
      <c r="D40" s="292">
        <v>39798</v>
      </c>
      <c r="E40" s="291" t="s">
        <v>340</v>
      </c>
      <c r="F40" s="291" t="s">
        <v>343</v>
      </c>
      <c r="G40" s="289">
        <v>458.21</v>
      </c>
      <c r="H40" s="289">
        <v>458.21</v>
      </c>
      <c r="I40" s="289"/>
      <c r="J40" s="293">
        <f>+H40*0.12</f>
        <v>54.985199999999999</v>
      </c>
      <c r="K40" s="293">
        <f>+H40+I40+J40</f>
        <v>513.1952</v>
      </c>
      <c r="L40" s="292">
        <v>39800</v>
      </c>
      <c r="M40" s="291" t="s">
        <v>450</v>
      </c>
      <c r="N40" s="291" t="s">
        <v>231</v>
      </c>
      <c r="O40" s="291" t="s">
        <v>231</v>
      </c>
      <c r="P40" s="291" t="s">
        <v>481</v>
      </c>
      <c r="Q40" s="289">
        <v>4.58</v>
      </c>
      <c r="R40" s="289"/>
      <c r="S40" s="289"/>
      <c r="T40" s="289"/>
      <c r="U40" s="289"/>
      <c r="V40" s="289"/>
      <c r="W40" s="289"/>
      <c r="X40" s="289">
        <f>SUM(Q40:W40)</f>
        <v>4.58</v>
      </c>
      <c r="Y40" s="289"/>
      <c r="Z40" s="290" t="s">
        <v>203</v>
      </c>
      <c r="AA40" s="282"/>
      <c r="AB40" s="282"/>
      <c r="AC40" s="282"/>
    </row>
    <row r="41" spans="1:29" s="281" customFormat="1" ht="12">
      <c r="A41" s="289">
        <v>34</v>
      </c>
      <c r="B41" s="294">
        <v>39619</v>
      </c>
      <c r="C41" s="304">
        <v>57704</v>
      </c>
      <c r="D41" s="306">
        <v>39800</v>
      </c>
      <c r="E41" s="305" t="s">
        <v>331</v>
      </c>
      <c r="F41" s="305" t="s">
        <v>345</v>
      </c>
      <c r="G41" s="304">
        <v>200</v>
      </c>
      <c r="H41" s="304">
        <v>200</v>
      </c>
      <c r="I41" s="304"/>
      <c r="J41" s="307">
        <f>+H41*0.12</f>
        <v>24</v>
      </c>
      <c r="K41" s="307">
        <f>+H41+I41+J41</f>
        <v>224</v>
      </c>
      <c r="L41" s="306">
        <v>39800</v>
      </c>
      <c r="M41" s="305" t="s">
        <v>442</v>
      </c>
      <c r="N41" s="305" t="s">
        <v>231</v>
      </c>
      <c r="O41" s="305" t="s">
        <v>231</v>
      </c>
      <c r="P41" s="305" t="s">
        <v>480</v>
      </c>
      <c r="Q41" s="304"/>
      <c r="R41" s="304">
        <v>4</v>
      </c>
      <c r="S41" s="304"/>
      <c r="T41" s="304"/>
      <c r="U41" s="304"/>
      <c r="V41" s="304"/>
      <c r="W41" s="307">
        <f>+J41</f>
        <v>24</v>
      </c>
      <c r="X41" s="304">
        <f>SUM(Q41:W41)</f>
        <v>28</v>
      </c>
      <c r="Y41" s="304">
        <v>703</v>
      </c>
      <c r="Z41" s="309" t="s">
        <v>203</v>
      </c>
      <c r="AA41" s="282"/>
      <c r="AB41" s="282"/>
      <c r="AC41" s="282"/>
    </row>
    <row r="42" spans="1:29" s="281" customFormat="1" ht="12">
      <c r="A42" s="289">
        <v>35</v>
      </c>
      <c r="B42" s="294">
        <v>39624</v>
      </c>
      <c r="C42" s="304">
        <v>57701</v>
      </c>
      <c r="D42" s="306">
        <v>39794</v>
      </c>
      <c r="E42" s="305" t="s">
        <v>346</v>
      </c>
      <c r="F42" s="305" t="s">
        <v>349</v>
      </c>
      <c r="G42" s="304">
        <v>66.52</v>
      </c>
      <c r="H42" s="304">
        <f>+G42</f>
        <v>66.52</v>
      </c>
      <c r="I42" s="304"/>
      <c r="J42" s="307">
        <f>+H42*0.12</f>
        <v>7.9823999999999993</v>
      </c>
      <c r="K42" s="307">
        <f>+H42+I42+J42</f>
        <v>74.502399999999994</v>
      </c>
      <c r="L42" s="306"/>
      <c r="M42" s="305"/>
      <c r="N42" s="305"/>
      <c r="O42" s="305"/>
      <c r="P42" s="305"/>
      <c r="Q42" s="304"/>
      <c r="R42" s="304"/>
      <c r="S42" s="304"/>
      <c r="T42" s="304"/>
      <c r="U42" s="304"/>
      <c r="V42" s="304"/>
      <c r="W42" s="304"/>
      <c r="X42" s="304"/>
      <c r="Y42" s="304"/>
      <c r="Z42" s="290"/>
      <c r="AA42" s="282"/>
      <c r="AB42" s="282"/>
      <c r="AC42" s="282"/>
    </row>
    <row r="43" spans="1:29" s="281" customFormat="1" ht="12">
      <c r="A43" s="289">
        <v>36</v>
      </c>
      <c r="B43" s="294">
        <v>39624</v>
      </c>
      <c r="C43" s="304">
        <v>57701</v>
      </c>
      <c r="D43" s="306">
        <v>39794</v>
      </c>
      <c r="E43" s="308" t="s">
        <v>350</v>
      </c>
      <c r="F43" s="308" t="s">
        <v>354</v>
      </c>
      <c r="G43" s="304">
        <v>19.93</v>
      </c>
      <c r="H43" s="304">
        <f>+G43</f>
        <v>19.93</v>
      </c>
      <c r="I43" s="304">
        <v>2.7</v>
      </c>
      <c r="J43" s="307">
        <f>+H43*0.12</f>
        <v>2.3915999999999999</v>
      </c>
      <c r="K43" s="307">
        <f>+H43+I43+J43</f>
        <v>25.021599999999999</v>
      </c>
      <c r="L43" s="306"/>
      <c r="M43" s="305"/>
      <c r="N43" s="305"/>
      <c r="O43" s="305"/>
      <c r="P43" s="305"/>
      <c r="Q43" s="304"/>
      <c r="R43" s="304"/>
      <c r="S43" s="304"/>
      <c r="T43" s="304"/>
      <c r="U43" s="304"/>
      <c r="V43" s="304"/>
      <c r="W43" s="304"/>
      <c r="X43" s="304"/>
      <c r="Y43" s="304"/>
      <c r="Z43" s="290"/>
      <c r="AA43" s="282"/>
      <c r="AB43" s="282"/>
      <c r="AC43" s="282"/>
    </row>
    <row r="44" spans="1:29" s="281" customFormat="1" ht="12">
      <c r="A44" s="289">
        <v>37</v>
      </c>
      <c r="B44" s="294">
        <v>39625</v>
      </c>
      <c r="C44" s="289">
        <v>57698</v>
      </c>
      <c r="D44" s="292">
        <v>39785</v>
      </c>
      <c r="E44" s="291" t="s">
        <v>356</v>
      </c>
      <c r="F44" s="301" t="s">
        <v>359</v>
      </c>
      <c r="G44" s="289">
        <v>1224</v>
      </c>
      <c r="H44" s="289"/>
      <c r="I44" s="289">
        <v>1224</v>
      </c>
      <c r="J44" s="293">
        <f>+H44*0.12</f>
        <v>0</v>
      </c>
      <c r="K44" s="293">
        <f>+H44+I44+J44</f>
        <v>1224</v>
      </c>
      <c r="L44" s="292">
        <v>39800</v>
      </c>
      <c r="M44" s="291" t="s">
        <v>450</v>
      </c>
      <c r="N44" s="291" t="s">
        <v>231</v>
      </c>
      <c r="O44" s="291" t="s">
        <v>231</v>
      </c>
      <c r="P44" s="291" t="s">
        <v>479</v>
      </c>
      <c r="Q44" s="289">
        <v>12.24</v>
      </c>
      <c r="R44" s="289"/>
      <c r="S44" s="289"/>
      <c r="T44" s="289"/>
      <c r="U44" s="289"/>
      <c r="V44" s="289"/>
      <c r="W44" s="289"/>
      <c r="X44" s="289">
        <f>SUM(Q44:W44)</f>
        <v>12.24</v>
      </c>
      <c r="Y44" s="289"/>
      <c r="Z44" s="290" t="s">
        <v>203</v>
      </c>
      <c r="AA44" s="282"/>
      <c r="AB44" s="282"/>
      <c r="AC44" s="282"/>
    </row>
    <row r="45" spans="1:29" s="281" customFormat="1" ht="12">
      <c r="A45" s="289">
        <v>38</v>
      </c>
      <c r="B45" s="294">
        <v>39629</v>
      </c>
      <c r="C45" s="289">
        <v>57698</v>
      </c>
      <c r="D45" s="292">
        <v>39800</v>
      </c>
      <c r="E45" s="291" t="s">
        <v>356</v>
      </c>
      <c r="F45" s="291" t="s">
        <v>362</v>
      </c>
      <c r="G45" s="289"/>
      <c r="H45" s="289"/>
      <c r="I45" s="289">
        <v>120.77</v>
      </c>
      <c r="J45" s="293">
        <f>+H45*0.12</f>
        <v>0</v>
      </c>
      <c r="K45" s="293">
        <f>+H45+I45+J45</f>
        <v>120.77</v>
      </c>
      <c r="L45" s="289"/>
      <c r="M45" s="291"/>
      <c r="N45" s="291" t="s">
        <v>231</v>
      </c>
      <c r="O45" s="291" t="s">
        <v>231</v>
      </c>
      <c r="P45" s="291"/>
      <c r="Q45" s="289"/>
      <c r="R45" s="289"/>
      <c r="S45" s="289"/>
      <c r="T45" s="289"/>
      <c r="U45" s="289"/>
      <c r="V45" s="289"/>
      <c r="W45" s="289"/>
      <c r="X45" s="289">
        <f>SUM(Q45:W45)</f>
        <v>0</v>
      </c>
      <c r="Y45" s="289"/>
      <c r="Z45" s="290"/>
      <c r="AA45" s="282"/>
      <c r="AB45" s="282"/>
      <c r="AC45" s="282"/>
    </row>
    <row r="46" spans="1:29" s="281" customFormat="1" ht="12">
      <c r="A46" s="289">
        <v>39</v>
      </c>
      <c r="B46" s="294">
        <v>39629</v>
      </c>
      <c r="C46" s="289">
        <v>57698</v>
      </c>
      <c r="D46" s="292">
        <v>39784</v>
      </c>
      <c r="E46" s="291" t="s">
        <v>356</v>
      </c>
      <c r="F46" s="301" t="s">
        <v>359</v>
      </c>
      <c r="G46" s="289">
        <v>3300</v>
      </c>
      <c r="H46" s="289"/>
      <c r="I46" s="289">
        <v>3300</v>
      </c>
      <c r="J46" s="293">
        <f>+H46*0.12</f>
        <v>0</v>
      </c>
      <c r="K46" s="293">
        <f>+H46+I46+J46</f>
        <v>3300</v>
      </c>
      <c r="L46" s="292">
        <v>39800</v>
      </c>
      <c r="M46" s="291" t="s">
        <v>450</v>
      </c>
      <c r="N46" s="291" t="s">
        <v>231</v>
      </c>
      <c r="O46" s="291" t="s">
        <v>231</v>
      </c>
      <c r="P46" s="291" t="s">
        <v>478</v>
      </c>
      <c r="Q46" s="289">
        <v>33</v>
      </c>
      <c r="R46" s="289"/>
      <c r="S46" s="289"/>
      <c r="T46" s="289"/>
      <c r="U46" s="289"/>
      <c r="V46" s="289"/>
      <c r="W46" s="289"/>
      <c r="X46" s="289">
        <f>SUM(Q46:W46)</f>
        <v>33</v>
      </c>
      <c r="Y46" s="289"/>
      <c r="Z46" s="290" t="s">
        <v>203</v>
      </c>
      <c r="AA46" s="282"/>
      <c r="AB46" s="282"/>
      <c r="AC46" s="282"/>
    </row>
    <row r="47" spans="1:29" s="281" customFormat="1" ht="12">
      <c r="A47" s="289">
        <v>40</v>
      </c>
      <c r="B47" s="294">
        <v>39637</v>
      </c>
      <c r="C47" s="289">
        <v>57698</v>
      </c>
      <c r="D47" s="292">
        <v>39800</v>
      </c>
      <c r="E47" s="291" t="s">
        <v>356</v>
      </c>
      <c r="F47" s="291" t="s">
        <v>362</v>
      </c>
      <c r="G47" s="289"/>
      <c r="H47" s="289"/>
      <c r="I47" s="289">
        <v>325.60000000000002</v>
      </c>
      <c r="J47" s="293">
        <f>+H47*0.12</f>
        <v>0</v>
      </c>
      <c r="K47" s="293">
        <f>+H47+I47+J47</f>
        <v>325.60000000000002</v>
      </c>
      <c r="L47" s="289"/>
      <c r="M47" s="291"/>
      <c r="N47" s="291" t="s">
        <v>231</v>
      </c>
      <c r="O47" s="291" t="s">
        <v>231</v>
      </c>
      <c r="P47" s="291"/>
      <c r="Q47" s="289"/>
      <c r="R47" s="289"/>
      <c r="S47" s="289"/>
      <c r="T47" s="289"/>
      <c r="U47" s="289"/>
      <c r="V47" s="289"/>
      <c r="W47" s="289"/>
      <c r="X47" s="289">
        <f>SUM(Q47:W47)</f>
        <v>0</v>
      </c>
      <c r="Y47" s="289"/>
      <c r="Z47" s="290"/>
      <c r="AA47" s="282"/>
      <c r="AB47" s="282"/>
      <c r="AC47" s="282"/>
    </row>
    <row r="48" spans="1:29" s="281" customFormat="1" ht="12">
      <c r="A48" s="289">
        <v>41</v>
      </c>
      <c r="B48" s="294">
        <v>39637</v>
      </c>
      <c r="C48" s="289">
        <v>57698</v>
      </c>
      <c r="D48" s="292">
        <v>39783</v>
      </c>
      <c r="E48" s="291" t="s">
        <v>356</v>
      </c>
      <c r="F48" s="301" t="s">
        <v>359</v>
      </c>
      <c r="G48" s="289">
        <v>2437.46</v>
      </c>
      <c r="H48" s="289"/>
      <c r="I48" s="289">
        <v>2437.46</v>
      </c>
      <c r="J48" s="293">
        <f>+H48*0.12</f>
        <v>0</v>
      </c>
      <c r="K48" s="293">
        <f>+H48+I48+J48</f>
        <v>2437.46</v>
      </c>
      <c r="L48" s="292">
        <v>39800</v>
      </c>
      <c r="M48" s="291" t="s">
        <v>450</v>
      </c>
      <c r="N48" s="291" t="s">
        <v>231</v>
      </c>
      <c r="O48" s="291" t="s">
        <v>231</v>
      </c>
      <c r="P48" s="291" t="s">
        <v>477</v>
      </c>
      <c r="Q48" s="289">
        <v>24.37</v>
      </c>
      <c r="R48" s="289"/>
      <c r="S48" s="289"/>
      <c r="T48" s="289"/>
      <c r="U48" s="289"/>
      <c r="V48" s="289"/>
      <c r="W48" s="289"/>
      <c r="X48" s="289">
        <f>SUM(Q48:W48)</f>
        <v>24.37</v>
      </c>
      <c r="Y48" s="289"/>
      <c r="Z48" s="290" t="s">
        <v>203</v>
      </c>
      <c r="AA48" s="282"/>
      <c r="AB48" s="282"/>
      <c r="AC48" s="282"/>
    </row>
    <row r="49" spans="1:29" s="281" customFormat="1" ht="12">
      <c r="A49" s="289">
        <v>42</v>
      </c>
      <c r="B49" s="294">
        <v>39639</v>
      </c>
      <c r="C49" s="289">
        <v>57698</v>
      </c>
      <c r="D49" s="292">
        <v>39800</v>
      </c>
      <c r="E49" s="291" t="s">
        <v>356</v>
      </c>
      <c r="F49" s="291" t="s">
        <v>362</v>
      </c>
      <c r="G49" s="289"/>
      <c r="H49" s="289"/>
      <c r="I49" s="289">
        <v>240.5</v>
      </c>
      <c r="J49" s="293">
        <f>+H49*0.12</f>
        <v>0</v>
      </c>
      <c r="K49" s="293">
        <f>+H49+I49+J49</f>
        <v>240.5</v>
      </c>
      <c r="L49" s="289"/>
      <c r="M49" s="291"/>
      <c r="N49" s="291" t="s">
        <v>231</v>
      </c>
      <c r="O49" s="291" t="s">
        <v>231</v>
      </c>
      <c r="P49" s="291"/>
      <c r="Q49" s="289"/>
      <c r="R49" s="289"/>
      <c r="S49" s="289"/>
      <c r="T49" s="289"/>
      <c r="U49" s="289"/>
      <c r="V49" s="289"/>
      <c r="W49" s="289"/>
      <c r="X49" s="289">
        <f>SUM(Q49:W49)</f>
        <v>0</v>
      </c>
      <c r="Y49" s="289"/>
      <c r="Z49" s="290"/>
      <c r="AA49" s="282"/>
      <c r="AB49" s="282"/>
      <c r="AC49" s="282"/>
    </row>
    <row r="50" spans="1:29" s="281" customFormat="1" ht="12">
      <c r="A50" s="289">
        <v>43</v>
      </c>
      <c r="B50" s="294">
        <v>39639</v>
      </c>
      <c r="C50" s="289">
        <v>57698</v>
      </c>
      <c r="D50" s="292">
        <v>39786</v>
      </c>
      <c r="E50" s="291" t="s">
        <v>356</v>
      </c>
      <c r="F50" s="301" t="s">
        <v>359</v>
      </c>
      <c r="G50" s="289">
        <v>1140</v>
      </c>
      <c r="H50" s="289"/>
      <c r="I50" s="289">
        <v>1140</v>
      </c>
      <c r="J50" s="293">
        <f>+H50*0.12</f>
        <v>0</v>
      </c>
      <c r="K50" s="293">
        <f>+H50+I50+J50</f>
        <v>1140</v>
      </c>
      <c r="L50" s="292">
        <v>39800</v>
      </c>
      <c r="M50" s="291" t="s">
        <v>450</v>
      </c>
      <c r="N50" s="291" t="s">
        <v>231</v>
      </c>
      <c r="O50" s="291" t="s">
        <v>231</v>
      </c>
      <c r="P50" s="291" t="s">
        <v>476</v>
      </c>
      <c r="Q50" s="289">
        <v>11.4</v>
      </c>
      <c r="R50" s="289"/>
      <c r="S50" s="289"/>
      <c r="T50" s="289"/>
      <c r="U50" s="289"/>
      <c r="V50" s="289"/>
      <c r="W50" s="289"/>
      <c r="X50" s="289">
        <f>SUM(Q50:W50)</f>
        <v>11.4</v>
      </c>
      <c r="Y50" s="289"/>
      <c r="Z50" s="290" t="s">
        <v>203</v>
      </c>
      <c r="AA50" s="282"/>
      <c r="AB50" s="282"/>
      <c r="AC50" s="282"/>
    </row>
    <row r="51" spans="1:29" s="281" customFormat="1" ht="12">
      <c r="A51" s="289">
        <v>44</v>
      </c>
      <c r="B51" s="294">
        <v>39643</v>
      </c>
      <c r="C51" s="289">
        <v>57698</v>
      </c>
      <c r="D51" s="292">
        <v>39800</v>
      </c>
      <c r="E51" s="291" t="s">
        <v>356</v>
      </c>
      <c r="F51" s="291" t="s">
        <v>362</v>
      </c>
      <c r="G51" s="289"/>
      <c r="H51" s="289"/>
      <c r="I51" s="289">
        <v>112.48</v>
      </c>
      <c r="J51" s="293">
        <f>+H51*0.12</f>
        <v>0</v>
      </c>
      <c r="K51" s="293">
        <f>+H51+I51+J51</f>
        <v>112.48</v>
      </c>
      <c r="L51" s="289"/>
      <c r="M51" s="291"/>
      <c r="N51" s="291" t="s">
        <v>231</v>
      </c>
      <c r="O51" s="291" t="s">
        <v>231</v>
      </c>
      <c r="P51" s="291"/>
      <c r="Q51" s="289"/>
      <c r="R51" s="289"/>
      <c r="S51" s="289"/>
      <c r="T51" s="289"/>
      <c r="U51" s="289"/>
      <c r="V51" s="289"/>
      <c r="W51" s="289"/>
      <c r="X51" s="289">
        <f>SUM(Q51:W51)</f>
        <v>0</v>
      </c>
      <c r="Y51" s="289"/>
      <c r="Z51" s="290"/>
      <c r="AA51" s="282"/>
      <c r="AB51" s="282"/>
      <c r="AC51" s="282"/>
    </row>
    <row r="52" spans="1:29" s="281" customFormat="1" ht="12">
      <c r="A52" s="289">
        <v>45</v>
      </c>
      <c r="B52" s="294">
        <v>39643</v>
      </c>
      <c r="C52" s="289">
        <v>57698</v>
      </c>
      <c r="D52" s="292">
        <v>39787</v>
      </c>
      <c r="E52" s="291" t="s">
        <v>356</v>
      </c>
      <c r="F52" s="301" t="s">
        <v>359</v>
      </c>
      <c r="G52" s="289">
        <v>2703.75</v>
      </c>
      <c r="H52" s="289"/>
      <c r="I52" s="289">
        <v>2703.75</v>
      </c>
      <c r="J52" s="293">
        <f>+H52*0.12</f>
        <v>0</v>
      </c>
      <c r="K52" s="293">
        <f>+H52+I52+J52</f>
        <v>2703.75</v>
      </c>
      <c r="L52" s="292">
        <v>39800</v>
      </c>
      <c r="M52" s="291" t="s">
        <v>450</v>
      </c>
      <c r="N52" s="291" t="s">
        <v>231</v>
      </c>
      <c r="O52" s="291" t="s">
        <v>231</v>
      </c>
      <c r="P52" s="291" t="s">
        <v>475</v>
      </c>
      <c r="Q52" s="289">
        <v>27.04</v>
      </c>
      <c r="R52" s="289"/>
      <c r="S52" s="289"/>
      <c r="T52" s="289"/>
      <c r="U52" s="289"/>
      <c r="V52" s="289"/>
      <c r="W52" s="289"/>
      <c r="X52" s="289">
        <f>SUM(Q52:W52)</f>
        <v>27.04</v>
      </c>
      <c r="Y52" s="289"/>
      <c r="Z52" s="290" t="s">
        <v>203</v>
      </c>
      <c r="AA52" s="282"/>
      <c r="AB52" s="282"/>
      <c r="AC52" s="282"/>
    </row>
    <row r="53" spans="1:29" s="281" customFormat="1" ht="12">
      <c r="A53" s="289">
        <v>46</v>
      </c>
      <c r="B53" s="294">
        <v>39657</v>
      </c>
      <c r="C53" s="289">
        <v>57698</v>
      </c>
      <c r="D53" s="292">
        <v>39800</v>
      </c>
      <c r="E53" s="291" t="s">
        <v>356</v>
      </c>
      <c r="F53" s="291" t="s">
        <v>362</v>
      </c>
      <c r="G53" s="289"/>
      <c r="H53" s="289"/>
      <c r="I53" s="289">
        <v>266.77</v>
      </c>
      <c r="J53" s="293">
        <f>+H53*0.12</f>
        <v>0</v>
      </c>
      <c r="K53" s="293">
        <f>+H53+I53+J53</f>
        <v>266.77</v>
      </c>
      <c r="L53" s="289"/>
      <c r="M53" s="291"/>
      <c r="N53" s="291" t="s">
        <v>231</v>
      </c>
      <c r="O53" s="291" t="s">
        <v>231</v>
      </c>
      <c r="P53" s="291"/>
      <c r="Q53" s="289"/>
      <c r="R53" s="289"/>
      <c r="S53" s="289"/>
      <c r="T53" s="289"/>
      <c r="U53" s="289"/>
      <c r="V53" s="289"/>
      <c r="W53" s="289"/>
      <c r="X53" s="289">
        <f>SUM(Q53:W53)</f>
        <v>0</v>
      </c>
      <c r="Y53" s="289"/>
      <c r="Z53" s="290"/>
      <c r="AA53" s="282"/>
      <c r="AB53" s="282"/>
      <c r="AC53" s="282"/>
    </row>
    <row r="54" spans="1:29" s="281" customFormat="1" ht="12">
      <c r="A54" s="289">
        <v>47</v>
      </c>
      <c r="B54" s="294">
        <v>39658</v>
      </c>
      <c r="C54" s="289">
        <v>57698</v>
      </c>
      <c r="D54" s="292">
        <v>39787</v>
      </c>
      <c r="E54" s="291" t="s">
        <v>356</v>
      </c>
      <c r="F54" s="301" t="s">
        <v>359</v>
      </c>
      <c r="G54" s="289">
        <v>409.76</v>
      </c>
      <c r="H54" s="289"/>
      <c r="I54" s="289">
        <v>409.76</v>
      </c>
      <c r="J54" s="293">
        <f>+H54*0.12</f>
        <v>0</v>
      </c>
      <c r="K54" s="293">
        <f>+H54+I54+J54</f>
        <v>409.76</v>
      </c>
      <c r="L54" s="292">
        <v>39800</v>
      </c>
      <c r="M54" s="291" t="s">
        <v>450</v>
      </c>
      <c r="N54" s="291" t="s">
        <v>231</v>
      </c>
      <c r="O54" s="291" t="s">
        <v>231</v>
      </c>
      <c r="P54" s="291" t="s">
        <v>474</v>
      </c>
      <c r="Q54" s="289">
        <v>4.0999999999999996</v>
      </c>
      <c r="R54" s="289"/>
      <c r="S54" s="289"/>
      <c r="T54" s="289"/>
      <c r="U54" s="289"/>
      <c r="V54" s="289"/>
      <c r="W54" s="289"/>
      <c r="X54" s="289">
        <f>SUM(Q54:W54)</f>
        <v>4.0999999999999996</v>
      </c>
      <c r="Y54" s="289"/>
      <c r="Z54" s="290" t="s">
        <v>203</v>
      </c>
      <c r="AA54" s="282"/>
      <c r="AB54" s="282"/>
      <c r="AC54" s="282"/>
    </row>
    <row r="55" spans="1:29" s="281" customFormat="1" ht="12">
      <c r="A55" s="289">
        <v>48</v>
      </c>
      <c r="B55" s="294">
        <v>39658</v>
      </c>
      <c r="C55" s="289">
        <v>57698</v>
      </c>
      <c r="D55" s="292">
        <v>39800</v>
      </c>
      <c r="E55" s="291" t="s">
        <v>356</v>
      </c>
      <c r="F55" s="291" t="s">
        <v>362</v>
      </c>
      <c r="G55" s="289"/>
      <c r="H55" s="289"/>
      <c r="I55" s="289">
        <v>40.43</v>
      </c>
      <c r="J55" s="293">
        <f>+H55*0.12</f>
        <v>0</v>
      </c>
      <c r="K55" s="293">
        <f>+H55+I55+J55</f>
        <v>40.43</v>
      </c>
      <c r="L55" s="289"/>
      <c r="M55" s="291"/>
      <c r="N55" s="291" t="s">
        <v>231</v>
      </c>
      <c r="O55" s="291" t="s">
        <v>231</v>
      </c>
      <c r="P55" s="291"/>
      <c r="Q55" s="289"/>
      <c r="R55" s="289"/>
      <c r="S55" s="289"/>
      <c r="T55" s="289"/>
      <c r="U55" s="289"/>
      <c r="V55" s="289"/>
      <c r="W55" s="289"/>
      <c r="X55" s="289">
        <f>SUM(Q55:W55)</f>
        <v>0</v>
      </c>
      <c r="Y55" s="289"/>
      <c r="Z55" s="290"/>
      <c r="AA55" s="282"/>
      <c r="AB55" s="282"/>
      <c r="AC55" s="282"/>
    </row>
    <row r="56" spans="1:29" s="281" customFormat="1" ht="12">
      <c r="A56" s="289">
        <v>49</v>
      </c>
      <c r="B56" s="294">
        <v>39667</v>
      </c>
      <c r="C56" s="289">
        <v>57698</v>
      </c>
      <c r="D56" s="292">
        <v>39790</v>
      </c>
      <c r="E56" s="291" t="s">
        <v>356</v>
      </c>
      <c r="F56" s="301" t="s">
        <v>359</v>
      </c>
      <c r="G56" s="289">
        <v>2860.2</v>
      </c>
      <c r="H56" s="289"/>
      <c r="I56" s="289">
        <v>2860.2</v>
      </c>
      <c r="J56" s="293">
        <f>+H56*0.12</f>
        <v>0</v>
      </c>
      <c r="K56" s="293">
        <f>+H56+I56+J56</f>
        <v>2860.2</v>
      </c>
      <c r="L56" s="292">
        <v>39800</v>
      </c>
      <c r="M56" s="291" t="s">
        <v>450</v>
      </c>
      <c r="N56" s="291" t="s">
        <v>231</v>
      </c>
      <c r="O56" s="291" t="s">
        <v>231</v>
      </c>
      <c r="P56" s="291" t="s">
        <v>473</v>
      </c>
      <c r="Q56" s="289">
        <v>28.6</v>
      </c>
      <c r="R56" s="289"/>
      <c r="S56" s="289"/>
      <c r="T56" s="289"/>
      <c r="U56" s="289"/>
      <c r="V56" s="289"/>
      <c r="W56" s="289"/>
      <c r="X56" s="289">
        <f>SUM(Q56:W56)</f>
        <v>28.6</v>
      </c>
      <c r="Y56" s="289"/>
      <c r="Z56" s="290" t="s">
        <v>203</v>
      </c>
      <c r="AA56" s="282"/>
      <c r="AB56" s="282"/>
      <c r="AC56" s="282"/>
    </row>
    <row r="57" spans="1:29" s="281" customFormat="1" ht="12">
      <c r="A57" s="289">
        <v>50</v>
      </c>
      <c r="B57" s="294">
        <v>39667</v>
      </c>
      <c r="C57" s="289">
        <v>57698</v>
      </c>
      <c r="D57" s="292">
        <v>39800</v>
      </c>
      <c r="E57" s="291" t="s">
        <v>356</v>
      </c>
      <c r="F57" s="291" t="s">
        <v>362</v>
      </c>
      <c r="G57" s="289"/>
      <c r="H57" s="289"/>
      <c r="I57" s="289">
        <v>282.20999999999998</v>
      </c>
      <c r="J57" s="293">
        <f>+H57*0.12</f>
        <v>0</v>
      </c>
      <c r="K57" s="293">
        <f>+H57+I57+J57</f>
        <v>282.20999999999998</v>
      </c>
      <c r="L57" s="289"/>
      <c r="M57" s="291"/>
      <c r="N57" s="291" t="s">
        <v>231</v>
      </c>
      <c r="O57" s="291" t="s">
        <v>231</v>
      </c>
      <c r="P57" s="291"/>
      <c r="Q57" s="289"/>
      <c r="R57" s="289"/>
      <c r="S57" s="289"/>
      <c r="T57" s="289"/>
      <c r="U57" s="289"/>
      <c r="V57" s="289"/>
      <c r="W57" s="289"/>
      <c r="X57" s="289">
        <f>SUM(Q57:W57)</f>
        <v>0</v>
      </c>
      <c r="Y57" s="289"/>
      <c r="Z57" s="290"/>
      <c r="AA57" s="282"/>
      <c r="AB57" s="282"/>
      <c r="AC57" s="282"/>
    </row>
    <row r="58" spans="1:29" s="281" customFormat="1" ht="12">
      <c r="A58" s="289">
        <v>51</v>
      </c>
      <c r="B58" s="294">
        <v>39667</v>
      </c>
      <c r="C58" s="289">
        <v>57698</v>
      </c>
      <c r="D58" s="292">
        <v>39791</v>
      </c>
      <c r="E58" s="291" t="s">
        <v>356</v>
      </c>
      <c r="F58" s="301" t="s">
        <v>359</v>
      </c>
      <c r="G58" s="289">
        <v>2048.1799999999998</v>
      </c>
      <c r="H58" s="289"/>
      <c r="I58" s="289">
        <v>2048.1799999999998</v>
      </c>
      <c r="J58" s="293">
        <f>+H58*0.12</f>
        <v>0</v>
      </c>
      <c r="K58" s="293">
        <f>+H58+I58+J58</f>
        <v>2048.1799999999998</v>
      </c>
      <c r="L58" s="292">
        <v>39800</v>
      </c>
      <c r="M58" s="291" t="s">
        <v>450</v>
      </c>
      <c r="N58" s="291" t="s">
        <v>231</v>
      </c>
      <c r="O58" s="291" t="s">
        <v>231</v>
      </c>
      <c r="P58" s="291" t="s">
        <v>472</v>
      </c>
      <c r="Q58" s="289">
        <v>20.48</v>
      </c>
      <c r="R58" s="289"/>
      <c r="S58" s="289"/>
      <c r="T58" s="289"/>
      <c r="U58" s="289"/>
      <c r="V58" s="289"/>
      <c r="W58" s="289"/>
      <c r="X58" s="289">
        <f>SUM(Q58:W58)</f>
        <v>20.48</v>
      </c>
      <c r="Y58" s="289"/>
      <c r="Z58" s="290" t="s">
        <v>203</v>
      </c>
      <c r="AA58" s="282"/>
      <c r="AB58" s="282"/>
      <c r="AC58" s="282"/>
    </row>
    <row r="59" spans="1:29" s="281" customFormat="1" ht="12">
      <c r="A59" s="289">
        <v>52</v>
      </c>
      <c r="B59" s="294">
        <v>39674</v>
      </c>
      <c r="C59" s="289">
        <v>57698</v>
      </c>
      <c r="D59" s="292">
        <v>39800</v>
      </c>
      <c r="E59" s="291" t="s">
        <v>356</v>
      </c>
      <c r="F59" s="291" t="s">
        <v>362</v>
      </c>
      <c r="G59" s="289"/>
      <c r="H59" s="289"/>
      <c r="I59" s="289">
        <v>202.09</v>
      </c>
      <c r="J59" s="293">
        <f>+H59*0.12</f>
        <v>0</v>
      </c>
      <c r="K59" s="293">
        <f>+H59+I59+J59</f>
        <v>202.09</v>
      </c>
      <c r="L59" s="289"/>
      <c r="M59" s="291"/>
      <c r="N59" s="291" t="s">
        <v>231</v>
      </c>
      <c r="O59" s="291" t="s">
        <v>231</v>
      </c>
      <c r="P59" s="291"/>
      <c r="Q59" s="289"/>
      <c r="R59" s="289"/>
      <c r="S59" s="289"/>
      <c r="T59" s="289"/>
      <c r="U59" s="289"/>
      <c r="V59" s="289"/>
      <c r="W59" s="289"/>
      <c r="X59" s="289">
        <f>SUM(Q59:W59)</f>
        <v>0</v>
      </c>
      <c r="Y59" s="289"/>
      <c r="Z59" s="290"/>
      <c r="AA59" s="282"/>
      <c r="AB59" s="282"/>
      <c r="AC59" s="282"/>
    </row>
    <row r="60" spans="1:29" s="281" customFormat="1" ht="12">
      <c r="A60" s="289">
        <v>53</v>
      </c>
      <c r="B60" s="294">
        <v>39679</v>
      </c>
      <c r="C60" s="289">
        <v>57698</v>
      </c>
      <c r="D60" s="292">
        <v>39792</v>
      </c>
      <c r="E60" s="291" t="s">
        <v>356</v>
      </c>
      <c r="F60" s="301" t="s">
        <v>359</v>
      </c>
      <c r="G60" s="289">
        <v>2452.5</v>
      </c>
      <c r="H60" s="289"/>
      <c r="I60" s="289">
        <v>2452.5</v>
      </c>
      <c r="J60" s="293">
        <f>+H60*0.12</f>
        <v>0</v>
      </c>
      <c r="K60" s="293">
        <f>+H60+I60+J60</f>
        <v>2452.5</v>
      </c>
      <c r="L60" s="292">
        <v>39800</v>
      </c>
      <c r="M60" s="291" t="s">
        <v>450</v>
      </c>
      <c r="N60" s="291" t="s">
        <v>231</v>
      </c>
      <c r="O60" s="291" t="s">
        <v>231</v>
      </c>
      <c r="P60" s="291" t="s">
        <v>471</v>
      </c>
      <c r="Q60" s="289">
        <f>+G60*0.01</f>
        <v>24.525000000000002</v>
      </c>
      <c r="R60" s="289"/>
      <c r="S60" s="289"/>
      <c r="T60" s="289"/>
      <c r="U60" s="289"/>
      <c r="V60" s="289"/>
      <c r="W60" s="289"/>
      <c r="X60" s="289">
        <f>SUM(Q60:W60)</f>
        <v>24.525000000000002</v>
      </c>
      <c r="Y60" s="289"/>
      <c r="Z60" s="290" t="s">
        <v>203</v>
      </c>
      <c r="AA60" s="282"/>
      <c r="AB60" s="282"/>
      <c r="AC60" s="282"/>
    </row>
    <row r="61" spans="1:29" s="281" customFormat="1" ht="12">
      <c r="A61" s="289">
        <v>54</v>
      </c>
      <c r="B61" s="294">
        <v>39681</v>
      </c>
      <c r="C61" s="289">
        <v>57698</v>
      </c>
      <c r="D61" s="292">
        <v>39800</v>
      </c>
      <c r="E61" s="291" t="s">
        <v>356</v>
      </c>
      <c r="F61" s="291" t="s">
        <v>362</v>
      </c>
      <c r="G61" s="289"/>
      <c r="H61" s="289"/>
      <c r="I61" s="289">
        <v>241.98</v>
      </c>
      <c r="J61" s="293">
        <f>+H61*0.12</f>
        <v>0</v>
      </c>
      <c r="K61" s="293">
        <f>+H61+I61+J61</f>
        <v>241.98</v>
      </c>
      <c r="L61" s="289"/>
      <c r="M61" s="291"/>
      <c r="N61" s="291" t="s">
        <v>231</v>
      </c>
      <c r="O61" s="291" t="s">
        <v>231</v>
      </c>
      <c r="P61" s="291"/>
      <c r="Q61" s="289"/>
      <c r="R61" s="289"/>
      <c r="S61" s="289"/>
      <c r="T61" s="289"/>
      <c r="U61" s="289"/>
      <c r="V61" s="289"/>
      <c r="W61" s="289"/>
      <c r="X61" s="289">
        <f>SUM(Q61:W61)</f>
        <v>0</v>
      </c>
      <c r="Y61" s="289"/>
      <c r="Z61" s="290"/>
      <c r="AA61" s="282"/>
      <c r="AB61" s="282"/>
      <c r="AC61" s="282"/>
    </row>
    <row r="62" spans="1:29" s="281" customFormat="1" ht="12">
      <c r="A62" s="289">
        <v>55</v>
      </c>
      <c r="B62" s="294">
        <v>39681</v>
      </c>
      <c r="C62" s="289">
        <v>57698</v>
      </c>
      <c r="D62" s="292">
        <v>39798</v>
      </c>
      <c r="E62" s="291" t="s">
        <v>356</v>
      </c>
      <c r="F62" s="301" t="s">
        <v>359</v>
      </c>
      <c r="G62" s="289">
        <v>2527.2800000000002</v>
      </c>
      <c r="H62" s="289"/>
      <c r="I62" s="289">
        <f>+G62</f>
        <v>2527.2800000000002</v>
      </c>
      <c r="J62" s="293">
        <f>+H62*0.12</f>
        <v>0</v>
      </c>
      <c r="K62" s="293">
        <f>+H62+I62+J62</f>
        <v>2527.2800000000002</v>
      </c>
      <c r="L62" s="292">
        <v>39804</v>
      </c>
      <c r="M62" s="291" t="s">
        <v>442</v>
      </c>
      <c r="N62" s="291" t="s">
        <v>231</v>
      </c>
      <c r="O62" s="291" t="s">
        <v>231</v>
      </c>
      <c r="P62" s="291" t="s">
        <v>470</v>
      </c>
      <c r="Q62" s="289">
        <v>25.27</v>
      </c>
      <c r="R62" s="289"/>
      <c r="S62" s="289"/>
      <c r="T62" s="289"/>
      <c r="U62" s="289"/>
      <c r="V62" s="289"/>
      <c r="W62" s="289"/>
      <c r="X62" s="289">
        <f>SUM(Q62:W62)</f>
        <v>25.27</v>
      </c>
      <c r="Y62" s="289"/>
      <c r="Z62" s="290" t="s">
        <v>203</v>
      </c>
      <c r="AA62" s="282"/>
      <c r="AB62" s="282"/>
      <c r="AC62" s="282"/>
    </row>
    <row r="63" spans="1:29" s="281" customFormat="1" ht="12">
      <c r="A63" s="289">
        <v>56</v>
      </c>
      <c r="B63" s="294">
        <v>39687</v>
      </c>
      <c r="C63" s="289">
        <v>57698</v>
      </c>
      <c r="D63" s="292">
        <v>39800</v>
      </c>
      <c r="E63" s="291" t="s">
        <v>356</v>
      </c>
      <c r="F63" s="291" t="s">
        <v>362</v>
      </c>
      <c r="G63" s="289"/>
      <c r="H63" s="289"/>
      <c r="I63" s="289">
        <v>249.36</v>
      </c>
      <c r="J63" s="293">
        <f>+H63*0.12</f>
        <v>0</v>
      </c>
      <c r="K63" s="293">
        <f>+H63+I63+J63</f>
        <v>249.36</v>
      </c>
      <c r="L63" s="289"/>
      <c r="M63" s="291"/>
      <c r="N63" s="291" t="s">
        <v>231</v>
      </c>
      <c r="O63" s="291" t="s">
        <v>231</v>
      </c>
      <c r="P63" s="291"/>
      <c r="Q63" s="289"/>
      <c r="R63" s="289"/>
      <c r="S63" s="289"/>
      <c r="T63" s="289"/>
      <c r="U63" s="289"/>
      <c r="V63" s="289"/>
      <c r="W63" s="289"/>
      <c r="X63" s="289">
        <f>SUM(Q63:W63)</f>
        <v>0</v>
      </c>
      <c r="Y63" s="289"/>
      <c r="Z63" s="290"/>
      <c r="AA63" s="282"/>
      <c r="AB63" s="282"/>
      <c r="AC63" s="282"/>
    </row>
    <row r="64" spans="1:29" s="281" customFormat="1" ht="12">
      <c r="A64" s="289">
        <v>57</v>
      </c>
      <c r="B64" s="294">
        <v>39687</v>
      </c>
      <c r="C64" s="289">
        <v>57698</v>
      </c>
      <c r="D64" s="292">
        <v>39795</v>
      </c>
      <c r="E64" s="291" t="s">
        <v>356</v>
      </c>
      <c r="F64" s="301" t="s">
        <v>359</v>
      </c>
      <c r="G64" s="289">
        <v>7256.25</v>
      </c>
      <c r="H64" s="289"/>
      <c r="I64" s="289">
        <v>7256.25</v>
      </c>
      <c r="J64" s="293">
        <f>+H64*0.12</f>
        <v>0</v>
      </c>
      <c r="K64" s="293">
        <f>+H64+I64+J64</f>
        <v>7256.25</v>
      </c>
      <c r="L64" s="292">
        <v>39804</v>
      </c>
      <c r="M64" s="291" t="s">
        <v>442</v>
      </c>
      <c r="N64" s="291" t="s">
        <v>231</v>
      </c>
      <c r="O64" s="291" t="s">
        <v>231</v>
      </c>
      <c r="P64" s="291" t="s">
        <v>469</v>
      </c>
      <c r="Q64" s="289">
        <v>72.56</v>
      </c>
      <c r="R64" s="289"/>
      <c r="S64" s="289"/>
      <c r="T64" s="289"/>
      <c r="U64" s="289"/>
      <c r="V64" s="289"/>
      <c r="W64" s="289"/>
      <c r="X64" s="289">
        <f>SUM(Q64:W64)</f>
        <v>72.56</v>
      </c>
      <c r="Y64" s="289"/>
      <c r="Z64" s="290" t="s">
        <v>203</v>
      </c>
      <c r="AA64" s="282"/>
      <c r="AB64" s="282"/>
      <c r="AC64" s="282"/>
    </row>
    <row r="65" spans="1:29" s="281" customFormat="1" ht="12">
      <c r="A65" s="289">
        <v>58</v>
      </c>
      <c r="B65" s="294">
        <v>39702</v>
      </c>
      <c r="C65" s="289">
        <v>57698</v>
      </c>
      <c r="D65" s="292">
        <v>39800</v>
      </c>
      <c r="E65" s="291" t="s">
        <v>356</v>
      </c>
      <c r="F65" s="291" t="s">
        <v>362</v>
      </c>
      <c r="G65" s="289"/>
      <c r="H65" s="289"/>
      <c r="I65" s="289">
        <v>715.95</v>
      </c>
      <c r="J65" s="293">
        <f>+H65*0.12</f>
        <v>0</v>
      </c>
      <c r="K65" s="293">
        <f>+H65+I65+J65</f>
        <v>715.95</v>
      </c>
      <c r="L65" s="289"/>
      <c r="M65" s="291"/>
      <c r="N65" s="291" t="s">
        <v>231</v>
      </c>
      <c r="O65" s="291" t="s">
        <v>231</v>
      </c>
      <c r="P65" s="291"/>
      <c r="Q65" s="289"/>
      <c r="R65" s="289"/>
      <c r="S65" s="289"/>
      <c r="T65" s="289"/>
      <c r="U65" s="289"/>
      <c r="V65" s="289"/>
      <c r="W65" s="289"/>
      <c r="X65" s="289">
        <f>SUM(Q65:W65)</f>
        <v>0</v>
      </c>
      <c r="Y65" s="289"/>
      <c r="Z65" s="290"/>
      <c r="AA65" s="282"/>
      <c r="AB65" s="282"/>
      <c r="AC65" s="282"/>
    </row>
    <row r="66" spans="1:29" s="281" customFormat="1" ht="12">
      <c r="A66" s="289">
        <v>59</v>
      </c>
      <c r="B66" s="294">
        <v>39709</v>
      </c>
      <c r="C66" s="289">
        <v>57698</v>
      </c>
      <c r="D66" s="292">
        <v>39795</v>
      </c>
      <c r="E66" s="291" t="s">
        <v>356</v>
      </c>
      <c r="F66" s="301" t="s">
        <v>359</v>
      </c>
      <c r="G66" s="303">
        <v>8182.95</v>
      </c>
      <c r="H66" s="289"/>
      <c r="I66" s="302">
        <f>+G66</f>
        <v>8182.95</v>
      </c>
      <c r="J66" s="293">
        <f>+H66*0.12</f>
        <v>0</v>
      </c>
      <c r="K66" s="293">
        <f>+H66+I66+J66</f>
        <v>8182.95</v>
      </c>
      <c r="L66" s="292">
        <v>39804</v>
      </c>
      <c r="M66" s="291" t="s">
        <v>442</v>
      </c>
      <c r="N66" s="291" t="s">
        <v>231</v>
      </c>
      <c r="O66" s="291" t="s">
        <v>231</v>
      </c>
      <c r="P66" s="291" t="s">
        <v>468</v>
      </c>
      <c r="Q66" s="289">
        <v>81.83</v>
      </c>
      <c r="R66" s="289"/>
      <c r="S66" s="289"/>
      <c r="T66" s="289"/>
      <c r="U66" s="289"/>
      <c r="V66" s="289"/>
      <c r="W66" s="289"/>
      <c r="X66" s="289">
        <f>SUM(Q66:W66)</f>
        <v>81.83</v>
      </c>
      <c r="Y66" s="289"/>
      <c r="Z66" s="290" t="s">
        <v>203</v>
      </c>
      <c r="AA66" s="282"/>
      <c r="AB66" s="282"/>
      <c r="AC66" s="282"/>
    </row>
    <row r="67" spans="1:29" s="281" customFormat="1" ht="12">
      <c r="A67" s="289">
        <v>60</v>
      </c>
      <c r="B67" s="294">
        <v>39721</v>
      </c>
      <c r="C67" s="289">
        <v>57698</v>
      </c>
      <c r="D67" s="292">
        <v>39800</v>
      </c>
      <c r="E67" s="291" t="s">
        <v>356</v>
      </c>
      <c r="F67" s="291" t="s">
        <v>362</v>
      </c>
      <c r="G67" s="289"/>
      <c r="H67" s="289"/>
      <c r="I67" s="289">
        <v>807.38</v>
      </c>
      <c r="J67" s="293">
        <f>+H67*0.12</f>
        <v>0</v>
      </c>
      <c r="K67" s="293">
        <f>+H67+I67+J67</f>
        <v>807.38</v>
      </c>
      <c r="L67" s="289"/>
      <c r="M67" s="291"/>
      <c r="N67" s="291" t="s">
        <v>231</v>
      </c>
      <c r="O67" s="291" t="s">
        <v>231</v>
      </c>
      <c r="P67" s="291"/>
      <c r="Q67" s="289"/>
      <c r="R67" s="289"/>
      <c r="S67" s="289"/>
      <c r="T67" s="289"/>
      <c r="U67" s="289"/>
      <c r="V67" s="289"/>
      <c r="W67" s="289"/>
      <c r="X67" s="289">
        <f>SUM(Q67:W67)</f>
        <v>0</v>
      </c>
      <c r="Y67" s="289"/>
      <c r="Z67" s="290"/>
      <c r="AA67" s="282"/>
      <c r="AB67" s="282"/>
      <c r="AC67" s="282"/>
    </row>
    <row r="68" spans="1:29" s="281" customFormat="1" ht="12">
      <c r="A68" s="289">
        <v>61</v>
      </c>
      <c r="B68" s="294">
        <v>39721</v>
      </c>
      <c r="C68" s="289">
        <v>57698</v>
      </c>
      <c r="D68" s="292">
        <v>39800</v>
      </c>
      <c r="E68" s="291" t="s">
        <v>356</v>
      </c>
      <c r="F68" s="301" t="s">
        <v>359</v>
      </c>
      <c r="G68" s="289">
        <v>8179.2</v>
      </c>
      <c r="H68" s="289"/>
      <c r="I68" s="289">
        <v>8179.2</v>
      </c>
      <c r="J68" s="293">
        <f>+H68*0.12</f>
        <v>0</v>
      </c>
      <c r="K68" s="293">
        <f>+H68+I68+J68</f>
        <v>8179.2</v>
      </c>
      <c r="L68" s="292">
        <v>39804</v>
      </c>
      <c r="M68" s="291" t="s">
        <v>442</v>
      </c>
      <c r="N68" s="291" t="s">
        <v>231</v>
      </c>
      <c r="O68" s="291" t="s">
        <v>231</v>
      </c>
      <c r="P68" s="291" t="s">
        <v>467</v>
      </c>
      <c r="Q68" s="289">
        <v>81.790000000000006</v>
      </c>
      <c r="R68" s="289"/>
      <c r="S68" s="289"/>
      <c r="T68" s="289"/>
      <c r="U68" s="289"/>
      <c r="V68" s="289"/>
      <c r="W68" s="289"/>
      <c r="X68" s="289">
        <f>SUM(Q68:W68)</f>
        <v>81.790000000000006</v>
      </c>
      <c r="Y68" s="289"/>
      <c r="Z68" s="290" t="s">
        <v>203</v>
      </c>
      <c r="AA68" s="282"/>
      <c r="AB68" s="282"/>
      <c r="AC68" s="282"/>
    </row>
    <row r="69" spans="1:29" s="281" customFormat="1" ht="12">
      <c r="A69" s="289">
        <v>62</v>
      </c>
      <c r="B69" s="294">
        <v>39721</v>
      </c>
      <c r="C69" s="289">
        <v>57698</v>
      </c>
      <c r="D69" s="292">
        <v>39800</v>
      </c>
      <c r="E69" s="291" t="s">
        <v>356</v>
      </c>
      <c r="F69" s="291" t="s">
        <v>362</v>
      </c>
      <c r="G69" s="289"/>
      <c r="H69" s="289"/>
      <c r="I69" s="289">
        <v>807.01</v>
      </c>
      <c r="J69" s="293">
        <f>+H69*0.12</f>
        <v>0</v>
      </c>
      <c r="K69" s="293">
        <f>+H69+I69+J69</f>
        <v>807.01</v>
      </c>
      <c r="L69" s="289"/>
      <c r="M69" s="291"/>
      <c r="N69" s="291" t="s">
        <v>231</v>
      </c>
      <c r="O69" s="291" t="s">
        <v>231</v>
      </c>
      <c r="P69" s="291"/>
      <c r="Q69" s="289"/>
      <c r="R69" s="289"/>
      <c r="S69" s="289"/>
      <c r="T69" s="289"/>
      <c r="U69" s="289"/>
      <c r="V69" s="289"/>
      <c r="W69" s="289"/>
      <c r="X69" s="289">
        <f>SUM(Q69:W69)</f>
        <v>0</v>
      </c>
      <c r="Y69" s="289"/>
      <c r="Z69" s="290"/>
      <c r="AA69" s="282"/>
      <c r="AB69" s="282"/>
      <c r="AC69" s="282"/>
    </row>
    <row r="70" spans="1:29" s="281" customFormat="1" ht="12">
      <c r="A70" s="289">
        <v>63</v>
      </c>
      <c r="B70" s="294">
        <v>39723</v>
      </c>
      <c r="C70" s="289">
        <v>57698</v>
      </c>
      <c r="D70" s="292">
        <v>39793</v>
      </c>
      <c r="E70" s="291" t="s">
        <v>356</v>
      </c>
      <c r="F70" s="301" t="s">
        <v>359</v>
      </c>
      <c r="G70" s="289">
        <v>8175</v>
      </c>
      <c r="H70" s="289"/>
      <c r="I70" s="289">
        <v>8175</v>
      </c>
      <c r="J70" s="293">
        <f>+H70*0.12</f>
        <v>0</v>
      </c>
      <c r="K70" s="293">
        <f>+H70+I70+J70</f>
        <v>8175</v>
      </c>
      <c r="L70" s="292">
        <v>39804</v>
      </c>
      <c r="M70" s="291" t="s">
        <v>442</v>
      </c>
      <c r="N70" s="291" t="s">
        <v>231</v>
      </c>
      <c r="O70" s="291" t="s">
        <v>231</v>
      </c>
      <c r="P70" s="291" t="s">
        <v>466</v>
      </c>
      <c r="Q70" s="289">
        <v>81.75</v>
      </c>
      <c r="R70" s="289"/>
      <c r="S70" s="289"/>
      <c r="T70" s="289"/>
      <c r="U70" s="289"/>
      <c r="V70" s="289"/>
      <c r="W70" s="289"/>
      <c r="X70" s="289">
        <f>SUM(Q70:W70)</f>
        <v>81.75</v>
      </c>
      <c r="Y70" s="289"/>
      <c r="Z70" s="290" t="s">
        <v>203</v>
      </c>
      <c r="AA70" s="282"/>
      <c r="AB70" s="282"/>
      <c r="AC70" s="282"/>
    </row>
    <row r="71" spans="1:29" s="281" customFormat="1" ht="12">
      <c r="A71" s="289">
        <v>64</v>
      </c>
      <c r="B71" s="294">
        <v>39727</v>
      </c>
      <c r="C71" s="289">
        <v>57698</v>
      </c>
      <c r="D71" s="292">
        <v>39800</v>
      </c>
      <c r="E71" s="291" t="s">
        <v>356</v>
      </c>
      <c r="F71" s="291" t="s">
        <v>362</v>
      </c>
      <c r="G71" s="289"/>
      <c r="H71" s="289"/>
      <c r="I71" s="289">
        <v>806.61</v>
      </c>
      <c r="J71" s="293">
        <f>+H71*0.12</f>
        <v>0</v>
      </c>
      <c r="K71" s="293">
        <f>+H71+I71+J71</f>
        <v>806.61</v>
      </c>
      <c r="L71" s="289"/>
      <c r="M71" s="291"/>
      <c r="N71" s="291" t="s">
        <v>231</v>
      </c>
      <c r="O71" s="291" t="s">
        <v>231</v>
      </c>
      <c r="P71" s="291"/>
      <c r="Q71" s="289"/>
      <c r="R71" s="289"/>
      <c r="S71" s="289"/>
      <c r="T71" s="289"/>
      <c r="U71" s="289"/>
      <c r="V71" s="289"/>
      <c r="W71" s="289"/>
      <c r="X71" s="289">
        <f>SUM(Q71:W71)</f>
        <v>0</v>
      </c>
      <c r="Y71" s="289"/>
      <c r="Z71" s="290"/>
      <c r="AA71" s="282"/>
      <c r="AB71" s="282"/>
      <c r="AC71" s="282"/>
    </row>
    <row r="72" spans="1:29" s="281" customFormat="1" ht="12">
      <c r="A72" s="289">
        <v>65</v>
      </c>
      <c r="B72" s="294">
        <v>39727</v>
      </c>
      <c r="C72" s="289">
        <v>57698</v>
      </c>
      <c r="D72" s="292">
        <v>39793</v>
      </c>
      <c r="E72" s="291" t="s">
        <v>356</v>
      </c>
      <c r="F72" s="301" t="s">
        <v>359</v>
      </c>
      <c r="G72" s="289">
        <v>8175</v>
      </c>
      <c r="H72" s="289"/>
      <c r="I72" s="289">
        <v>8175</v>
      </c>
      <c r="J72" s="293">
        <f>+H72*0.12</f>
        <v>0</v>
      </c>
      <c r="K72" s="293">
        <f>+H72+I72+J72</f>
        <v>8175</v>
      </c>
      <c r="L72" s="292">
        <v>39804</v>
      </c>
      <c r="M72" s="291" t="s">
        <v>442</v>
      </c>
      <c r="N72" s="291" t="s">
        <v>231</v>
      </c>
      <c r="O72" s="291" t="s">
        <v>231</v>
      </c>
      <c r="P72" s="291" t="s">
        <v>465</v>
      </c>
      <c r="Q72" s="289">
        <v>81.75</v>
      </c>
      <c r="R72" s="289"/>
      <c r="S72" s="289"/>
      <c r="T72" s="289"/>
      <c r="U72" s="289"/>
      <c r="V72" s="289"/>
      <c r="W72" s="289"/>
      <c r="X72" s="289">
        <f>SUM(Q72:W72)</f>
        <v>81.75</v>
      </c>
      <c r="Y72" s="289"/>
      <c r="Z72" s="290" t="s">
        <v>203</v>
      </c>
      <c r="AA72" s="282"/>
      <c r="AB72" s="282"/>
      <c r="AC72" s="282"/>
    </row>
    <row r="73" spans="1:29" s="281" customFormat="1" ht="12">
      <c r="A73" s="289">
        <v>66</v>
      </c>
      <c r="B73" s="294">
        <v>39750</v>
      </c>
      <c r="C73" s="289">
        <v>57698</v>
      </c>
      <c r="D73" s="292">
        <v>39804</v>
      </c>
      <c r="E73" s="291" t="s">
        <v>356</v>
      </c>
      <c r="F73" s="291" t="s">
        <v>362</v>
      </c>
      <c r="G73" s="289"/>
      <c r="H73" s="289"/>
      <c r="I73" s="289">
        <v>806.6</v>
      </c>
      <c r="J73" s="293">
        <f>+H73*0.12</f>
        <v>0</v>
      </c>
      <c r="K73" s="293">
        <f>+H73+I73+J73</f>
        <v>806.6</v>
      </c>
      <c r="L73" s="289"/>
      <c r="M73" s="291"/>
      <c r="N73" s="291" t="s">
        <v>231</v>
      </c>
      <c r="O73" s="291" t="s">
        <v>231</v>
      </c>
      <c r="P73" s="291"/>
      <c r="Q73" s="289"/>
      <c r="R73" s="289"/>
      <c r="S73" s="289"/>
      <c r="T73" s="289"/>
      <c r="U73" s="289"/>
      <c r="V73" s="289"/>
      <c r="W73" s="289"/>
      <c r="X73" s="289">
        <f>SUM(Q73:W73)</f>
        <v>0</v>
      </c>
      <c r="Y73" s="289"/>
      <c r="Z73" s="290"/>
      <c r="AA73" s="282"/>
      <c r="AB73" s="282"/>
      <c r="AC73" s="282"/>
    </row>
    <row r="74" spans="1:29" s="281" customFormat="1" ht="12">
      <c r="A74" s="289">
        <v>67</v>
      </c>
      <c r="B74" s="294">
        <v>39750</v>
      </c>
      <c r="C74" s="289">
        <v>57698</v>
      </c>
      <c r="D74" s="292">
        <v>39793</v>
      </c>
      <c r="E74" s="291" t="s">
        <v>356</v>
      </c>
      <c r="F74" s="301" t="s">
        <v>359</v>
      </c>
      <c r="G74" s="289">
        <v>8242.5</v>
      </c>
      <c r="H74" s="289"/>
      <c r="I74" s="289">
        <v>8242.5</v>
      </c>
      <c r="J74" s="293">
        <f>+H74*0.12</f>
        <v>0</v>
      </c>
      <c r="K74" s="293">
        <f>+H74+I74+J74</f>
        <v>8242.5</v>
      </c>
      <c r="L74" s="292">
        <v>39804</v>
      </c>
      <c r="M74" s="291" t="s">
        <v>442</v>
      </c>
      <c r="N74" s="291" t="s">
        <v>231</v>
      </c>
      <c r="O74" s="291" t="s">
        <v>231</v>
      </c>
      <c r="P74" s="291" t="s">
        <v>464</v>
      </c>
      <c r="Q74" s="289">
        <v>82.43</v>
      </c>
      <c r="R74" s="289"/>
      <c r="S74" s="289"/>
      <c r="T74" s="289"/>
      <c r="U74" s="289"/>
      <c r="V74" s="289"/>
      <c r="W74" s="289"/>
      <c r="X74" s="289">
        <f>SUM(Q74:W74)</f>
        <v>82.43</v>
      </c>
      <c r="Y74" s="289"/>
      <c r="Z74" s="290" t="s">
        <v>203</v>
      </c>
      <c r="AA74" s="282"/>
      <c r="AB74" s="282"/>
      <c r="AC74" s="282"/>
    </row>
    <row r="75" spans="1:29" s="281" customFormat="1" ht="12">
      <c r="A75" s="289">
        <v>68</v>
      </c>
      <c r="B75" s="294">
        <v>39759</v>
      </c>
      <c r="C75" s="289">
        <v>57698</v>
      </c>
      <c r="D75" s="292">
        <v>39800</v>
      </c>
      <c r="E75" s="291" t="s">
        <v>356</v>
      </c>
      <c r="F75" s="291" t="s">
        <v>362</v>
      </c>
      <c r="G75" s="289">
        <v>813.26</v>
      </c>
      <c r="H75" s="289"/>
      <c r="I75" s="289">
        <v>813.26</v>
      </c>
      <c r="J75" s="293">
        <f>+H75*0.12</f>
        <v>0</v>
      </c>
      <c r="K75" s="293">
        <f>+H75+I75+J75</f>
        <v>813.26</v>
      </c>
      <c r="L75" s="289"/>
      <c r="M75" s="291"/>
      <c r="N75" s="291" t="s">
        <v>231</v>
      </c>
      <c r="O75" s="291" t="s">
        <v>231</v>
      </c>
      <c r="P75" s="291"/>
      <c r="Q75" s="289"/>
      <c r="R75" s="289"/>
      <c r="S75" s="289"/>
      <c r="T75" s="289"/>
      <c r="U75" s="289"/>
      <c r="V75" s="289"/>
      <c r="W75" s="289"/>
      <c r="X75" s="289">
        <f>SUM(Q75:W75)</f>
        <v>0</v>
      </c>
      <c r="Y75" s="289"/>
      <c r="Z75" s="290"/>
      <c r="AA75" s="282"/>
      <c r="AB75" s="282"/>
      <c r="AC75" s="282"/>
    </row>
    <row r="76" spans="1:29" s="281" customFormat="1" ht="12">
      <c r="A76" s="289">
        <v>69</v>
      </c>
      <c r="B76" s="294">
        <v>39759</v>
      </c>
      <c r="C76" s="289">
        <v>57722</v>
      </c>
      <c r="D76" s="292">
        <v>39800</v>
      </c>
      <c r="E76" s="291" t="s">
        <v>267</v>
      </c>
      <c r="F76" s="291" t="s">
        <v>394</v>
      </c>
      <c r="G76" s="289">
        <v>43</v>
      </c>
      <c r="H76" s="289">
        <v>43</v>
      </c>
      <c r="I76" s="289"/>
      <c r="J76" s="293">
        <f>+H76*0.12</f>
        <v>5.16</v>
      </c>
      <c r="K76" s="293">
        <f>+H76+I76+J76</f>
        <v>48.16</v>
      </c>
      <c r="L76" s="289"/>
      <c r="M76" s="291"/>
      <c r="N76" s="291" t="s">
        <v>231</v>
      </c>
      <c r="O76" s="291" t="s">
        <v>231</v>
      </c>
      <c r="P76" s="291"/>
      <c r="Q76" s="289"/>
      <c r="R76" s="289"/>
      <c r="S76" s="289"/>
      <c r="T76" s="289"/>
      <c r="U76" s="289"/>
      <c r="V76" s="289"/>
      <c r="W76" s="289"/>
      <c r="X76" s="289">
        <f>SUM(Q76:W76)</f>
        <v>0</v>
      </c>
      <c r="Y76" s="289"/>
      <c r="Z76" s="290"/>
      <c r="AA76" s="282"/>
      <c r="AB76" s="282"/>
      <c r="AC76" s="282"/>
    </row>
    <row r="77" spans="1:29" s="281" customFormat="1" ht="12">
      <c r="A77" s="289">
        <v>70</v>
      </c>
      <c r="B77" s="294">
        <v>39759</v>
      </c>
      <c r="C77" s="289">
        <v>57739</v>
      </c>
      <c r="D77" s="292">
        <v>39804</v>
      </c>
      <c r="E77" s="291" t="s">
        <v>331</v>
      </c>
      <c r="F77" s="291" t="s">
        <v>397</v>
      </c>
      <c r="G77" s="289">
        <v>27</v>
      </c>
      <c r="H77" s="289"/>
      <c r="I77" s="289">
        <v>27</v>
      </c>
      <c r="J77" s="293">
        <f>+H77*0.12</f>
        <v>0</v>
      </c>
      <c r="K77" s="293">
        <f>+H77+I77+J77</f>
        <v>27</v>
      </c>
      <c r="L77" s="289"/>
      <c r="M77" s="291"/>
      <c r="N77" s="291" t="s">
        <v>231</v>
      </c>
      <c r="O77" s="291" t="s">
        <v>231</v>
      </c>
      <c r="P77" s="291"/>
      <c r="Q77" s="289"/>
      <c r="R77" s="289"/>
      <c r="S77" s="289"/>
      <c r="T77" s="289"/>
      <c r="U77" s="289"/>
      <c r="V77" s="289"/>
      <c r="W77" s="289"/>
      <c r="X77" s="289">
        <f>SUM(Q77:W77)</f>
        <v>0</v>
      </c>
      <c r="Y77" s="289"/>
      <c r="Z77" s="290"/>
      <c r="AA77" s="282"/>
      <c r="AB77" s="282"/>
      <c r="AC77" s="282"/>
    </row>
    <row r="78" spans="1:29" s="281" customFormat="1" ht="12">
      <c r="A78" s="289">
        <v>71</v>
      </c>
      <c r="B78" s="294">
        <v>39767</v>
      </c>
      <c r="C78" s="289">
        <v>11877</v>
      </c>
      <c r="D78" s="292">
        <v>39800</v>
      </c>
      <c r="E78" s="291" t="s">
        <v>398</v>
      </c>
      <c r="F78" s="291" t="s">
        <v>401</v>
      </c>
      <c r="G78" s="289">
        <v>225</v>
      </c>
      <c r="H78" s="289"/>
      <c r="I78" s="289">
        <v>225</v>
      </c>
      <c r="J78" s="293">
        <f>+H78*0.12</f>
        <v>0</v>
      </c>
      <c r="K78" s="293">
        <f>+H78+I78+J78</f>
        <v>225</v>
      </c>
      <c r="L78" s="292">
        <v>39804</v>
      </c>
      <c r="M78" s="291" t="s">
        <v>442</v>
      </c>
      <c r="N78" s="291" t="s">
        <v>231</v>
      </c>
      <c r="O78" s="291" t="s">
        <v>231</v>
      </c>
      <c r="P78" s="291" t="s">
        <v>463</v>
      </c>
      <c r="Q78" s="289">
        <v>2.25</v>
      </c>
      <c r="R78" s="289"/>
      <c r="S78" s="289"/>
      <c r="T78" s="289"/>
      <c r="U78" s="289"/>
      <c r="V78" s="289"/>
      <c r="W78" s="289"/>
      <c r="X78" s="289">
        <f>SUM(Q78:W78)</f>
        <v>2.25</v>
      </c>
      <c r="Y78" s="289"/>
      <c r="Z78" s="290" t="s">
        <v>203</v>
      </c>
      <c r="AA78" s="282"/>
      <c r="AB78" s="282"/>
      <c r="AC78" s="282"/>
    </row>
    <row r="79" spans="1:29" s="281" customFormat="1" ht="12">
      <c r="A79" s="289">
        <v>72</v>
      </c>
      <c r="B79" s="294">
        <v>39772</v>
      </c>
      <c r="C79" s="289">
        <v>57753</v>
      </c>
      <c r="D79" s="292">
        <v>39806</v>
      </c>
      <c r="E79" s="291" t="s">
        <v>327</v>
      </c>
      <c r="F79" s="291" t="s">
        <v>403</v>
      </c>
      <c r="G79" s="289">
        <v>207.14</v>
      </c>
      <c r="H79" s="289">
        <v>207.14</v>
      </c>
      <c r="I79" s="289"/>
      <c r="J79" s="293">
        <f>+H79*0.12</f>
        <v>24.856799999999996</v>
      </c>
      <c r="K79" s="293">
        <f>+H79+I79+J79</f>
        <v>231.99679999999998</v>
      </c>
      <c r="L79" s="292">
        <v>39806</v>
      </c>
      <c r="M79" s="291" t="s">
        <v>442</v>
      </c>
      <c r="N79" s="291" t="s">
        <v>231</v>
      </c>
      <c r="O79" s="291" t="s">
        <v>231</v>
      </c>
      <c r="P79" s="291" t="s">
        <v>462</v>
      </c>
      <c r="Q79" s="289">
        <v>2.0699999999999998</v>
      </c>
      <c r="R79" s="289"/>
      <c r="S79" s="289"/>
      <c r="T79" s="289"/>
      <c r="U79" s="289"/>
      <c r="V79" s="289"/>
      <c r="W79" s="289"/>
      <c r="X79" s="289">
        <f>SUM(Q79:W79)</f>
        <v>2.0699999999999998</v>
      </c>
      <c r="Y79" s="289"/>
      <c r="Z79" s="290" t="s">
        <v>203</v>
      </c>
      <c r="AA79" s="282"/>
      <c r="AB79" s="282"/>
      <c r="AC79" s="282"/>
    </row>
    <row r="80" spans="1:29" s="281" customFormat="1" ht="12">
      <c r="A80" s="289">
        <v>73</v>
      </c>
      <c r="B80" s="294">
        <v>39777</v>
      </c>
      <c r="C80" s="289">
        <v>57764</v>
      </c>
      <c r="D80" s="292">
        <v>39811</v>
      </c>
      <c r="E80" s="291" t="s">
        <v>404</v>
      </c>
      <c r="F80" s="291" t="s">
        <v>408</v>
      </c>
      <c r="G80" s="289">
        <v>173.47</v>
      </c>
      <c r="H80" s="289"/>
      <c r="I80" s="289">
        <v>182.39</v>
      </c>
      <c r="J80" s="293">
        <f>+H80*0.12</f>
        <v>0</v>
      </c>
      <c r="K80" s="293">
        <f>+H80+I80+J80</f>
        <v>182.39</v>
      </c>
      <c r="L80" s="292">
        <v>39810</v>
      </c>
      <c r="M80" s="291" t="s">
        <v>461</v>
      </c>
      <c r="N80" s="291" t="s">
        <v>231</v>
      </c>
      <c r="O80" s="291" t="s">
        <v>231</v>
      </c>
      <c r="P80" s="291" t="s">
        <v>460</v>
      </c>
      <c r="Q80" s="289"/>
      <c r="R80" s="289">
        <v>3.47</v>
      </c>
      <c r="S80" s="289"/>
      <c r="T80" s="289"/>
      <c r="U80" s="289"/>
      <c r="V80" s="289"/>
      <c r="W80" s="289"/>
      <c r="X80" s="289">
        <f>SUM(Q80:W80)</f>
        <v>3.47</v>
      </c>
      <c r="Y80" s="289"/>
      <c r="Z80" s="290" t="s">
        <v>203</v>
      </c>
      <c r="AA80" s="282"/>
      <c r="AB80" s="282"/>
      <c r="AC80" s="282"/>
    </row>
    <row r="81" spans="1:29" s="281" customFormat="1" ht="12">
      <c r="A81" s="296">
        <v>74</v>
      </c>
      <c r="B81" s="300">
        <v>39778</v>
      </c>
      <c r="C81" s="296">
        <v>57765</v>
      </c>
      <c r="D81" s="298">
        <v>39811</v>
      </c>
      <c r="E81" s="297" t="s">
        <v>331</v>
      </c>
      <c r="F81" s="297" t="s">
        <v>410</v>
      </c>
      <c r="G81" s="296">
        <v>396</v>
      </c>
      <c r="H81" s="296"/>
      <c r="I81" s="296">
        <v>396</v>
      </c>
      <c r="J81" s="299">
        <f>+H81*0.12</f>
        <v>0</v>
      </c>
      <c r="K81" s="299">
        <f>+H81+I81+J81</f>
        <v>396</v>
      </c>
      <c r="L81" s="298">
        <v>39811</v>
      </c>
      <c r="M81" s="297" t="s">
        <v>442</v>
      </c>
      <c r="N81" s="297" t="s">
        <v>231</v>
      </c>
      <c r="O81" s="297" t="s">
        <v>231</v>
      </c>
      <c r="P81" s="297" t="s">
        <v>460</v>
      </c>
      <c r="Q81" s="296"/>
      <c r="R81" s="296"/>
      <c r="S81" s="296">
        <f>+G81*0.08</f>
        <v>31.68</v>
      </c>
      <c r="T81" s="296"/>
      <c r="U81" s="296"/>
      <c r="V81" s="296"/>
      <c r="W81" s="296"/>
      <c r="X81" s="296">
        <f>SUM(Q81:W81)</f>
        <v>31.68</v>
      </c>
      <c r="Y81" s="296"/>
      <c r="Z81" s="295" t="s">
        <v>447</v>
      </c>
      <c r="AA81" s="282"/>
      <c r="AB81" s="282"/>
      <c r="AC81" s="282"/>
    </row>
    <row r="82" spans="1:29" s="281" customFormat="1" ht="12">
      <c r="A82" s="289">
        <v>75</v>
      </c>
      <c r="B82" s="294">
        <v>39782</v>
      </c>
      <c r="C82" s="289">
        <v>57766</v>
      </c>
      <c r="D82" s="292">
        <v>39811</v>
      </c>
      <c r="E82" s="291" t="s">
        <v>331</v>
      </c>
      <c r="F82" s="301" t="s">
        <v>412</v>
      </c>
      <c r="G82" s="289">
        <v>110</v>
      </c>
      <c r="H82" s="289"/>
      <c r="I82" s="289">
        <v>110</v>
      </c>
      <c r="J82" s="293">
        <f>+H82*0.12</f>
        <v>0</v>
      </c>
      <c r="K82" s="293">
        <f>+H82+I82+J82</f>
        <v>110</v>
      </c>
      <c r="L82" s="292">
        <v>39811</v>
      </c>
      <c r="M82" s="291" t="s">
        <v>442</v>
      </c>
      <c r="N82" s="291" t="s">
        <v>231</v>
      </c>
      <c r="O82" s="291" t="s">
        <v>231</v>
      </c>
      <c r="P82" s="291" t="s">
        <v>459</v>
      </c>
      <c r="Q82" s="289"/>
      <c r="R82" s="289"/>
      <c r="S82" s="289">
        <f>+G82*0.08</f>
        <v>8.8000000000000007</v>
      </c>
      <c r="T82" s="289"/>
      <c r="U82" s="289"/>
      <c r="V82" s="289"/>
      <c r="W82" s="289"/>
      <c r="X82" s="289">
        <f>SUM(Q82:W82)</f>
        <v>8.8000000000000007</v>
      </c>
      <c r="Y82" s="289"/>
      <c r="Z82" s="290" t="s">
        <v>203</v>
      </c>
      <c r="AA82" s="282"/>
      <c r="AB82" s="282"/>
      <c r="AC82" s="282"/>
    </row>
    <row r="83" spans="1:29" s="281" customFormat="1" ht="12">
      <c r="A83" s="289">
        <v>76</v>
      </c>
      <c r="B83" s="294">
        <v>39789</v>
      </c>
      <c r="C83" s="289">
        <v>57768</v>
      </c>
      <c r="D83" s="292">
        <v>39811</v>
      </c>
      <c r="E83" s="291" t="s">
        <v>331</v>
      </c>
      <c r="F83" s="291" t="s">
        <v>414</v>
      </c>
      <c r="G83" s="289">
        <v>120</v>
      </c>
      <c r="H83" s="289"/>
      <c r="I83" s="289">
        <v>120</v>
      </c>
      <c r="J83" s="293">
        <f>+H83*0.12</f>
        <v>0</v>
      </c>
      <c r="K83" s="293">
        <f>+H83+I83+J83</f>
        <v>120</v>
      </c>
      <c r="L83" s="292">
        <v>39811</v>
      </c>
      <c r="M83" s="291" t="s">
        <v>442</v>
      </c>
      <c r="N83" s="291" t="s">
        <v>231</v>
      </c>
      <c r="O83" s="291" t="s">
        <v>231</v>
      </c>
      <c r="P83" s="291" t="s">
        <v>458</v>
      </c>
      <c r="Q83" s="289"/>
      <c r="R83" s="289">
        <v>2.4</v>
      </c>
      <c r="S83" s="289"/>
      <c r="T83" s="289"/>
      <c r="U83" s="289"/>
      <c r="V83" s="289"/>
      <c r="W83" s="289"/>
      <c r="X83" s="289">
        <f>SUM(Q83:W83)</f>
        <v>2.4</v>
      </c>
      <c r="Y83" s="289"/>
      <c r="Z83" s="290" t="s">
        <v>203</v>
      </c>
      <c r="AA83" s="282"/>
      <c r="AB83" s="282"/>
      <c r="AC83" s="282"/>
    </row>
    <row r="84" spans="1:29" s="281" customFormat="1" ht="12">
      <c r="A84" s="289">
        <v>77</v>
      </c>
      <c r="B84" s="294">
        <v>39792</v>
      </c>
      <c r="C84" s="289">
        <v>57769</v>
      </c>
      <c r="D84" s="292">
        <v>39811</v>
      </c>
      <c r="E84" s="291" t="s">
        <v>415</v>
      </c>
      <c r="F84" s="291" t="s">
        <v>419</v>
      </c>
      <c r="G84" s="289">
        <v>270.67</v>
      </c>
      <c r="H84" s="289">
        <v>270.67</v>
      </c>
      <c r="I84" s="289"/>
      <c r="J84" s="293">
        <f>+H84*0.12</f>
        <v>32.480400000000003</v>
      </c>
      <c r="K84" s="293">
        <f>+H84+I84+J84</f>
        <v>303.15039999999999</v>
      </c>
      <c r="L84" s="292">
        <v>39811</v>
      </c>
      <c r="M84" s="291" t="s">
        <v>442</v>
      </c>
      <c r="N84" s="291" t="s">
        <v>231</v>
      </c>
      <c r="O84" s="291" t="s">
        <v>231</v>
      </c>
      <c r="P84" s="291" t="s">
        <v>457</v>
      </c>
      <c r="Q84" s="289">
        <v>2.71</v>
      </c>
      <c r="R84" s="289"/>
      <c r="S84" s="289"/>
      <c r="T84" s="289"/>
      <c r="U84" s="289"/>
      <c r="V84" s="289"/>
      <c r="W84" s="289"/>
      <c r="X84" s="289">
        <f>SUM(Q84:W84)</f>
        <v>2.71</v>
      </c>
      <c r="Y84" s="289"/>
      <c r="Z84" s="290" t="s">
        <v>203</v>
      </c>
      <c r="AA84" s="282"/>
      <c r="AB84" s="282"/>
      <c r="AC84" s="282"/>
    </row>
    <row r="85" spans="1:29" s="281" customFormat="1" ht="12">
      <c r="A85" s="289">
        <v>78</v>
      </c>
      <c r="B85" s="294">
        <v>39795</v>
      </c>
      <c r="C85" s="289">
        <v>57774</v>
      </c>
      <c r="D85" s="292">
        <v>39811</v>
      </c>
      <c r="E85" s="291" t="s">
        <v>331</v>
      </c>
      <c r="F85" s="291" t="s">
        <v>421</v>
      </c>
      <c r="G85" s="289">
        <v>140</v>
      </c>
      <c r="H85" s="289">
        <v>140</v>
      </c>
      <c r="I85" s="289"/>
      <c r="J85" s="293">
        <f>+H85*0.12</f>
        <v>16.8</v>
      </c>
      <c r="K85" s="293">
        <f>+H85+I85+J85</f>
        <v>156.80000000000001</v>
      </c>
      <c r="L85" s="292">
        <v>39811</v>
      </c>
      <c r="M85" s="291" t="s">
        <v>442</v>
      </c>
      <c r="N85" s="291" t="s">
        <v>231</v>
      </c>
      <c r="O85" s="291" t="s">
        <v>231</v>
      </c>
      <c r="P85" s="291" t="s">
        <v>456</v>
      </c>
      <c r="Q85" s="289"/>
      <c r="R85" s="289">
        <v>2.8</v>
      </c>
      <c r="S85" s="289"/>
      <c r="T85" s="289"/>
      <c r="U85" s="289"/>
      <c r="V85" s="289"/>
      <c r="W85" s="293">
        <f>+J85</f>
        <v>16.8</v>
      </c>
      <c r="X85" s="289">
        <f>SUM(Q85:W85)</f>
        <v>19.600000000000001</v>
      </c>
      <c r="Y85" s="289">
        <v>703</v>
      </c>
      <c r="Z85" s="290" t="s">
        <v>203</v>
      </c>
      <c r="AA85" s="282"/>
      <c r="AB85" s="282"/>
      <c r="AC85" s="282"/>
    </row>
    <row r="86" spans="1:29" s="281" customFormat="1" ht="12">
      <c r="A86" s="289">
        <v>79</v>
      </c>
      <c r="B86" s="294">
        <v>39798</v>
      </c>
      <c r="C86" s="289">
        <v>57781</v>
      </c>
      <c r="D86" s="292">
        <v>39808</v>
      </c>
      <c r="E86" s="291" t="s">
        <v>422</v>
      </c>
      <c r="F86" s="291" t="s">
        <v>425</v>
      </c>
      <c r="G86" s="289">
        <v>120</v>
      </c>
      <c r="H86" s="289">
        <v>120</v>
      </c>
      <c r="I86" s="289"/>
      <c r="J86" s="293">
        <f>+H86*0.12</f>
        <v>14.399999999999999</v>
      </c>
      <c r="K86" s="293">
        <f>+H86+I86+J86</f>
        <v>134.4</v>
      </c>
      <c r="L86" s="292">
        <v>39811</v>
      </c>
      <c r="M86" s="291" t="s">
        <v>442</v>
      </c>
      <c r="N86" s="291" t="s">
        <v>231</v>
      </c>
      <c r="O86" s="291" t="s">
        <v>231</v>
      </c>
      <c r="P86" s="291" t="s">
        <v>455</v>
      </c>
      <c r="Q86" s="289"/>
      <c r="R86" s="289">
        <v>2.4</v>
      </c>
      <c r="S86" s="289"/>
      <c r="T86" s="289"/>
      <c r="U86" s="289"/>
      <c r="V86" s="289">
        <f>+J86*0.7</f>
        <v>10.079999999999998</v>
      </c>
      <c r="W86" s="289"/>
      <c r="X86" s="289">
        <f>SUM(Q86:W86)</f>
        <v>12.479999999999999</v>
      </c>
      <c r="Y86" s="289">
        <v>708</v>
      </c>
      <c r="Z86" s="290" t="s">
        <v>203</v>
      </c>
      <c r="AA86" s="282"/>
      <c r="AB86" s="282"/>
      <c r="AC86" s="282"/>
    </row>
    <row r="87" spans="1:29" s="281" customFormat="1" ht="12">
      <c r="A87" s="289">
        <v>80</v>
      </c>
      <c r="B87" s="294">
        <v>39801</v>
      </c>
      <c r="C87" s="289">
        <v>57770</v>
      </c>
      <c r="D87" s="292">
        <v>39811</v>
      </c>
      <c r="E87" s="291" t="s">
        <v>415</v>
      </c>
      <c r="F87" s="291" t="s">
        <v>394</v>
      </c>
      <c r="G87" s="289">
        <v>1320</v>
      </c>
      <c r="H87" s="289">
        <v>1320</v>
      </c>
      <c r="I87" s="289"/>
      <c r="J87" s="293">
        <f>+H87*0.12</f>
        <v>158.4</v>
      </c>
      <c r="K87" s="293">
        <f>+H87+I87+J87</f>
        <v>1478.4</v>
      </c>
      <c r="L87" s="292">
        <v>39811</v>
      </c>
      <c r="M87" s="291" t="s">
        <v>442</v>
      </c>
      <c r="N87" s="291" t="s">
        <v>231</v>
      </c>
      <c r="O87" s="291" t="s">
        <v>231</v>
      </c>
      <c r="P87" s="291" t="s">
        <v>454</v>
      </c>
      <c r="Q87" s="289"/>
      <c r="R87" s="289"/>
      <c r="S87" s="289">
        <f>+G87*0.08</f>
        <v>105.60000000000001</v>
      </c>
      <c r="T87" s="289"/>
      <c r="U87" s="289"/>
      <c r="V87" s="289"/>
      <c r="W87" s="293">
        <f>+J87</f>
        <v>158.4</v>
      </c>
      <c r="X87" s="289">
        <f>SUM(Q87:W87)</f>
        <v>264</v>
      </c>
      <c r="Y87" s="289">
        <v>701</v>
      </c>
      <c r="Z87" s="290" t="s">
        <v>203</v>
      </c>
      <c r="AA87" s="282"/>
      <c r="AB87" s="282"/>
      <c r="AC87" s="282"/>
    </row>
    <row r="88" spans="1:29" s="281" customFormat="1" ht="12">
      <c r="A88" s="289">
        <v>81</v>
      </c>
      <c r="B88" s="294">
        <v>39804</v>
      </c>
      <c r="C88" s="289">
        <v>57798</v>
      </c>
      <c r="D88" s="292">
        <v>39812</v>
      </c>
      <c r="E88" s="291" t="s">
        <v>331</v>
      </c>
      <c r="F88" s="291" t="s">
        <v>412</v>
      </c>
      <c r="G88" s="289">
        <v>429</v>
      </c>
      <c r="H88" s="289"/>
      <c r="I88" s="289">
        <v>429</v>
      </c>
      <c r="J88" s="293">
        <f>+H88*0.12</f>
        <v>0</v>
      </c>
      <c r="K88" s="293">
        <f>+H88+I88+J88</f>
        <v>429</v>
      </c>
      <c r="L88" s="292">
        <v>39812</v>
      </c>
      <c r="M88" s="291" t="s">
        <v>442</v>
      </c>
      <c r="N88" s="291" t="s">
        <v>231</v>
      </c>
      <c r="O88" s="291" t="s">
        <v>231</v>
      </c>
      <c r="P88" s="291" t="s">
        <v>453</v>
      </c>
      <c r="Q88" s="289"/>
      <c r="R88" s="289"/>
      <c r="S88" s="289">
        <f>+G88*0.08</f>
        <v>34.32</v>
      </c>
      <c r="T88" s="289"/>
      <c r="U88" s="289"/>
      <c r="V88" s="289"/>
      <c r="W88" s="289"/>
      <c r="X88" s="289">
        <f>SUM(Q88:W88)</f>
        <v>34.32</v>
      </c>
      <c r="Y88" s="289"/>
      <c r="Z88" s="290" t="s">
        <v>203</v>
      </c>
      <c r="AA88" s="282"/>
      <c r="AB88" s="282"/>
      <c r="AC88" s="282"/>
    </row>
    <row r="89" spans="1:29" s="281" customFormat="1" ht="12">
      <c r="A89" s="289">
        <v>82</v>
      </c>
      <c r="B89" s="294">
        <v>39807</v>
      </c>
      <c r="C89" s="289">
        <v>57787</v>
      </c>
      <c r="D89" s="292">
        <v>39812</v>
      </c>
      <c r="E89" s="291" t="s">
        <v>331</v>
      </c>
      <c r="F89" s="291" t="s">
        <v>428</v>
      </c>
      <c r="G89" s="289">
        <v>400</v>
      </c>
      <c r="H89" s="289">
        <v>400</v>
      </c>
      <c r="I89" s="289"/>
      <c r="J89" s="293">
        <f>+H89*0.12</f>
        <v>48</v>
      </c>
      <c r="K89" s="293">
        <f>+H89+I89+J89</f>
        <v>448</v>
      </c>
      <c r="L89" s="292">
        <v>39812</v>
      </c>
      <c r="M89" s="291" t="s">
        <v>442</v>
      </c>
      <c r="N89" s="291" t="s">
        <v>231</v>
      </c>
      <c r="O89" s="291" t="s">
        <v>231</v>
      </c>
      <c r="P89" s="291" t="s">
        <v>452</v>
      </c>
      <c r="Q89" s="289"/>
      <c r="R89" s="289">
        <v>8</v>
      </c>
      <c r="S89" s="289"/>
      <c r="T89" s="289"/>
      <c r="U89" s="289"/>
      <c r="V89" s="289"/>
      <c r="W89" s="293">
        <f>+J89</f>
        <v>48</v>
      </c>
      <c r="X89" s="289">
        <f>SUM(Q89:W89)</f>
        <v>56</v>
      </c>
      <c r="Y89" s="289">
        <v>703</v>
      </c>
      <c r="Z89" s="290" t="s">
        <v>203</v>
      </c>
      <c r="AA89" s="282"/>
      <c r="AB89" s="282"/>
      <c r="AC89" s="282"/>
    </row>
    <row r="90" spans="1:29" s="281" customFormat="1" ht="12">
      <c r="A90" s="289">
        <v>83</v>
      </c>
      <c r="B90" s="294">
        <v>39810</v>
      </c>
      <c r="C90" s="289">
        <v>11905</v>
      </c>
      <c r="D90" s="292">
        <v>39795</v>
      </c>
      <c r="E90" s="291" t="s">
        <v>356</v>
      </c>
      <c r="F90" s="291" t="s">
        <v>430</v>
      </c>
      <c r="G90" s="289">
        <v>269.85000000000002</v>
      </c>
      <c r="H90" s="289"/>
      <c r="I90" s="289">
        <v>269.85000000000002</v>
      </c>
      <c r="J90" s="293">
        <f>+H90*0.12</f>
        <v>0</v>
      </c>
      <c r="K90" s="293">
        <f>+H90+I90+J90</f>
        <v>269.85000000000002</v>
      </c>
      <c r="L90" s="292">
        <v>39812</v>
      </c>
      <c r="M90" s="291" t="s">
        <v>450</v>
      </c>
      <c r="N90" s="291" t="s">
        <v>231</v>
      </c>
      <c r="O90" s="291" t="s">
        <v>231</v>
      </c>
      <c r="P90" s="291" t="s">
        <v>451</v>
      </c>
      <c r="Q90" s="289">
        <f>+G90*0.01</f>
        <v>2.6985000000000001</v>
      </c>
      <c r="R90" s="289"/>
      <c r="S90" s="289"/>
      <c r="T90" s="289"/>
      <c r="U90" s="289"/>
      <c r="V90" s="289"/>
      <c r="W90" s="289"/>
      <c r="X90" s="289">
        <f>SUM(Q90:W90)</f>
        <v>2.6985000000000001</v>
      </c>
      <c r="Y90" s="289"/>
      <c r="Z90" s="290" t="s">
        <v>203</v>
      </c>
      <c r="AA90" s="282"/>
      <c r="AB90" s="282"/>
      <c r="AC90" s="282"/>
    </row>
    <row r="91" spans="1:29" s="281" customFormat="1" ht="12">
      <c r="A91" s="289">
        <v>84</v>
      </c>
      <c r="B91" s="294">
        <v>39810</v>
      </c>
      <c r="C91" s="289">
        <v>11905</v>
      </c>
      <c r="D91" s="292">
        <v>39806</v>
      </c>
      <c r="E91" s="291" t="s">
        <v>356</v>
      </c>
      <c r="F91" s="291" t="s">
        <v>430</v>
      </c>
      <c r="G91" s="289">
        <v>205.87</v>
      </c>
      <c r="H91" s="289"/>
      <c r="I91" s="289">
        <f>+G91</f>
        <v>205.87</v>
      </c>
      <c r="J91" s="293">
        <f>+H91*0.12</f>
        <v>0</v>
      </c>
      <c r="K91" s="293">
        <f>+H91+I91+J91</f>
        <v>205.87</v>
      </c>
      <c r="L91" s="292">
        <v>39812</v>
      </c>
      <c r="M91" s="291" t="s">
        <v>450</v>
      </c>
      <c r="N91" s="291" t="s">
        <v>231</v>
      </c>
      <c r="O91" s="291" t="s">
        <v>231</v>
      </c>
      <c r="P91" s="291" t="s">
        <v>449</v>
      </c>
      <c r="Q91" s="289">
        <f>+G91*0.01</f>
        <v>2.0587</v>
      </c>
      <c r="R91" s="289"/>
      <c r="S91" s="289"/>
      <c r="T91" s="289"/>
      <c r="U91" s="289"/>
      <c r="V91" s="289"/>
      <c r="W91" s="289"/>
      <c r="X91" s="289">
        <f>SUM(Q91:W91)</f>
        <v>2.0587</v>
      </c>
      <c r="Y91" s="289"/>
      <c r="Z91" s="290" t="s">
        <v>203</v>
      </c>
      <c r="AA91" s="282"/>
      <c r="AB91" s="282"/>
      <c r="AC91" s="282"/>
    </row>
    <row r="92" spans="1:29" s="281" customFormat="1" ht="12">
      <c r="A92" s="296">
        <v>85</v>
      </c>
      <c r="B92" s="300">
        <v>39810</v>
      </c>
      <c r="C92" s="296">
        <v>11904</v>
      </c>
      <c r="D92" s="298">
        <v>39812</v>
      </c>
      <c r="E92" s="297" t="s">
        <v>432</v>
      </c>
      <c r="F92" s="297" t="s">
        <v>435</v>
      </c>
      <c r="G92" s="296">
        <v>400</v>
      </c>
      <c r="H92" s="296">
        <v>400</v>
      </c>
      <c r="I92" s="296"/>
      <c r="J92" s="299">
        <f>+H92*0.12</f>
        <v>48</v>
      </c>
      <c r="K92" s="299">
        <f>+H92+I92+J92</f>
        <v>448</v>
      </c>
      <c r="L92" s="298">
        <v>39812</v>
      </c>
      <c r="M92" s="297" t="s">
        <v>442</v>
      </c>
      <c r="N92" s="297" t="s">
        <v>231</v>
      </c>
      <c r="O92" s="297" t="s">
        <v>231</v>
      </c>
      <c r="P92" s="297" t="s">
        <v>448</v>
      </c>
      <c r="Q92" s="296"/>
      <c r="R92" s="296">
        <v>8</v>
      </c>
      <c r="S92" s="296"/>
      <c r="T92" s="296"/>
      <c r="U92" s="296"/>
      <c r="V92" s="296">
        <f>+J92*0.7</f>
        <v>33.599999999999994</v>
      </c>
      <c r="W92" s="296"/>
      <c r="X92" s="296">
        <f>SUM(Q92:W92)</f>
        <v>41.599999999999994</v>
      </c>
      <c r="Y92" s="296">
        <v>708</v>
      </c>
      <c r="Z92" s="295" t="s">
        <v>447</v>
      </c>
      <c r="AA92" s="282"/>
      <c r="AB92" s="282"/>
      <c r="AC92" s="282"/>
    </row>
    <row r="93" spans="1:29" s="281" customFormat="1" ht="12">
      <c r="A93" s="289">
        <v>86</v>
      </c>
      <c r="B93" s="294">
        <v>39810</v>
      </c>
      <c r="C93" s="289">
        <v>57796</v>
      </c>
      <c r="D93" s="292">
        <v>39730</v>
      </c>
      <c r="E93" s="291" t="s">
        <v>436</v>
      </c>
      <c r="F93" s="291" t="s">
        <v>441</v>
      </c>
      <c r="G93" s="289">
        <v>81.19</v>
      </c>
      <c r="H93" s="289">
        <v>81.19</v>
      </c>
      <c r="I93" s="289"/>
      <c r="J93" s="293">
        <f>+H93*0.12</f>
        <v>9.742799999999999</v>
      </c>
      <c r="K93" s="293">
        <f>+H93+I93+J93</f>
        <v>90.9328</v>
      </c>
      <c r="L93" s="292">
        <v>39812</v>
      </c>
      <c r="M93" s="291" t="s">
        <v>442</v>
      </c>
      <c r="N93" s="291" t="s">
        <v>231</v>
      </c>
      <c r="O93" s="291" t="s">
        <v>231</v>
      </c>
      <c r="P93" s="291" t="s">
        <v>446</v>
      </c>
      <c r="Q93" s="289">
        <v>0.81</v>
      </c>
      <c r="R93" s="289"/>
      <c r="S93" s="289"/>
      <c r="T93" s="289"/>
      <c r="U93" s="289"/>
      <c r="V93" s="289"/>
      <c r="W93" s="289"/>
      <c r="X93" s="289">
        <f>SUM(Q93:W93)</f>
        <v>0.81</v>
      </c>
      <c r="Y93" s="289"/>
      <c r="Z93" s="290" t="s">
        <v>203</v>
      </c>
      <c r="AA93" s="282"/>
      <c r="AB93" s="282"/>
      <c r="AC93" s="282"/>
    </row>
    <row r="94" spans="1:29" s="281" customFormat="1" ht="12.75" thickBot="1">
      <c r="A94" s="289">
        <v>87</v>
      </c>
      <c r="B94" s="288">
        <v>39810</v>
      </c>
      <c r="C94" s="284">
        <v>57794</v>
      </c>
      <c r="D94" s="286">
        <v>39812</v>
      </c>
      <c r="E94" s="285" t="s">
        <v>331</v>
      </c>
      <c r="F94" s="285" t="s">
        <v>444</v>
      </c>
      <c r="G94" s="284">
        <v>528</v>
      </c>
      <c r="H94" s="284"/>
      <c r="I94" s="284">
        <v>528</v>
      </c>
      <c r="J94" s="287">
        <f>+H94*0.12</f>
        <v>0</v>
      </c>
      <c r="K94" s="287">
        <f>+H94+I94+J94</f>
        <v>528</v>
      </c>
      <c r="L94" s="286">
        <v>39812</v>
      </c>
      <c r="M94" s="285" t="s">
        <v>442</v>
      </c>
      <c r="N94" s="285" t="s">
        <v>231</v>
      </c>
      <c r="O94" s="285" t="s">
        <v>231</v>
      </c>
      <c r="P94" s="285" t="s">
        <v>443</v>
      </c>
      <c r="Q94" s="284"/>
      <c r="R94" s="284"/>
      <c r="S94" s="284">
        <f>+G94*0.08</f>
        <v>42.24</v>
      </c>
      <c r="T94" s="284"/>
      <c r="U94" s="284"/>
      <c r="V94" s="284"/>
      <c r="W94" s="284"/>
      <c r="X94" s="284">
        <f>SUM(Q94:W94)</f>
        <v>42.24</v>
      </c>
      <c r="Y94" s="284"/>
      <c r="Z94" s="283" t="s">
        <v>203</v>
      </c>
      <c r="AA94" s="282"/>
      <c r="AB94" s="282"/>
      <c r="AC94" s="282"/>
    </row>
    <row r="95" spans="1:29" s="280" customFormat="1"/>
    <row r="96" spans="1:29" s="280" customFormat="1" ht="15">
      <c r="A96" s="280" t="s">
        <v>445</v>
      </c>
    </row>
    <row r="97" s="280" customFormat="1"/>
    <row r="98" s="280" customFormat="1"/>
    <row r="99" s="280" customFormat="1"/>
  </sheetData>
  <mergeCells count="19">
    <mergeCell ref="A6:A7"/>
    <mergeCell ref="Q6:S6"/>
    <mergeCell ref="T6:T7"/>
    <mergeCell ref="U6:W6"/>
    <mergeCell ref="B6:B7"/>
    <mergeCell ref="C6:C7"/>
    <mergeCell ref="D6:D7"/>
    <mergeCell ref="E6:E7"/>
    <mergeCell ref="F6:F7"/>
    <mergeCell ref="X6:X7"/>
    <mergeCell ref="Y6:Y7"/>
    <mergeCell ref="Z6:Z7"/>
    <mergeCell ref="G5:Z5"/>
    <mergeCell ref="G6:G7"/>
    <mergeCell ref="H6:H7"/>
    <mergeCell ref="I6:I7"/>
    <mergeCell ref="J6:J7"/>
    <mergeCell ref="K6:K7"/>
    <mergeCell ref="L6:P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V11"/>
  <sheetViews>
    <sheetView workbookViewId="0">
      <selection activeCell="F19" sqref="F19"/>
    </sheetView>
  </sheetViews>
  <sheetFormatPr baseColWidth="10" defaultRowHeight="12.75"/>
  <cols>
    <col min="3" max="3" width="26.5703125" customWidth="1"/>
    <col min="5" max="5" width="9.5703125" customWidth="1"/>
    <col min="6" max="6" width="9.85546875" customWidth="1"/>
    <col min="7" max="7" width="12.28515625" bestFit="1" customWidth="1"/>
    <col min="9" max="9" width="9.5703125" customWidth="1"/>
    <col min="10" max="10" width="10.140625" customWidth="1"/>
    <col min="12" max="12" width="8" customWidth="1"/>
    <col min="13" max="13" width="10.28515625" customWidth="1"/>
    <col min="14" max="14" width="9.42578125" customWidth="1"/>
    <col min="17" max="18" width="10.28515625" customWidth="1"/>
    <col min="20" max="20" width="8.140625" customWidth="1"/>
    <col min="259" max="259" width="26.5703125" customWidth="1"/>
    <col min="261" max="261" width="9.5703125" customWidth="1"/>
    <col min="262" max="262" width="9.85546875" customWidth="1"/>
    <col min="263" max="263" width="12.28515625" bestFit="1" customWidth="1"/>
    <col min="265" max="265" width="9.5703125" customWidth="1"/>
    <col min="266" max="266" width="10.140625" customWidth="1"/>
    <col min="268" max="268" width="8" customWidth="1"/>
    <col min="269" max="269" width="10.28515625" customWidth="1"/>
    <col min="270" max="270" width="9.42578125" customWidth="1"/>
    <col min="273" max="274" width="10.28515625" customWidth="1"/>
    <col min="276" max="276" width="8.140625" customWidth="1"/>
    <col min="515" max="515" width="26.5703125" customWidth="1"/>
    <col min="517" max="517" width="9.5703125" customWidth="1"/>
    <col min="518" max="518" width="9.85546875" customWidth="1"/>
    <col min="519" max="519" width="12.28515625" bestFit="1" customWidth="1"/>
    <col min="521" max="521" width="9.5703125" customWidth="1"/>
    <col min="522" max="522" width="10.140625" customWidth="1"/>
    <col min="524" max="524" width="8" customWidth="1"/>
    <col min="525" max="525" width="10.28515625" customWidth="1"/>
    <col min="526" max="526" width="9.42578125" customWidth="1"/>
    <col min="529" max="530" width="10.28515625" customWidth="1"/>
    <col min="532" max="532" width="8.140625" customWidth="1"/>
    <col min="771" max="771" width="26.5703125" customWidth="1"/>
    <col min="773" max="773" width="9.5703125" customWidth="1"/>
    <col min="774" max="774" width="9.85546875" customWidth="1"/>
    <col min="775" max="775" width="12.28515625" bestFit="1" customWidth="1"/>
    <col min="777" max="777" width="9.5703125" customWidth="1"/>
    <col min="778" max="778" width="10.140625" customWidth="1"/>
    <col min="780" max="780" width="8" customWidth="1"/>
    <col min="781" max="781" width="10.28515625" customWidth="1"/>
    <col min="782" max="782" width="9.42578125" customWidth="1"/>
    <col min="785" max="786" width="10.28515625" customWidth="1"/>
    <col min="788" max="788" width="8.140625" customWidth="1"/>
    <col min="1027" max="1027" width="26.5703125" customWidth="1"/>
    <col min="1029" max="1029" width="9.5703125" customWidth="1"/>
    <col min="1030" max="1030" width="9.85546875" customWidth="1"/>
    <col min="1031" max="1031" width="12.28515625" bestFit="1" customWidth="1"/>
    <col min="1033" max="1033" width="9.5703125" customWidth="1"/>
    <col min="1034" max="1034" width="10.140625" customWidth="1"/>
    <col min="1036" max="1036" width="8" customWidth="1"/>
    <col min="1037" max="1037" width="10.28515625" customWidth="1"/>
    <col min="1038" max="1038" width="9.42578125" customWidth="1"/>
    <col min="1041" max="1042" width="10.28515625" customWidth="1"/>
    <col min="1044" max="1044" width="8.140625" customWidth="1"/>
    <col min="1283" max="1283" width="26.5703125" customWidth="1"/>
    <col min="1285" max="1285" width="9.5703125" customWidth="1"/>
    <col min="1286" max="1286" width="9.85546875" customWidth="1"/>
    <col min="1287" max="1287" width="12.28515625" bestFit="1" customWidth="1"/>
    <col min="1289" max="1289" width="9.5703125" customWidth="1"/>
    <col min="1290" max="1290" width="10.140625" customWidth="1"/>
    <col min="1292" max="1292" width="8" customWidth="1"/>
    <col min="1293" max="1293" width="10.28515625" customWidth="1"/>
    <col min="1294" max="1294" width="9.42578125" customWidth="1"/>
    <col min="1297" max="1298" width="10.28515625" customWidth="1"/>
    <col min="1300" max="1300" width="8.140625" customWidth="1"/>
    <col min="1539" max="1539" width="26.5703125" customWidth="1"/>
    <col min="1541" max="1541" width="9.5703125" customWidth="1"/>
    <col min="1542" max="1542" width="9.85546875" customWidth="1"/>
    <col min="1543" max="1543" width="12.28515625" bestFit="1" customWidth="1"/>
    <col min="1545" max="1545" width="9.5703125" customWidth="1"/>
    <col min="1546" max="1546" width="10.140625" customWidth="1"/>
    <col min="1548" max="1548" width="8" customWidth="1"/>
    <col min="1549" max="1549" width="10.28515625" customWidth="1"/>
    <col min="1550" max="1550" width="9.42578125" customWidth="1"/>
    <col min="1553" max="1554" width="10.28515625" customWidth="1"/>
    <col min="1556" max="1556" width="8.140625" customWidth="1"/>
    <col min="1795" max="1795" width="26.5703125" customWidth="1"/>
    <col min="1797" max="1797" width="9.5703125" customWidth="1"/>
    <col min="1798" max="1798" width="9.85546875" customWidth="1"/>
    <col min="1799" max="1799" width="12.28515625" bestFit="1" customWidth="1"/>
    <col min="1801" max="1801" width="9.5703125" customWidth="1"/>
    <col min="1802" max="1802" width="10.140625" customWidth="1"/>
    <col min="1804" max="1804" width="8" customWidth="1"/>
    <col min="1805" max="1805" width="10.28515625" customWidth="1"/>
    <col min="1806" max="1806" width="9.42578125" customWidth="1"/>
    <col min="1809" max="1810" width="10.28515625" customWidth="1"/>
    <col min="1812" max="1812" width="8.140625" customWidth="1"/>
    <col min="2051" max="2051" width="26.5703125" customWidth="1"/>
    <col min="2053" max="2053" width="9.5703125" customWidth="1"/>
    <col min="2054" max="2054" width="9.85546875" customWidth="1"/>
    <col min="2055" max="2055" width="12.28515625" bestFit="1" customWidth="1"/>
    <col min="2057" max="2057" width="9.5703125" customWidth="1"/>
    <col min="2058" max="2058" width="10.140625" customWidth="1"/>
    <col min="2060" max="2060" width="8" customWidth="1"/>
    <col min="2061" max="2061" width="10.28515625" customWidth="1"/>
    <col min="2062" max="2062" width="9.42578125" customWidth="1"/>
    <col min="2065" max="2066" width="10.28515625" customWidth="1"/>
    <col min="2068" max="2068" width="8.140625" customWidth="1"/>
    <col min="2307" max="2307" width="26.5703125" customWidth="1"/>
    <col min="2309" max="2309" width="9.5703125" customWidth="1"/>
    <col min="2310" max="2310" width="9.85546875" customWidth="1"/>
    <col min="2311" max="2311" width="12.28515625" bestFit="1" customWidth="1"/>
    <col min="2313" max="2313" width="9.5703125" customWidth="1"/>
    <col min="2314" max="2314" width="10.140625" customWidth="1"/>
    <col min="2316" max="2316" width="8" customWidth="1"/>
    <col min="2317" max="2317" width="10.28515625" customWidth="1"/>
    <col min="2318" max="2318" width="9.42578125" customWidth="1"/>
    <col min="2321" max="2322" width="10.28515625" customWidth="1"/>
    <col min="2324" max="2324" width="8.140625" customWidth="1"/>
    <col min="2563" max="2563" width="26.5703125" customWidth="1"/>
    <col min="2565" max="2565" width="9.5703125" customWidth="1"/>
    <col min="2566" max="2566" width="9.85546875" customWidth="1"/>
    <col min="2567" max="2567" width="12.28515625" bestFit="1" customWidth="1"/>
    <col min="2569" max="2569" width="9.5703125" customWidth="1"/>
    <col min="2570" max="2570" width="10.140625" customWidth="1"/>
    <col min="2572" max="2572" width="8" customWidth="1"/>
    <col min="2573" max="2573" width="10.28515625" customWidth="1"/>
    <col min="2574" max="2574" width="9.42578125" customWidth="1"/>
    <col min="2577" max="2578" width="10.28515625" customWidth="1"/>
    <col min="2580" max="2580" width="8.140625" customWidth="1"/>
    <col min="2819" max="2819" width="26.5703125" customWidth="1"/>
    <col min="2821" max="2821" width="9.5703125" customWidth="1"/>
    <col min="2822" max="2822" width="9.85546875" customWidth="1"/>
    <col min="2823" max="2823" width="12.28515625" bestFit="1" customWidth="1"/>
    <col min="2825" max="2825" width="9.5703125" customWidth="1"/>
    <col min="2826" max="2826" width="10.140625" customWidth="1"/>
    <col min="2828" max="2828" width="8" customWidth="1"/>
    <col min="2829" max="2829" width="10.28515625" customWidth="1"/>
    <col min="2830" max="2830" width="9.42578125" customWidth="1"/>
    <col min="2833" max="2834" width="10.28515625" customWidth="1"/>
    <col min="2836" max="2836" width="8.140625" customWidth="1"/>
    <col min="3075" max="3075" width="26.5703125" customWidth="1"/>
    <col min="3077" max="3077" width="9.5703125" customWidth="1"/>
    <col min="3078" max="3078" width="9.85546875" customWidth="1"/>
    <col min="3079" max="3079" width="12.28515625" bestFit="1" customWidth="1"/>
    <col min="3081" max="3081" width="9.5703125" customWidth="1"/>
    <col min="3082" max="3082" width="10.140625" customWidth="1"/>
    <col min="3084" max="3084" width="8" customWidth="1"/>
    <col min="3085" max="3085" width="10.28515625" customWidth="1"/>
    <col min="3086" max="3086" width="9.42578125" customWidth="1"/>
    <col min="3089" max="3090" width="10.28515625" customWidth="1"/>
    <col min="3092" max="3092" width="8.140625" customWidth="1"/>
    <col min="3331" max="3331" width="26.5703125" customWidth="1"/>
    <col min="3333" max="3333" width="9.5703125" customWidth="1"/>
    <col min="3334" max="3334" width="9.85546875" customWidth="1"/>
    <col min="3335" max="3335" width="12.28515625" bestFit="1" customWidth="1"/>
    <col min="3337" max="3337" width="9.5703125" customWidth="1"/>
    <col min="3338" max="3338" width="10.140625" customWidth="1"/>
    <col min="3340" max="3340" width="8" customWidth="1"/>
    <col min="3341" max="3341" width="10.28515625" customWidth="1"/>
    <col min="3342" max="3342" width="9.42578125" customWidth="1"/>
    <col min="3345" max="3346" width="10.28515625" customWidth="1"/>
    <col min="3348" max="3348" width="8.140625" customWidth="1"/>
    <col min="3587" max="3587" width="26.5703125" customWidth="1"/>
    <col min="3589" max="3589" width="9.5703125" customWidth="1"/>
    <col min="3590" max="3590" width="9.85546875" customWidth="1"/>
    <col min="3591" max="3591" width="12.28515625" bestFit="1" customWidth="1"/>
    <col min="3593" max="3593" width="9.5703125" customWidth="1"/>
    <col min="3594" max="3594" width="10.140625" customWidth="1"/>
    <col min="3596" max="3596" width="8" customWidth="1"/>
    <col min="3597" max="3597" width="10.28515625" customWidth="1"/>
    <col min="3598" max="3598" width="9.42578125" customWidth="1"/>
    <col min="3601" max="3602" width="10.28515625" customWidth="1"/>
    <col min="3604" max="3604" width="8.140625" customWidth="1"/>
    <col min="3843" max="3843" width="26.5703125" customWidth="1"/>
    <col min="3845" max="3845" width="9.5703125" customWidth="1"/>
    <col min="3846" max="3846" width="9.85546875" customWidth="1"/>
    <col min="3847" max="3847" width="12.28515625" bestFit="1" customWidth="1"/>
    <col min="3849" max="3849" width="9.5703125" customWidth="1"/>
    <col min="3850" max="3850" width="10.140625" customWidth="1"/>
    <col min="3852" max="3852" width="8" customWidth="1"/>
    <col min="3853" max="3853" width="10.28515625" customWidth="1"/>
    <col min="3854" max="3854" width="9.42578125" customWidth="1"/>
    <col min="3857" max="3858" width="10.28515625" customWidth="1"/>
    <col min="3860" max="3860" width="8.140625" customWidth="1"/>
    <col min="4099" max="4099" width="26.5703125" customWidth="1"/>
    <col min="4101" max="4101" width="9.5703125" customWidth="1"/>
    <col min="4102" max="4102" width="9.85546875" customWidth="1"/>
    <col min="4103" max="4103" width="12.28515625" bestFit="1" customWidth="1"/>
    <col min="4105" max="4105" width="9.5703125" customWidth="1"/>
    <col min="4106" max="4106" width="10.140625" customWidth="1"/>
    <col min="4108" max="4108" width="8" customWidth="1"/>
    <col min="4109" max="4109" width="10.28515625" customWidth="1"/>
    <col min="4110" max="4110" width="9.42578125" customWidth="1"/>
    <col min="4113" max="4114" width="10.28515625" customWidth="1"/>
    <col min="4116" max="4116" width="8.140625" customWidth="1"/>
    <col min="4355" max="4355" width="26.5703125" customWidth="1"/>
    <col min="4357" max="4357" width="9.5703125" customWidth="1"/>
    <col min="4358" max="4358" width="9.85546875" customWidth="1"/>
    <col min="4359" max="4359" width="12.28515625" bestFit="1" customWidth="1"/>
    <col min="4361" max="4361" width="9.5703125" customWidth="1"/>
    <col min="4362" max="4362" width="10.140625" customWidth="1"/>
    <col min="4364" max="4364" width="8" customWidth="1"/>
    <col min="4365" max="4365" width="10.28515625" customWidth="1"/>
    <col min="4366" max="4366" width="9.42578125" customWidth="1"/>
    <col min="4369" max="4370" width="10.28515625" customWidth="1"/>
    <col min="4372" max="4372" width="8.140625" customWidth="1"/>
    <col min="4611" max="4611" width="26.5703125" customWidth="1"/>
    <col min="4613" max="4613" width="9.5703125" customWidth="1"/>
    <col min="4614" max="4614" width="9.85546875" customWidth="1"/>
    <col min="4615" max="4615" width="12.28515625" bestFit="1" customWidth="1"/>
    <col min="4617" max="4617" width="9.5703125" customWidth="1"/>
    <col min="4618" max="4618" width="10.140625" customWidth="1"/>
    <col min="4620" max="4620" width="8" customWidth="1"/>
    <col min="4621" max="4621" width="10.28515625" customWidth="1"/>
    <col min="4622" max="4622" width="9.42578125" customWidth="1"/>
    <col min="4625" max="4626" width="10.28515625" customWidth="1"/>
    <col min="4628" max="4628" width="8.140625" customWidth="1"/>
    <col min="4867" max="4867" width="26.5703125" customWidth="1"/>
    <col min="4869" max="4869" width="9.5703125" customWidth="1"/>
    <col min="4870" max="4870" width="9.85546875" customWidth="1"/>
    <col min="4871" max="4871" width="12.28515625" bestFit="1" customWidth="1"/>
    <col min="4873" max="4873" width="9.5703125" customWidth="1"/>
    <col min="4874" max="4874" width="10.140625" customWidth="1"/>
    <col min="4876" max="4876" width="8" customWidth="1"/>
    <col min="4877" max="4877" width="10.28515625" customWidth="1"/>
    <col min="4878" max="4878" width="9.42578125" customWidth="1"/>
    <col min="4881" max="4882" width="10.28515625" customWidth="1"/>
    <col min="4884" max="4884" width="8.140625" customWidth="1"/>
    <col min="5123" max="5123" width="26.5703125" customWidth="1"/>
    <col min="5125" max="5125" width="9.5703125" customWidth="1"/>
    <col min="5126" max="5126" width="9.85546875" customWidth="1"/>
    <col min="5127" max="5127" width="12.28515625" bestFit="1" customWidth="1"/>
    <col min="5129" max="5129" width="9.5703125" customWidth="1"/>
    <col min="5130" max="5130" width="10.140625" customWidth="1"/>
    <col min="5132" max="5132" width="8" customWidth="1"/>
    <col min="5133" max="5133" width="10.28515625" customWidth="1"/>
    <col min="5134" max="5134" width="9.42578125" customWidth="1"/>
    <col min="5137" max="5138" width="10.28515625" customWidth="1"/>
    <col min="5140" max="5140" width="8.140625" customWidth="1"/>
    <col min="5379" max="5379" width="26.5703125" customWidth="1"/>
    <col min="5381" max="5381" width="9.5703125" customWidth="1"/>
    <col min="5382" max="5382" width="9.85546875" customWidth="1"/>
    <col min="5383" max="5383" width="12.28515625" bestFit="1" customWidth="1"/>
    <col min="5385" max="5385" width="9.5703125" customWidth="1"/>
    <col min="5386" max="5386" width="10.140625" customWidth="1"/>
    <col min="5388" max="5388" width="8" customWidth="1"/>
    <col min="5389" max="5389" width="10.28515625" customWidth="1"/>
    <col min="5390" max="5390" width="9.42578125" customWidth="1"/>
    <col min="5393" max="5394" width="10.28515625" customWidth="1"/>
    <col min="5396" max="5396" width="8.140625" customWidth="1"/>
    <col min="5635" max="5635" width="26.5703125" customWidth="1"/>
    <col min="5637" max="5637" width="9.5703125" customWidth="1"/>
    <col min="5638" max="5638" width="9.85546875" customWidth="1"/>
    <col min="5639" max="5639" width="12.28515625" bestFit="1" customWidth="1"/>
    <col min="5641" max="5641" width="9.5703125" customWidth="1"/>
    <col min="5642" max="5642" width="10.140625" customWidth="1"/>
    <col min="5644" max="5644" width="8" customWidth="1"/>
    <col min="5645" max="5645" width="10.28515625" customWidth="1"/>
    <col min="5646" max="5646" width="9.42578125" customWidth="1"/>
    <col min="5649" max="5650" width="10.28515625" customWidth="1"/>
    <col min="5652" max="5652" width="8.140625" customWidth="1"/>
    <col min="5891" max="5891" width="26.5703125" customWidth="1"/>
    <col min="5893" max="5893" width="9.5703125" customWidth="1"/>
    <col min="5894" max="5894" width="9.85546875" customWidth="1"/>
    <col min="5895" max="5895" width="12.28515625" bestFit="1" customWidth="1"/>
    <col min="5897" max="5897" width="9.5703125" customWidth="1"/>
    <col min="5898" max="5898" width="10.140625" customWidth="1"/>
    <col min="5900" max="5900" width="8" customWidth="1"/>
    <col min="5901" max="5901" width="10.28515625" customWidth="1"/>
    <col min="5902" max="5902" width="9.42578125" customWidth="1"/>
    <col min="5905" max="5906" width="10.28515625" customWidth="1"/>
    <col min="5908" max="5908" width="8.140625" customWidth="1"/>
    <col min="6147" max="6147" width="26.5703125" customWidth="1"/>
    <col min="6149" max="6149" width="9.5703125" customWidth="1"/>
    <col min="6150" max="6150" width="9.85546875" customWidth="1"/>
    <col min="6151" max="6151" width="12.28515625" bestFit="1" customWidth="1"/>
    <col min="6153" max="6153" width="9.5703125" customWidth="1"/>
    <col min="6154" max="6154" width="10.140625" customWidth="1"/>
    <col min="6156" max="6156" width="8" customWidth="1"/>
    <col min="6157" max="6157" width="10.28515625" customWidth="1"/>
    <col min="6158" max="6158" width="9.42578125" customWidth="1"/>
    <col min="6161" max="6162" width="10.28515625" customWidth="1"/>
    <col min="6164" max="6164" width="8.140625" customWidth="1"/>
    <col min="6403" max="6403" width="26.5703125" customWidth="1"/>
    <col min="6405" max="6405" width="9.5703125" customWidth="1"/>
    <col min="6406" max="6406" width="9.85546875" customWidth="1"/>
    <col min="6407" max="6407" width="12.28515625" bestFit="1" customWidth="1"/>
    <col min="6409" max="6409" width="9.5703125" customWidth="1"/>
    <col min="6410" max="6410" width="10.140625" customWidth="1"/>
    <col min="6412" max="6412" width="8" customWidth="1"/>
    <col min="6413" max="6413" width="10.28515625" customWidth="1"/>
    <col min="6414" max="6414" width="9.42578125" customWidth="1"/>
    <col min="6417" max="6418" width="10.28515625" customWidth="1"/>
    <col min="6420" max="6420" width="8.140625" customWidth="1"/>
    <col min="6659" max="6659" width="26.5703125" customWidth="1"/>
    <col min="6661" max="6661" width="9.5703125" customWidth="1"/>
    <col min="6662" max="6662" width="9.85546875" customWidth="1"/>
    <col min="6663" max="6663" width="12.28515625" bestFit="1" customWidth="1"/>
    <col min="6665" max="6665" width="9.5703125" customWidth="1"/>
    <col min="6666" max="6666" width="10.140625" customWidth="1"/>
    <col min="6668" max="6668" width="8" customWidth="1"/>
    <col min="6669" max="6669" width="10.28515625" customWidth="1"/>
    <col min="6670" max="6670" width="9.42578125" customWidth="1"/>
    <col min="6673" max="6674" width="10.28515625" customWidth="1"/>
    <col min="6676" max="6676" width="8.140625" customWidth="1"/>
    <col min="6915" max="6915" width="26.5703125" customWidth="1"/>
    <col min="6917" max="6917" width="9.5703125" customWidth="1"/>
    <col min="6918" max="6918" width="9.85546875" customWidth="1"/>
    <col min="6919" max="6919" width="12.28515625" bestFit="1" customWidth="1"/>
    <col min="6921" max="6921" width="9.5703125" customWidth="1"/>
    <col min="6922" max="6922" width="10.140625" customWidth="1"/>
    <col min="6924" max="6924" width="8" customWidth="1"/>
    <col min="6925" max="6925" width="10.28515625" customWidth="1"/>
    <col min="6926" max="6926" width="9.42578125" customWidth="1"/>
    <col min="6929" max="6930" width="10.28515625" customWidth="1"/>
    <col min="6932" max="6932" width="8.140625" customWidth="1"/>
    <col min="7171" max="7171" width="26.5703125" customWidth="1"/>
    <col min="7173" max="7173" width="9.5703125" customWidth="1"/>
    <col min="7174" max="7174" width="9.85546875" customWidth="1"/>
    <col min="7175" max="7175" width="12.28515625" bestFit="1" customWidth="1"/>
    <col min="7177" max="7177" width="9.5703125" customWidth="1"/>
    <col min="7178" max="7178" width="10.140625" customWidth="1"/>
    <col min="7180" max="7180" width="8" customWidth="1"/>
    <col min="7181" max="7181" width="10.28515625" customWidth="1"/>
    <col min="7182" max="7182" width="9.42578125" customWidth="1"/>
    <col min="7185" max="7186" width="10.28515625" customWidth="1"/>
    <col min="7188" max="7188" width="8.140625" customWidth="1"/>
    <col min="7427" max="7427" width="26.5703125" customWidth="1"/>
    <col min="7429" max="7429" width="9.5703125" customWidth="1"/>
    <col min="7430" max="7430" width="9.85546875" customWidth="1"/>
    <col min="7431" max="7431" width="12.28515625" bestFit="1" customWidth="1"/>
    <col min="7433" max="7433" width="9.5703125" customWidth="1"/>
    <col min="7434" max="7434" width="10.140625" customWidth="1"/>
    <col min="7436" max="7436" width="8" customWidth="1"/>
    <col min="7437" max="7437" width="10.28515625" customWidth="1"/>
    <col min="7438" max="7438" width="9.42578125" customWidth="1"/>
    <col min="7441" max="7442" width="10.28515625" customWidth="1"/>
    <col min="7444" max="7444" width="8.140625" customWidth="1"/>
    <col min="7683" max="7683" width="26.5703125" customWidth="1"/>
    <col min="7685" max="7685" width="9.5703125" customWidth="1"/>
    <col min="7686" max="7686" width="9.85546875" customWidth="1"/>
    <col min="7687" max="7687" width="12.28515625" bestFit="1" customWidth="1"/>
    <col min="7689" max="7689" width="9.5703125" customWidth="1"/>
    <col min="7690" max="7690" width="10.140625" customWidth="1"/>
    <col min="7692" max="7692" width="8" customWidth="1"/>
    <col min="7693" max="7693" width="10.28515625" customWidth="1"/>
    <col min="7694" max="7694" width="9.42578125" customWidth="1"/>
    <col min="7697" max="7698" width="10.28515625" customWidth="1"/>
    <col min="7700" max="7700" width="8.140625" customWidth="1"/>
    <col min="7939" max="7939" width="26.5703125" customWidth="1"/>
    <col min="7941" max="7941" width="9.5703125" customWidth="1"/>
    <col min="7942" max="7942" width="9.85546875" customWidth="1"/>
    <col min="7943" max="7943" width="12.28515625" bestFit="1" customWidth="1"/>
    <col min="7945" max="7945" width="9.5703125" customWidth="1"/>
    <col min="7946" max="7946" width="10.140625" customWidth="1"/>
    <col min="7948" max="7948" width="8" customWidth="1"/>
    <col min="7949" max="7949" width="10.28515625" customWidth="1"/>
    <col min="7950" max="7950" width="9.42578125" customWidth="1"/>
    <col min="7953" max="7954" width="10.28515625" customWidth="1"/>
    <col min="7956" max="7956" width="8.140625" customWidth="1"/>
    <col min="8195" max="8195" width="26.5703125" customWidth="1"/>
    <col min="8197" max="8197" width="9.5703125" customWidth="1"/>
    <col min="8198" max="8198" width="9.85546875" customWidth="1"/>
    <col min="8199" max="8199" width="12.28515625" bestFit="1" customWidth="1"/>
    <col min="8201" max="8201" width="9.5703125" customWidth="1"/>
    <col min="8202" max="8202" width="10.140625" customWidth="1"/>
    <col min="8204" max="8204" width="8" customWidth="1"/>
    <col min="8205" max="8205" width="10.28515625" customWidth="1"/>
    <col min="8206" max="8206" width="9.42578125" customWidth="1"/>
    <col min="8209" max="8210" width="10.28515625" customWidth="1"/>
    <col min="8212" max="8212" width="8.140625" customWidth="1"/>
    <col min="8451" max="8451" width="26.5703125" customWidth="1"/>
    <col min="8453" max="8453" width="9.5703125" customWidth="1"/>
    <col min="8454" max="8454" width="9.85546875" customWidth="1"/>
    <col min="8455" max="8455" width="12.28515625" bestFit="1" customWidth="1"/>
    <col min="8457" max="8457" width="9.5703125" customWidth="1"/>
    <col min="8458" max="8458" width="10.140625" customWidth="1"/>
    <col min="8460" max="8460" width="8" customWidth="1"/>
    <col min="8461" max="8461" width="10.28515625" customWidth="1"/>
    <col min="8462" max="8462" width="9.42578125" customWidth="1"/>
    <col min="8465" max="8466" width="10.28515625" customWidth="1"/>
    <col min="8468" max="8468" width="8.140625" customWidth="1"/>
    <col min="8707" max="8707" width="26.5703125" customWidth="1"/>
    <col min="8709" max="8709" width="9.5703125" customWidth="1"/>
    <col min="8710" max="8710" width="9.85546875" customWidth="1"/>
    <col min="8711" max="8711" width="12.28515625" bestFit="1" customWidth="1"/>
    <col min="8713" max="8713" width="9.5703125" customWidth="1"/>
    <col min="8714" max="8714" width="10.140625" customWidth="1"/>
    <col min="8716" max="8716" width="8" customWidth="1"/>
    <col min="8717" max="8717" width="10.28515625" customWidth="1"/>
    <col min="8718" max="8718" width="9.42578125" customWidth="1"/>
    <col min="8721" max="8722" width="10.28515625" customWidth="1"/>
    <col min="8724" max="8724" width="8.140625" customWidth="1"/>
    <col min="8963" max="8963" width="26.5703125" customWidth="1"/>
    <col min="8965" max="8965" width="9.5703125" customWidth="1"/>
    <col min="8966" max="8966" width="9.85546875" customWidth="1"/>
    <col min="8967" max="8967" width="12.28515625" bestFit="1" customWidth="1"/>
    <col min="8969" max="8969" width="9.5703125" customWidth="1"/>
    <col min="8970" max="8970" width="10.140625" customWidth="1"/>
    <col min="8972" max="8972" width="8" customWidth="1"/>
    <col min="8973" max="8973" width="10.28515625" customWidth="1"/>
    <col min="8974" max="8974" width="9.42578125" customWidth="1"/>
    <col min="8977" max="8978" width="10.28515625" customWidth="1"/>
    <col min="8980" max="8980" width="8.140625" customWidth="1"/>
    <col min="9219" max="9219" width="26.5703125" customWidth="1"/>
    <col min="9221" max="9221" width="9.5703125" customWidth="1"/>
    <col min="9222" max="9222" width="9.85546875" customWidth="1"/>
    <col min="9223" max="9223" width="12.28515625" bestFit="1" customWidth="1"/>
    <col min="9225" max="9225" width="9.5703125" customWidth="1"/>
    <col min="9226" max="9226" width="10.140625" customWidth="1"/>
    <col min="9228" max="9228" width="8" customWidth="1"/>
    <col min="9229" max="9229" width="10.28515625" customWidth="1"/>
    <col min="9230" max="9230" width="9.42578125" customWidth="1"/>
    <col min="9233" max="9234" width="10.28515625" customWidth="1"/>
    <col min="9236" max="9236" width="8.140625" customWidth="1"/>
    <col min="9475" max="9475" width="26.5703125" customWidth="1"/>
    <col min="9477" max="9477" width="9.5703125" customWidth="1"/>
    <col min="9478" max="9478" width="9.85546875" customWidth="1"/>
    <col min="9479" max="9479" width="12.28515625" bestFit="1" customWidth="1"/>
    <col min="9481" max="9481" width="9.5703125" customWidth="1"/>
    <col min="9482" max="9482" width="10.140625" customWidth="1"/>
    <col min="9484" max="9484" width="8" customWidth="1"/>
    <col min="9485" max="9485" width="10.28515625" customWidth="1"/>
    <col min="9486" max="9486" width="9.42578125" customWidth="1"/>
    <col min="9489" max="9490" width="10.28515625" customWidth="1"/>
    <col min="9492" max="9492" width="8.140625" customWidth="1"/>
    <col min="9731" max="9731" width="26.5703125" customWidth="1"/>
    <col min="9733" max="9733" width="9.5703125" customWidth="1"/>
    <col min="9734" max="9734" width="9.85546875" customWidth="1"/>
    <col min="9735" max="9735" width="12.28515625" bestFit="1" customWidth="1"/>
    <col min="9737" max="9737" width="9.5703125" customWidth="1"/>
    <col min="9738" max="9738" width="10.140625" customWidth="1"/>
    <col min="9740" max="9740" width="8" customWidth="1"/>
    <col min="9741" max="9741" width="10.28515625" customWidth="1"/>
    <col min="9742" max="9742" width="9.42578125" customWidth="1"/>
    <col min="9745" max="9746" width="10.28515625" customWidth="1"/>
    <col min="9748" max="9748" width="8.140625" customWidth="1"/>
    <col min="9987" max="9987" width="26.5703125" customWidth="1"/>
    <col min="9989" max="9989" width="9.5703125" customWidth="1"/>
    <col min="9990" max="9990" width="9.85546875" customWidth="1"/>
    <col min="9991" max="9991" width="12.28515625" bestFit="1" customWidth="1"/>
    <col min="9993" max="9993" width="9.5703125" customWidth="1"/>
    <col min="9994" max="9994" width="10.140625" customWidth="1"/>
    <col min="9996" max="9996" width="8" customWidth="1"/>
    <col min="9997" max="9997" width="10.28515625" customWidth="1"/>
    <col min="9998" max="9998" width="9.42578125" customWidth="1"/>
    <col min="10001" max="10002" width="10.28515625" customWidth="1"/>
    <col min="10004" max="10004" width="8.140625" customWidth="1"/>
    <col min="10243" max="10243" width="26.5703125" customWidth="1"/>
    <col min="10245" max="10245" width="9.5703125" customWidth="1"/>
    <col min="10246" max="10246" width="9.85546875" customWidth="1"/>
    <col min="10247" max="10247" width="12.28515625" bestFit="1" customWidth="1"/>
    <col min="10249" max="10249" width="9.5703125" customWidth="1"/>
    <col min="10250" max="10250" width="10.140625" customWidth="1"/>
    <col min="10252" max="10252" width="8" customWidth="1"/>
    <col min="10253" max="10253" width="10.28515625" customWidth="1"/>
    <col min="10254" max="10254" width="9.42578125" customWidth="1"/>
    <col min="10257" max="10258" width="10.28515625" customWidth="1"/>
    <col min="10260" max="10260" width="8.140625" customWidth="1"/>
    <col min="10499" max="10499" width="26.5703125" customWidth="1"/>
    <col min="10501" max="10501" width="9.5703125" customWidth="1"/>
    <col min="10502" max="10502" width="9.85546875" customWidth="1"/>
    <col min="10503" max="10503" width="12.28515625" bestFit="1" customWidth="1"/>
    <col min="10505" max="10505" width="9.5703125" customWidth="1"/>
    <col min="10506" max="10506" width="10.140625" customWidth="1"/>
    <col min="10508" max="10508" width="8" customWidth="1"/>
    <col min="10509" max="10509" width="10.28515625" customWidth="1"/>
    <col min="10510" max="10510" width="9.42578125" customWidth="1"/>
    <col min="10513" max="10514" width="10.28515625" customWidth="1"/>
    <col min="10516" max="10516" width="8.140625" customWidth="1"/>
    <col min="10755" max="10755" width="26.5703125" customWidth="1"/>
    <col min="10757" max="10757" width="9.5703125" customWidth="1"/>
    <col min="10758" max="10758" width="9.85546875" customWidth="1"/>
    <col min="10759" max="10759" width="12.28515625" bestFit="1" customWidth="1"/>
    <col min="10761" max="10761" width="9.5703125" customWidth="1"/>
    <col min="10762" max="10762" width="10.140625" customWidth="1"/>
    <col min="10764" max="10764" width="8" customWidth="1"/>
    <col min="10765" max="10765" width="10.28515625" customWidth="1"/>
    <col min="10766" max="10766" width="9.42578125" customWidth="1"/>
    <col min="10769" max="10770" width="10.28515625" customWidth="1"/>
    <col min="10772" max="10772" width="8.140625" customWidth="1"/>
    <col min="11011" max="11011" width="26.5703125" customWidth="1"/>
    <col min="11013" max="11013" width="9.5703125" customWidth="1"/>
    <col min="11014" max="11014" width="9.85546875" customWidth="1"/>
    <col min="11015" max="11015" width="12.28515625" bestFit="1" customWidth="1"/>
    <col min="11017" max="11017" width="9.5703125" customWidth="1"/>
    <col min="11018" max="11018" width="10.140625" customWidth="1"/>
    <col min="11020" max="11020" width="8" customWidth="1"/>
    <col min="11021" max="11021" width="10.28515625" customWidth="1"/>
    <col min="11022" max="11022" width="9.42578125" customWidth="1"/>
    <col min="11025" max="11026" width="10.28515625" customWidth="1"/>
    <col min="11028" max="11028" width="8.140625" customWidth="1"/>
    <col min="11267" max="11267" width="26.5703125" customWidth="1"/>
    <col min="11269" max="11269" width="9.5703125" customWidth="1"/>
    <col min="11270" max="11270" width="9.85546875" customWidth="1"/>
    <col min="11271" max="11271" width="12.28515625" bestFit="1" customWidth="1"/>
    <col min="11273" max="11273" width="9.5703125" customWidth="1"/>
    <col min="11274" max="11274" width="10.140625" customWidth="1"/>
    <col min="11276" max="11276" width="8" customWidth="1"/>
    <col min="11277" max="11277" width="10.28515625" customWidth="1"/>
    <col min="11278" max="11278" width="9.42578125" customWidth="1"/>
    <col min="11281" max="11282" width="10.28515625" customWidth="1"/>
    <col min="11284" max="11284" width="8.140625" customWidth="1"/>
    <col min="11523" max="11523" width="26.5703125" customWidth="1"/>
    <col min="11525" max="11525" width="9.5703125" customWidth="1"/>
    <col min="11526" max="11526" width="9.85546875" customWidth="1"/>
    <col min="11527" max="11527" width="12.28515625" bestFit="1" customWidth="1"/>
    <col min="11529" max="11529" width="9.5703125" customWidth="1"/>
    <col min="11530" max="11530" width="10.140625" customWidth="1"/>
    <col min="11532" max="11532" width="8" customWidth="1"/>
    <col min="11533" max="11533" width="10.28515625" customWidth="1"/>
    <col min="11534" max="11534" width="9.42578125" customWidth="1"/>
    <col min="11537" max="11538" width="10.28515625" customWidth="1"/>
    <col min="11540" max="11540" width="8.140625" customWidth="1"/>
    <col min="11779" max="11779" width="26.5703125" customWidth="1"/>
    <col min="11781" max="11781" width="9.5703125" customWidth="1"/>
    <col min="11782" max="11782" width="9.85546875" customWidth="1"/>
    <col min="11783" max="11783" width="12.28515625" bestFit="1" customWidth="1"/>
    <col min="11785" max="11785" width="9.5703125" customWidth="1"/>
    <col min="11786" max="11786" width="10.140625" customWidth="1"/>
    <col min="11788" max="11788" width="8" customWidth="1"/>
    <col min="11789" max="11789" width="10.28515625" customWidth="1"/>
    <col min="11790" max="11790" width="9.42578125" customWidth="1"/>
    <col min="11793" max="11794" width="10.28515625" customWidth="1"/>
    <col min="11796" max="11796" width="8.140625" customWidth="1"/>
    <col min="12035" max="12035" width="26.5703125" customWidth="1"/>
    <col min="12037" max="12037" width="9.5703125" customWidth="1"/>
    <col min="12038" max="12038" width="9.85546875" customWidth="1"/>
    <col min="12039" max="12039" width="12.28515625" bestFit="1" customWidth="1"/>
    <col min="12041" max="12041" width="9.5703125" customWidth="1"/>
    <col min="12042" max="12042" width="10.140625" customWidth="1"/>
    <col min="12044" max="12044" width="8" customWidth="1"/>
    <col min="12045" max="12045" width="10.28515625" customWidth="1"/>
    <col min="12046" max="12046" width="9.42578125" customWidth="1"/>
    <col min="12049" max="12050" width="10.28515625" customWidth="1"/>
    <col min="12052" max="12052" width="8.140625" customWidth="1"/>
    <col min="12291" max="12291" width="26.5703125" customWidth="1"/>
    <col min="12293" max="12293" width="9.5703125" customWidth="1"/>
    <col min="12294" max="12294" width="9.85546875" customWidth="1"/>
    <col min="12295" max="12295" width="12.28515625" bestFit="1" customWidth="1"/>
    <col min="12297" max="12297" width="9.5703125" customWidth="1"/>
    <col min="12298" max="12298" width="10.140625" customWidth="1"/>
    <col min="12300" max="12300" width="8" customWidth="1"/>
    <col min="12301" max="12301" width="10.28515625" customWidth="1"/>
    <col min="12302" max="12302" width="9.42578125" customWidth="1"/>
    <col min="12305" max="12306" width="10.28515625" customWidth="1"/>
    <col min="12308" max="12308" width="8.140625" customWidth="1"/>
    <col min="12547" max="12547" width="26.5703125" customWidth="1"/>
    <col min="12549" max="12549" width="9.5703125" customWidth="1"/>
    <col min="12550" max="12550" width="9.85546875" customWidth="1"/>
    <col min="12551" max="12551" width="12.28515625" bestFit="1" customWidth="1"/>
    <col min="12553" max="12553" width="9.5703125" customWidth="1"/>
    <col min="12554" max="12554" width="10.140625" customWidth="1"/>
    <col min="12556" max="12556" width="8" customWidth="1"/>
    <col min="12557" max="12557" width="10.28515625" customWidth="1"/>
    <col min="12558" max="12558" width="9.42578125" customWidth="1"/>
    <col min="12561" max="12562" width="10.28515625" customWidth="1"/>
    <col min="12564" max="12564" width="8.140625" customWidth="1"/>
    <col min="12803" max="12803" width="26.5703125" customWidth="1"/>
    <col min="12805" max="12805" width="9.5703125" customWidth="1"/>
    <col min="12806" max="12806" width="9.85546875" customWidth="1"/>
    <col min="12807" max="12807" width="12.28515625" bestFit="1" customWidth="1"/>
    <col min="12809" max="12809" width="9.5703125" customWidth="1"/>
    <col min="12810" max="12810" width="10.140625" customWidth="1"/>
    <col min="12812" max="12812" width="8" customWidth="1"/>
    <col min="12813" max="12813" width="10.28515625" customWidth="1"/>
    <col min="12814" max="12814" width="9.42578125" customWidth="1"/>
    <col min="12817" max="12818" width="10.28515625" customWidth="1"/>
    <col min="12820" max="12820" width="8.140625" customWidth="1"/>
    <col min="13059" max="13059" width="26.5703125" customWidth="1"/>
    <col min="13061" max="13061" width="9.5703125" customWidth="1"/>
    <col min="13062" max="13062" width="9.85546875" customWidth="1"/>
    <col min="13063" max="13063" width="12.28515625" bestFit="1" customWidth="1"/>
    <col min="13065" max="13065" width="9.5703125" customWidth="1"/>
    <col min="13066" max="13066" width="10.140625" customWidth="1"/>
    <col min="13068" max="13068" width="8" customWidth="1"/>
    <col min="13069" max="13069" width="10.28515625" customWidth="1"/>
    <col min="13070" max="13070" width="9.42578125" customWidth="1"/>
    <col min="13073" max="13074" width="10.28515625" customWidth="1"/>
    <col min="13076" max="13076" width="8.140625" customWidth="1"/>
    <col min="13315" max="13315" width="26.5703125" customWidth="1"/>
    <col min="13317" max="13317" width="9.5703125" customWidth="1"/>
    <col min="13318" max="13318" width="9.85546875" customWidth="1"/>
    <col min="13319" max="13319" width="12.28515625" bestFit="1" customWidth="1"/>
    <col min="13321" max="13321" width="9.5703125" customWidth="1"/>
    <col min="13322" max="13322" width="10.140625" customWidth="1"/>
    <col min="13324" max="13324" width="8" customWidth="1"/>
    <col min="13325" max="13325" width="10.28515625" customWidth="1"/>
    <col min="13326" max="13326" width="9.42578125" customWidth="1"/>
    <col min="13329" max="13330" width="10.28515625" customWidth="1"/>
    <col min="13332" max="13332" width="8.140625" customWidth="1"/>
    <col min="13571" max="13571" width="26.5703125" customWidth="1"/>
    <col min="13573" max="13573" width="9.5703125" customWidth="1"/>
    <col min="13574" max="13574" width="9.85546875" customWidth="1"/>
    <col min="13575" max="13575" width="12.28515625" bestFit="1" customWidth="1"/>
    <col min="13577" max="13577" width="9.5703125" customWidth="1"/>
    <col min="13578" max="13578" width="10.140625" customWidth="1"/>
    <col min="13580" max="13580" width="8" customWidth="1"/>
    <col min="13581" max="13581" width="10.28515625" customWidth="1"/>
    <col min="13582" max="13582" width="9.42578125" customWidth="1"/>
    <col min="13585" max="13586" width="10.28515625" customWidth="1"/>
    <col min="13588" max="13588" width="8.140625" customWidth="1"/>
    <col min="13827" max="13827" width="26.5703125" customWidth="1"/>
    <col min="13829" max="13829" width="9.5703125" customWidth="1"/>
    <col min="13830" max="13830" width="9.85546875" customWidth="1"/>
    <col min="13831" max="13831" width="12.28515625" bestFit="1" customWidth="1"/>
    <col min="13833" max="13833" width="9.5703125" customWidth="1"/>
    <col min="13834" max="13834" width="10.140625" customWidth="1"/>
    <col min="13836" max="13836" width="8" customWidth="1"/>
    <col min="13837" max="13837" width="10.28515625" customWidth="1"/>
    <col min="13838" max="13838" width="9.42578125" customWidth="1"/>
    <col min="13841" max="13842" width="10.28515625" customWidth="1"/>
    <col min="13844" max="13844" width="8.140625" customWidth="1"/>
    <col min="14083" max="14083" width="26.5703125" customWidth="1"/>
    <col min="14085" max="14085" width="9.5703125" customWidth="1"/>
    <col min="14086" max="14086" width="9.85546875" customWidth="1"/>
    <col min="14087" max="14087" width="12.28515625" bestFit="1" customWidth="1"/>
    <col min="14089" max="14089" width="9.5703125" customWidth="1"/>
    <col min="14090" max="14090" width="10.140625" customWidth="1"/>
    <col min="14092" max="14092" width="8" customWidth="1"/>
    <col min="14093" max="14093" width="10.28515625" customWidth="1"/>
    <col min="14094" max="14094" width="9.42578125" customWidth="1"/>
    <col min="14097" max="14098" width="10.28515625" customWidth="1"/>
    <col min="14100" max="14100" width="8.140625" customWidth="1"/>
    <col min="14339" max="14339" width="26.5703125" customWidth="1"/>
    <col min="14341" max="14341" width="9.5703125" customWidth="1"/>
    <col min="14342" max="14342" width="9.85546875" customWidth="1"/>
    <col min="14343" max="14343" width="12.28515625" bestFit="1" customWidth="1"/>
    <col min="14345" max="14345" width="9.5703125" customWidth="1"/>
    <col min="14346" max="14346" width="10.140625" customWidth="1"/>
    <col min="14348" max="14348" width="8" customWidth="1"/>
    <col min="14349" max="14349" width="10.28515625" customWidth="1"/>
    <col min="14350" max="14350" width="9.42578125" customWidth="1"/>
    <col min="14353" max="14354" width="10.28515625" customWidth="1"/>
    <col min="14356" max="14356" width="8.140625" customWidth="1"/>
    <col min="14595" max="14595" width="26.5703125" customWidth="1"/>
    <col min="14597" max="14597" width="9.5703125" customWidth="1"/>
    <col min="14598" max="14598" width="9.85546875" customWidth="1"/>
    <col min="14599" max="14599" width="12.28515625" bestFit="1" customWidth="1"/>
    <col min="14601" max="14601" width="9.5703125" customWidth="1"/>
    <col min="14602" max="14602" width="10.140625" customWidth="1"/>
    <col min="14604" max="14604" width="8" customWidth="1"/>
    <col min="14605" max="14605" width="10.28515625" customWidth="1"/>
    <col min="14606" max="14606" width="9.42578125" customWidth="1"/>
    <col min="14609" max="14610" width="10.28515625" customWidth="1"/>
    <col min="14612" max="14612" width="8.140625" customWidth="1"/>
    <col min="14851" max="14851" width="26.5703125" customWidth="1"/>
    <col min="14853" max="14853" width="9.5703125" customWidth="1"/>
    <col min="14854" max="14854" width="9.85546875" customWidth="1"/>
    <col min="14855" max="14855" width="12.28515625" bestFit="1" customWidth="1"/>
    <col min="14857" max="14857" width="9.5703125" customWidth="1"/>
    <col min="14858" max="14858" width="10.140625" customWidth="1"/>
    <col min="14860" max="14860" width="8" customWidth="1"/>
    <col min="14861" max="14861" width="10.28515625" customWidth="1"/>
    <col min="14862" max="14862" width="9.42578125" customWidth="1"/>
    <col min="14865" max="14866" width="10.28515625" customWidth="1"/>
    <col min="14868" max="14868" width="8.140625" customWidth="1"/>
    <col min="15107" max="15107" width="26.5703125" customWidth="1"/>
    <col min="15109" max="15109" width="9.5703125" customWidth="1"/>
    <col min="15110" max="15110" width="9.85546875" customWidth="1"/>
    <col min="15111" max="15111" width="12.28515625" bestFit="1" customWidth="1"/>
    <col min="15113" max="15113" width="9.5703125" customWidth="1"/>
    <col min="15114" max="15114" width="10.140625" customWidth="1"/>
    <col min="15116" max="15116" width="8" customWidth="1"/>
    <col min="15117" max="15117" width="10.28515625" customWidth="1"/>
    <col min="15118" max="15118" width="9.42578125" customWidth="1"/>
    <col min="15121" max="15122" width="10.28515625" customWidth="1"/>
    <col min="15124" max="15124" width="8.140625" customWidth="1"/>
    <col min="15363" max="15363" width="26.5703125" customWidth="1"/>
    <col min="15365" max="15365" width="9.5703125" customWidth="1"/>
    <col min="15366" max="15366" width="9.85546875" customWidth="1"/>
    <col min="15367" max="15367" width="12.28515625" bestFit="1" customWidth="1"/>
    <col min="15369" max="15369" width="9.5703125" customWidth="1"/>
    <col min="15370" max="15370" width="10.140625" customWidth="1"/>
    <col min="15372" max="15372" width="8" customWidth="1"/>
    <col min="15373" max="15373" width="10.28515625" customWidth="1"/>
    <col min="15374" max="15374" width="9.42578125" customWidth="1"/>
    <col min="15377" max="15378" width="10.28515625" customWidth="1"/>
    <col min="15380" max="15380" width="8.140625" customWidth="1"/>
    <col min="15619" max="15619" width="26.5703125" customWidth="1"/>
    <col min="15621" max="15621" width="9.5703125" customWidth="1"/>
    <col min="15622" max="15622" width="9.85546875" customWidth="1"/>
    <col min="15623" max="15623" width="12.28515625" bestFit="1" customWidth="1"/>
    <col min="15625" max="15625" width="9.5703125" customWidth="1"/>
    <col min="15626" max="15626" width="10.140625" customWidth="1"/>
    <col min="15628" max="15628" width="8" customWidth="1"/>
    <col min="15629" max="15629" width="10.28515625" customWidth="1"/>
    <col min="15630" max="15630" width="9.42578125" customWidth="1"/>
    <col min="15633" max="15634" width="10.28515625" customWidth="1"/>
    <col min="15636" max="15636" width="8.140625" customWidth="1"/>
    <col min="15875" max="15875" width="26.5703125" customWidth="1"/>
    <col min="15877" max="15877" width="9.5703125" customWidth="1"/>
    <col min="15878" max="15878" width="9.85546875" customWidth="1"/>
    <col min="15879" max="15879" width="12.28515625" bestFit="1" customWidth="1"/>
    <col min="15881" max="15881" width="9.5703125" customWidth="1"/>
    <col min="15882" max="15882" width="10.140625" customWidth="1"/>
    <col min="15884" max="15884" width="8" customWidth="1"/>
    <col min="15885" max="15885" width="10.28515625" customWidth="1"/>
    <col min="15886" max="15886" width="9.42578125" customWidth="1"/>
    <col min="15889" max="15890" width="10.28515625" customWidth="1"/>
    <col min="15892" max="15892" width="8.140625" customWidth="1"/>
    <col min="16131" max="16131" width="26.5703125" customWidth="1"/>
    <col min="16133" max="16133" width="9.5703125" customWidth="1"/>
    <col min="16134" max="16134" width="9.85546875" customWidth="1"/>
    <col min="16135" max="16135" width="12.28515625" bestFit="1" customWidth="1"/>
    <col min="16137" max="16137" width="9.5703125" customWidth="1"/>
    <col min="16138" max="16138" width="10.140625" customWidth="1"/>
    <col min="16140" max="16140" width="8" customWidth="1"/>
    <col min="16141" max="16141" width="10.28515625" customWidth="1"/>
    <col min="16142" max="16142" width="9.42578125" customWidth="1"/>
    <col min="16145" max="16146" width="10.28515625" customWidth="1"/>
    <col min="16148" max="16148" width="8.140625" customWidth="1"/>
  </cols>
  <sheetData>
    <row r="4" spans="1:22" ht="15.75">
      <c r="A4" s="339" t="s">
        <v>530</v>
      </c>
      <c r="B4" s="340"/>
    </row>
    <row r="5" spans="1:22">
      <c r="B5" s="340"/>
    </row>
    <row r="6" spans="1:22" s="344" customFormat="1" ht="15.75">
      <c r="A6" s="341" t="s">
        <v>531</v>
      </c>
      <c r="B6" s="342"/>
      <c r="C6" s="343"/>
      <c r="H6" s="345"/>
      <c r="I6" s="346" t="s">
        <v>532</v>
      </c>
      <c r="J6" s="347">
        <f>+G11</f>
        <v>3578.7695999999996</v>
      </c>
      <c r="K6" s="348"/>
      <c r="L6" s="348" t="s">
        <v>533</v>
      </c>
      <c r="M6" s="348"/>
      <c r="N6" s="349">
        <v>3578.77</v>
      </c>
    </row>
    <row r="7" spans="1:22" ht="27.75" customHeight="1">
      <c r="A7" s="350" t="s">
        <v>534</v>
      </c>
      <c r="B7" s="351" t="s">
        <v>535</v>
      </c>
      <c r="C7" s="352" t="s">
        <v>219</v>
      </c>
      <c r="D7" s="353" t="s">
        <v>536</v>
      </c>
      <c r="E7" s="354" t="s">
        <v>525</v>
      </c>
      <c r="F7" s="353" t="s">
        <v>537</v>
      </c>
      <c r="G7" s="354" t="s">
        <v>522</v>
      </c>
      <c r="H7" s="353" t="s">
        <v>538</v>
      </c>
      <c r="I7" s="353" t="s">
        <v>539</v>
      </c>
      <c r="J7" s="353" t="s">
        <v>540</v>
      </c>
      <c r="K7" s="353" t="s">
        <v>541</v>
      </c>
      <c r="L7" s="355" t="s">
        <v>542</v>
      </c>
      <c r="M7" s="355" t="s">
        <v>543</v>
      </c>
      <c r="N7" s="355" t="s">
        <v>544</v>
      </c>
      <c r="O7" s="355" t="s">
        <v>545</v>
      </c>
      <c r="P7" s="355" t="s">
        <v>546</v>
      </c>
      <c r="Q7" s="355" t="s">
        <v>547</v>
      </c>
      <c r="R7" s="355" t="s">
        <v>548</v>
      </c>
      <c r="S7" s="356" t="s">
        <v>549</v>
      </c>
      <c r="T7" s="356"/>
      <c r="U7" s="356"/>
      <c r="V7" s="355" t="s">
        <v>550</v>
      </c>
    </row>
    <row r="8" spans="1:22" ht="12.75" customHeight="1">
      <c r="A8" s="350"/>
      <c r="B8" s="351"/>
      <c r="C8" s="352"/>
      <c r="D8" s="354"/>
      <c r="E8" s="354"/>
      <c r="F8" s="354"/>
      <c r="G8" s="354"/>
      <c r="H8" s="354"/>
      <c r="I8" s="354"/>
      <c r="J8" s="353"/>
      <c r="K8" s="354"/>
      <c r="L8" s="355"/>
      <c r="M8" s="355"/>
      <c r="N8" s="355"/>
      <c r="O8" s="355"/>
      <c r="P8" s="355"/>
      <c r="Q8" s="355"/>
      <c r="R8" s="355"/>
      <c r="S8" s="111" t="s">
        <v>551</v>
      </c>
      <c r="T8" s="111" t="s">
        <v>543</v>
      </c>
      <c r="U8" s="111" t="s">
        <v>552</v>
      </c>
      <c r="V8" s="355"/>
    </row>
    <row r="9" spans="1:22" s="361" customFormat="1">
      <c r="A9" s="357">
        <v>39484</v>
      </c>
      <c r="B9" s="358">
        <v>52225</v>
      </c>
      <c r="C9" s="359" t="s">
        <v>553</v>
      </c>
      <c r="D9" s="360">
        <v>1395.33</v>
      </c>
      <c r="E9" s="360">
        <v>1395.33</v>
      </c>
      <c r="F9" s="360">
        <v>167.43959999999998</v>
      </c>
      <c r="G9" s="360">
        <v>1562.7695999999999</v>
      </c>
      <c r="H9" s="360">
        <v>111.62639999999999</v>
      </c>
      <c r="I9" s="360">
        <v>167.43959999999998</v>
      </c>
      <c r="J9" s="360">
        <v>1283.7036000000001</v>
      </c>
      <c r="K9" s="359">
        <v>1027</v>
      </c>
      <c r="L9" s="359" t="s">
        <v>203</v>
      </c>
      <c r="M9" s="359" t="s">
        <v>202</v>
      </c>
      <c r="N9" s="359" t="s">
        <v>202</v>
      </c>
      <c r="O9" s="359" t="s">
        <v>554</v>
      </c>
      <c r="P9" s="359" t="s">
        <v>555</v>
      </c>
      <c r="Q9" s="359" t="s">
        <v>202</v>
      </c>
      <c r="R9" s="359" t="s">
        <v>202</v>
      </c>
      <c r="S9" s="359" t="s">
        <v>203</v>
      </c>
      <c r="T9" s="359" t="s">
        <v>203</v>
      </c>
      <c r="U9" s="359" t="s">
        <v>203</v>
      </c>
      <c r="V9" s="359" t="s">
        <v>202</v>
      </c>
    </row>
    <row r="10" spans="1:22" s="361" customFormat="1">
      <c r="A10" s="357">
        <v>39643</v>
      </c>
      <c r="B10" s="358">
        <v>11243</v>
      </c>
      <c r="C10" s="359" t="s">
        <v>556</v>
      </c>
      <c r="D10" s="360">
        <v>1800</v>
      </c>
      <c r="E10" s="360">
        <v>1800</v>
      </c>
      <c r="F10" s="360">
        <v>216</v>
      </c>
      <c r="G10" s="360">
        <v>2016</v>
      </c>
      <c r="H10" s="360">
        <v>144</v>
      </c>
      <c r="I10" s="360">
        <v>216</v>
      </c>
      <c r="J10" s="360">
        <v>360</v>
      </c>
      <c r="K10" s="359">
        <v>1222</v>
      </c>
      <c r="L10" s="359" t="s">
        <v>203</v>
      </c>
      <c r="M10" s="359" t="s">
        <v>202</v>
      </c>
      <c r="N10" s="359" t="s">
        <v>202</v>
      </c>
      <c r="O10" s="359" t="s">
        <v>554</v>
      </c>
      <c r="P10" s="359">
        <v>52</v>
      </c>
      <c r="Q10" s="359" t="s">
        <v>202</v>
      </c>
      <c r="R10" s="359" t="s">
        <v>202</v>
      </c>
      <c r="S10" s="359" t="s">
        <v>203</v>
      </c>
      <c r="T10" s="359" t="s">
        <v>203</v>
      </c>
      <c r="U10" s="359" t="s">
        <v>203</v>
      </c>
      <c r="V10" s="359" t="s">
        <v>202</v>
      </c>
    </row>
    <row r="11" spans="1:22">
      <c r="B11" s="340"/>
      <c r="D11" s="184"/>
      <c r="E11" s="184"/>
      <c r="F11" s="184"/>
      <c r="G11" s="362">
        <f>SUM(G9:G10)</f>
        <v>3578.7695999999996</v>
      </c>
      <c r="H11" s="184"/>
      <c r="I11" s="184"/>
      <c r="J11" s="184"/>
    </row>
  </sheetData>
  <mergeCells count="20">
    <mergeCell ref="S7:U7"/>
    <mergeCell ref="V7:V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</mergeCells>
  <printOptions horizontalCentered="1"/>
  <pageMargins left="0.74803149606299213" right="0.5" top="0.98425196850393704" bottom="0.98425196850393704" header="0" footer="0"/>
  <pageSetup paperSize="9" scale="54" orientation="landscape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AW171"/>
  <sheetViews>
    <sheetView zoomScale="75" zoomScaleNormal="75" workbookViewId="0">
      <selection activeCell="A65" sqref="A65:IV65"/>
    </sheetView>
  </sheetViews>
  <sheetFormatPr baseColWidth="10" defaultRowHeight="12.75"/>
  <cols>
    <col min="1" max="1" width="10.42578125" customWidth="1"/>
    <col min="2" max="2" width="13" customWidth="1"/>
    <col min="3" max="3" width="17.28515625" customWidth="1"/>
    <col min="4" max="4" width="13.42578125" customWidth="1"/>
    <col min="5" max="5" width="9.5703125" customWidth="1"/>
    <col min="6" max="6" width="10.28515625" customWidth="1"/>
    <col min="7" max="7" width="8.5703125" customWidth="1"/>
    <col min="8" max="8" width="9.42578125" customWidth="1"/>
    <col min="9" max="9" width="13" customWidth="1"/>
    <col min="10" max="10" width="11.5703125" bestFit="1" customWidth="1"/>
    <col min="11" max="11" width="14.7109375" customWidth="1"/>
    <col min="12" max="12" width="11.5703125" bestFit="1" customWidth="1"/>
    <col min="13" max="13" width="8.42578125" customWidth="1"/>
    <col min="14" max="14" width="10.140625" customWidth="1"/>
    <col min="20" max="20" width="13" customWidth="1"/>
    <col min="257" max="257" width="10.42578125" customWidth="1"/>
    <col min="258" max="258" width="13" customWidth="1"/>
    <col min="259" max="259" width="17.28515625" customWidth="1"/>
    <col min="260" max="260" width="13.42578125" customWidth="1"/>
    <col min="261" max="261" width="9.5703125" customWidth="1"/>
    <col min="262" max="262" width="10.28515625" customWidth="1"/>
    <col min="263" max="263" width="8.5703125" customWidth="1"/>
    <col min="264" max="264" width="9.42578125" customWidth="1"/>
    <col min="265" max="265" width="13" customWidth="1"/>
    <col min="266" max="266" width="11.5703125" bestFit="1" customWidth="1"/>
    <col min="267" max="267" width="14.7109375" customWidth="1"/>
    <col min="268" max="268" width="11.5703125" bestFit="1" customWidth="1"/>
    <col min="269" max="269" width="8.42578125" customWidth="1"/>
    <col min="270" max="270" width="10.140625" customWidth="1"/>
    <col min="276" max="276" width="13" customWidth="1"/>
    <col min="513" max="513" width="10.42578125" customWidth="1"/>
    <col min="514" max="514" width="13" customWidth="1"/>
    <col min="515" max="515" width="17.28515625" customWidth="1"/>
    <col min="516" max="516" width="13.42578125" customWidth="1"/>
    <col min="517" max="517" width="9.5703125" customWidth="1"/>
    <col min="518" max="518" width="10.28515625" customWidth="1"/>
    <col min="519" max="519" width="8.5703125" customWidth="1"/>
    <col min="520" max="520" width="9.42578125" customWidth="1"/>
    <col min="521" max="521" width="13" customWidth="1"/>
    <col min="522" max="522" width="11.5703125" bestFit="1" customWidth="1"/>
    <col min="523" max="523" width="14.7109375" customWidth="1"/>
    <col min="524" max="524" width="11.5703125" bestFit="1" customWidth="1"/>
    <col min="525" max="525" width="8.42578125" customWidth="1"/>
    <col min="526" max="526" width="10.140625" customWidth="1"/>
    <col min="532" max="532" width="13" customWidth="1"/>
    <col min="769" max="769" width="10.42578125" customWidth="1"/>
    <col min="770" max="770" width="13" customWidth="1"/>
    <col min="771" max="771" width="17.28515625" customWidth="1"/>
    <col min="772" max="772" width="13.42578125" customWidth="1"/>
    <col min="773" max="773" width="9.5703125" customWidth="1"/>
    <col min="774" max="774" width="10.28515625" customWidth="1"/>
    <col min="775" max="775" width="8.5703125" customWidth="1"/>
    <col min="776" max="776" width="9.42578125" customWidth="1"/>
    <col min="777" max="777" width="13" customWidth="1"/>
    <col min="778" max="778" width="11.5703125" bestFit="1" customWidth="1"/>
    <col min="779" max="779" width="14.7109375" customWidth="1"/>
    <col min="780" max="780" width="11.5703125" bestFit="1" customWidth="1"/>
    <col min="781" max="781" width="8.42578125" customWidth="1"/>
    <col min="782" max="782" width="10.140625" customWidth="1"/>
    <col min="788" max="788" width="13" customWidth="1"/>
    <col min="1025" max="1025" width="10.42578125" customWidth="1"/>
    <col min="1026" max="1026" width="13" customWidth="1"/>
    <col min="1027" max="1027" width="17.28515625" customWidth="1"/>
    <col min="1028" max="1028" width="13.42578125" customWidth="1"/>
    <col min="1029" max="1029" width="9.5703125" customWidth="1"/>
    <col min="1030" max="1030" width="10.28515625" customWidth="1"/>
    <col min="1031" max="1031" width="8.5703125" customWidth="1"/>
    <col min="1032" max="1032" width="9.42578125" customWidth="1"/>
    <col min="1033" max="1033" width="13" customWidth="1"/>
    <col min="1034" max="1034" width="11.5703125" bestFit="1" customWidth="1"/>
    <col min="1035" max="1035" width="14.7109375" customWidth="1"/>
    <col min="1036" max="1036" width="11.5703125" bestFit="1" customWidth="1"/>
    <col min="1037" max="1037" width="8.42578125" customWidth="1"/>
    <col min="1038" max="1038" width="10.140625" customWidth="1"/>
    <col min="1044" max="1044" width="13" customWidth="1"/>
    <col min="1281" max="1281" width="10.42578125" customWidth="1"/>
    <col min="1282" max="1282" width="13" customWidth="1"/>
    <col min="1283" max="1283" width="17.28515625" customWidth="1"/>
    <col min="1284" max="1284" width="13.42578125" customWidth="1"/>
    <col min="1285" max="1285" width="9.5703125" customWidth="1"/>
    <col min="1286" max="1286" width="10.28515625" customWidth="1"/>
    <col min="1287" max="1287" width="8.5703125" customWidth="1"/>
    <col min="1288" max="1288" width="9.42578125" customWidth="1"/>
    <col min="1289" max="1289" width="13" customWidth="1"/>
    <col min="1290" max="1290" width="11.5703125" bestFit="1" customWidth="1"/>
    <col min="1291" max="1291" width="14.7109375" customWidth="1"/>
    <col min="1292" max="1292" width="11.5703125" bestFit="1" customWidth="1"/>
    <col min="1293" max="1293" width="8.42578125" customWidth="1"/>
    <col min="1294" max="1294" width="10.140625" customWidth="1"/>
    <col min="1300" max="1300" width="13" customWidth="1"/>
    <col min="1537" max="1537" width="10.42578125" customWidth="1"/>
    <col min="1538" max="1538" width="13" customWidth="1"/>
    <col min="1539" max="1539" width="17.28515625" customWidth="1"/>
    <col min="1540" max="1540" width="13.42578125" customWidth="1"/>
    <col min="1541" max="1541" width="9.5703125" customWidth="1"/>
    <col min="1542" max="1542" width="10.28515625" customWidth="1"/>
    <col min="1543" max="1543" width="8.5703125" customWidth="1"/>
    <col min="1544" max="1544" width="9.42578125" customWidth="1"/>
    <col min="1545" max="1545" width="13" customWidth="1"/>
    <col min="1546" max="1546" width="11.5703125" bestFit="1" customWidth="1"/>
    <col min="1547" max="1547" width="14.7109375" customWidth="1"/>
    <col min="1548" max="1548" width="11.5703125" bestFit="1" customWidth="1"/>
    <col min="1549" max="1549" width="8.42578125" customWidth="1"/>
    <col min="1550" max="1550" width="10.140625" customWidth="1"/>
    <col min="1556" max="1556" width="13" customWidth="1"/>
    <col min="1793" max="1793" width="10.42578125" customWidth="1"/>
    <col min="1794" max="1794" width="13" customWidth="1"/>
    <col min="1795" max="1795" width="17.28515625" customWidth="1"/>
    <col min="1796" max="1796" width="13.42578125" customWidth="1"/>
    <col min="1797" max="1797" width="9.5703125" customWidth="1"/>
    <col min="1798" max="1798" width="10.28515625" customWidth="1"/>
    <col min="1799" max="1799" width="8.5703125" customWidth="1"/>
    <col min="1800" max="1800" width="9.42578125" customWidth="1"/>
    <col min="1801" max="1801" width="13" customWidth="1"/>
    <col min="1802" max="1802" width="11.5703125" bestFit="1" customWidth="1"/>
    <col min="1803" max="1803" width="14.7109375" customWidth="1"/>
    <col min="1804" max="1804" width="11.5703125" bestFit="1" customWidth="1"/>
    <col min="1805" max="1805" width="8.42578125" customWidth="1"/>
    <col min="1806" max="1806" width="10.140625" customWidth="1"/>
    <col min="1812" max="1812" width="13" customWidth="1"/>
    <col min="2049" max="2049" width="10.42578125" customWidth="1"/>
    <col min="2050" max="2050" width="13" customWidth="1"/>
    <col min="2051" max="2051" width="17.28515625" customWidth="1"/>
    <col min="2052" max="2052" width="13.42578125" customWidth="1"/>
    <col min="2053" max="2053" width="9.5703125" customWidth="1"/>
    <col min="2054" max="2054" width="10.28515625" customWidth="1"/>
    <col min="2055" max="2055" width="8.5703125" customWidth="1"/>
    <col min="2056" max="2056" width="9.42578125" customWidth="1"/>
    <col min="2057" max="2057" width="13" customWidth="1"/>
    <col min="2058" max="2058" width="11.5703125" bestFit="1" customWidth="1"/>
    <col min="2059" max="2059" width="14.7109375" customWidth="1"/>
    <col min="2060" max="2060" width="11.5703125" bestFit="1" customWidth="1"/>
    <col min="2061" max="2061" width="8.42578125" customWidth="1"/>
    <col min="2062" max="2062" width="10.140625" customWidth="1"/>
    <col min="2068" max="2068" width="13" customWidth="1"/>
    <col min="2305" max="2305" width="10.42578125" customWidth="1"/>
    <col min="2306" max="2306" width="13" customWidth="1"/>
    <col min="2307" max="2307" width="17.28515625" customWidth="1"/>
    <col min="2308" max="2308" width="13.42578125" customWidth="1"/>
    <col min="2309" max="2309" width="9.5703125" customWidth="1"/>
    <col min="2310" max="2310" width="10.28515625" customWidth="1"/>
    <col min="2311" max="2311" width="8.5703125" customWidth="1"/>
    <col min="2312" max="2312" width="9.42578125" customWidth="1"/>
    <col min="2313" max="2313" width="13" customWidth="1"/>
    <col min="2314" max="2314" width="11.5703125" bestFit="1" customWidth="1"/>
    <col min="2315" max="2315" width="14.7109375" customWidth="1"/>
    <col min="2316" max="2316" width="11.5703125" bestFit="1" customWidth="1"/>
    <col min="2317" max="2317" width="8.42578125" customWidth="1"/>
    <col min="2318" max="2318" width="10.140625" customWidth="1"/>
    <col min="2324" max="2324" width="13" customWidth="1"/>
    <col min="2561" max="2561" width="10.42578125" customWidth="1"/>
    <col min="2562" max="2562" width="13" customWidth="1"/>
    <col min="2563" max="2563" width="17.28515625" customWidth="1"/>
    <col min="2564" max="2564" width="13.42578125" customWidth="1"/>
    <col min="2565" max="2565" width="9.5703125" customWidth="1"/>
    <col min="2566" max="2566" width="10.28515625" customWidth="1"/>
    <col min="2567" max="2567" width="8.5703125" customWidth="1"/>
    <col min="2568" max="2568" width="9.42578125" customWidth="1"/>
    <col min="2569" max="2569" width="13" customWidth="1"/>
    <col min="2570" max="2570" width="11.5703125" bestFit="1" customWidth="1"/>
    <col min="2571" max="2571" width="14.7109375" customWidth="1"/>
    <col min="2572" max="2572" width="11.5703125" bestFit="1" customWidth="1"/>
    <col min="2573" max="2573" width="8.42578125" customWidth="1"/>
    <col min="2574" max="2574" width="10.140625" customWidth="1"/>
    <col min="2580" max="2580" width="13" customWidth="1"/>
    <col min="2817" max="2817" width="10.42578125" customWidth="1"/>
    <col min="2818" max="2818" width="13" customWidth="1"/>
    <col min="2819" max="2819" width="17.28515625" customWidth="1"/>
    <col min="2820" max="2820" width="13.42578125" customWidth="1"/>
    <col min="2821" max="2821" width="9.5703125" customWidth="1"/>
    <col min="2822" max="2822" width="10.28515625" customWidth="1"/>
    <col min="2823" max="2823" width="8.5703125" customWidth="1"/>
    <col min="2824" max="2824" width="9.42578125" customWidth="1"/>
    <col min="2825" max="2825" width="13" customWidth="1"/>
    <col min="2826" max="2826" width="11.5703125" bestFit="1" customWidth="1"/>
    <col min="2827" max="2827" width="14.7109375" customWidth="1"/>
    <col min="2828" max="2828" width="11.5703125" bestFit="1" customWidth="1"/>
    <col min="2829" max="2829" width="8.42578125" customWidth="1"/>
    <col min="2830" max="2830" width="10.140625" customWidth="1"/>
    <col min="2836" max="2836" width="13" customWidth="1"/>
    <col min="3073" max="3073" width="10.42578125" customWidth="1"/>
    <col min="3074" max="3074" width="13" customWidth="1"/>
    <col min="3075" max="3075" width="17.28515625" customWidth="1"/>
    <col min="3076" max="3076" width="13.42578125" customWidth="1"/>
    <col min="3077" max="3077" width="9.5703125" customWidth="1"/>
    <col min="3078" max="3078" width="10.28515625" customWidth="1"/>
    <col min="3079" max="3079" width="8.5703125" customWidth="1"/>
    <col min="3080" max="3080" width="9.42578125" customWidth="1"/>
    <col min="3081" max="3081" width="13" customWidth="1"/>
    <col min="3082" max="3082" width="11.5703125" bestFit="1" customWidth="1"/>
    <col min="3083" max="3083" width="14.7109375" customWidth="1"/>
    <col min="3084" max="3084" width="11.5703125" bestFit="1" customWidth="1"/>
    <col min="3085" max="3085" width="8.42578125" customWidth="1"/>
    <col min="3086" max="3086" width="10.140625" customWidth="1"/>
    <col min="3092" max="3092" width="13" customWidth="1"/>
    <col min="3329" max="3329" width="10.42578125" customWidth="1"/>
    <col min="3330" max="3330" width="13" customWidth="1"/>
    <col min="3331" max="3331" width="17.28515625" customWidth="1"/>
    <col min="3332" max="3332" width="13.42578125" customWidth="1"/>
    <col min="3333" max="3333" width="9.5703125" customWidth="1"/>
    <col min="3334" max="3334" width="10.28515625" customWidth="1"/>
    <col min="3335" max="3335" width="8.5703125" customWidth="1"/>
    <col min="3336" max="3336" width="9.42578125" customWidth="1"/>
    <col min="3337" max="3337" width="13" customWidth="1"/>
    <col min="3338" max="3338" width="11.5703125" bestFit="1" customWidth="1"/>
    <col min="3339" max="3339" width="14.7109375" customWidth="1"/>
    <col min="3340" max="3340" width="11.5703125" bestFit="1" customWidth="1"/>
    <col min="3341" max="3341" width="8.42578125" customWidth="1"/>
    <col min="3342" max="3342" width="10.140625" customWidth="1"/>
    <col min="3348" max="3348" width="13" customWidth="1"/>
    <col min="3585" max="3585" width="10.42578125" customWidth="1"/>
    <col min="3586" max="3586" width="13" customWidth="1"/>
    <col min="3587" max="3587" width="17.28515625" customWidth="1"/>
    <col min="3588" max="3588" width="13.42578125" customWidth="1"/>
    <col min="3589" max="3589" width="9.5703125" customWidth="1"/>
    <col min="3590" max="3590" width="10.28515625" customWidth="1"/>
    <col min="3591" max="3591" width="8.5703125" customWidth="1"/>
    <col min="3592" max="3592" width="9.42578125" customWidth="1"/>
    <col min="3593" max="3593" width="13" customWidth="1"/>
    <col min="3594" max="3594" width="11.5703125" bestFit="1" customWidth="1"/>
    <col min="3595" max="3595" width="14.7109375" customWidth="1"/>
    <col min="3596" max="3596" width="11.5703125" bestFit="1" customWidth="1"/>
    <col min="3597" max="3597" width="8.42578125" customWidth="1"/>
    <col min="3598" max="3598" width="10.140625" customWidth="1"/>
    <col min="3604" max="3604" width="13" customWidth="1"/>
    <col min="3841" max="3841" width="10.42578125" customWidth="1"/>
    <col min="3842" max="3842" width="13" customWidth="1"/>
    <col min="3843" max="3843" width="17.28515625" customWidth="1"/>
    <col min="3844" max="3844" width="13.42578125" customWidth="1"/>
    <col min="3845" max="3845" width="9.5703125" customWidth="1"/>
    <col min="3846" max="3846" width="10.28515625" customWidth="1"/>
    <col min="3847" max="3847" width="8.5703125" customWidth="1"/>
    <col min="3848" max="3848" width="9.42578125" customWidth="1"/>
    <col min="3849" max="3849" width="13" customWidth="1"/>
    <col min="3850" max="3850" width="11.5703125" bestFit="1" customWidth="1"/>
    <col min="3851" max="3851" width="14.7109375" customWidth="1"/>
    <col min="3852" max="3852" width="11.5703125" bestFit="1" customWidth="1"/>
    <col min="3853" max="3853" width="8.42578125" customWidth="1"/>
    <col min="3854" max="3854" width="10.140625" customWidth="1"/>
    <col min="3860" max="3860" width="13" customWidth="1"/>
    <col min="4097" max="4097" width="10.42578125" customWidth="1"/>
    <col min="4098" max="4098" width="13" customWidth="1"/>
    <col min="4099" max="4099" width="17.28515625" customWidth="1"/>
    <col min="4100" max="4100" width="13.42578125" customWidth="1"/>
    <col min="4101" max="4101" width="9.5703125" customWidth="1"/>
    <col min="4102" max="4102" width="10.28515625" customWidth="1"/>
    <col min="4103" max="4103" width="8.5703125" customWidth="1"/>
    <col min="4104" max="4104" width="9.42578125" customWidth="1"/>
    <col min="4105" max="4105" width="13" customWidth="1"/>
    <col min="4106" max="4106" width="11.5703125" bestFit="1" customWidth="1"/>
    <col min="4107" max="4107" width="14.7109375" customWidth="1"/>
    <col min="4108" max="4108" width="11.5703125" bestFit="1" customWidth="1"/>
    <col min="4109" max="4109" width="8.42578125" customWidth="1"/>
    <col min="4110" max="4110" width="10.140625" customWidth="1"/>
    <col min="4116" max="4116" width="13" customWidth="1"/>
    <col min="4353" max="4353" width="10.42578125" customWidth="1"/>
    <col min="4354" max="4354" width="13" customWidth="1"/>
    <col min="4355" max="4355" width="17.28515625" customWidth="1"/>
    <col min="4356" max="4356" width="13.42578125" customWidth="1"/>
    <col min="4357" max="4357" width="9.5703125" customWidth="1"/>
    <col min="4358" max="4358" width="10.28515625" customWidth="1"/>
    <col min="4359" max="4359" width="8.5703125" customWidth="1"/>
    <col min="4360" max="4360" width="9.42578125" customWidth="1"/>
    <col min="4361" max="4361" width="13" customWidth="1"/>
    <col min="4362" max="4362" width="11.5703125" bestFit="1" customWidth="1"/>
    <col min="4363" max="4363" width="14.7109375" customWidth="1"/>
    <col min="4364" max="4364" width="11.5703125" bestFit="1" customWidth="1"/>
    <col min="4365" max="4365" width="8.42578125" customWidth="1"/>
    <col min="4366" max="4366" width="10.140625" customWidth="1"/>
    <col min="4372" max="4372" width="13" customWidth="1"/>
    <col min="4609" max="4609" width="10.42578125" customWidth="1"/>
    <col min="4610" max="4610" width="13" customWidth="1"/>
    <col min="4611" max="4611" width="17.28515625" customWidth="1"/>
    <col min="4612" max="4612" width="13.42578125" customWidth="1"/>
    <col min="4613" max="4613" width="9.5703125" customWidth="1"/>
    <col min="4614" max="4614" width="10.28515625" customWidth="1"/>
    <col min="4615" max="4615" width="8.5703125" customWidth="1"/>
    <col min="4616" max="4616" width="9.42578125" customWidth="1"/>
    <col min="4617" max="4617" width="13" customWidth="1"/>
    <col min="4618" max="4618" width="11.5703125" bestFit="1" customWidth="1"/>
    <col min="4619" max="4619" width="14.7109375" customWidth="1"/>
    <col min="4620" max="4620" width="11.5703125" bestFit="1" customWidth="1"/>
    <col min="4621" max="4621" width="8.42578125" customWidth="1"/>
    <col min="4622" max="4622" width="10.140625" customWidth="1"/>
    <col min="4628" max="4628" width="13" customWidth="1"/>
    <col min="4865" max="4865" width="10.42578125" customWidth="1"/>
    <col min="4866" max="4866" width="13" customWidth="1"/>
    <col min="4867" max="4867" width="17.28515625" customWidth="1"/>
    <col min="4868" max="4868" width="13.42578125" customWidth="1"/>
    <col min="4869" max="4869" width="9.5703125" customWidth="1"/>
    <col min="4870" max="4870" width="10.28515625" customWidth="1"/>
    <col min="4871" max="4871" width="8.5703125" customWidth="1"/>
    <col min="4872" max="4872" width="9.42578125" customWidth="1"/>
    <col min="4873" max="4873" width="13" customWidth="1"/>
    <col min="4874" max="4874" width="11.5703125" bestFit="1" customWidth="1"/>
    <col min="4875" max="4875" width="14.7109375" customWidth="1"/>
    <col min="4876" max="4876" width="11.5703125" bestFit="1" customWidth="1"/>
    <col min="4877" max="4877" width="8.42578125" customWidth="1"/>
    <col min="4878" max="4878" width="10.140625" customWidth="1"/>
    <col min="4884" max="4884" width="13" customWidth="1"/>
    <col min="5121" max="5121" width="10.42578125" customWidth="1"/>
    <col min="5122" max="5122" width="13" customWidth="1"/>
    <col min="5123" max="5123" width="17.28515625" customWidth="1"/>
    <col min="5124" max="5124" width="13.42578125" customWidth="1"/>
    <col min="5125" max="5125" width="9.5703125" customWidth="1"/>
    <col min="5126" max="5126" width="10.28515625" customWidth="1"/>
    <col min="5127" max="5127" width="8.5703125" customWidth="1"/>
    <col min="5128" max="5128" width="9.42578125" customWidth="1"/>
    <col min="5129" max="5129" width="13" customWidth="1"/>
    <col min="5130" max="5130" width="11.5703125" bestFit="1" customWidth="1"/>
    <col min="5131" max="5131" width="14.7109375" customWidth="1"/>
    <col min="5132" max="5132" width="11.5703125" bestFit="1" customWidth="1"/>
    <col min="5133" max="5133" width="8.42578125" customWidth="1"/>
    <col min="5134" max="5134" width="10.140625" customWidth="1"/>
    <col min="5140" max="5140" width="13" customWidth="1"/>
    <col min="5377" max="5377" width="10.42578125" customWidth="1"/>
    <col min="5378" max="5378" width="13" customWidth="1"/>
    <col min="5379" max="5379" width="17.28515625" customWidth="1"/>
    <col min="5380" max="5380" width="13.42578125" customWidth="1"/>
    <col min="5381" max="5381" width="9.5703125" customWidth="1"/>
    <col min="5382" max="5382" width="10.28515625" customWidth="1"/>
    <col min="5383" max="5383" width="8.5703125" customWidth="1"/>
    <col min="5384" max="5384" width="9.42578125" customWidth="1"/>
    <col min="5385" max="5385" width="13" customWidth="1"/>
    <col min="5386" max="5386" width="11.5703125" bestFit="1" customWidth="1"/>
    <col min="5387" max="5387" width="14.7109375" customWidth="1"/>
    <col min="5388" max="5388" width="11.5703125" bestFit="1" customWidth="1"/>
    <col min="5389" max="5389" width="8.42578125" customWidth="1"/>
    <col min="5390" max="5390" width="10.140625" customWidth="1"/>
    <col min="5396" max="5396" width="13" customWidth="1"/>
    <col min="5633" max="5633" width="10.42578125" customWidth="1"/>
    <col min="5634" max="5634" width="13" customWidth="1"/>
    <col min="5635" max="5635" width="17.28515625" customWidth="1"/>
    <col min="5636" max="5636" width="13.42578125" customWidth="1"/>
    <col min="5637" max="5637" width="9.5703125" customWidth="1"/>
    <col min="5638" max="5638" width="10.28515625" customWidth="1"/>
    <col min="5639" max="5639" width="8.5703125" customWidth="1"/>
    <col min="5640" max="5640" width="9.42578125" customWidth="1"/>
    <col min="5641" max="5641" width="13" customWidth="1"/>
    <col min="5642" max="5642" width="11.5703125" bestFit="1" customWidth="1"/>
    <col min="5643" max="5643" width="14.7109375" customWidth="1"/>
    <col min="5644" max="5644" width="11.5703125" bestFit="1" customWidth="1"/>
    <col min="5645" max="5645" width="8.42578125" customWidth="1"/>
    <col min="5646" max="5646" width="10.140625" customWidth="1"/>
    <col min="5652" max="5652" width="13" customWidth="1"/>
    <col min="5889" max="5889" width="10.42578125" customWidth="1"/>
    <col min="5890" max="5890" width="13" customWidth="1"/>
    <col min="5891" max="5891" width="17.28515625" customWidth="1"/>
    <col min="5892" max="5892" width="13.42578125" customWidth="1"/>
    <col min="5893" max="5893" width="9.5703125" customWidth="1"/>
    <col min="5894" max="5894" width="10.28515625" customWidth="1"/>
    <col min="5895" max="5895" width="8.5703125" customWidth="1"/>
    <col min="5896" max="5896" width="9.42578125" customWidth="1"/>
    <col min="5897" max="5897" width="13" customWidth="1"/>
    <col min="5898" max="5898" width="11.5703125" bestFit="1" customWidth="1"/>
    <col min="5899" max="5899" width="14.7109375" customWidth="1"/>
    <col min="5900" max="5900" width="11.5703125" bestFit="1" customWidth="1"/>
    <col min="5901" max="5901" width="8.42578125" customWidth="1"/>
    <col min="5902" max="5902" width="10.140625" customWidth="1"/>
    <col min="5908" max="5908" width="13" customWidth="1"/>
    <col min="6145" max="6145" width="10.42578125" customWidth="1"/>
    <col min="6146" max="6146" width="13" customWidth="1"/>
    <col min="6147" max="6147" width="17.28515625" customWidth="1"/>
    <col min="6148" max="6148" width="13.42578125" customWidth="1"/>
    <col min="6149" max="6149" width="9.5703125" customWidth="1"/>
    <col min="6150" max="6150" width="10.28515625" customWidth="1"/>
    <col min="6151" max="6151" width="8.5703125" customWidth="1"/>
    <col min="6152" max="6152" width="9.42578125" customWidth="1"/>
    <col min="6153" max="6153" width="13" customWidth="1"/>
    <col min="6154" max="6154" width="11.5703125" bestFit="1" customWidth="1"/>
    <col min="6155" max="6155" width="14.7109375" customWidth="1"/>
    <col min="6156" max="6156" width="11.5703125" bestFit="1" customWidth="1"/>
    <col min="6157" max="6157" width="8.42578125" customWidth="1"/>
    <col min="6158" max="6158" width="10.140625" customWidth="1"/>
    <col min="6164" max="6164" width="13" customWidth="1"/>
    <col min="6401" max="6401" width="10.42578125" customWidth="1"/>
    <col min="6402" max="6402" width="13" customWidth="1"/>
    <col min="6403" max="6403" width="17.28515625" customWidth="1"/>
    <col min="6404" max="6404" width="13.42578125" customWidth="1"/>
    <col min="6405" max="6405" width="9.5703125" customWidth="1"/>
    <col min="6406" max="6406" width="10.28515625" customWidth="1"/>
    <col min="6407" max="6407" width="8.5703125" customWidth="1"/>
    <col min="6408" max="6408" width="9.42578125" customWidth="1"/>
    <col min="6409" max="6409" width="13" customWidth="1"/>
    <col min="6410" max="6410" width="11.5703125" bestFit="1" customWidth="1"/>
    <col min="6411" max="6411" width="14.7109375" customWidth="1"/>
    <col min="6412" max="6412" width="11.5703125" bestFit="1" customWidth="1"/>
    <col min="6413" max="6413" width="8.42578125" customWidth="1"/>
    <col min="6414" max="6414" width="10.140625" customWidth="1"/>
    <col min="6420" max="6420" width="13" customWidth="1"/>
    <col min="6657" max="6657" width="10.42578125" customWidth="1"/>
    <col min="6658" max="6658" width="13" customWidth="1"/>
    <col min="6659" max="6659" width="17.28515625" customWidth="1"/>
    <col min="6660" max="6660" width="13.42578125" customWidth="1"/>
    <col min="6661" max="6661" width="9.5703125" customWidth="1"/>
    <col min="6662" max="6662" width="10.28515625" customWidth="1"/>
    <col min="6663" max="6663" width="8.5703125" customWidth="1"/>
    <col min="6664" max="6664" width="9.42578125" customWidth="1"/>
    <col min="6665" max="6665" width="13" customWidth="1"/>
    <col min="6666" max="6666" width="11.5703125" bestFit="1" customWidth="1"/>
    <col min="6667" max="6667" width="14.7109375" customWidth="1"/>
    <col min="6668" max="6668" width="11.5703125" bestFit="1" customWidth="1"/>
    <col min="6669" max="6669" width="8.42578125" customWidth="1"/>
    <col min="6670" max="6670" width="10.140625" customWidth="1"/>
    <col min="6676" max="6676" width="13" customWidth="1"/>
    <col min="6913" max="6913" width="10.42578125" customWidth="1"/>
    <col min="6914" max="6914" width="13" customWidth="1"/>
    <col min="6915" max="6915" width="17.28515625" customWidth="1"/>
    <col min="6916" max="6916" width="13.42578125" customWidth="1"/>
    <col min="6917" max="6917" width="9.5703125" customWidth="1"/>
    <col min="6918" max="6918" width="10.28515625" customWidth="1"/>
    <col min="6919" max="6919" width="8.5703125" customWidth="1"/>
    <col min="6920" max="6920" width="9.42578125" customWidth="1"/>
    <col min="6921" max="6921" width="13" customWidth="1"/>
    <col min="6922" max="6922" width="11.5703125" bestFit="1" customWidth="1"/>
    <col min="6923" max="6923" width="14.7109375" customWidth="1"/>
    <col min="6924" max="6924" width="11.5703125" bestFit="1" customWidth="1"/>
    <col min="6925" max="6925" width="8.42578125" customWidth="1"/>
    <col min="6926" max="6926" width="10.140625" customWidth="1"/>
    <col min="6932" max="6932" width="13" customWidth="1"/>
    <col min="7169" max="7169" width="10.42578125" customWidth="1"/>
    <col min="7170" max="7170" width="13" customWidth="1"/>
    <col min="7171" max="7171" width="17.28515625" customWidth="1"/>
    <col min="7172" max="7172" width="13.42578125" customWidth="1"/>
    <col min="7173" max="7173" width="9.5703125" customWidth="1"/>
    <col min="7174" max="7174" width="10.28515625" customWidth="1"/>
    <col min="7175" max="7175" width="8.5703125" customWidth="1"/>
    <col min="7176" max="7176" width="9.42578125" customWidth="1"/>
    <col min="7177" max="7177" width="13" customWidth="1"/>
    <col min="7178" max="7178" width="11.5703125" bestFit="1" customWidth="1"/>
    <col min="7179" max="7179" width="14.7109375" customWidth="1"/>
    <col min="7180" max="7180" width="11.5703125" bestFit="1" customWidth="1"/>
    <col min="7181" max="7181" width="8.42578125" customWidth="1"/>
    <col min="7182" max="7182" width="10.140625" customWidth="1"/>
    <col min="7188" max="7188" width="13" customWidth="1"/>
    <col min="7425" max="7425" width="10.42578125" customWidth="1"/>
    <col min="7426" max="7426" width="13" customWidth="1"/>
    <col min="7427" max="7427" width="17.28515625" customWidth="1"/>
    <col min="7428" max="7428" width="13.42578125" customWidth="1"/>
    <col min="7429" max="7429" width="9.5703125" customWidth="1"/>
    <col min="7430" max="7430" width="10.28515625" customWidth="1"/>
    <col min="7431" max="7431" width="8.5703125" customWidth="1"/>
    <col min="7432" max="7432" width="9.42578125" customWidth="1"/>
    <col min="7433" max="7433" width="13" customWidth="1"/>
    <col min="7434" max="7434" width="11.5703125" bestFit="1" customWidth="1"/>
    <col min="7435" max="7435" width="14.7109375" customWidth="1"/>
    <col min="7436" max="7436" width="11.5703125" bestFit="1" customWidth="1"/>
    <col min="7437" max="7437" width="8.42578125" customWidth="1"/>
    <col min="7438" max="7438" width="10.140625" customWidth="1"/>
    <col min="7444" max="7444" width="13" customWidth="1"/>
    <col min="7681" max="7681" width="10.42578125" customWidth="1"/>
    <col min="7682" max="7682" width="13" customWidth="1"/>
    <col min="7683" max="7683" width="17.28515625" customWidth="1"/>
    <col min="7684" max="7684" width="13.42578125" customWidth="1"/>
    <col min="7685" max="7685" width="9.5703125" customWidth="1"/>
    <col min="7686" max="7686" width="10.28515625" customWidth="1"/>
    <col min="7687" max="7687" width="8.5703125" customWidth="1"/>
    <col min="7688" max="7688" width="9.42578125" customWidth="1"/>
    <col min="7689" max="7689" width="13" customWidth="1"/>
    <col min="7690" max="7690" width="11.5703125" bestFit="1" customWidth="1"/>
    <col min="7691" max="7691" width="14.7109375" customWidth="1"/>
    <col min="7692" max="7692" width="11.5703125" bestFit="1" customWidth="1"/>
    <col min="7693" max="7693" width="8.42578125" customWidth="1"/>
    <col min="7694" max="7694" width="10.140625" customWidth="1"/>
    <col min="7700" max="7700" width="13" customWidth="1"/>
    <col min="7937" max="7937" width="10.42578125" customWidth="1"/>
    <col min="7938" max="7938" width="13" customWidth="1"/>
    <col min="7939" max="7939" width="17.28515625" customWidth="1"/>
    <col min="7940" max="7940" width="13.42578125" customWidth="1"/>
    <col min="7941" max="7941" width="9.5703125" customWidth="1"/>
    <col min="7942" max="7942" width="10.28515625" customWidth="1"/>
    <col min="7943" max="7943" width="8.5703125" customWidth="1"/>
    <col min="7944" max="7944" width="9.42578125" customWidth="1"/>
    <col min="7945" max="7945" width="13" customWidth="1"/>
    <col min="7946" max="7946" width="11.5703125" bestFit="1" customWidth="1"/>
    <col min="7947" max="7947" width="14.7109375" customWidth="1"/>
    <col min="7948" max="7948" width="11.5703125" bestFit="1" customWidth="1"/>
    <col min="7949" max="7949" width="8.42578125" customWidth="1"/>
    <col min="7950" max="7950" width="10.140625" customWidth="1"/>
    <col min="7956" max="7956" width="13" customWidth="1"/>
    <col min="8193" max="8193" width="10.42578125" customWidth="1"/>
    <col min="8194" max="8194" width="13" customWidth="1"/>
    <col min="8195" max="8195" width="17.28515625" customWidth="1"/>
    <col min="8196" max="8196" width="13.42578125" customWidth="1"/>
    <col min="8197" max="8197" width="9.5703125" customWidth="1"/>
    <col min="8198" max="8198" width="10.28515625" customWidth="1"/>
    <col min="8199" max="8199" width="8.5703125" customWidth="1"/>
    <col min="8200" max="8200" width="9.42578125" customWidth="1"/>
    <col min="8201" max="8201" width="13" customWidth="1"/>
    <col min="8202" max="8202" width="11.5703125" bestFit="1" customWidth="1"/>
    <col min="8203" max="8203" width="14.7109375" customWidth="1"/>
    <col min="8204" max="8204" width="11.5703125" bestFit="1" customWidth="1"/>
    <col min="8205" max="8205" width="8.42578125" customWidth="1"/>
    <col min="8206" max="8206" width="10.140625" customWidth="1"/>
    <col min="8212" max="8212" width="13" customWidth="1"/>
    <col min="8449" max="8449" width="10.42578125" customWidth="1"/>
    <col min="8450" max="8450" width="13" customWidth="1"/>
    <col min="8451" max="8451" width="17.28515625" customWidth="1"/>
    <col min="8452" max="8452" width="13.42578125" customWidth="1"/>
    <col min="8453" max="8453" width="9.5703125" customWidth="1"/>
    <col min="8454" max="8454" width="10.28515625" customWidth="1"/>
    <col min="8455" max="8455" width="8.5703125" customWidth="1"/>
    <col min="8456" max="8456" width="9.42578125" customWidth="1"/>
    <col min="8457" max="8457" width="13" customWidth="1"/>
    <col min="8458" max="8458" width="11.5703125" bestFit="1" customWidth="1"/>
    <col min="8459" max="8459" width="14.7109375" customWidth="1"/>
    <col min="8460" max="8460" width="11.5703125" bestFit="1" customWidth="1"/>
    <col min="8461" max="8461" width="8.42578125" customWidth="1"/>
    <col min="8462" max="8462" width="10.140625" customWidth="1"/>
    <col min="8468" max="8468" width="13" customWidth="1"/>
    <col min="8705" max="8705" width="10.42578125" customWidth="1"/>
    <col min="8706" max="8706" width="13" customWidth="1"/>
    <col min="8707" max="8707" width="17.28515625" customWidth="1"/>
    <col min="8708" max="8708" width="13.42578125" customWidth="1"/>
    <col min="8709" max="8709" width="9.5703125" customWidth="1"/>
    <col min="8710" max="8710" width="10.28515625" customWidth="1"/>
    <col min="8711" max="8711" width="8.5703125" customWidth="1"/>
    <col min="8712" max="8712" width="9.42578125" customWidth="1"/>
    <col min="8713" max="8713" width="13" customWidth="1"/>
    <col min="8714" max="8714" width="11.5703125" bestFit="1" customWidth="1"/>
    <col min="8715" max="8715" width="14.7109375" customWidth="1"/>
    <col min="8716" max="8716" width="11.5703125" bestFit="1" customWidth="1"/>
    <col min="8717" max="8717" width="8.42578125" customWidth="1"/>
    <col min="8718" max="8718" width="10.140625" customWidth="1"/>
    <col min="8724" max="8724" width="13" customWidth="1"/>
    <col min="8961" max="8961" width="10.42578125" customWidth="1"/>
    <col min="8962" max="8962" width="13" customWidth="1"/>
    <col min="8963" max="8963" width="17.28515625" customWidth="1"/>
    <col min="8964" max="8964" width="13.42578125" customWidth="1"/>
    <col min="8965" max="8965" width="9.5703125" customWidth="1"/>
    <col min="8966" max="8966" width="10.28515625" customWidth="1"/>
    <col min="8967" max="8967" width="8.5703125" customWidth="1"/>
    <col min="8968" max="8968" width="9.42578125" customWidth="1"/>
    <col min="8969" max="8969" width="13" customWidth="1"/>
    <col min="8970" max="8970" width="11.5703125" bestFit="1" customWidth="1"/>
    <col min="8971" max="8971" width="14.7109375" customWidth="1"/>
    <col min="8972" max="8972" width="11.5703125" bestFit="1" customWidth="1"/>
    <col min="8973" max="8973" width="8.42578125" customWidth="1"/>
    <col min="8974" max="8974" width="10.140625" customWidth="1"/>
    <col min="8980" max="8980" width="13" customWidth="1"/>
    <col min="9217" max="9217" width="10.42578125" customWidth="1"/>
    <col min="9218" max="9218" width="13" customWidth="1"/>
    <col min="9219" max="9219" width="17.28515625" customWidth="1"/>
    <col min="9220" max="9220" width="13.42578125" customWidth="1"/>
    <col min="9221" max="9221" width="9.5703125" customWidth="1"/>
    <col min="9222" max="9222" width="10.28515625" customWidth="1"/>
    <col min="9223" max="9223" width="8.5703125" customWidth="1"/>
    <col min="9224" max="9224" width="9.42578125" customWidth="1"/>
    <col min="9225" max="9225" width="13" customWidth="1"/>
    <col min="9226" max="9226" width="11.5703125" bestFit="1" customWidth="1"/>
    <col min="9227" max="9227" width="14.7109375" customWidth="1"/>
    <col min="9228" max="9228" width="11.5703125" bestFit="1" customWidth="1"/>
    <col min="9229" max="9229" width="8.42578125" customWidth="1"/>
    <col min="9230" max="9230" width="10.140625" customWidth="1"/>
    <col min="9236" max="9236" width="13" customWidth="1"/>
    <col min="9473" max="9473" width="10.42578125" customWidth="1"/>
    <col min="9474" max="9474" width="13" customWidth="1"/>
    <col min="9475" max="9475" width="17.28515625" customWidth="1"/>
    <col min="9476" max="9476" width="13.42578125" customWidth="1"/>
    <col min="9477" max="9477" width="9.5703125" customWidth="1"/>
    <col min="9478" max="9478" width="10.28515625" customWidth="1"/>
    <col min="9479" max="9479" width="8.5703125" customWidth="1"/>
    <col min="9480" max="9480" width="9.42578125" customWidth="1"/>
    <col min="9481" max="9481" width="13" customWidth="1"/>
    <col min="9482" max="9482" width="11.5703125" bestFit="1" customWidth="1"/>
    <col min="9483" max="9483" width="14.7109375" customWidth="1"/>
    <col min="9484" max="9484" width="11.5703125" bestFit="1" customWidth="1"/>
    <col min="9485" max="9485" width="8.42578125" customWidth="1"/>
    <col min="9486" max="9486" width="10.140625" customWidth="1"/>
    <col min="9492" max="9492" width="13" customWidth="1"/>
    <col min="9729" max="9729" width="10.42578125" customWidth="1"/>
    <col min="9730" max="9730" width="13" customWidth="1"/>
    <col min="9731" max="9731" width="17.28515625" customWidth="1"/>
    <col min="9732" max="9732" width="13.42578125" customWidth="1"/>
    <col min="9733" max="9733" width="9.5703125" customWidth="1"/>
    <col min="9734" max="9734" width="10.28515625" customWidth="1"/>
    <col min="9735" max="9735" width="8.5703125" customWidth="1"/>
    <col min="9736" max="9736" width="9.42578125" customWidth="1"/>
    <col min="9737" max="9737" width="13" customWidth="1"/>
    <col min="9738" max="9738" width="11.5703125" bestFit="1" customWidth="1"/>
    <col min="9739" max="9739" width="14.7109375" customWidth="1"/>
    <col min="9740" max="9740" width="11.5703125" bestFit="1" customWidth="1"/>
    <col min="9741" max="9741" width="8.42578125" customWidth="1"/>
    <col min="9742" max="9742" width="10.140625" customWidth="1"/>
    <col min="9748" max="9748" width="13" customWidth="1"/>
    <col min="9985" max="9985" width="10.42578125" customWidth="1"/>
    <col min="9986" max="9986" width="13" customWidth="1"/>
    <col min="9987" max="9987" width="17.28515625" customWidth="1"/>
    <col min="9988" max="9988" width="13.42578125" customWidth="1"/>
    <col min="9989" max="9989" width="9.5703125" customWidth="1"/>
    <col min="9990" max="9990" width="10.28515625" customWidth="1"/>
    <col min="9991" max="9991" width="8.5703125" customWidth="1"/>
    <col min="9992" max="9992" width="9.42578125" customWidth="1"/>
    <col min="9993" max="9993" width="13" customWidth="1"/>
    <col min="9994" max="9994" width="11.5703125" bestFit="1" customWidth="1"/>
    <col min="9995" max="9995" width="14.7109375" customWidth="1"/>
    <col min="9996" max="9996" width="11.5703125" bestFit="1" customWidth="1"/>
    <col min="9997" max="9997" width="8.42578125" customWidth="1"/>
    <col min="9998" max="9998" width="10.140625" customWidth="1"/>
    <col min="10004" max="10004" width="13" customWidth="1"/>
    <col min="10241" max="10241" width="10.42578125" customWidth="1"/>
    <col min="10242" max="10242" width="13" customWidth="1"/>
    <col min="10243" max="10243" width="17.28515625" customWidth="1"/>
    <col min="10244" max="10244" width="13.42578125" customWidth="1"/>
    <col min="10245" max="10245" width="9.5703125" customWidth="1"/>
    <col min="10246" max="10246" width="10.28515625" customWidth="1"/>
    <col min="10247" max="10247" width="8.5703125" customWidth="1"/>
    <col min="10248" max="10248" width="9.42578125" customWidth="1"/>
    <col min="10249" max="10249" width="13" customWidth="1"/>
    <col min="10250" max="10250" width="11.5703125" bestFit="1" customWidth="1"/>
    <col min="10251" max="10251" width="14.7109375" customWidth="1"/>
    <col min="10252" max="10252" width="11.5703125" bestFit="1" customWidth="1"/>
    <col min="10253" max="10253" width="8.42578125" customWidth="1"/>
    <col min="10254" max="10254" width="10.140625" customWidth="1"/>
    <col min="10260" max="10260" width="13" customWidth="1"/>
    <col min="10497" max="10497" width="10.42578125" customWidth="1"/>
    <col min="10498" max="10498" width="13" customWidth="1"/>
    <col min="10499" max="10499" width="17.28515625" customWidth="1"/>
    <col min="10500" max="10500" width="13.42578125" customWidth="1"/>
    <col min="10501" max="10501" width="9.5703125" customWidth="1"/>
    <col min="10502" max="10502" width="10.28515625" customWidth="1"/>
    <col min="10503" max="10503" width="8.5703125" customWidth="1"/>
    <col min="10504" max="10504" width="9.42578125" customWidth="1"/>
    <col min="10505" max="10505" width="13" customWidth="1"/>
    <col min="10506" max="10506" width="11.5703125" bestFit="1" customWidth="1"/>
    <col min="10507" max="10507" width="14.7109375" customWidth="1"/>
    <col min="10508" max="10508" width="11.5703125" bestFit="1" customWidth="1"/>
    <col min="10509" max="10509" width="8.42578125" customWidth="1"/>
    <col min="10510" max="10510" width="10.140625" customWidth="1"/>
    <col min="10516" max="10516" width="13" customWidth="1"/>
    <col min="10753" max="10753" width="10.42578125" customWidth="1"/>
    <col min="10754" max="10754" width="13" customWidth="1"/>
    <col min="10755" max="10755" width="17.28515625" customWidth="1"/>
    <col min="10756" max="10756" width="13.42578125" customWidth="1"/>
    <col min="10757" max="10757" width="9.5703125" customWidth="1"/>
    <col min="10758" max="10758" width="10.28515625" customWidth="1"/>
    <col min="10759" max="10759" width="8.5703125" customWidth="1"/>
    <col min="10760" max="10760" width="9.42578125" customWidth="1"/>
    <col min="10761" max="10761" width="13" customWidth="1"/>
    <col min="10762" max="10762" width="11.5703125" bestFit="1" customWidth="1"/>
    <col min="10763" max="10763" width="14.7109375" customWidth="1"/>
    <col min="10764" max="10764" width="11.5703125" bestFit="1" customWidth="1"/>
    <col min="10765" max="10765" width="8.42578125" customWidth="1"/>
    <col min="10766" max="10766" width="10.140625" customWidth="1"/>
    <col min="10772" max="10772" width="13" customWidth="1"/>
    <col min="11009" max="11009" width="10.42578125" customWidth="1"/>
    <col min="11010" max="11010" width="13" customWidth="1"/>
    <col min="11011" max="11011" width="17.28515625" customWidth="1"/>
    <col min="11012" max="11012" width="13.42578125" customWidth="1"/>
    <col min="11013" max="11013" width="9.5703125" customWidth="1"/>
    <col min="11014" max="11014" width="10.28515625" customWidth="1"/>
    <col min="11015" max="11015" width="8.5703125" customWidth="1"/>
    <col min="11016" max="11016" width="9.42578125" customWidth="1"/>
    <col min="11017" max="11017" width="13" customWidth="1"/>
    <col min="11018" max="11018" width="11.5703125" bestFit="1" customWidth="1"/>
    <col min="11019" max="11019" width="14.7109375" customWidth="1"/>
    <col min="11020" max="11020" width="11.5703125" bestFit="1" customWidth="1"/>
    <col min="11021" max="11021" width="8.42578125" customWidth="1"/>
    <col min="11022" max="11022" width="10.140625" customWidth="1"/>
    <col min="11028" max="11028" width="13" customWidth="1"/>
    <col min="11265" max="11265" width="10.42578125" customWidth="1"/>
    <col min="11266" max="11266" width="13" customWidth="1"/>
    <col min="11267" max="11267" width="17.28515625" customWidth="1"/>
    <col min="11268" max="11268" width="13.42578125" customWidth="1"/>
    <col min="11269" max="11269" width="9.5703125" customWidth="1"/>
    <col min="11270" max="11270" width="10.28515625" customWidth="1"/>
    <col min="11271" max="11271" width="8.5703125" customWidth="1"/>
    <col min="11272" max="11272" width="9.42578125" customWidth="1"/>
    <col min="11273" max="11273" width="13" customWidth="1"/>
    <col min="11274" max="11274" width="11.5703125" bestFit="1" customWidth="1"/>
    <col min="11275" max="11275" width="14.7109375" customWidth="1"/>
    <col min="11276" max="11276" width="11.5703125" bestFit="1" customWidth="1"/>
    <col min="11277" max="11277" width="8.42578125" customWidth="1"/>
    <col min="11278" max="11278" width="10.140625" customWidth="1"/>
    <col min="11284" max="11284" width="13" customWidth="1"/>
    <col min="11521" max="11521" width="10.42578125" customWidth="1"/>
    <col min="11522" max="11522" width="13" customWidth="1"/>
    <col min="11523" max="11523" width="17.28515625" customWidth="1"/>
    <col min="11524" max="11524" width="13.42578125" customWidth="1"/>
    <col min="11525" max="11525" width="9.5703125" customWidth="1"/>
    <col min="11526" max="11526" width="10.28515625" customWidth="1"/>
    <col min="11527" max="11527" width="8.5703125" customWidth="1"/>
    <col min="11528" max="11528" width="9.42578125" customWidth="1"/>
    <col min="11529" max="11529" width="13" customWidth="1"/>
    <col min="11530" max="11530" width="11.5703125" bestFit="1" customWidth="1"/>
    <col min="11531" max="11531" width="14.7109375" customWidth="1"/>
    <col min="11532" max="11532" width="11.5703125" bestFit="1" customWidth="1"/>
    <col min="11533" max="11533" width="8.42578125" customWidth="1"/>
    <col min="11534" max="11534" width="10.140625" customWidth="1"/>
    <col min="11540" max="11540" width="13" customWidth="1"/>
    <col min="11777" max="11777" width="10.42578125" customWidth="1"/>
    <col min="11778" max="11778" width="13" customWidth="1"/>
    <col min="11779" max="11779" width="17.28515625" customWidth="1"/>
    <col min="11780" max="11780" width="13.42578125" customWidth="1"/>
    <col min="11781" max="11781" width="9.5703125" customWidth="1"/>
    <col min="11782" max="11782" width="10.28515625" customWidth="1"/>
    <col min="11783" max="11783" width="8.5703125" customWidth="1"/>
    <col min="11784" max="11784" width="9.42578125" customWidth="1"/>
    <col min="11785" max="11785" width="13" customWidth="1"/>
    <col min="11786" max="11786" width="11.5703125" bestFit="1" customWidth="1"/>
    <col min="11787" max="11787" width="14.7109375" customWidth="1"/>
    <col min="11788" max="11788" width="11.5703125" bestFit="1" customWidth="1"/>
    <col min="11789" max="11789" width="8.42578125" customWidth="1"/>
    <col min="11790" max="11790" width="10.140625" customWidth="1"/>
    <col min="11796" max="11796" width="13" customWidth="1"/>
    <col min="12033" max="12033" width="10.42578125" customWidth="1"/>
    <col min="12034" max="12034" width="13" customWidth="1"/>
    <col min="12035" max="12035" width="17.28515625" customWidth="1"/>
    <col min="12036" max="12036" width="13.42578125" customWidth="1"/>
    <col min="12037" max="12037" width="9.5703125" customWidth="1"/>
    <col min="12038" max="12038" width="10.28515625" customWidth="1"/>
    <col min="12039" max="12039" width="8.5703125" customWidth="1"/>
    <col min="12040" max="12040" width="9.42578125" customWidth="1"/>
    <col min="12041" max="12041" width="13" customWidth="1"/>
    <col min="12042" max="12042" width="11.5703125" bestFit="1" customWidth="1"/>
    <col min="12043" max="12043" width="14.7109375" customWidth="1"/>
    <col min="12044" max="12044" width="11.5703125" bestFit="1" customWidth="1"/>
    <col min="12045" max="12045" width="8.42578125" customWidth="1"/>
    <col min="12046" max="12046" width="10.140625" customWidth="1"/>
    <col min="12052" max="12052" width="13" customWidth="1"/>
    <col min="12289" max="12289" width="10.42578125" customWidth="1"/>
    <col min="12290" max="12290" width="13" customWidth="1"/>
    <col min="12291" max="12291" width="17.28515625" customWidth="1"/>
    <col min="12292" max="12292" width="13.42578125" customWidth="1"/>
    <col min="12293" max="12293" width="9.5703125" customWidth="1"/>
    <col min="12294" max="12294" width="10.28515625" customWidth="1"/>
    <col min="12295" max="12295" width="8.5703125" customWidth="1"/>
    <col min="12296" max="12296" width="9.42578125" customWidth="1"/>
    <col min="12297" max="12297" width="13" customWidth="1"/>
    <col min="12298" max="12298" width="11.5703125" bestFit="1" customWidth="1"/>
    <col min="12299" max="12299" width="14.7109375" customWidth="1"/>
    <col min="12300" max="12300" width="11.5703125" bestFit="1" customWidth="1"/>
    <col min="12301" max="12301" width="8.42578125" customWidth="1"/>
    <col min="12302" max="12302" width="10.140625" customWidth="1"/>
    <col min="12308" max="12308" width="13" customWidth="1"/>
    <col min="12545" max="12545" width="10.42578125" customWidth="1"/>
    <col min="12546" max="12546" width="13" customWidth="1"/>
    <col min="12547" max="12547" width="17.28515625" customWidth="1"/>
    <col min="12548" max="12548" width="13.42578125" customWidth="1"/>
    <col min="12549" max="12549" width="9.5703125" customWidth="1"/>
    <col min="12550" max="12550" width="10.28515625" customWidth="1"/>
    <col min="12551" max="12551" width="8.5703125" customWidth="1"/>
    <col min="12552" max="12552" width="9.42578125" customWidth="1"/>
    <col min="12553" max="12553" width="13" customWidth="1"/>
    <col min="12554" max="12554" width="11.5703125" bestFit="1" customWidth="1"/>
    <col min="12555" max="12555" width="14.7109375" customWidth="1"/>
    <col min="12556" max="12556" width="11.5703125" bestFit="1" customWidth="1"/>
    <col min="12557" max="12557" width="8.42578125" customWidth="1"/>
    <col min="12558" max="12558" width="10.140625" customWidth="1"/>
    <col min="12564" max="12564" width="13" customWidth="1"/>
    <col min="12801" max="12801" width="10.42578125" customWidth="1"/>
    <col min="12802" max="12802" width="13" customWidth="1"/>
    <col min="12803" max="12803" width="17.28515625" customWidth="1"/>
    <col min="12804" max="12804" width="13.42578125" customWidth="1"/>
    <col min="12805" max="12805" width="9.5703125" customWidth="1"/>
    <col min="12806" max="12806" width="10.28515625" customWidth="1"/>
    <col min="12807" max="12807" width="8.5703125" customWidth="1"/>
    <col min="12808" max="12808" width="9.42578125" customWidth="1"/>
    <col min="12809" max="12809" width="13" customWidth="1"/>
    <col min="12810" max="12810" width="11.5703125" bestFit="1" customWidth="1"/>
    <col min="12811" max="12811" width="14.7109375" customWidth="1"/>
    <col min="12812" max="12812" width="11.5703125" bestFit="1" customWidth="1"/>
    <col min="12813" max="12813" width="8.42578125" customWidth="1"/>
    <col min="12814" max="12814" width="10.140625" customWidth="1"/>
    <col min="12820" max="12820" width="13" customWidth="1"/>
    <col min="13057" max="13057" width="10.42578125" customWidth="1"/>
    <col min="13058" max="13058" width="13" customWidth="1"/>
    <col min="13059" max="13059" width="17.28515625" customWidth="1"/>
    <col min="13060" max="13060" width="13.42578125" customWidth="1"/>
    <col min="13061" max="13061" width="9.5703125" customWidth="1"/>
    <col min="13062" max="13062" width="10.28515625" customWidth="1"/>
    <col min="13063" max="13063" width="8.5703125" customWidth="1"/>
    <col min="13064" max="13064" width="9.42578125" customWidth="1"/>
    <col min="13065" max="13065" width="13" customWidth="1"/>
    <col min="13066" max="13066" width="11.5703125" bestFit="1" customWidth="1"/>
    <col min="13067" max="13067" width="14.7109375" customWidth="1"/>
    <col min="13068" max="13068" width="11.5703125" bestFit="1" customWidth="1"/>
    <col min="13069" max="13069" width="8.42578125" customWidth="1"/>
    <col min="13070" max="13070" width="10.140625" customWidth="1"/>
    <col min="13076" max="13076" width="13" customWidth="1"/>
    <col min="13313" max="13313" width="10.42578125" customWidth="1"/>
    <col min="13314" max="13314" width="13" customWidth="1"/>
    <col min="13315" max="13315" width="17.28515625" customWidth="1"/>
    <col min="13316" max="13316" width="13.42578125" customWidth="1"/>
    <col min="13317" max="13317" width="9.5703125" customWidth="1"/>
    <col min="13318" max="13318" width="10.28515625" customWidth="1"/>
    <col min="13319" max="13319" width="8.5703125" customWidth="1"/>
    <col min="13320" max="13320" width="9.42578125" customWidth="1"/>
    <col min="13321" max="13321" width="13" customWidth="1"/>
    <col min="13322" max="13322" width="11.5703125" bestFit="1" customWidth="1"/>
    <col min="13323" max="13323" width="14.7109375" customWidth="1"/>
    <col min="13324" max="13324" width="11.5703125" bestFit="1" customWidth="1"/>
    <col min="13325" max="13325" width="8.42578125" customWidth="1"/>
    <col min="13326" max="13326" width="10.140625" customWidth="1"/>
    <col min="13332" max="13332" width="13" customWidth="1"/>
    <col min="13569" max="13569" width="10.42578125" customWidth="1"/>
    <col min="13570" max="13570" width="13" customWidth="1"/>
    <col min="13571" max="13571" width="17.28515625" customWidth="1"/>
    <col min="13572" max="13572" width="13.42578125" customWidth="1"/>
    <col min="13573" max="13573" width="9.5703125" customWidth="1"/>
    <col min="13574" max="13574" width="10.28515625" customWidth="1"/>
    <col min="13575" max="13575" width="8.5703125" customWidth="1"/>
    <col min="13576" max="13576" width="9.42578125" customWidth="1"/>
    <col min="13577" max="13577" width="13" customWidth="1"/>
    <col min="13578" max="13578" width="11.5703125" bestFit="1" customWidth="1"/>
    <col min="13579" max="13579" width="14.7109375" customWidth="1"/>
    <col min="13580" max="13580" width="11.5703125" bestFit="1" customWidth="1"/>
    <col min="13581" max="13581" width="8.42578125" customWidth="1"/>
    <col min="13582" max="13582" width="10.140625" customWidth="1"/>
    <col min="13588" max="13588" width="13" customWidth="1"/>
    <col min="13825" max="13825" width="10.42578125" customWidth="1"/>
    <col min="13826" max="13826" width="13" customWidth="1"/>
    <col min="13827" max="13827" width="17.28515625" customWidth="1"/>
    <col min="13828" max="13828" width="13.42578125" customWidth="1"/>
    <col min="13829" max="13829" width="9.5703125" customWidth="1"/>
    <col min="13830" max="13830" width="10.28515625" customWidth="1"/>
    <col min="13831" max="13831" width="8.5703125" customWidth="1"/>
    <col min="13832" max="13832" width="9.42578125" customWidth="1"/>
    <col min="13833" max="13833" width="13" customWidth="1"/>
    <col min="13834" max="13834" width="11.5703125" bestFit="1" customWidth="1"/>
    <col min="13835" max="13835" width="14.7109375" customWidth="1"/>
    <col min="13836" max="13836" width="11.5703125" bestFit="1" customWidth="1"/>
    <col min="13837" max="13837" width="8.42578125" customWidth="1"/>
    <col min="13838" max="13838" width="10.140625" customWidth="1"/>
    <col min="13844" max="13844" width="13" customWidth="1"/>
    <col min="14081" max="14081" width="10.42578125" customWidth="1"/>
    <col min="14082" max="14082" width="13" customWidth="1"/>
    <col min="14083" max="14083" width="17.28515625" customWidth="1"/>
    <col min="14084" max="14084" width="13.42578125" customWidth="1"/>
    <col min="14085" max="14085" width="9.5703125" customWidth="1"/>
    <col min="14086" max="14086" width="10.28515625" customWidth="1"/>
    <col min="14087" max="14087" width="8.5703125" customWidth="1"/>
    <col min="14088" max="14088" width="9.42578125" customWidth="1"/>
    <col min="14089" max="14089" width="13" customWidth="1"/>
    <col min="14090" max="14090" width="11.5703125" bestFit="1" customWidth="1"/>
    <col min="14091" max="14091" width="14.7109375" customWidth="1"/>
    <col min="14092" max="14092" width="11.5703125" bestFit="1" customWidth="1"/>
    <col min="14093" max="14093" width="8.42578125" customWidth="1"/>
    <col min="14094" max="14094" width="10.140625" customWidth="1"/>
    <col min="14100" max="14100" width="13" customWidth="1"/>
    <col min="14337" max="14337" width="10.42578125" customWidth="1"/>
    <col min="14338" max="14338" width="13" customWidth="1"/>
    <col min="14339" max="14339" width="17.28515625" customWidth="1"/>
    <col min="14340" max="14340" width="13.42578125" customWidth="1"/>
    <col min="14341" max="14341" width="9.5703125" customWidth="1"/>
    <col min="14342" max="14342" width="10.28515625" customWidth="1"/>
    <col min="14343" max="14343" width="8.5703125" customWidth="1"/>
    <col min="14344" max="14344" width="9.42578125" customWidth="1"/>
    <col min="14345" max="14345" width="13" customWidth="1"/>
    <col min="14346" max="14346" width="11.5703125" bestFit="1" customWidth="1"/>
    <col min="14347" max="14347" width="14.7109375" customWidth="1"/>
    <col min="14348" max="14348" width="11.5703125" bestFit="1" customWidth="1"/>
    <col min="14349" max="14349" width="8.42578125" customWidth="1"/>
    <col min="14350" max="14350" width="10.140625" customWidth="1"/>
    <col min="14356" max="14356" width="13" customWidth="1"/>
    <col min="14593" max="14593" width="10.42578125" customWidth="1"/>
    <col min="14594" max="14594" width="13" customWidth="1"/>
    <col min="14595" max="14595" width="17.28515625" customWidth="1"/>
    <col min="14596" max="14596" width="13.42578125" customWidth="1"/>
    <col min="14597" max="14597" width="9.5703125" customWidth="1"/>
    <col min="14598" max="14598" width="10.28515625" customWidth="1"/>
    <col min="14599" max="14599" width="8.5703125" customWidth="1"/>
    <col min="14600" max="14600" width="9.42578125" customWidth="1"/>
    <col min="14601" max="14601" width="13" customWidth="1"/>
    <col min="14602" max="14602" width="11.5703125" bestFit="1" customWidth="1"/>
    <col min="14603" max="14603" width="14.7109375" customWidth="1"/>
    <col min="14604" max="14604" width="11.5703125" bestFit="1" customWidth="1"/>
    <col min="14605" max="14605" width="8.42578125" customWidth="1"/>
    <col min="14606" max="14606" width="10.140625" customWidth="1"/>
    <col min="14612" max="14612" width="13" customWidth="1"/>
    <col min="14849" max="14849" width="10.42578125" customWidth="1"/>
    <col min="14850" max="14850" width="13" customWidth="1"/>
    <col min="14851" max="14851" width="17.28515625" customWidth="1"/>
    <col min="14852" max="14852" width="13.42578125" customWidth="1"/>
    <col min="14853" max="14853" width="9.5703125" customWidth="1"/>
    <col min="14854" max="14854" width="10.28515625" customWidth="1"/>
    <col min="14855" max="14855" width="8.5703125" customWidth="1"/>
    <col min="14856" max="14856" width="9.42578125" customWidth="1"/>
    <col min="14857" max="14857" width="13" customWidth="1"/>
    <col min="14858" max="14858" width="11.5703125" bestFit="1" customWidth="1"/>
    <col min="14859" max="14859" width="14.7109375" customWidth="1"/>
    <col min="14860" max="14860" width="11.5703125" bestFit="1" customWidth="1"/>
    <col min="14861" max="14861" width="8.42578125" customWidth="1"/>
    <col min="14862" max="14862" width="10.140625" customWidth="1"/>
    <col min="14868" max="14868" width="13" customWidth="1"/>
    <col min="15105" max="15105" width="10.42578125" customWidth="1"/>
    <col min="15106" max="15106" width="13" customWidth="1"/>
    <col min="15107" max="15107" width="17.28515625" customWidth="1"/>
    <col min="15108" max="15108" width="13.42578125" customWidth="1"/>
    <col min="15109" max="15109" width="9.5703125" customWidth="1"/>
    <col min="15110" max="15110" width="10.28515625" customWidth="1"/>
    <col min="15111" max="15111" width="8.5703125" customWidth="1"/>
    <col min="15112" max="15112" width="9.42578125" customWidth="1"/>
    <col min="15113" max="15113" width="13" customWidth="1"/>
    <col min="15114" max="15114" width="11.5703125" bestFit="1" customWidth="1"/>
    <col min="15115" max="15115" width="14.7109375" customWidth="1"/>
    <col min="15116" max="15116" width="11.5703125" bestFit="1" customWidth="1"/>
    <col min="15117" max="15117" width="8.42578125" customWidth="1"/>
    <col min="15118" max="15118" width="10.140625" customWidth="1"/>
    <col min="15124" max="15124" width="13" customWidth="1"/>
    <col min="15361" max="15361" width="10.42578125" customWidth="1"/>
    <col min="15362" max="15362" width="13" customWidth="1"/>
    <col min="15363" max="15363" width="17.28515625" customWidth="1"/>
    <col min="15364" max="15364" width="13.42578125" customWidth="1"/>
    <col min="15365" max="15365" width="9.5703125" customWidth="1"/>
    <col min="15366" max="15366" width="10.28515625" customWidth="1"/>
    <col min="15367" max="15367" width="8.5703125" customWidth="1"/>
    <col min="15368" max="15368" width="9.42578125" customWidth="1"/>
    <col min="15369" max="15369" width="13" customWidth="1"/>
    <col min="15370" max="15370" width="11.5703125" bestFit="1" customWidth="1"/>
    <col min="15371" max="15371" width="14.7109375" customWidth="1"/>
    <col min="15372" max="15372" width="11.5703125" bestFit="1" customWidth="1"/>
    <col min="15373" max="15373" width="8.42578125" customWidth="1"/>
    <col min="15374" max="15374" width="10.140625" customWidth="1"/>
    <col min="15380" max="15380" width="13" customWidth="1"/>
    <col min="15617" max="15617" width="10.42578125" customWidth="1"/>
    <col min="15618" max="15618" width="13" customWidth="1"/>
    <col min="15619" max="15619" width="17.28515625" customWidth="1"/>
    <col min="15620" max="15620" width="13.42578125" customWidth="1"/>
    <col min="15621" max="15621" width="9.5703125" customWidth="1"/>
    <col min="15622" max="15622" width="10.28515625" customWidth="1"/>
    <col min="15623" max="15623" width="8.5703125" customWidth="1"/>
    <col min="15624" max="15624" width="9.42578125" customWidth="1"/>
    <col min="15625" max="15625" width="13" customWidth="1"/>
    <col min="15626" max="15626" width="11.5703125" bestFit="1" customWidth="1"/>
    <col min="15627" max="15627" width="14.7109375" customWidth="1"/>
    <col min="15628" max="15628" width="11.5703125" bestFit="1" customWidth="1"/>
    <col min="15629" max="15629" width="8.42578125" customWidth="1"/>
    <col min="15630" max="15630" width="10.140625" customWidth="1"/>
    <col min="15636" max="15636" width="13" customWidth="1"/>
    <col min="15873" max="15873" width="10.42578125" customWidth="1"/>
    <col min="15874" max="15874" width="13" customWidth="1"/>
    <col min="15875" max="15875" width="17.28515625" customWidth="1"/>
    <col min="15876" max="15876" width="13.42578125" customWidth="1"/>
    <col min="15877" max="15877" width="9.5703125" customWidth="1"/>
    <col min="15878" max="15878" width="10.28515625" customWidth="1"/>
    <col min="15879" max="15879" width="8.5703125" customWidth="1"/>
    <col min="15880" max="15880" width="9.42578125" customWidth="1"/>
    <col min="15881" max="15881" width="13" customWidth="1"/>
    <col min="15882" max="15882" width="11.5703125" bestFit="1" customWidth="1"/>
    <col min="15883" max="15883" width="14.7109375" customWidth="1"/>
    <col min="15884" max="15884" width="11.5703125" bestFit="1" customWidth="1"/>
    <col min="15885" max="15885" width="8.42578125" customWidth="1"/>
    <col min="15886" max="15886" width="10.140625" customWidth="1"/>
    <col min="15892" max="15892" width="13" customWidth="1"/>
    <col min="16129" max="16129" width="10.42578125" customWidth="1"/>
    <col min="16130" max="16130" width="13" customWidth="1"/>
    <col min="16131" max="16131" width="17.28515625" customWidth="1"/>
    <col min="16132" max="16132" width="13.42578125" customWidth="1"/>
    <col min="16133" max="16133" width="9.5703125" customWidth="1"/>
    <col min="16134" max="16134" width="10.28515625" customWidth="1"/>
    <col min="16135" max="16135" width="8.5703125" customWidth="1"/>
    <col min="16136" max="16136" width="9.42578125" customWidth="1"/>
    <col min="16137" max="16137" width="13" customWidth="1"/>
    <col min="16138" max="16138" width="11.5703125" bestFit="1" customWidth="1"/>
    <col min="16139" max="16139" width="14.7109375" customWidth="1"/>
    <col min="16140" max="16140" width="11.5703125" bestFit="1" customWidth="1"/>
    <col min="16141" max="16141" width="8.42578125" customWidth="1"/>
    <col min="16142" max="16142" width="10.140625" customWidth="1"/>
    <col min="16148" max="16148" width="13" customWidth="1"/>
  </cols>
  <sheetData>
    <row r="2" spans="1:21" ht="15.75">
      <c r="A2" s="339"/>
    </row>
    <row r="3" spans="1:21" ht="15.75">
      <c r="A3" s="339" t="s">
        <v>557</v>
      </c>
    </row>
    <row r="7" spans="1:21" s="87" customFormat="1">
      <c r="A7" s="363" t="s">
        <v>558</v>
      </c>
      <c r="C7" s="364"/>
      <c r="F7" s="365"/>
      <c r="G7" s="366" t="s">
        <v>532</v>
      </c>
      <c r="H7" s="365">
        <v>1469.58</v>
      </c>
      <c r="I7" s="367"/>
      <c r="J7" s="367" t="s">
        <v>533</v>
      </c>
      <c r="K7" s="367"/>
      <c r="L7" s="368">
        <f>+D22</f>
        <v>1922.56</v>
      </c>
    </row>
    <row r="8" spans="1:21" s="378" customFormat="1" ht="25.5" customHeight="1">
      <c r="A8" s="369" t="s">
        <v>534</v>
      </c>
      <c r="B8" s="370" t="s">
        <v>559</v>
      </c>
      <c r="C8" s="371" t="s">
        <v>219</v>
      </c>
      <c r="D8" s="372" t="s">
        <v>560</v>
      </c>
      <c r="E8" s="373" t="s">
        <v>525</v>
      </c>
      <c r="F8" s="373" t="s">
        <v>524</v>
      </c>
      <c r="G8" s="374" t="s">
        <v>537</v>
      </c>
      <c r="H8" s="373" t="s">
        <v>183</v>
      </c>
      <c r="I8" s="374" t="s">
        <v>561</v>
      </c>
      <c r="J8" s="374" t="s">
        <v>562</v>
      </c>
      <c r="K8" s="374" t="s">
        <v>563</v>
      </c>
      <c r="L8" s="375" t="s">
        <v>542</v>
      </c>
      <c r="M8" s="375" t="s">
        <v>543</v>
      </c>
      <c r="N8" s="375" t="s">
        <v>544</v>
      </c>
      <c r="O8" s="375" t="s">
        <v>545</v>
      </c>
      <c r="P8" s="375" t="s">
        <v>546</v>
      </c>
      <c r="Q8" s="375" t="s">
        <v>547</v>
      </c>
      <c r="R8" s="376" t="s">
        <v>548</v>
      </c>
      <c r="S8" s="376" t="s">
        <v>564</v>
      </c>
      <c r="T8" s="376" t="s">
        <v>550</v>
      </c>
      <c r="U8" s="377" t="s">
        <v>565</v>
      </c>
    </row>
    <row r="9" spans="1:21" s="378" customFormat="1" ht="18.75" customHeight="1">
      <c r="A9" s="379"/>
      <c r="B9" s="380"/>
      <c r="C9" s="381"/>
      <c r="D9" s="382"/>
      <c r="E9" s="383"/>
      <c r="F9" s="383"/>
      <c r="G9" s="383"/>
      <c r="H9" s="383"/>
      <c r="I9" s="383"/>
      <c r="J9" s="383"/>
      <c r="K9" s="383"/>
      <c r="L9" s="384"/>
      <c r="M9" s="384"/>
      <c r="N9" s="384"/>
      <c r="O9" s="384"/>
      <c r="P9" s="384"/>
      <c r="Q9" s="384"/>
      <c r="R9" s="376"/>
      <c r="S9" s="385"/>
      <c r="T9" s="376"/>
      <c r="U9" s="377"/>
    </row>
    <row r="10" spans="1:21" s="391" customFormat="1">
      <c r="A10" s="386">
        <v>39458</v>
      </c>
      <c r="B10" s="387">
        <v>51781</v>
      </c>
      <c r="C10" s="388" t="s">
        <v>566</v>
      </c>
      <c r="D10" s="388">
        <v>155.38</v>
      </c>
      <c r="E10" s="388">
        <v>0</v>
      </c>
      <c r="F10" s="388">
        <v>155.38</v>
      </c>
      <c r="G10" s="388"/>
      <c r="H10" s="388">
        <v>155.38</v>
      </c>
      <c r="I10" s="388">
        <v>2</v>
      </c>
      <c r="J10" s="389">
        <v>3.1116000000000001</v>
      </c>
      <c r="K10" s="388">
        <v>966</v>
      </c>
      <c r="L10" s="388" t="s">
        <v>203</v>
      </c>
      <c r="M10" s="388" t="s">
        <v>202</v>
      </c>
      <c r="N10" s="388" t="s">
        <v>202</v>
      </c>
      <c r="O10" s="388" t="s">
        <v>554</v>
      </c>
      <c r="P10" s="388" t="s">
        <v>567</v>
      </c>
      <c r="Q10" s="388" t="s">
        <v>202</v>
      </c>
      <c r="R10" s="388" t="s">
        <v>202</v>
      </c>
      <c r="S10" s="388" t="s">
        <v>203</v>
      </c>
      <c r="T10" s="388" t="s">
        <v>202</v>
      </c>
      <c r="U10" s="390" t="s">
        <v>203</v>
      </c>
    </row>
    <row r="11" spans="1:21" s="391" customFormat="1">
      <c r="A11" s="386">
        <v>39491</v>
      </c>
      <c r="B11" s="387">
        <v>52474</v>
      </c>
      <c r="C11" s="388" t="s">
        <v>568</v>
      </c>
      <c r="D11" s="388">
        <v>122.99</v>
      </c>
      <c r="E11" s="388">
        <v>0</v>
      </c>
      <c r="F11" s="388">
        <v>122.99</v>
      </c>
      <c r="G11" s="388">
        <v>0</v>
      </c>
      <c r="H11" s="388">
        <v>122.99</v>
      </c>
      <c r="I11" s="388">
        <v>2</v>
      </c>
      <c r="J11" s="389">
        <v>2.4598</v>
      </c>
      <c r="K11" s="388">
        <v>1008</v>
      </c>
      <c r="L11" s="388" t="s">
        <v>203</v>
      </c>
      <c r="M11" s="388" t="s">
        <v>202</v>
      </c>
      <c r="N11" s="388" t="s">
        <v>202</v>
      </c>
      <c r="O11" s="388" t="s">
        <v>554</v>
      </c>
      <c r="P11" s="388" t="s">
        <v>569</v>
      </c>
      <c r="Q11" s="388" t="s">
        <v>202</v>
      </c>
      <c r="R11" s="388" t="s">
        <v>202</v>
      </c>
      <c r="S11" s="388" t="s">
        <v>203</v>
      </c>
      <c r="T11" s="388" t="s">
        <v>202</v>
      </c>
      <c r="U11" s="390" t="s">
        <v>203</v>
      </c>
    </row>
    <row r="12" spans="1:21" s="391" customFormat="1">
      <c r="A12" s="386">
        <v>39520</v>
      </c>
      <c r="B12" s="387">
        <v>52862</v>
      </c>
      <c r="C12" s="388" t="s">
        <v>570</v>
      </c>
      <c r="D12" s="388">
        <v>217.55</v>
      </c>
      <c r="E12" s="388">
        <v>0</v>
      </c>
      <c r="F12" s="388">
        <v>217.55</v>
      </c>
      <c r="G12" s="388">
        <v>0</v>
      </c>
      <c r="H12" s="388">
        <v>217.55</v>
      </c>
      <c r="I12" s="388">
        <v>2</v>
      </c>
      <c r="J12" s="389">
        <v>4.351</v>
      </c>
      <c r="K12" s="388">
        <v>1043</v>
      </c>
      <c r="L12" s="388" t="s">
        <v>203</v>
      </c>
      <c r="M12" s="388" t="s">
        <v>202</v>
      </c>
      <c r="N12" s="388" t="s">
        <v>202</v>
      </c>
      <c r="O12" s="388" t="s">
        <v>554</v>
      </c>
      <c r="P12" s="388" t="s">
        <v>571</v>
      </c>
      <c r="Q12" s="388" t="s">
        <v>202</v>
      </c>
      <c r="R12" s="388" t="s">
        <v>202</v>
      </c>
      <c r="S12" s="388" t="s">
        <v>203</v>
      </c>
      <c r="T12" s="388" t="s">
        <v>202</v>
      </c>
      <c r="U12" s="390" t="s">
        <v>203</v>
      </c>
    </row>
    <row r="13" spans="1:21" s="391" customFormat="1">
      <c r="A13" s="386">
        <v>39591</v>
      </c>
      <c r="B13" s="387">
        <v>53885</v>
      </c>
      <c r="C13" s="388" t="s">
        <v>572</v>
      </c>
      <c r="D13" s="388">
        <v>129.80000000000001</v>
      </c>
      <c r="E13" s="388">
        <v>0</v>
      </c>
      <c r="F13" s="388">
        <v>129.80000000000001</v>
      </c>
      <c r="G13" s="388"/>
      <c r="H13" s="388">
        <v>129.80000000000001</v>
      </c>
      <c r="I13" s="388">
        <v>2</v>
      </c>
      <c r="J13" s="389">
        <v>2.5960000000000001</v>
      </c>
      <c r="K13" s="388">
        <v>1130</v>
      </c>
      <c r="L13" s="388" t="s">
        <v>203</v>
      </c>
      <c r="M13" s="388" t="s">
        <v>202</v>
      </c>
      <c r="N13" s="388" t="s">
        <v>202</v>
      </c>
      <c r="O13" s="388" t="s">
        <v>554</v>
      </c>
      <c r="P13" s="388">
        <v>1001243</v>
      </c>
      <c r="Q13" s="388" t="s">
        <v>202</v>
      </c>
      <c r="R13" s="388" t="s">
        <v>202</v>
      </c>
      <c r="S13" s="388" t="s">
        <v>203</v>
      </c>
      <c r="T13" s="388" t="s">
        <v>202</v>
      </c>
      <c r="U13" s="390" t="s">
        <v>203</v>
      </c>
    </row>
    <row r="14" spans="1:21" s="391" customFormat="1">
      <c r="A14" s="386">
        <v>39629</v>
      </c>
      <c r="B14" s="387">
        <v>54505</v>
      </c>
      <c r="C14" s="388" t="s">
        <v>573</v>
      </c>
      <c r="D14" s="388">
        <v>139.9</v>
      </c>
      <c r="E14" s="388">
        <v>0</v>
      </c>
      <c r="F14" s="388">
        <v>139.9</v>
      </c>
      <c r="G14" s="388">
        <v>0</v>
      </c>
      <c r="H14" s="388">
        <v>139.9</v>
      </c>
      <c r="I14" s="388">
        <v>2</v>
      </c>
      <c r="J14" s="389">
        <f>+F14*0.02</f>
        <v>2.798</v>
      </c>
      <c r="K14" s="388">
        <v>1180</v>
      </c>
      <c r="L14" s="388" t="s">
        <v>203</v>
      </c>
      <c r="M14" s="388" t="s">
        <v>202</v>
      </c>
      <c r="N14" s="388" t="s">
        <v>202</v>
      </c>
      <c r="O14" s="388" t="s">
        <v>554</v>
      </c>
      <c r="P14" s="388">
        <v>1378070</v>
      </c>
      <c r="Q14" s="388" t="s">
        <v>202</v>
      </c>
      <c r="R14" s="388" t="s">
        <v>202</v>
      </c>
      <c r="S14" s="388" t="s">
        <v>203</v>
      </c>
      <c r="T14" s="388" t="s">
        <v>202</v>
      </c>
      <c r="U14" s="390" t="s">
        <v>203</v>
      </c>
    </row>
    <row r="15" spans="1:21" s="391" customFormat="1">
      <c r="A15" s="386">
        <v>39643</v>
      </c>
      <c r="B15" s="387">
        <v>54805</v>
      </c>
      <c r="C15" s="388" t="s">
        <v>573</v>
      </c>
      <c r="D15" s="388">
        <v>108.78</v>
      </c>
      <c r="E15" s="388">
        <v>0</v>
      </c>
      <c r="F15" s="388">
        <v>108.78</v>
      </c>
      <c r="G15" s="388">
        <v>0</v>
      </c>
      <c r="H15" s="388">
        <v>108.78</v>
      </c>
      <c r="I15" s="388">
        <v>2</v>
      </c>
      <c r="J15" s="389">
        <v>1.9972000000000001</v>
      </c>
      <c r="K15" s="388">
        <v>1219</v>
      </c>
      <c r="L15" s="388" t="s">
        <v>203</v>
      </c>
      <c r="M15" s="388" t="s">
        <v>202</v>
      </c>
      <c r="N15" s="388" t="s">
        <v>202</v>
      </c>
      <c r="O15" s="388" t="s">
        <v>554</v>
      </c>
      <c r="P15" s="388">
        <v>1748166</v>
      </c>
      <c r="Q15" s="388" t="s">
        <v>202</v>
      </c>
      <c r="R15" s="388" t="s">
        <v>202</v>
      </c>
      <c r="S15" s="388" t="s">
        <v>203</v>
      </c>
      <c r="T15" s="388" t="s">
        <v>202</v>
      </c>
      <c r="U15" s="390" t="s">
        <v>203</v>
      </c>
    </row>
    <row r="16" spans="1:21" s="391" customFormat="1">
      <c r="A16" s="386">
        <v>39679</v>
      </c>
      <c r="B16" s="387">
        <v>55480</v>
      </c>
      <c r="C16" s="388" t="s">
        <v>573</v>
      </c>
      <c r="D16" s="388">
        <v>116.45</v>
      </c>
      <c r="E16" s="388">
        <v>0</v>
      </c>
      <c r="F16" s="388">
        <v>116.45</v>
      </c>
      <c r="G16" s="388">
        <v>0</v>
      </c>
      <c r="H16" s="388">
        <v>116.45</v>
      </c>
      <c r="I16" s="388">
        <v>2</v>
      </c>
      <c r="J16" s="389">
        <v>2.3290000000000002</v>
      </c>
      <c r="K16" s="388">
        <v>1273</v>
      </c>
      <c r="L16" s="388" t="s">
        <v>203</v>
      </c>
      <c r="M16" s="388" t="s">
        <v>202</v>
      </c>
      <c r="N16" s="388" t="s">
        <v>202</v>
      </c>
      <c r="O16" s="388" t="s">
        <v>554</v>
      </c>
      <c r="P16" s="388">
        <v>2128123</v>
      </c>
      <c r="Q16" s="388" t="s">
        <v>202</v>
      </c>
      <c r="R16" s="388" t="s">
        <v>202</v>
      </c>
      <c r="S16" s="388" t="s">
        <v>203</v>
      </c>
      <c r="T16" s="388" t="s">
        <v>202</v>
      </c>
      <c r="U16" s="390" t="s">
        <v>203</v>
      </c>
    </row>
    <row r="17" spans="1:30" s="391" customFormat="1">
      <c r="A17" s="386">
        <v>39709</v>
      </c>
      <c r="B17" s="387">
        <v>55946</v>
      </c>
      <c r="C17" s="388" t="s">
        <v>573</v>
      </c>
      <c r="D17" s="388">
        <v>157.19999999999999</v>
      </c>
      <c r="E17" s="388">
        <v>0</v>
      </c>
      <c r="F17" s="388">
        <v>157.19999999999999</v>
      </c>
      <c r="G17" s="388">
        <v>0</v>
      </c>
      <c r="H17" s="388">
        <v>157.19999999999999</v>
      </c>
      <c r="I17" s="388">
        <v>2</v>
      </c>
      <c r="J17" s="389">
        <v>3.1439999999999997</v>
      </c>
      <c r="K17" s="388">
        <v>1316</v>
      </c>
      <c r="L17" s="388" t="s">
        <v>203</v>
      </c>
      <c r="M17" s="388" t="s">
        <v>202</v>
      </c>
      <c r="N17" s="388" t="s">
        <v>202</v>
      </c>
      <c r="O17" s="388" t="s">
        <v>554</v>
      </c>
      <c r="P17" s="388">
        <v>2517716</v>
      </c>
      <c r="Q17" s="388" t="s">
        <v>202</v>
      </c>
      <c r="R17" s="388" t="s">
        <v>202</v>
      </c>
      <c r="S17" s="388" t="s">
        <v>203</v>
      </c>
      <c r="T17" s="388" t="s">
        <v>202</v>
      </c>
      <c r="U17" s="390" t="s">
        <v>203</v>
      </c>
    </row>
    <row r="18" spans="1:30" s="391" customFormat="1">
      <c r="A18" s="386">
        <v>39748</v>
      </c>
      <c r="B18" s="387">
        <v>56651</v>
      </c>
      <c r="C18" s="388" t="s">
        <v>574</v>
      </c>
      <c r="D18" s="388">
        <v>238.97</v>
      </c>
      <c r="E18" s="388">
        <v>0</v>
      </c>
      <c r="F18" s="388">
        <v>238.97</v>
      </c>
      <c r="G18" s="388">
        <v>0</v>
      </c>
      <c r="H18" s="388">
        <v>238.97</v>
      </c>
      <c r="I18" s="388">
        <v>2</v>
      </c>
      <c r="J18" s="389">
        <v>4.7793999999999999</v>
      </c>
      <c r="K18" s="388">
        <v>1358</v>
      </c>
      <c r="L18" s="388" t="s">
        <v>203</v>
      </c>
      <c r="M18" s="388" t="s">
        <v>202</v>
      </c>
      <c r="N18" s="388" t="s">
        <v>202</v>
      </c>
      <c r="O18" s="388" t="s">
        <v>554</v>
      </c>
      <c r="P18" s="388">
        <v>2894023</v>
      </c>
      <c r="Q18" s="388" t="s">
        <v>202</v>
      </c>
      <c r="R18" s="388" t="s">
        <v>202</v>
      </c>
      <c r="S18" s="388" t="s">
        <v>203</v>
      </c>
      <c r="T18" s="388" t="s">
        <v>202</v>
      </c>
      <c r="U18" s="390" t="s">
        <v>203</v>
      </c>
    </row>
    <row r="19" spans="1:30" s="391" customFormat="1">
      <c r="A19" s="386">
        <v>39772</v>
      </c>
      <c r="B19" s="387">
        <v>57178</v>
      </c>
      <c r="C19" s="388" t="s">
        <v>575</v>
      </c>
      <c r="D19" s="388">
        <v>181.48</v>
      </c>
      <c r="E19" s="388">
        <v>0</v>
      </c>
      <c r="F19" s="388">
        <v>181.48</v>
      </c>
      <c r="G19" s="388">
        <v>0</v>
      </c>
      <c r="H19" s="388">
        <v>181.48</v>
      </c>
      <c r="I19" s="388">
        <v>2</v>
      </c>
      <c r="J19" s="389">
        <v>3.4512</v>
      </c>
      <c r="K19" s="388">
        <v>1388</v>
      </c>
      <c r="L19" s="388" t="s">
        <v>203</v>
      </c>
      <c r="M19" s="388" t="s">
        <v>202</v>
      </c>
      <c r="N19" s="388" t="s">
        <v>202</v>
      </c>
      <c r="O19" s="388" t="s">
        <v>554</v>
      </c>
      <c r="P19" s="388">
        <v>3280047</v>
      </c>
      <c r="Q19" s="388" t="s">
        <v>202</v>
      </c>
      <c r="R19" s="388" t="s">
        <v>202</v>
      </c>
      <c r="S19" s="388" t="s">
        <v>203</v>
      </c>
      <c r="T19" s="388" t="s">
        <v>202</v>
      </c>
      <c r="U19" s="390" t="s">
        <v>203</v>
      </c>
      <c r="V19" s="392"/>
      <c r="W19" s="392"/>
      <c r="X19" s="392"/>
      <c r="Y19" s="392"/>
      <c r="Z19" s="392"/>
      <c r="AA19" s="392"/>
      <c r="AB19" s="392"/>
      <c r="AC19" s="392"/>
      <c r="AD19" s="392"/>
    </row>
    <row r="20" spans="1:30" s="391" customFormat="1">
      <c r="A20" s="386">
        <v>39811</v>
      </c>
      <c r="B20" s="387">
        <v>57764</v>
      </c>
      <c r="C20" s="388" t="s">
        <v>408</v>
      </c>
      <c r="D20" s="388">
        <v>182.39</v>
      </c>
      <c r="E20" s="388">
        <v>0</v>
      </c>
      <c r="F20" s="388">
        <v>182.39</v>
      </c>
      <c r="G20" s="388">
        <v>0</v>
      </c>
      <c r="H20" s="388">
        <v>182.39</v>
      </c>
      <c r="I20" s="388">
        <v>2</v>
      </c>
      <c r="J20" s="389">
        <v>3.47</v>
      </c>
      <c r="K20" s="388"/>
      <c r="L20" s="388" t="s">
        <v>203</v>
      </c>
      <c r="M20" s="388" t="s">
        <v>202</v>
      </c>
      <c r="N20" s="388" t="s">
        <v>202</v>
      </c>
      <c r="O20" s="388" t="s">
        <v>554</v>
      </c>
      <c r="P20" s="388">
        <v>39811</v>
      </c>
      <c r="Q20" s="388" t="s">
        <v>202</v>
      </c>
      <c r="R20" s="388" t="s">
        <v>202</v>
      </c>
      <c r="S20" s="388" t="s">
        <v>203</v>
      </c>
      <c r="T20" s="388" t="s">
        <v>202</v>
      </c>
      <c r="U20" s="390" t="s">
        <v>203</v>
      </c>
    </row>
    <row r="21" spans="1:30" s="391" customFormat="1">
      <c r="A21" s="386">
        <v>39549</v>
      </c>
      <c r="B21" s="387">
        <v>53410</v>
      </c>
      <c r="C21" s="388" t="s">
        <v>576</v>
      </c>
      <c r="D21" s="388">
        <v>171.67</v>
      </c>
      <c r="E21" s="388">
        <v>0</v>
      </c>
      <c r="F21" s="388">
        <v>171.67</v>
      </c>
      <c r="G21" s="388"/>
      <c r="H21" s="388">
        <v>171.67</v>
      </c>
      <c r="I21" s="388">
        <v>2</v>
      </c>
      <c r="J21" s="389">
        <v>3.4333999999999998</v>
      </c>
      <c r="K21" s="388">
        <v>1089</v>
      </c>
      <c r="L21" s="388" t="s">
        <v>203</v>
      </c>
      <c r="M21" s="388" t="s">
        <v>202</v>
      </c>
      <c r="N21" s="388" t="s">
        <v>202</v>
      </c>
      <c r="O21" s="388" t="s">
        <v>554</v>
      </c>
      <c r="P21" s="388" t="s">
        <v>577</v>
      </c>
      <c r="Q21" s="388" t="s">
        <v>202</v>
      </c>
      <c r="R21" s="388" t="s">
        <v>202</v>
      </c>
      <c r="S21" s="388" t="s">
        <v>203</v>
      </c>
      <c r="T21" s="388" t="s">
        <v>202</v>
      </c>
      <c r="U21" s="390" t="s">
        <v>203</v>
      </c>
    </row>
    <row r="22" spans="1:30" s="87" customFormat="1">
      <c r="B22" s="393"/>
      <c r="D22" s="378">
        <f>SUM(D10:D21)</f>
        <v>1922.56</v>
      </c>
      <c r="E22" s="378"/>
    </row>
    <row r="23" spans="1:30" s="87" customFormat="1">
      <c r="B23" s="393"/>
    </row>
    <row r="24" spans="1:30" s="87" customFormat="1">
      <c r="B24" s="393"/>
    </row>
    <row r="25" spans="1:30" s="394" customFormat="1">
      <c r="A25" s="363" t="s">
        <v>578</v>
      </c>
      <c r="C25" s="364"/>
      <c r="F25" s="365"/>
      <c r="G25" s="366" t="s">
        <v>532</v>
      </c>
      <c r="H25" s="365">
        <v>1490.75</v>
      </c>
      <c r="I25" s="367"/>
      <c r="J25" s="367" t="s">
        <v>533</v>
      </c>
      <c r="K25" s="367"/>
      <c r="L25" s="368">
        <f>+D41</f>
        <v>1490.75</v>
      </c>
    </row>
    <row r="26" spans="1:30" s="378" customFormat="1" ht="25.5" customHeight="1">
      <c r="A26" s="369" t="s">
        <v>534</v>
      </c>
      <c r="B26" s="370" t="s">
        <v>559</v>
      </c>
      <c r="C26" s="371" t="s">
        <v>219</v>
      </c>
      <c r="D26" s="374" t="s">
        <v>579</v>
      </c>
      <c r="E26" s="373" t="s">
        <v>525</v>
      </c>
      <c r="F26" s="373" t="s">
        <v>524</v>
      </c>
      <c r="G26" s="374" t="s">
        <v>580</v>
      </c>
      <c r="H26" s="373" t="s">
        <v>183</v>
      </c>
      <c r="I26" s="395" t="s">
        <v>581</v>
      </c>
      <c r="J26" s="374" t="s">
        <v>562</v>
      </c>
      <c r="K26" s="374" t="s">
        <v>541</v>
      </c>
      <c r="L26" s="375" t="s">
        <v>542</v>
      </c>
      <c r="M26" s="375" t="s">
        <v>543</v>
      </c>
      <c r="N26" s="375" t="s">
        <v>544</v>
      </c>
      <c r="O26" s="375" t="s">
        <v>545</v>
      </c>
      <c r="P26" s="375" t="s">
        <v>546</v>
      </c>
      <c r="Q26" s="375" t="s">
        <v>547</v>
      </c>
      <c r="R26" s="376" t="s">
        <v>548</v>
      </c>
      <c r="S26" s="376" t="s">
        <v>564</v>
      </c>
      <c r="T26" s="376" t="s">
        <v>582</v>
      </c>
      <c r="U26" s="377" t="s">
        <v>565</v>
      </c>
    </row>
    <row r="27" spans="1:30" s="378" customFormat="1" ht="18.75" customHeight="1">
      <c r="A27" s="379"/>
      <c r="B27" s="380"/>
      <c r="C27" s="381"/>
      <c r="D27" s="383"/>
      <c r="E27" s="383"/>
      <c r="F27" s="383"/>
      <c r="G27" s="383"/>
      <c r="H27" s="383"/>
      <c r="I27" s="396"/>
      <c r="J27" s="383"/>
      <c r="K27" s="383"/>
      <c r="L27" s="384"/>
      <c r="M27" s="384"/>
      <c r="N27" s="384"/>
      <c r="O27" s="384"/>
      <c r="P27" s="384"/>
      <c r="Q27" s="384"/>
      <c r="R27" s="376"/>
      <c r="S27" s="376"/>
      <c r="T27" s="376"/>
      <c r="U27" s="377"/>
    </row>
    <row r="28" spans="1:30" s="391" customFormat="1">
      <c r="A28" s="386">
        <v>39445</v>
      </c>
      <c r="B28" s="387">
        <v>51780</v>
      </c>
      <c r="C28" s="388" t="s">
        <v>583</v>
      </c>
      <c r="D28" s="388">
        <v>133.59</v>
      </c>
      <c r="E28" s="388">
        <v>0</v>
      </c>
      <c r="F28" s="388">
        <v>133.59</v>
      </c>
      <c r="G28" s="388"/>
      <c r="H28" s="388">
        <v>133.59</v>
      </c>
      <c r="I28" s="388">
        <v>1</v>
      </c>
      <c r="J28" s="389">
        <f>+D28*0.01</f>
        <v>1.3359000000000001</v>
      </c>
      <c r="K28" s="388">
        <v>954</v>
      </c>
      <c r="L28" s="388" t="s">
        <v>203</v>
      </c>
      <c r="M28" s="388" t="s">
        <v>202</v>
      </c>
      <c r="N28" s="388" t="s">
        <v>202</v>
      </c>
      <c r="O28" s="388" t="s">
        <v>554</v>
      </c>
      <c r="P28" s="388" t="s">
        <v>584</v>
      </c>
      <c r="Q28" s="388" t="s">
        <v>202</v>
      </c>
      <c r="R28" s="388" t="s">
        <v>202</v>
      </c>
      <c r="S28" s="388" t="s">
        <v>203</v>
      </c>
      <c r="T28" s="388" t="s">
        <v>202</v>
      </c>
      <c r="U28" s="390" t="s">
        <v>203</v>
      </c>
    </row>
    <row r="29" spans="1:30" s="391" customFormat="1">
      <c r="A29" s="386">
        <v>39457</v>
      </c>
      <c r="B29" s="387">
        <v>51612</v>
      </c>
      <c r="C29" s="388" t="s">
        <v>585</v>
      </c>
      <c r="D29" s="388">
        <v>135.18</v>
      </c>
      <c r="E29" s="388">
        <v>0</v>
      </c>
      <c r="F29" s="388">
        <v>135.18</v>
      </c>
      <c r="G29" s="388"/>
      <c r="H29" s="388">
        <v>135.18</v>
      </c>
      <c r="I29" s="388">
        <v>1</v>
      </c>
      <c r="J29" s="389">
        <f t="shared" ref="J29:J40" si="0">+D29*0.01</f>
        <v>1.3518000000000001</v>
      </c>
      <c r="K29" s="388">
        <v>948</v>
      </c>
      <c r="L29" s="388" t="s">
        <v>203</v>
      </c>
      <c r="M29" s="388" t="s">
        <v>202</v>
      </c>
      <c r="N29" s="388" t="s">
        <v>202</v>
      </c>
      <c r="O29" s="388" t="s">
        <v>554</v>
      </c>
      <c r="P29" s="388" t="s">
        <v>586</v>
      </c>
      <c r="Q29" s="388" t="s">
        <v>202</v>
      </c>
      <c r="R29" s="388" t="s">
        <v>202</v>
      </c>
      <c r="S29" s="388" t="s">
        <v>203</v>
      </c>
      <c r="T29" s="388" t="s">
        <v>202</v>
      </c>
      <c r="U29" s="390" t="s">
        <v>203</v>
      </c>
    </row>
    <row r="30" spans="1:30" s="391" customFormat="1">
      <c r="A30" s="386">
        <v>39487</v>
      </c>
      <c r="B30" s="387">
        <v>52271</v>
      </c>
      <c r="C30" s="388" t="s">
        <v>587</v>
      </c>
      <c r="D30" s="388">
        <v>106.97</v>
      </c>
      <c r="E30" s="388">
        <v>0</v>
      </c>
      <c r="F30" s="388">
        <v>106.97</v>
      </c>
      <c r="G30" s="388">
        <v>0</v>
      </c>
      <c r="H30" s="388">
        <v>106.97</v>
      </c>
      <c r="I30" s="388">
        <v>1</v>
      </c>
      <c r="J30" s="389">
        <f t="shared" si="0"/>
        <v>1.0697000000000001</v>
      </c>
      <c r="K30" s="388">
        <v>1023</v>
      </c>
      <c r="L30" s="388" t="s">
        <v>203</v>
      </c>
      <c r="M30" s="388" t="s">
        <v>202</v>
      </c>
      <c r="N30" s="388" t="s">
        <v>202</v>
      </c>
      <c r="O30" s="388" t="s">
        <v>554</v>
      </c>
      <c r="P30" s="388" t="s">
        <v>588</v>
      </c>
      <c r="Q30" s="388" t="s">
        <v>202</v>
      </c>
      <c r="R30" s="388" t="s">
        <v>202</v>
      </c>
      <c r="S30" s="388" t="s">
        <v>203</v>
      </c>
      <c r="T30" s="388" t="s">
        <v>202</v>
      </c>
      <c r="U30" s="390" t="s">
        <v>203</v>
      </c>
    </row>
    <row r="31" spans="1:30" s="391" customFormat="1">
      <c r="A31" s="386">
        <v>39518</v>
      </c>
      <c r="B31" s="387">
        <v>52732</v>
      </c>
      <c r="C31" s="388" t="s">
        <v>309</v>
      </c>
      <c r="D31" s="388">
        <v>121.99</v>
      </c>
      <c r="E31" s="388">
        <v>0</v>
      </c>
      <c r="F31" s="388">
        <v>121.99</v>
      </c>
      <c r="G31" s="388">
        <v>0</v>
      </c>
      <c r="H31" s="388">
        <v>121.99</v>
      </c>
      <c r="I31" s="388">
        <v>1</v>
      </c>
      <c r="J31" s="389">
        <f t="shared" si="0"/>
        <v>1.2199</v>
      </c>
      <c r="K31" s="388">
        <v>1035</v>
      </c>
      <c r="L31" s="388" t="s">
        <v>203</v>
      </c>
      <c r="M31" s="388" t="s">
        <v>202</v>
      </c>
      <c r="N31" s="388" t="s">
        <v>202</v>
      </c>
      <c r="O31" s="388" t="s">
        <v>554</v>
      </c>
      <c r="P31" s="388" t="s">
        <v>589</v>
      </c>
      <c r="Q31" s="388" t="s">
        <v>202</v>
      </c>
      <c r="R31" s="388" t="s">
        <v>202</v>
      </c>
      <c r="S31" s="388" t="s">
        <v>203</v>
      </c>
      <c r="T31" s="388" t="s">
        <v>202</v>
      </c>
      <c r="U31" s="390" t="s">
        <v>203</v>
      </c>
    </row>
    <row r="32" spans="1:30" s="391" customFormat="1">
      <c r="A32" s="386">
        <v>39575</v>
      </c>
      <c r="B32" s="387">
        <v>53534</v>
      </c>
      <c r="C32" s="388" t="s">
        <v>590</v>
      </c>
      <c r="D32" s="388">
        <v>129.08000000000001</v>
      </c>
      <c r="E32" s="388">
        <v>0</v>
      </c>
      <c r="F32" s="388">
        <v>129.08000000000001</v>
      </c>
      <c r="G32" s="388"/>
      <c r="H32" s="388">
        <v>129.08000000000001</v>
      </c>
      <c r="I32" s="388">
        <v>1</v>
      </c>
      <c r="J32" s="389">
        <f t="shared" si="0"/>
        <v>1.2908000000000002</v>
      </c>
      <c r="K32" s="388">
        <v>1097</v>
      </c>
      <c r="L32" s="388" t="s">
        <v>203</v>
      </c>
      <c r="M32" s="388" t="s">
        <v>202</v>
      </c>
      <c r="N32" s="388" t="s">
        <v>202</v>
      </c>
      <c r="O32" s="388" t="s">
        <v>554</v>
      </c>
      <c r="P32" s="388">
        <v>3277181</v>
      </c>
      <c r="Q32" s="388" t="s">
        <v>202</v>
      </c>
      <c r="R32" s="388" t="s">
        <v>202</v>
      </c>
      <c r="S32" s="388" t="s">
        <v>203</v>
      </c>
      <c r="T32" s="388" t="s">
        <v>202</v>
      </c>
      <c r="U32" s="390" t="s">
        <v>203</v>
      </c>
    </row>
    <row r="33" spans="1:21" s="391" customFormat="1">
      <c r="A33" s="386">
        <v>39599</v>
      </c>
      <c r="B33" s="387">
        <v>11096</v>
      </c>
      <c r="C33" s="388" t="s">
        <v>591</v>
      </c>
      <c r="D33" s="388">
        <v>132.16999999999999</v>
      </c>
      <c r="E33" s="388">
        <v>0</v>
      </c>
      <c r="F33" s="388">
        <v>132.16999999999999</v>
      </c>
      <c r="G33" s="388"/>
      <c r="H33" s="388">
        <v>132.16999999999999</v>
      </c>
      <c r="I33" s="388">
        <v>1</v>
      </c>
      <c r="J33" s="389">
        <f t="shared" si="0"/>
        <v>1.3216999999999999</v>
      </c>
      <c r="K33" s="388">
        <v>1154</v>
      </c>
      <c r="L33" s="388" t="s">
        <v>203</v>
      </c>
      <c r="M33" s="388" t="s">
        <v>202</v>
      </c>
      <c r="N33" s="388" t="s">
        <v>202</v>
      </c>
      <c r="O33" s="388" t="s">
        <v>554</v>
      </c>
      <c r="P33" s="388">
        <v>3795708</v>
      </c>
      <c r="Q33" s="388" t="s">
        <v>202</v>
      </c>
      <c r="R33" s="388" t="s">
        <v>202</v>
      </c>
      <c r="S33" s="388" t="s">
        <v>203</v>
      </c>
      <c r="T33" s="388" t="s">
        <v>202</v>
      </c>
      <c r="U33" s="390" t="s">
        <v>203</v>
      </c>
    </row>
    <row r="34" spans="1:21" s="391" customFormat="1">
      <c r="A34" s="386">
        <v>39637</v>
      </c>
      <c r="B34" s="387">
        <v>54690</v>
      </c>
      <c r="C34" s="388" t="s">
        <v>592</v>
      </c>
      <c r="D34" s="388">
        <v>124.3</v>
      </c>
      <c r="E34" s="388">
        <v>0</v>
      </c>
      <c r="F34" s="388">
        <v>124.3</v>
      </c>
      <c r="G34" s="388">
        <v>0</v>
      </c>
      <c r="H34" s="388">
        <v>124.3</v>
      </c>
      <c r="I34" s="388">
        <v>1</v>
      </c>
      <c r="J34" s="389">
        <f t="shared" si="0"/>
        <v>1.2430000000000001</v>
      </c>
      <c r="K34" s="388">
        <v>1208</v>
      </c>
      <c r="L34" s="388" t="s">
        <v>203</v>
      </c>
      <c r="M34" s="388" t="s">
        <v>202</v>
      </c>
      <c r="N34" s="388" t="s">
        <v>202</v>
      </c>
      <c r="O34" s="388" t="s">
        <v>554</v>
      </c>
      <c r="P34" s="388">
        <v>4314182</v>
      </c>
      <c r="Q34" s="388" t="s">
        <v>202</v>
      </c>
      <c r="R34" s="388" t="s">
        <v>202</v>
      </c>
      <c r="S34" s="388" t="s">
        <v>203</v>
      </c>
      <c r="T34" s="388" t="s">
        <v>202</v>
      </c>
      <c r="U34" s="390" t="s">
        <v>203</v>
      </c>
    </row>
    <row r="35" spans="1:21" s="391" customFormat="1">
      <c r="A35" s="386">
        <v>39659</v>
      </c>
      <c r="B35" s="387">
        <v>11301</v>
      </c>
      <c r="C35" s="388" t="s">
        <v>593</v>
      </c>
      <c r="D35" s="388">
        <v>122.81</v>
      </c>
      <c r="E35" s="388">
        <v>0</v>
      </c>
      <c r="F35" s="388">
        <v>122.81</v>
      </c>
      <c r="G35" s="388">
        <v>0</v>
      </c>
      <c r="H35" s="388">
        <v>122.81</v>
      </c>
      <c r="I35" s="388">
        <v>1</v>
      </c>
      <c r="J35" s="389">
        <f t="shared" si="0"/>
        <v>1.2281</v>
      </c>
      <c r="K35" s="388">
        <v>1251</v>
      </c>
      <c r="L35" s="388" t="s">
        <v>203</v>
      </c>
      <c r="M35" s="388" t="s">
        <v>202</v>
      </c>
      <c r="N35" s="388" t="s">
        <v>202</v>
      </c>
      <c r="O35" s="388" t="s">
        <v>554</v>
      </c>
      <c r="P35" s="388">
        <v>4833338</v>
      </c>
      <c r="Q35" s="388" t="s">
        <v>202</v>
      </c>
      <c r="R35" s="388" t="s">
        <v>202</v>
      </c>
      <c r="S35" s="388" t="s">
        <v>203</v>
      </c>
      <c r="T35" s="388" t="s">
        <v>202</v>
      </c>
      <c r="U35" s="390" t="s">
        <v>203</v>
      </c>
    </row>
    <row r="36" spans="1:21" s="391" customFormat="1">
      <c r="A36" s="386">
        <v>39690</v>
      </c>
      <c r="B36" s="387">
        <v>11392</v>
      </c>
      <c r="C36" s="388" t="s">
        <v>594</v>
      </c>
      <c r="D36" s="388">
        <v>83.5</v>
      </c>
      <c r="E36" s="388">
        <v>0</v>
      </c>
      <c r="F36" s="388">
        <v>83.5</v>
      </c>
      <c r="G36" s="388">
        <v>0</v>
      </c>
      <c r="H36" s="388">
        <v>83.5</v>
      </c>
      <c r="I36" s="388">
        <v>1</v>
      </c>
      <c r="J36" s="389">
        <f t="shared" si="0"/>
        <v>0.83499999999999996</v>
      </c>
      <c r="K36" s="388">
        <v>1286</v>
      </c>
      <c r="L36" s="388" t="s">
        <v>203</v>
      </c>
      <c r="M36" s="388" t="s">
        <v>202</v>
      </c>
      <c r="N36" s="388" t="s">
        <v>202</v>
      </c>
      <c r="O36" s="388" t="s">
        <v>554</v>
      </c>
      <c r="P36" s="388">
        <v>5360424</v>
      </c>
      <c r="Q36" s="388" t="s">
        <v>202</v>
      </c>
      <c r="R36" s="388" t="s">
        <v>202</v>
      </c>
      <c r="S36" s="388" t="s">
        <v>203</v>
      </c>
      <c r="T36" s="388" t="s">
        <v>202</v>
      </c>
      <c r="U36" s="390" t="s">
        <v>203</v>
      </c>
    </row>
    <row r="37" spans="1:21" s="391" customFormat="1">
      <c r="A37" s="386">
        <v>39721</v>
      </c>
      <c r="B37" s="387">
        <v>11494</v>
      </c>
      <c r="C37" s="388" t="s">
        <v>592</v>
      </c>
      <c r="D37" s="388">
        <v>81.52</v>
      </c>
      <c r="E37" s="388">
        <v>0</v>
      </c>
      <c r="F37" s="388">
        <v>81.52</v>
      </c>
      <c r="G37" s="388">
        <v>0</v>
      </c>
      <c r="H37" s="388">
        <v>81.52</v>
      </c>
      <c r="I37" s="388">
        <v>1</v>
      </c>
      <c r="J37" s="389">
        <f t="shared" si="0"/>
        <v>0.81519999999999992</v>
      </c>
      <c r="K37" s="388">
        <v>1323</v>
      </c>
      <c r="L37" s="388" t="s">
        <v>203</v>
      </c>
      <c r="M37" s="388" t="s">
        <v>202</v>
      </c>
      <c r="N37" s="388" t="s">
        <v>202</v>
      </c>
      <c r="O37" s="388" t="s">
        <v>554</v>
      </c>
      <c r="P37" s="388">
        <v>5885193</v>
      </c>
      <c r="Q37" s="388" t="s">
        <v>202</v>
      </c>
      <c r="R37" s="388" t="s">
        <v>202</v>
      </c>
      <c r="S37" s="388" t="s">
        <v>203</v>
      </c>
      <c r="T37" s="388" t="s">
        <v>202</v>
      </c>
      <c r="U37" s="390" t="s">
        <v>203</v>
      </c>
    </row>
    <row r="38" spans="1:21" s="391" customFormat="1">
      <c r="A38" s="386">
        <v>39734</v>
      </c>
      <c r="B38" s="387">
        <v>56328</v>
      </c>
      <c r="C38" s="388" t="s">
        <v>595</v>
      </c>
      <c r="D38" s="388">
        <v>104.51</v>
      </c>
      <c r="E38" s="388">
        <v>0</v>
      </c>
      <c r="F38" s="388">
        <v>104.51</v>
      </c>
      <c r="G38" s="388">
        <v>0</v>
      </c>
      <c r="H38" s="388">
        <v>104.51</v>
      </c>
      <c r="I38" s="388">
        <v>1</v>
      </c>
      <c r="J38" s="389">
        <f t="shared" si="0"/>
        <v>1.0451000000000001</v>
      </c>
      <c r="K38" s="388">
        <v>1353</v>
      </c>
      <c r="L38" s="388" t="s">
        <v>203</v>
      </c>
      <c r="M38" s="388" t="s">
        <v>202</v>
      </c>
      <c r="N38" s="388" t="s">
        <v>202</v>
      </c>
      <c r="O38" s="388" t="s">
        <v>554</v>
      </c>
      <c r="P38" s="388">
        <v>6064070</v>
      </c>
      <c r="Q38" s="388" t="s">
        <v>202</v>
      </c>
      <c r="R38" s="388" t="s">
        <v>202</v>
      </c>
      <c r="S38" s="388" t="s">
        <v>203</v>
      </c>
      <c r="T38" s="388" t="s">
        <v>202</v>
      </c>
      <c r="U38" s="390" t="s">
        <v>203</v>
      </c>
    </row>
    <row r="39" spans="1:21" s="391" customFormat="1">
      <c r="A39" s="386">
        <v>39762</v>
      </c>
      <c r="B39" s="387">
        <v>56901</v>
      </c>
      <c r="C39" s="388" t="s">
        <v>311</v>
      </c>
      <c r="D39" s="388">
        <v>92.99</v>
      </c>
      <c r="E39" s="388">
        <v>0</v>
      </c>
      <c r="F39" s="388">
        <v>92.99</v>
      </c>
      <c r="G39" s="388">
        <v>0</v>
      </c>
      <c r="H39" s="388">
        <v>92.99</v>
      </c>
      <c r="I39" s="388">
        <v>1</v>
      </c>
      <c r="J39" s="389">
        <f t="shared" si="0"/>
        <v>0.92989999999999995</v>
      </c>
      <c r="K39" s="388">
        <v>1375</v>
      </c>
      <c r="L39" s="388" t="s">
        <v>203</v>
      </c>
      <c r="M39" s="388" t="s">
        <v>202</v>
      </c>
      <c r="N39" s="388" t="s">
        <v>202</v>
      </c>
      <c r="O39" s="388" t="s">
        <v>554</v>
      </c>
      <c r="P39" s="388">
        <v>323661</v>
      </c>
      <c r="Q39" s="388" t="s">
        <v>202</v>
      </c>
      <c r="R39" s="388" t="s">
        <v>202</v>
      </c>
      <c r="S39" s="388" t="s">
        <v>203</v>
      </c>
      <c r="T39" s="388" t="s">
        <v>202</v>
      </c>
      <c r="U39" s="390" t="s">
        <v>203</v>
      </c>
    </row>
    <row r="40" spans="1:21" s="391" customFormat="1">
      <c r="A40" s="386">
        <v>39794</v>
      </c>
      <c r="B40" s="387">
        <v>57577</v>
      </c>
      <c r="C40" s="388" t="s">
        <v>311</v>
      </c>
      <c r="D40" s="388">
        <v>122.14</v>
      </c>
      <c r="E40" s="388">
        <v>0</v>
      </c>
      <c r="F40" s="388">
        <v>122.14</v>
      </c>
      <c r="G40" s="388">
        <v>0</v>
      </c>
      <c r="H40" s="388">
        <v>122.14</v>
      </c>
      <c r="I40" s="388">
        <v>1</v>
      </c>
      <c r="J40" s="389">
        <f t="shared" si="0"/>
        <v>1.2214</v>
      </c>
      <c r="K40" s="388" t="s">
        <v>596</v>
      </c>
      <c r="L40" s="388" t="s">
        <v>203</v>
      </c>
      <c r="M40" s="388" t="s">
        <v>202</v>
      </c>
      <c r="N40" s="388" t="s">
        <v>202</v>
      </c>
      <c r="O40" s="388" t="s">
        <v>554</v>
      </c>
      <c r="P40" s="388">
        <v>39780</v>
      </c>
      <c r="Q40" s="388" t="s">
        <v>202</v>
      </c>
      <c r="R40" s="388" t="s">
        <v>202</v>
      </c>
      <c r="S40" s="388" t="s">
        <v>203</v>
      </c>
      <c r="T40" s="388" t="s">
        <v>597</v>
      </c>
      <c r="U40" s="388"/>
    </row>
    <row r="41" spans="1:21" s="391" customFormat="1">
      <c r="A41" s="397"/>
      <c r="B41" s="398"/>
      <c r="D41" s="392">
        <f>SUM(D28:D40)</f>
        <v>1490.75</v>
      </c>
    </row>
    <row r="42" spans="1:21" s="87" customFormat="1"/>
    <row r="43" spans="1:21" s="87" customFormat="1"/>
    <row r="44" spans="1:21" s="378" customFormat="1">
      <c r="A44" s="363" t="s">
        <v>598</v>
      </c>
      <c r="C44" s="364"/>
      <c r="F44" s="365"/>
      <c r="G44" s="366" t="s">
        <v>532</v>
      </c>
      <c r="H44" s="365">
        <v>210.04</v>
      </c>
      <c r="I44" s="367"/>
      <c r="J44" s="367" t="s">
        <v>533</v>
      </c>
      <c r="K44" s="367"/>
      <c r="L44" s="368">
        <f>+D59</f>
        <v>210.04</v>
      </c>
    </row>
    <row r="45" spans="1:21" s="378" customFormat="1" ht="25.5" customHeight="1">
      <c r="A45" s="369" t="s">
        <v>534</v>
      </c>
      <c r="B45" s="370" t="s">
        <v>559</v>
      </c>
      <c r="C45" s="371" t="s">
        <v>219</v>
      </c>
      <c r="D45" s="374" t="s">
        <v>560</v>
      </c>
      <c r="E45" s="373" t="s">
        <v>525</v>
      </c>
      <c r="F45" s="373" t="s">
        <v>524</v>
      </c>
      <c r="G45" s="374" t="s">
        <v>537</v>
      </c>
      <c r="H45" s="373" t="s">
        <v>183</v>
      </c>
      <c r="I45" s="373" t="s">
        <v>581</v>
      </c>
      <c r="J45" s="374" t="s">
        <v>562</v>
      </c>
      <c r="K45" s="374" t="s">
        <v>541</v>
      </c>
      <c r="L45" s="375" t="s">
        <v>542</v>
      </c>
      <c r="M45" s="375" t="s">
        <v>543</v>
      </c>
      <c r="N45" s="375" t="s">
        <v>544</v>
      </c>
      <c r="O45" s="375" t="s">
        <v>545</v>
      </c>
      <c r="P45" s="375" t="s">
        <v>546</v>
      </c>
      <c r="Q45" s="375" t="s">
        <v>547</v>
      </c>
      <c r="R45" s="375" t="s">
        <v>548</v>
      </c>
      <c r="S45" s="376" t="s">
        <v>564</v>
      </c>
      <c r="T45" s="376" t="s">
        <v>599</v>
      </c>
      <c r="U45" s="377" t="s">
        <v>565</v>
      </c>
    </row>
    <row r="46" spans="1:21" s="378" customFormat="1" ht="18.75" customHeight="1">
      <c r="A46" s="379"/>
      <c r="B46" s="380"/>
      <c r="C46" s="381"/>
      <c r="D46" s="383"/>
      <c r="E46" s="383"/>
      <c r="F46" s="383"/>
      <c r="G46" s="383"/>
      <c r="H46" s="383"/>
      <c r="I46" s="383"/>
      <c r="J46" s="383"/>
      <c r="K46" s="383"/>
      <c r="L46" s="384"/>
      <c r="M46" s="384"/>
      <c r="N46" s="384"/>
      <c r="O46" s="384"/>
      <c r="P46" s="384"/>
      <c r="Q46" s="384"/>
      <c r="R46" s="384"/>
      <c r="S46" s="385"/>
      <c r="T46" s="376"/>
      <c r="U46" s="377"/>
    </row>
    <row r="47" spans="1:21" s="391" customFormat="1">
      <c r="A47" s="386">
        <v>39473</v>
      </c>
      <c r="B47" s="388">
        <v>52104</v>
      </c>
      <c r="C47" s="388" t="s">
        <v>600</v>
      </c>
      <c r="D47" s="389">
        <v>13.78</v>
      </c>
      <c r="E47" s="389">
        <v>13.78</v>
      </c>
      <c r="F47" s="388"/>
      <c r="G47" s="389">
        <f>+D47*0.12</f>
        <v>1.6536</v>
      </c>
      <c r="H47" s="388">
        <f>+E47+G47</f>
        <v>15.433599999999998</v>
      </c>
      <c r="I47" s="388">
        <v>2</v>
      </c>
      <c r="J47" s="399">
        <f>+D47*0.02</f>
        <v>0.27560000000000001</v>
      </c>
      <c r="K47" s="388">
        <v>1052</v>
      </c>
      <c r="L47" s="388" t="s">
        <v>203</v>
      </c>
      <c r="M47" s="388" t="s">
        <v>202</v>
      </c>
      <c r="N47" s="388" t="s">
        <v>202</v>
      </c>
      <c r="O47" s="388" t="s">
        <v>554</v>
      </c>
      <c r="P47" s="388" t="s">
        <v>601</v>
      </c>
      <c r="Q47" s="388" t="s">
        <v>202</v>
      </c>
      <c r="R47" s="388" t="s">
        <v>202</v>
      </c>
      <c r="S47" s="390" t="s">
        <v>202</v>
      </c>
      <c r="T47" s="390" t="s">
        <v>202</v>
      </c>
      <c r="U47" s="390" t="s">
        <v>203</v>
      </c>
    </row>
    <row r="48" spans="1:21" s="391" customFormat="1">
      <c r="A48" s="386">
        <v>39504</v>
      </c>
      <c r="B48" s="388">
        <v>52549</v>
      </c>
      <c r="C48" s="388" t="s">
        <v>600</v>
      </c>
      <c r="D48" s="389">
        <v>15.28</v>
      </c>
      <c r="E48" s="389">
        <v>15.28</v>
      </c>
      <c r="F48" s="388"/>
      <c r="G48" s="389">
        <f t="shared" ref="G48:G58" si="1">+D48*0.12</f>
        <v>1.8335999999999999</v>
      </c>
      <c r="H48" s="388">
        <f t="shared" ref="H48:H58" si="2">+E48+G48</f>
        <v>17.113599999999998</v>
      </c>
      <c r="I48" s="388">
        <v>2</v>
      </c>
      <c r="J48" s="399">
        <f t="shared" ref="J48:J58" si="3">+D48*0.02</f>
        <v>0.30559999999999998</v>
      </c>
      <c r="K48" s="388">
        <v>1054</v>
      </c>
      <c r="L48" s="388" t="s">
        <v>203</v>
      </c>
      <c r="M48" s="388" t="s">
        <v>202</v>
      </c>
      <c r="N48" s="388" t="s">
        <v>202</v>
      </c>
      <c r="O48" s="388" t="s">
        <v>554</v>
      </c>
      <c r="P48" s="388" t="s">
        <v>602</v>
      </c>
      <c r="Q48" s="388" t="s">
        <v>202</v>
      </c>
      <c r="R48" s="388" t="s">
        <v>202</v>
      </c>
      <c r="S48" s="390" t="s">
        <v>202</v>
      </c>
      <c r="T48" s="390" t="s">
        <v>202</v>
      </c>
      <c r="U48" s="390" t="s">
        <v>203</v>
      </c>
    </row>
    <row r="49" spans="1:21" s="391" customFormat="1">
      <c r="A49" s="386">
        <v>39533</v>
      </c>
      <c r="B49" s="388">
        <v>53157</v>
      </c>
      <c r="C49" s="388" t="s">
        <v>600</v>
      </c>
      <c r="D49" s="389">
        <v>18.72</v>
      </c>
      <c r="E49" s="389">
        <v>18.72</v>
      </c>
      <c r="F49" s="388"/>
      <c r="G49" s="389">
        <f t="shared" si="1"/>
        <v>2.2464</v>
      </c>
      <c r="H49" s="388">
        <f t="shared" si="2"/>
        <v>20.9664</v>
      </c>
      <c r="I49" s="388">
        <v>2</v>
      </c>
      <c r="J49" s="399">
        <f t="shared" si="3"/>
        <v>0.37440000000000001</v>
      </c>
      <c r="K49" s="388">
        <v>1188</v>
      </c>
      <c r="L49" s="388" t="s">
        <v>203</v>
      </c>
      <c r="M49" s="388" t="s">
        <v>202</v>
      </c>
      <c r="N49" s="388" t="s">
        <v>202</v>
      </c>
      <c r="O49" s="388" t="s">
        <v>554</v>
      </c>
      <c r="P49" s="388" t="s">
        <v>603</v>
      </c>
      <c r="Q49" s="388" t="s">
        <v>202</v>
      </c>
      <c r="R49" s="388" t="s">
        <v>202</v>
      </c>
      <c r="S49" s="390" t="s">
        <v>202</v>
      </c>
      <c r="T49" s="390" t="s">
        <v>202</v>
      </c>
      <c r="U49" s="390" t="s">
        <v>203</v>
      </c>
    </row>
    <row r="50" spans="1:21" s="391" customFormat="1">
      <c r="A50" s="386">
        <v>39564</v>
      </c>
      <c r="B50" s="388">
        <v>54199</v>
      </c>
      <c r="C50" s="388" t="s">
        <v>604</v>
      </c>
      <c r="D50" s="389">
        <v>15.26</v>
      </c>
      <c r="E50" s="389">
        <v>15.26</v>
      </c>
      <c r="F50" s="388"/>
      <c r="G50" s="389">
        <f t="shared" si="1"/>
        <v>1.8311999999999999</v>
      </c>
      <c r="H50" s="388">
        <f t="shared" si="2"/>
        <v>17.091200000000001</v>
      </c>
      <c r="I50" s="388">
        <v>2</v>
      </c>
      <c r="J50" s="399">
        <f t="shared" si="3"/>
        <v>0.30520000000000003</v>
      </c>
      <c r="K50" s="388">
        <v>1215</v>
      </c>
      <c r="L50" s="388" t="s">
        <v>203</v>
      </c>
      <c r="M50" s="388" t="s">
        <v>202</v>
      </c>
      <c r="N50" s="388" t="s">
        <v>202</v>
      </c>
      <c r="O50" s="388" t="s">
        <v>554</v>
      </c>
      <c r="P50" s="388">
        <v>220859</v>
      </c>
      <c r="Q50" s="388" t="s">
        <v>202</v>
      </c>
      <c r="R50" s="388" t="s">
        <v>202</v>
      </c>
      <c r="S50" s="390" t="s">
        <v>202</v>
      </c>
      <c r="T50" s="390" t="s">
        <v>202</v>
      </c>
      <c r="U50" s="390" t="s">
        <v>203</v>
      </c>
    </row>
    <row r="51" spans="1:21" s="391" customFormat="1">
      <c r="A51" s="386">
        <v>39594</v>
      </c>
      <c r="B51" s="388">
        <v>55200</v>
      </c>
      <c r="C51" s="388" t="s">
        <v>604</v>
      </c>
      <c r="D51" s="389">
        <v>15</v>
      </c>
      <c r="E51" s="389">
        <v>15</v>
      </c>
      <c r="F51" s="388"/>
      <c r="G51" s="389">
        <f t="shared" si="1"/>
        <v>1.7999999999999998</v>
      </c>
      <c r="H51" s="388">
        <f t="shared" si="2"/>
        <v>16.8</v>
      </c>
      <c r="I51" s="388">
        <v>2</v>
      </c>
      <c r="J51" s="399">
        <f t="shared" si="3"/>
        <v>0.3</v>
      </c>
      <c r="K51" s="388">
        <v>1218</v>
      </c>
      <c r="L51" s="388" t="s">
        <v>203</v>
      </c>
      <c r="M51" s="388" t="s">
        <v>202</v>
      </c>
      <c r="N51" s="388" t="s">
        <v>202</v>
      </c>
      <c r="O51" s="388" t="s">
        <v>554</v>
      </c>
      <c r="P51" s="388">
        <v>126824</v>
      </c>
      <c r="Q51" s="388" t="s">
        <v>202</v>
      </c>
      <c r="R51" s="388" t="s">
        <v>202</v>
      </c>
      <c r="S51" s="390" t="s">
        <v>202</v>
      </c>
      <c r="T51" s="390" t="s">
        <v>202</v>
      </c>
      <c r="U51" s="390" t="s">
        <v>203</v>
      </c>
    </row>
    <row r="52" spans="1:21" s="391" customFormat="1">
      <c r="A52" s="386">
        <v>39625</v>
      </c>
      <c r="B52" s="388">
        <v>55210</v>
      </c>
      <c r="C52" s="388" t="s">
        <v>605</v>
      </c>
      <c r="D52" s="389">
        <v>35</v>
      </c>
      <c r="E52" s="389">
        <v>35</v>
      </c>
      <c r="F52" s="388"/>
      <c r="G52" s="389">
        <f t="shared" si="1"/>
        <v>4.2</v>
      </c>
      <c r="H52" s="388">
        <f t="shared" si="2"/>
        <v>39.200000000000003</v>
      </c>
      <c r="I52" s="388">
        <v>2</v>
      </c>
      <c r="J52" s="399">
        <f t="shared" si="3"/>
        <v>0.70000000000000007</v>
      </c>
      <c r="K52" s="388">
        <v>1222</v>
      </c>
      <c r="L52" s="388" t="s">
        <v>203</v>
      </c>
      <c r="M52" s="388" t="s">
        <v>202</v>
      </c>
      <c r="N52" s="388" t="s">
        <v>202</v>
      </c>
      <c r="O52" s="388" t="s">
        <v>554</v>
      </c>
      <c r="P52" s="388">
        <v>704446</v>
      </c>
      <c r="Q52" s="388" t="s">
        <v>202</v>
      </c>
      <c r="R52" s="388" t="s">
        <v>202</v>
      </c>
      <c r="S52" s="390" t="s">
        <v>202</v>
      </c>
      <c r="T52" s="390" t="s">
        <v>202</v>
      </c>
      <c r="U52" s="390" t="s">
        <v>203</v>
      </c>
    </row>
    <row r="53" spans="1:21" s="391" customFormat="1">
      <c r="A53" s="386">
        <v>39656</v>
      </c>
      <c r="B53" s="388">
        <v>55203</v>
      </c>
      <c r="C53" s="388" t="s">
        <v>605</v>
      </c>
      <c r="D53" s="389">
        <v>28.25</v>
      </c>
      <c r="E53" s="389">
        <v>28.25</v>
      </c>
      <c r="F53" s="388"/>
      <c r="G53" s="389">
        <f t="shared" si="1"/>
        <v>3.3899999999999997</v>
      </c>
      <c r="H53" s="388">
        <f t="shared" si="2"/>
        <v>31.64</v>
      </c>
      <c r="I53" s="388">
        <v>2</v>
      </c>
      <c r="J53" s="399">
        <f t="shared" si="3"/>
        <v>0.56500000000000006</v>
      </c>
      <c r="K53" s="388">
        <v>1268</v>
      </c>
      <c r="L53" s="388" t="s">
        <v>203</v>
      </c>
      <c r="M53" s="388" t="s">
        <v>202</v>
      </c>
      <c r="N53" s="388" t="s">
        <v>202</v>
      </c>
      <c r="O53" s="388" t="s">
        <v>554</v>
      </c>
      <c r="P53" s="388">
        <v>612499</v>
      </c>
      <c r="Q53" s="388" t="s">
        <v>202</v>
      </c>
      <c r="R53" s="388" t="s">
        <v>202</v>
      </c>
      <c r="S53" s="390" t="s">
        <v>202</v>
      </c>
      <c r="T53" s="390" t="s">
        <v>202</v>
      </c>
      <c r="U53" s="390" t="s">
        <v>203</v>
      </c>
    </row>
    <row r="54" spans="1:21" s="391" customFormat="1">
      <c r="A54" s="386">
        <v>40053</v>
      </c>
      <c r="B54" s="388">
        <v>55215</v>
      </c>
      <c r="C54" s="388" t="s">
        <v>606</v>
      </c>
      <c r="D54" s="389">
        <v>13.75</v>
      </c>
      <c r="E54" s="389">
        <v>13.75</v>
      </c>
      <c r="F54" s="388"/>
      <c r="G54" s="389">
        <f t="shared" si="1"/>
        <v>1.65</v>
      </c>
      <c r="H54" s="388">
        <f t="shared" si="2"/>
        <v>15.4</v>
      </c>
      <c r="I54" s="388">
        <v>2</v>
      </c>
      <c r="J54" s="399">
        <f t="shared" si="3"/>
        <v>0.27500000000000002</v>
      </c>
      <c r="K54" s="388">
        <v>1358</v>
      </c>
      <c r="L54" s="388" t="s">
        <v>203</v>
      </c>
      <c r="M54" s="388" t="s">
        <v>202</v>
      </c>
      <c r="N54" s="388" t="s">
        <v>202</v>
      </c>
      <c r="O54" s="388" t="s">
        <v>554</v>
      </c>
      <c r="P54" s="388">
        <v>1776898</v>
      </c>
      <c r="Q54" s="388" t="s">
        <v>202</v>
      </c>
      <c r="R54" s="388" t="s">
        <v>202</v>
      </c>
      <c r="S54" s="390" t="s">
        <v>202</v>
      </c>
      <c r="T54" s="390" t="s">
        <v>202</v>
      </c>
      <c r="U54" s="390" t="s">
        <v>203</v>
      </c>
    </row>
    <row r="55" spans="1:21" s="391" customFormat="1">
      <c r="A55" s="386">
        <v>39717</v>
      </c>
      <c r="B55" s="388">
        <v>55218</v>
      </c>
      <c r="C55" s="388" t="s">
        <v>606</v>
      </c>
      <c r="D55" s="389">
        <v>13.75</v>
      </c>
      <c r="E55" s="389">
        <v>13.75</v>
      </c>
      <c r="F55" s="388"/>
      <c r="G55" s="389">
        <f t="shared" si="1"/>
        <v>1.65</v>
      </c>
      <c r="H55" s="388">
        <f t="shared" si="2"/>
        <v>15.4</v>
      </c>
      <c r="I55" s="388">
        <v>2</v>
      </c>
      <c r="J55" s="399">
        <f t="shared" si="3"/>
        <v>0.27500000000000002</v>
      </c>
      <c r="K55" s="388">
        <v>1547</v>
      </c>
      <c r="L55" s="388" t="s">
        <v>203</v>
      </c>
      <c r="M55" s="388" t="s">
        <v>202</v>
      </c>
      <c r="N55" s="388" t="s">
        <v>202</v>
      </c>
      <c r="O55" s="388" t="s">
        <v>554</v>
      </c>
      <c r="P55" s="388">
        <v>1869019</v>
      </c>
      <c r="Q55" s="388" t="s">
        <v>202</v>
      </c>
      <c r="R55" s="388" t="s">
        <v>202</v>
      </c>
      <c r="S55" s="390" t="s">
        <v>202</v>
      </c>
      <c r="T55" s="390" t="s">
        <v>202</v>
      </c>
      <c r="U55" s="390" t="s">
        <v>203</v>
      </c>
    </row>
    <row r="56" spans="1:21" s="391" customFormat="1">
      <c r="A56" s="386">
        <v>39747</v>
      </c>
      <c r="B56" s="388">
        <v>55219</v>
      </c>
      <c r="C56" s="388" t="s">
        <v>606</v>
      </c>
      <c r="D56" s="389">
        <v>13.75</v>
      </c>
      <c r="E56" s="389">
        <v>13.75</v>
      </c>
      <c r="F56" s="388"/>
      <c r="G56" s="389">
        <f t="shared" si="1"/>
        <v>1.65</v>
      </c>
      <c r="H56" s="388">
        <f t="shared" si="2"/>
        <v>15.4</v>
      </c>
      <c r="I56" s="388">
        <v>2</v>
      </c>
      <c r="J56" s="399">
        <f t="shared" si="3"/>
        <v>0.27500000000000002</v>
      </c>
      <c r="K56" s="388">
        <v>1565</v>
      </c>
      <c r="L56" s="388" t="s">
        <v>203</v>
      </c>
      <c r="M56" s="388" t="s">
        <v>202</v>
      </c>
      <c r="N56" s="388" t="s">
        <v>202</v>
      </c>
      <c r="O56" s="388" t="s">
        <v>554</v>
      </c>
      <c r="P56" s="388">
        <v>1854600</v>
      </c>
      <c r="Q56" s="388" t="s">
        <v>202</v>
      </c>
      <c r="R56" s="388" t="s">
        <v>202</v>
      </c>
      <c r="S56" s="390" t="s">
        <v>202</v>
      </c>
      <c r="T56" s="390" t="s">
        <v>202</v>
      </c>
      <c r="U56" s="390" t="s">
        <v>203</v>
      </c>
    </row>
    <row r="57" spans="1:21" s="391" customFormat="1">
      <c r="A57" s="386">
        <v>39776</v>
      </c>
      <c r="B57" s="388">
        <v>55225</v>
      </c>
      <c r="C57" s="388" t="s">
        <v>606</v>
      </c>
      <c r="D57" s="389">
        <v>13.75</v>
      </c>
      <c r="E57" s="389">
        <v>13.75</v>
      </c>
      <c r="F57" s="388"/>
      <c r="G57" s="389">
        <f t="shared" si="1"/>
        <v>1.65</v>
      </c>
      <c r="H57" s="388">
        <f t="shared" si="2"/>
        <v>15.4</v>
      </c>
      <c r="I57" s="388">
        <v>2</v>
      </c>
      <c r="J57" s="399">
        <f t="shared" si="3"/>
        <v>0.27500000000000002</v>
      </c>
      <c r="K57" s="388">
        <v>1589</v>
      </c>
      <c r="L57" s="388" t="s">
        <v>203</v>
      </c>
      <c r="M57" s="388" t="s">
        <v>202</v>
      </c>
      <c r="N57" s="388" t="s">
        <v>205</v>
      </c>
      <c r="O57" s="388" t="s">
        <v>554</v>
      </c>
      <c r="P57" s="388">
        <v>8512046</v>
      </c>
      <c r="Q57" s="388" t="s">
        <v>202</v>
      </c>
      <c r="R57" s="388" t="s">
        <v>202</v>
      </c>
      <c r="S57" s="390" t="s">
        <v>202</v>
      </c>
      <c r="T57" s="390" t="s">
        <v>202</v>
      </c>
      <c r="U57" s="390" t="s">
        <v>203</v>
      </c>
    </row>
    <row r="58" spans="1:21" s="391" customFormat="1">
      <c r="A58" s="386">
        <v>39808</v>
      </c>
      <c r="B58" s="388">
        <v>55230</v>
      </c>
      <c r="C58" s="388" t="s">
        <v>606</v>
      </c>
      <c r="D58" s="389">
        <v>13.75</v>
      </c>
      <c r="E58" s="389">
        <v>13.75</v>
      </c>
      <c r="F58" s="388"/>
      <c r="G58" s="389">
        <f t="shared" si="1"/>
        <v>1.65</v>
      </c>
      <c r="H58" s="388">
        <f t="shared" si="2"/>
        <v>15.4</v>
      </c>
      <c r="I58" s="388">
        <v>2</v>
      </c>
      <c r="J58" s="399">
        <f t="shared" si="3"/>
        <v>0.27500000000000002</v>
      </c>
      <c r="K58" s="388">
        <v>1600</v>
      </c>
      <c r="L58" s="388" t="s">
        <v>203</v>
      </c>
      <c r="M58" s="388" t="s">
        <v>202</v>
      </c>
      <c r="N58" s="388" t="s">
        <v>205</v>
      </c>
      <c r="O58" s="388" t="s">
        <v>554</v>
      </c>
      <c r="P58" s="388">
        <v>7854621</v>
      </c>
      <c r="Q58" s="388" t="s">
        <v>202</v>
      </c>
      <c r="R58" s="388" t="s">
        <v>202</v>
      </c>
      <c r="S58" s="390" t="s">
        <v>202</v>
      </c>
      <c r="T58" s="390" t="s">
        <v>202</v>
      </c>
      <c r="U58" s="390" t="s">
        <v>203</v>
      </c>
    </row>
    <row r="59" spans="1:21" s="391" customFormat="1">
      <c r="A59" s="397"/>
      <c r="D59" s="392">
        <f>SUM(D47:D58)</f>
        <v>210.04</v>
      </c>
      <c r="L59" s="400"/>
      <c r="M59" s="400"/>
      <c r="N59" s="400"/>
      <c r="O59" s="400"/>
    </row>
    <row r="60" spans="1:21" s="87" customFormat="1"/>
    <row r="61" spans="1:21" s="87" customFormat="1"/>
    <row r="62" spans="1:21" s="401" customFormat="1">
      <c r="A62" s="363" t="s">
        <v>607</v>
      </c>
      <c r="B62" s="378">
        <v>6803</v>
      </c>
      <c r="C62" s="364"/>
    </row>
    <row r="63" spans="1:21" s="367" customFormat="1">
      <c r="A63" s="363" t="s">
        <v>608</v>
      </c>
      <c r="B63" s="378" t="s">
        <v>609</v>
      </c>
      <c r="C63" s="364"/>
      <c r="F63" s="365"/>
      <c r="G63" s="366" t="s">
        <v>532</v>
      </c>
      <c r="H63" s="365">
        <v>1469.58</v>
      </c>
      <c r="J63" s="367" t="s">
        <v>533</v>
      </c>
      <c r="L63" s="368">
        <f>D78</f>
        <v>1469.5800000000002</v>
      </c>
    </row>
    <row r="64" spans="1:21" s="367" customFormat="1">
      <c r="A64" s="402"/>
      <c r="B64" s="403"/>
      <c r="C64" s="403"/>
      <c r="D64" s="365"/>
      <c r="E64" s="403"/>
      <c r="F64" s="365"/>
    </row>
    <row r="65" spans="1:29" s="367" customFormat="1" ht="50.25" customHeight="1">
      <c r="A65" s="404" t="s">
        <v>514</v>
      </c>
      <c r="B65" s="404" t="s">
        <v>610</v>
      </c>
      <c r="C65" s="404" t="s">
        <v>219</v>
      </c>
      <c r="D65" s="404" t="s">
        <v>611</v>
      </c>
      <c r="E65" s="404" t="s">
        <v>525</v>
      </c>
      <c r="F65" s="404" t="s">
        <v>524</v>
      </c>
      <c r="G65" s="404" t="s">
        <v>612</v>
      </c>
      <c r="H65" s="404" t="s">
        <v>613</v>
      </c>
      <c r="I65" s="404" t="s">
        <v>581</v>
      </c>
      <c r="J65" s="404" t="s">
        <v>614</v>
      </c>
      <c r="K65" s="405" t="s">
        <v>615</v>
      </c>
      <c r="L65" s="404" t="s">
        <v>616</v>
      </c>
      <c r="M65" s="404" t="s">
        <v>213</v>
      </c>
      <c r="N65" s="404" t="s">
        <v>617</v>
      </c>
      <c r="O65" s="404" t="s">
        <v>618</v>
      </c>
      <c r="P65" s="404" t="s">
        <v>619</v>
      </c>
      <c r="Q65" s="405" t="s">
        <v>620</v>
      </c>
      <c r="R65" s="404" t="s">
        <v>621</v>
      </c>
      <c r="S65" s="404" t="s">
        <v>622</v>
      </c>
      <c r="T65" s="404" t="s">
        <v>582</v>
      </c>
      <c r="U65" s="404" t="s">
        <v>565</v>
      </c>
      <c r="V65" s="406"/>
      <c r="W65" s="406"/>
      <c r="X65" s="406"/>
      <c r="Y65" s="406"/>
      <c r="Z65" s="406"/>
      <c r="AA65" s="406"/>
      <c r="AB65" s="406"/>
      <c r="AC65" s="406"/>
    </row>
    <row r="66" spans="1:29" s="401" customFormat="1">
      <c r="A66" s="407">
        <v>39476</v>
      </c>
      <c r="B66" s="408">
        <v>52103</v>
      </c>
      <c r="C66" s="408" t="s">
        <v>587</v>
      </c>
      <c r="D66" s="409">
        <v>145.83000000000001</v>
      </c>
      <c r="E66" s="409"/>
      <c r="F66" s="409">
        <v>145.83000000000001</v>
      </c>
      <c r="G66" s="409">
        <v>0</v>
      </c>
      <c r="H66" s="409">
        <v>145.83000000000001</v>
      </c>
      <c r="I66" s="410"/>
      <c r="J66" s="411"/>
      <c r="K66" s="412"/>
      <c r="L66" s="388" t="s">
        <v>203</v>
      </c>
      <c r="M66" s="388" t="s">
        <v>202</v>
      </c>
      <c r="N66" s="388" t="s">
        <v>202</v>
      </c>
      <c r="O66" s="388" t="s">
        <v>554</v>
      </c>
      <c r="P66" s="412" t="s">
        <v>623</v>
      </c>
      <c r="Q66" s="388" t="s">
        <v>202</v>
      </c>
      <c r="R66" s="388" t="s">
        <v>202</v>
      </c>
      <c r="S66" s="390" t="s">
        <v>202</v>
      </c>
      <c r="T66" s="390" t="s">
        <v>202</v>
      </c>
      <c r="U66" s="390" t="s">
        <v>203</v>
      </c>
      <c r="V66" s="413"/>
      <c r="W66" s="413"/>
      <c r="X66" s="413"/>
      <c r="Y66" s="413"/>
      <c r="Z66" s="413"/>
      <c r="AA66" s="413"/>
      <c r="AB66" s="413"/>
      <c r="AC66" s="413"/>
    </row>
    <row r="67" spans="1:29" s="401" customFormat="1">
      <c r="A67" s="407">
        <v>39507</v>
      </c>
      <c r="B67" s="408">
        <v>52607</v>
      </c>
      <c r="C67" s="408" t="s">
        <v>624</v>
      </c>
      <c r="D67" s="409">
        <v>103.06</v>
      </c>
      <c r="E67" s="409"/>
      <c r="F67" s="409">
        <v>103.06</v>
      </c>
      <c r="G67" s="409">
        <v>0</v>
      </c>
      <c r="H67" s="409">
        <v>103.06</v>
      </c>
      <c r="I67" s="410">
        <v>1</v>
      </c>
      <c r="J67" s="411">
        <v>1.0306</v>
      </c>
      <c r="K67" s="412">
        <v>1025</v>
      </c>
      <c r="L67" s="388" t="s">
        <v>203</v>
      </c>
      <c r="M67" s="388" t="s">
        <v>202</v>
      </c>
      <c r="N67" s="388" t="s">
        <v>202</v>
      </c>
      <c r="O67" s="388" t="s">
        <v>554</v>
      </c>
      <c r="P67" s="412" t="s">
        <v>625</v>
      </c>
      <c r="Q67" s="388" t="s">
        <v>202</v>
      </c>
      <c r="R67" s="388" t="s">
        <v>202</v>
      </c>
      <c r="S67" s="390" t="s">
        <v>202</v>
      </c>
      <c r="T67" s="390" t="s">
        <v>202</v>
      </c>
      <c r="U67" s="390" t="s">
        <v>203</v>
      </c>
      <c r="V67" s="413"/>
      <c r="W67" s="413"/>
      <c r="X67" s="413"/>
      <c r="Y67" s="413"/>
      <c r="Z67" s="413"/>
      <c r="AA67" s="413"/>
      <c r="AB67" s="413"/>
      <c r="AC67" s="413"/>
    </row>
    <row r="68" spans="1:29" s="401" customFormat="1">
      <c r="A68" s="407">
        <v>39536</v>
      </c>
      <c r="B68" s="408">
        <v>53176</v>
      </c>
      <c r="C68" s="408" t="s">
        <v>624</v>
      </c>
      <c r="D68" s="409">
        <v>171.48</v>
      </c>
      <c r="E68" s="409"/>
      <c r="F68" s="409">
        <v>171.48</v>
      </c>
      <c r="G68" s="409">
        <v>0</v>
      </c>
      <c r="H68" s="409">
        <v>171.48</v>
      </c>
      <c r="I68" s="410">
        <v>1</v>
      </c>
      <c r="J68" s="411">
        <v>1.71</v>
      </c>
      <c r="K68" s="412">
        <v>1081</v>
      </c>
      <c r="L68" s="388" t="s">
        <v>203</v>
      </c>
      <c r="M68" s="388" t="s">
        <v>202</v>
      </c>
      <c r="N68" s="388" t="s">
        <v>202</v>
      </c>
      <c r="O68" s="388" t="s">
        <v>554</v>
      </c>
      <c r="P68" s="412" t="s">
        <v>626</v>
      </c>
      <c r="Q68" s="388" t="s">
        <v>202</v>
      </c>
      <c r="R68" s="388" t="s">
        <v>202</v>
      </c>
      <c r="S68" s="390" t="s">
        <v>202</v>
      </c>
      <c r="T68" s="390" t="s">
        <v>202</v>
      </c>
      <c r="U68" s="390" t="s">
        <v>203</v>
      </c>
      <c r="V68" s="413"/>
      <c r="W68" s="413"/>
      <c r="X68" s="413"/>
      <c r="Y68" s="413"/>
      <c r="Z68" s="413"/>
      <c r="AA68" s="413"/>
      <c r="AB68" s="413"/>
      <c r="AC68" s="413"/>
    </row>
    <row r="69" spans="1:29" s="401" customFormat="1">
      <c r="A69" s="407">
        <v>39548</v>
      </c>
      <c r="B69" s="408">
        <v>53306</v>
      </c>
      <c r="C69" s="408" t="s">
        <v>624</v>
      </c>
      <c r="D69" s="409">
        <v>136.57</v>
      </c>
      <c r="E69" s="409"/>
      <c r="F69" s="409">
        <v>136.57</v>
      </c>
      <c r="G69" s="409">
        <v>0</v>
      </c>
      <c r="H69" s="409">
        <v>136.57</v>
      </c>
      <c r="I69" s="410">
        <v>1</v>
      </c>
      <c r="J69" s="411">
        <v>1.36</v>
      </c>
      <c r="K69" s="412">
        <v>1084</v>
      </c>
      <c r="L69" s="388" t="s">
        <v>203</v>
      </c>
      <c r="M69" s="388" t="s">
        <v>202</v>
      </c>
      <c r="N69" s="388" t="s">
        <v>202</v>
      </c>
      <c r="O69" s="388" t="s">
        <v>554</v>
      </c>
      <c r="P69" s="412" t="s">
        <v>627</v>
      </c>
      <c r="Q69" s="388" t="s">
        <v>202</v>
      </c>
      <c r="R69" s="388" t="s">
        <v>202</v>
      </c>
      <c r="S69" s="390" t="s">
        <v>202</v>
      </c>
      <c r="T69" s="390" t="s">
        <v>202</v>
      </c>
      <c r="U69" s="390" t="s">
        <v>203</v>
      </c>
      <c r="V69" s="413"/>
      <c r="W69" s="413"/>
      <c r="X69" s="413"/>
      <c r="Y69" s="413"/>
      <c r="Z69" s="413"/>
      <c r="AA69" s="413"/>
      <c r="AB69" s="413"/>
      <c r="AC69" s="413"/>
    </row>
    <row r="70" spans="1:29" s="401" customFormat="1">
      <c r="A70" s="407">
        <v>39582</v>
      </c>
      <c r="B70" s="408">
        <v>53700</v>
      </c>
      <c r="C70" s="408" t="s">
        <v>628</v>
      </c>
      <c r="D70" s="409">
        <v>109.93</v>
      </c>
      <c r="E70" s="409"/>
      <c r="F70" s="409">
        <v>109.93</v>
      </c>
      <c r="G70" s="409"/>
      <c r="H70" s="409">
        <v>109.93</v>
      </c>
      <c r="I70" s="410">
        <v>1</v>
      </c>
      <c r="J70" s="411">
        <v>0.98930000000000007</v>
      </c>
      <c r="K70" s="412">
        <v>1117</v>
      </c>
      <c r="L70" s="388" t="s">
        <v>203</v>
      </c>
      <c r="M70" s="388" t="s">
        <v>202</v>
      </c>
      <c r="N70" s="388" t="s">
        <v>202</v>
      </c>
      <c r="O70" s="388" t="s">
        <v>554</v>
      </c>
      <c r="P70" s="412" t="s">
        <v>629</v>
      </c>
      <c r="Q70" s="388" t="s">
        <v>202</v>
      </c>
      <c r="R70" s="388" t="s">
        <v>202</v>
      </c>
      <c r="S70" s="390" t="s">
        <v>202</v>
      </c>
      <c r="T70" s="390" t="s">
        <v>202</v>
      </c>
      <c r="U70" s="390" t="s">
        <v>203</v>
      </c>
      <c r="V70" s="413"/>
      <c r="W70" s="413"/>
      <c r="X70" s="413"/>
      <c r="Y70" s="413"/>
      <c r="Z70" s="413"/>
      <c r="AA70" s="413"/>
      <c r="AB70" s="413"/>
      <c r="AC70" s="413"/>
    </row>
    <row r="71" spans="1:29" s="401" customFormat="1">
      <c r="A71" s="407">
        <v>39616</v>
      </c>
      <c r="B71" s="408">
        <v>54277</v>
      </c>
      <c r="C71" s="408" t="s">
        <v>630</v>
      </c>
      <c r="D71" s="409">
        <v>83.59</v>
      </c>
      <c r="E71" s="409"/>
      <c r="F71" s="409">
        <v>83.59</v>
      </c>
      <c r="G71" s="409">
        <v>0</v>
      </c>
      <c r="H71" s="409">
        <v>83.59</v>
      </c>
      <c r="I71" s="410">
        <v>1</v>
      </c>
      <c r="J71" s="411">
        <v>0.83590000000000009</v>
      </c>
      <c r="K71" s="412">
        <v>1155</v>
      </c>
      <c r="L71" s="388" t="s">
        <v>203</v>
      </c>
      <c r="M71" s="388" t="s">
        <v>202</v>
      </c>
      <c r="N71" s="388" t="s">
        <v>202</v>
      </c>
      <c r="O71" s="388" t="s">
        <v>554</v>
      </c>
      <c r="P71" s="412" t="s">
        <v>631</v>
      </c>
      <c r="Q71" s="388" t="s">
        <v>202</v>
      </c>
      <c r="R71" s="388" t="s">
        <v>202</v>
      </c>
      <c r="S71" s="390" t="s">
        <v>202</v>
      </c>
      <c r="T71" s="390" t="s">
        <v>202</v>
      </c>
      <c r="U71" s="390" t="s">
        <v>203</v>
      </c>
      <c r="V71" s="413"/>
      <c r="W71" s="413"/>
      <c r="X71" s="413"/>
      <c r="Y71" s="413"/>
      <c r="Z71" s="413"/>
      <c r="AA71" s="413"/>
      <c r="AB71" s="413"/>
      <c r="AC71" s="413"/>
    </row>
    <row r="72" spans="1:29" s="401" customFormat="1">
      <c r="A72" s="407">
        <v>39643</v>
      </c>
      <c r="B72" s="408">
        <v>54806</v>
      </c>
      <c r="C72" s="408" t="s">
        <v>632</v>
      </c>
      <c r="D72" s="409">
        <v>121.76</v>
      </c>
      <c r="E72" s="409"/>
      <c r="F72" s="409">
        <v>121.76</v>
      </c>
      <c r="G72" s="409">
        <v>0</v>
      </c>
      <c r="H72" s="409">
        <v>121.76</v>
      </c>
      <c r="I72" s="410">
        <v>1</v>
      </c>
      <c r="J72" s="411">
        <v>0.93440000000000001</v>
      </c>
      <c r="K72" s="412">
        <v>1220</v>
      </c>
      <c r="L72" s="388" t="s">
        <v>203</v>
      </c>
      <c r="M72" s="388" t="s">
        <v>202</v>
      </c>
      <c r="N72" s="388" t="s">
        <v>202</v>
      </c>
      <c r="O72" s="388" t="s">
        <v>554</v>
      </c>
      <c r="P72" s="412" t="s">
        <v>633</v>
      </c>
      <c r="Q72" s="388" t="s">
        <v>202</v>
      </c>
      <c r="R72" s="388" t="s">
        <v>202</v>
      </c>
      <c r="S72" s="390" t="s">
        <v>202</v>
      </c>
      <c r="T72" s="390" t="s">
        <v>202</v>
      </c>
      <c r="U72" s="390" t="s">
        <v>203</v>
      </c>
      <c r="V72" s="413"/>
      <c r="W72" s="413"/>
      <c r="X72" s="413"/>
      <c r="Y72" s="413"/>
      <c r="Z72" s="413"/>
      <c r="AA72" s="413"/>
      <c r="AB72" s="413"/>
      <c r="AC72" s="413"/>
    </row>
    <row r="73" spans="1:29" s="401" customFormat="1">
      <c r="A73" s="407">
        <v>39679</v>
      </c>
      <c r="B73" s="408">
        <v>55479</v>
      </c>
      <c r="C73" s="408" t="s">
        <v>634</v>
      </c>
      <c r="D73" s="409">
        <v>142.5</v>
      </c>
      <c r="E73" s="409"/>
      <c r="F73" s="409">
        <v>142.5</v>
      </c>
      <c r="G73" s="409">
        <v>0</v>
      </c>
      <c r="H73" s="409">
        <v>142.5</v>
      </c>
      <c r="I73" s="410">
        <v>1</v>
      </c>
      <c r="J73" s="411">
        <v>0.96499999999999997</v>
      </c>
      <c r="K73" s="412">
        <v>1272</v>
      </c>
      <c r="L73" s="388" t="s">
        <v>203</v>
      </c>
      <c r="M73" s="388" t="s">
        <v>202</v>
      </c>
      <c r="N73" s="388" t="s">
        <v>202</v>
      </c>
      <c r="O73" s="388" t="s">
        <v>554</v>
      </c>
      <c r="P73" s="412" t="s">
        <v>635</v>
      </c>
      <c r="Q73" s="388" t="s">
        <v>202</v>
      </c>
      <c r="R73" s="388" t="s">
        <v>202</v>
      </c>
      <c r="S73" s="390" t="s">
        <v>202</v>
      </c>
      <c r="T73" s="390" t="s">
        <v>202</v>
      </c>
      <c r="U73" s="390" t="s">
        <v>203</v>
      </c>
      <c r="V73" s="413"/>
      <c r="W73" s="413"/>
      <c r="X73" s="413"/>
      <c r="Y73" s="413"/>
      <c r="Z73" s="413"/>
      <c r="AA73" s="413"/>
      <c r="AB73" s="413"/>
      <c r="AC73" s="413"/>
    </row>
    <row r="74" spans="1:29" s="401" customFormat="1">
      <c r="A74" s="407">
        <v>39706</v>
      </c>
      <c r="B74" s="408">
        <v>55886</v>
      </c>
      <c r="C74" s="408" t="s">
        <v>636</v>
      </c>
      <c r="D74" s="409">
        <v>96.14</v>
      </c>
      <c r="E74" s="409"/>
      <c r="F74" s="409">
        <v>96.14</v>
      </c>
      <c r="G74" s="409">
        <v>0</v>
      </c>
      <c r="H74" s="409">
        <v>96.14</v>
      </c>
      <c r="I74" s="410">
        <v>1</v>
      </c>
      <c r="J74" s="411">
        <v>0.96140000000000003</v>
      </c>
      <c r="K74" s="412">
        <v>1315</v>
      </c>
      <c r="L74" s="388" t="s">
        <v>203</v>
      </c>
      <c r="M74" s="388" t="s">
        <v>202</v>
      </c>
      <c r="N74" s="388" t="s">
        <v>202</v>
      </c>
      <c r="O74" s="388" t="s">
        <v>554</v>
      </c>
      <c r="P74" s="412" t="s">
        <v>637</v>
      </c>
      <c r="Q74" s="388" t="s">
        <v>202</v>
      </c>
      <c r="R74" s="388" t="s">
        <v>202</v>
      </c>
      <c r="S74" s="390" t="s">
        <v>202</v>
      </c>
      <c r="T74" s="390" t="s">
        <v>202</v>
      </c>
      <c r="U74" s="390" t="s">
        <v>203</v>
      </c>
      <c r="V74" s="413"/>
      <c r="W74" s="413"/>
      <c r="X74" s="413"/>
      <c r="Y74" s="413"/>
      <c r="Z74" s="413"/>
      <c r="AA74" s="413"/>
      <c r="AB74" s="413"/>
      <c r="AC74" s="413"/>
    </row>
    <row r="75" spans="1:29" s="401" customFormat="1">
      <c r="A75" s="407">
        <v>39734</v>
      </c>
      <c r="B75" s="408">
        <v>56328</v>
      </c>
      <c r="C75" s="408" t="s">
        <v>595</v>
      </c>
      <c r="D75" s="409">
        <v>104.51</v>
      </c>
      <c r="E75" s="409"/>
      <c r="F75" s="409">
        <v>104.51</v>
      </c>
      <c r="G75" s="409">
        <v>0</v>
      </c>
      <c r="H75" s="409">
        <v>104.51</v>
      </c>
      <c r="I75" s="410">
        <v>1</v>
      </c>
      <c r="J75" s="411">
        <v>1.0451000000000001</v>
      </c>
      <c r="K75" s="412">
        <v>1353</v>
      </c>
      <c r="L75" s="388" t="s">
        <v>203</v>
      </c>
      <c r="M75" s="388" t="s">
        <v>202</v>
      </c>
      <c r="N75" s="388" t="s">
        <v>202</v>
      </c>
      <c r="O75" s="388" t="s">
        <v>554</v>
      </c>
      <c r="P75" s="412" t="s">
        <v>638</v>
      </c>
      <c r="Q75" s="388" t="s">
        <v>202</v>
      </c>
      <c r="R75" s="388" t="s">
        <v>202</v>
      </c>
      <c r="S75" s="390" t="s">
        <v>202</v>
      </c>
      <c r="T75" s="390" t="s">
        <v>202</v>
      </c>
      <c r="U75" s="390" t="s">
        <v>203</v>
      </c>
      <c r="V75" s="413"/>
      <c r="W75" s="413"/>
      <c r="X75" s="413"/>
      <c r="Y75" s="413"/>
      <c r="Z75" s="413"/>
      <c r="AA75" s="413"/>
      <c r="AB75" s="413"/>
      <c r="AC75" s="413"/>
    </row>
    <row r="76" spans="1:29" s="401" customFormat="1">
      <c r="A76" s="407">
        <v>39765</v>
      </c>
      <c r="B76" s="408">
        <v>57018</v>
      </c>
      <c r="C76" s="408" t="s">
        <v>639</v>
      </c>
      <c r="D76" s="409">
        <v>137.21</v>
      </c>
      <c r="E76" s="409"/>
      <c r="F76" s="409">
        <v>137.21</v>
      </c>
      <c r="G76" s="409">
        <v>0</v>
      </c>
      <c r="H76" s="409">
        <v>137.21</v>
      </c>
      <c r="I76" s="410">
        <v>1</v>
      </c>
      <c r="J76" s="411">
        <v>1.0721000000000001</v>
      </c>
      <c r="K76" s="412">
        <v>1380</v>
      </c>
      <c r="L76" s="388" t="s">
        <v>203</v>
      </c>
      <c r="M76" s="388" t="s">
        <v>202</v>
      </c>
      <c r="N76" s="410" t="s">
        <v>640</v>
      </c>
      <c r="O76" s="388" t="s">
        <v>554</v>
      </c>
      <c r="P76" s="412" t="s">
        <v>641</v>
      </c>
      <c r="Q76" s="388" t="s">
        <v>202</v>
      </c>
      <c r="R76" s="388" t="s">
        <v>202</v>
      </c>
      <c r="S76" s="390" t="s">
        <v>202</v>
      </c>
      <c r="T76" s="390" t="s">
        <v>202</v>
      </c>
      <c r="U76" s="390" t="s">
        <v>203</v>
      </c>
      <c r="V76" s="413"/>
      <c r="W76" s="413"/>
      <c r="X76" s="413"/>
      <c r="Y76" s="413"/>
      <c r="Z76" s="413"/>
    </row>
    <row r="77" spans="1:29" s="401" customFormat="1">
      <c r="A77" s="407">
        <v>39794</v>
      </c>
      <c r="B77" s="408">
        <v>57577</v>
      </c>
      <c r="C77" s="408" t="s">
        <v>309</v>
      </c>
      <c r="D77" s="409">
        <v>117</v>
      </c>
      <c r="E77" s="409"/>
      <c r="F77" s="409">
        <v>117</v>
      </c>
      <c r="G77" s="409">
        <v>0</v>
      </c>
      <c r="H77" s="409">
        <v>117</v>
      </c>
      <c r="I77" s="410">
        <v>1</v>
      </c>
      <c r="J77" s="411">
        <v>0.97</v>
      </c>
      <c r="K77" s="414"/>
      <c r="L77" s="410"/>
      <c r="M77" s="410"/>
      <c r="N77" s="410" t="s">
        <v>640</v>
      </c>
      <c r="O77" s="388" t="s">
        <v>554</v>
      </c>
      <c r="P77" s="412" t="s">
        <v>642</v>
      </c>
      <c r="Q77" s="388" t="s">
        <v>202</v>
      </c>
      <c r="R77" s="388" t="s">
        <v>202</v>
      </c>
      <c r="S77" s="390" t="s">
        <v>202</v>
      </c>
      <c r="T77" s="390" t="s">
        <v>202</v>
      </c>
      <c r="U77" s="390" t="s">
        <v>203</v>
      </c>
      <c r="V77" s="413"/>
      <c r="W77" s="413"/>
      <c r="X77" s="413"/>
      <c r="Y77" s="413"/>
      <c r="Z77" s="413"/>
    </row>
    <row r="78" spans="1:29" s="401" customFormat="1">
      <c r="D78" s="368">
        <f>SUM(D66:D77)</f>
        <v>1469.5800000000002</v>
      </c>
      <c r="F78" s="415"/>
      <c r="H78" s="368"/>
      <c r="O78" s="400"/>
    </row>
    <row r="79" spans="1:29" s="87" customFormat="1"/>
    <row r="80" spans="1:29" s="87" customFormat="1"/>
    <row r="81" spans="1:49" s="345" customFormat="1">
      <c r="A81" s="363" t="s">
        <v>607</v>
      </c>
      <c r="B81" s="378">
        <v>6804</v>
      </c>
      <c r="C81" s="364"/>
      <c r="D81" s="416"/>
      <c r="E81" s="417"/>
      <c r="F81" s="418"/>
      <c r="G81" s="418"/>
      <c r="H81" s="418"/>
      <c r="I81" s="418"/>
      <c r="J81" s="418"/>
      <c r="K81" s="419"/>
      <c r="L81" s="419"/>
      <c r="M81" s="419"/>
      <c r="N81" s="419"/>
      <c r="O81" s="419"/>
      <c r="P81" s="419"/>
      <c r="Q81" s="420"/>
      <c r="R81" s="421"/>
      <c r="S81" s="420"/>
      <c r="T81" s="420"/>
      <c r="U81" s="420"/>
      <c r="V81" s="422"/>
      <c r="W81" s="347"/>
      <c r="X81" s="420"/>
      <c r="Y81" s="419"/>
      <c r="Z81" s="419"/>
      <c r="AA81" s="419"/>
      <c r="AB81" s="419"/>
      <c r="AC81" s="419"/>
      <c r="AD81" s="419"/>
      <c r="AE81" s="419"/>
      <c r="AF81" s="419"/>
      <c r="AG81" s="419"/>
      <c r="AH81" s="419"/>
      <c r="AI81" s="419"/>
      <c r="AJ81" s="419"/>
      <c r="AK81" s="419"/>
      <c r="AL81" s="419"/>
      <c r="AM81" s="419"/>
      <c r="AN81" s="419"/>
      <c r="AO81" s="419"/>
      <c r="AP81" s="419"/>
      <c r="AQ81" s="419"/>
      <c r="AR81" s="419"/>
      <c r="AS81" s="419"/>
      <c r="AT81" s="419"/>
      <c r="AU81" s="419"/>
      <c r="AV81" s="419"/>
      <c r="AW81" s="419"/>
    </row>
    <row r="82" spans="1:49" s="345" customFormat="1">
      <c r="A82" s="363" t="s">
        <v>608</v>
      </c>
      <c r="B82" s="378" t="s">
        <v>643</v>
      </c>
      <c r="C82" s="364"/>
      <c r="D82" s="423"/>
      <c r="G82" s="346" t="s">
        <v>532</v>
      </c>
      <c r="H82" s="347">
        <v>842.87</v>
      </c>
      <c r="I82" s="348"/>
      <c r="J82" s="348" t="s">
        <v>533</v>
      </c>
      <c r="K82" s="348"/>
      <c r="L82" s="349">
        <f>D108</f>
        <v>842.86999999999989</v>
      </c>
      <c r="M82" s="419"/>
      <c r="N82" s="419"/>
      <c r="O82" s="419"/>
      <c r="P82" s="419"/>
      <c r="Q82" s="420"/>
      <c r="R82" s="421"/>
      <c r="S82" s="420"/>
      <c r="T82" s="420"/>
      <c r="U82" s="420"/>
      <c r="V82" s="422"/>
      <c r="W82" s="347"/>
      <c r="X82" s="420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19"/>
      <c r="AL82" s="419"/>
      <c r="AM82" s="419"/>
      <c r="AN82" s="419"/>
      <c r="AO82" s="419"/>
      <c r="AP82" s="419"/>
      <c r="AQ82" s="419"/>
      <c r="AR82" s="419"/>
      <c r="AS82" s="419"/>
      <c r="AT82" s="419"/>
      <c r="AU82" s="419"/>
      <c r="AV82" s="419"/>
      <c r="AW82" s="419"/>
    </row>
    <row r="83" spans="1:49" s="417" customFormat="1"/>
    <row r="84" spans="1:49" s="417" customFormat="1" ht="51">
      <c r="A84" s="424" t="s">
        <v>514</v>
      </c>
      <c r="B84" s="425" t="s">
        <v>610</v>
      </c>
      <c r="C84" s="425" t="s">
        <v>219</v>
      </c>
      <c r="D84" s="425" t="s">
        <v>611</v>
      </c>
      <c r="E84" s="425" t="s">
        <v>525</v>
      </c>
      <c r="F84" s="425" t="s">
        <v>524</v>
      </c>
      <c r="G84" s="425" t="s">
        <v>612</v>
      </c>
      <c r="H84" s="425" t="s">
        <v>644</v>
      </c>
      <c r="I84" s="425" t="s">
        <v>581</v>
      </c>
      <c r="J84" s="425" t="s">
        <v>614</v>
      </c>
      <c r="K84" s="426" t="s">
        <v>615</v>
      </c>
      <c r="L84" s="427" t="s">
        <v>616</v>
      </c>
      <c r="M84" s="427" t="s">
        <v>213</v>
      </c>
      <c r="N84" s="427" t="s">
        <v>617</v>
      </c>
      <c r="O84" s="427" t="s">
        <v>618</v>
      </c>
      <c r="P84" s="426" t="s">
        <v>619</v>
      </c>
      <c r="Q84" s="426" t="s">
        <v>620</v>
      </c>
      <c r="R84" s="426" t="s">
        <v>645</v>
      </c>
      <c r="S84" s="427" t="s">
        <v>622</v>
      </c>
      <c r="T84" s="427" t="s">
        <v>646</v>
      </c>
      <c r="U84" s="427" t="s">
        <v>565</v>
      </c>
      <c r="W84" s="428"/>
      <c r="X84" s="428"/>
      <c r="Y84" s="428"/>
      <c r="Z84" s="428"/>
      <c r="AA84" s="428"/>
      <c r="AB84" s="428"/>
      <c r="AC84" s="428"/>
      <c r="AD84" s="428"/>
      <c r="AE84" s="428"/>
      <c r="AF84" s="428"/>
      <c r="AG84" s="428"/>
      <c r="AH84" s="428"/>
      <c r="AI84" s="428"/>
      <c r="AJ84" s="428"/>
      <c r="AK84" s="428"/>
      <c r="AL84" s="428"/>
      <c r="AM84" s="428"/>
      <c r="AN84" s="428"/>
      <c r="AO84" s="428"/>
      <c r="AP84" s="428"/>
      <c r="AQ84" s="428"/>
      <c r="AR84" s="428"/>
      <c r="AS84" s="428"/>
    </row>
    <row r="85" spans="1:49" s="401" customFormat="1">
      <c r="A85" s="429">
        <v>39442</v>
      </c>
      <c r="B85" s="430">
        <v>51613</v>
      </c>
      <c r="C85" s="430" t="s">
        <v>600</v>
      </c>
      <c r="D85" s="431">
        <v>48.339999999999996</v>
      </c>
      <c r="E85" s="431">
        <v>48.339999999999996</v>
      </c>
      <c r="F85" s="431"/>
      <c r="G85" s="431">
        <v>5.8008000000000006</v>
      </c>
      <c r="H85" s="431">
        <f>D85+G85</f>
        <v>54.140799999999999</v>
      </c>
      <c r="I85" s="430">
        <v>2</v>
      </c>
      <c r="J85" s="431">
        <v>0.96679999999999999</v>
      </c>
      <c r="K85" s="430">
        <v>1025</v>
      </c>
      <c r="L85" s="388" t="s">
        <v>203</v>
      </c>
      <c r="M85" s="388" t="s">
        <v>202</v>
      </c>
      <c r="N85" s="388" t="s">
        <v>202</v>
      </c>
      <c r="O85" s="388" t="s">
        <v>554</v>
      </c>
      <c r="P85" s="430" t="s">
        <v>647</v>
      </c>
      <c r="Q85" s="388" t="s">
        <v>202</v>
      </c>
      <c r="R85" s="388" t="s">
        <v>202</v>
      </c>
      <c r="S85" s="390" t="s">
        <v>202</v>
      </c>
      <c r="T85" s="390" t="s">
        <v>202</v>
      </c>
      <c r="U85" s="390" t="s">
        <v>203</v>
      </c>
      <c r="W85" s="432"/>
      <c r="X85" s="432"/>
      <c r="Y85" s="432"/>
      <c r="Z85" s="432"/>
      <c r="AA85" s="432"/>
      <c r="AB85" s="432"/>
      <c r="AC85" s="432"/>
      <c r="AD85" s="432"/>
      <c r="AE85" s="432"/>
      <c r="AF85" s="432"/>
      <c r="AG85" s="432"/>
      <c r="AH85" s="432"/>
      <c r="AI85" s="432"/>
      <c r="AJ85" s="432"/>
      <c r="AK85" s="432"/>
      <c r="AL85" s="432"/>
      <c r="AM85" s="432"/>
      <c r="AN85" s="432"/>
      <c r="AO85" s="432"/>
      <c r="AP85" s="432"/>
      <c r="AQ85" s="432"/>
      <c r="AR85" s="432"/>
      <c r="AS85" s="432"/>
    </row>
    <row r="86" spans="1:49" s="401" customFormat="1">
      <c r="A86" s="429">
        <v>39442</v>
      </c>
      <c r="B86" s="430">
        <v>51613</v>
      </c>
      <c r="C86" s="430" t="s">
        <v>600</v>
      </c>
      <c r="D86" s="431">
        <v>15.02</v>
      </c>
      <c r="E86" s="431">
        <v>15.02</v>
      </c>
      <c r="F86" s="431"/>
      <c r="G86" s="431">
        <v>1.8023999999999998</v>
      </c>
      <c r="H86" s="431">
        <f t="shared" ref="H86:H107" si="4">D86+G86</f>
        <v>16.822399999999998</v>
      </c>
      <c r="I86" s="430">
        <v>2</v>
      </c>
      <c r="J86" s="431">
        <v>0.3004</v>
      </c>
      <c r="K86" s="430">
        <v>1030</v>
      </c>
      <c r="L86" s="388" t="s">
        <v>203</v>
      </c>
      <c r="M86" s="388" t="s">
        <v>202</v>
      </c>
      <c r="N86" s="388" t="s">
        <v>202</v>
      </c>
      <c r="O86" s="388" t="s">
        <v>554</v>
      </c>
      <c r="P86" s="430" t="s">
        <v>648</v>
      </c>
      <c r="Q86" s="388" t="s">
        <v>202</v>
      </c>
      <c r="R86" s="388" t="s">
        <v>202</v>
      </c>
      <c r="S86" s="390" t="s">
        <v>202</v>
      </c>
      <c r="T86" s="390" t="s">
        <v>202</v>
      </c>
      <c r="U86" s="390" t="s">
        <v>203</v>
      </c>
      <c r="W86" s="432"/>
      <c r="X86" s="432"/>
      <c r="Y86" s="432"/>
      <c r="Z86" s="432"/>
      <c r="AA86" s="432"/>
      <c r="AB86" s="432"/>
      <c r="AC86" s="432"/>
      <c r="AD86" s="432"/>
      <c r="AE86" s="432"/>
      <c r="AF86" s="432"/>
      <c r="AG86" s="432"/>
      <c r="AH86" s="432"/>
      <c r="AI86" s="432"/>
      <c r="AJ86" s="432"/>
      <c r="AK86" s="432"/>
      <c r="AL86" s="432"/>
      <c r="AM86" s="432"/>
      <c r="AN86" s="432"/>
      <c r="AO86" s="432"/>
      <c r="AP86" s="432"/>
      <c r="AQ86" s="432"/>
      <c r="AR86" s="432"/>
      <c r="AS86" s="432"/>
    </row>
    <row r="87" spans="1:49" s="401" customFormat="1">
      <c r="A87" s="429">
        <v>39498</v>
      </c>
      <c r="B87" s="430">
        <v>52254</v>
      </c>
      <c r="C87" s="430" t="s">
        <v>649</v>
      </c>
      <c r="D87" s="431">
        <v>75.760000000000005</v>
      </c>
      <c r="E87" s="431">
        <v>75.760000000000005</v>
      </c>
      <c r="F87" s="431"/>
      <c r="G87" s="431">
        <v>1.6212</v>
      </c>
      <c r="H87" s="431">
        <f t="shared" si="4"/>
        <v>77.381200000000007</v>
      </c>
      <c r="I87" s="430">
        <v>2</v>
      </c>
      <c r="J87" s="431">
        <v>1.5152000000000001</v>
      </c>
      <c r="K87" s="430">
        <v>1032</v>
      </c>
      <c r="L87" s="388" t="s">
        <v>203</v>
      </c>
      <c r="M87" s="388" t="s">
        <v>202</v>
      </c>
      <c r="N87" s="388" t="s">
        <v>202</v>
      </c>
      <c r="O87" s="388" t="s">
        <v>554</v>
      </c>
      <c r="P87" s="430">
        <v>7321005</v>
      </c>
      <c r="Q87" s="388" t="s">
        <v>202</v>
      </c>
      <c r="R87" s="388" t="s">
        <v>202</v>
      </c>
      <c r="S87" s="390" t="s">
        <v>202</v>
      </c>
      <c r="T87" s="390" t="s">
        <v>202</v>
      </c>
      <c r="U87" s="390" t="s">
        <v>203</v>
      </c>
      <c r="W87" s="432"/>
      <c r="X87" s="432"/>
      <c r="Y87" s="432"/>
      <c r="Z87" s="432"/>
      <c r="AA87" s="432"/>
      <c r="AB87" s="432"/>
      <c r="AC87" s="432"/>
      <c r="AD87" s="432"/>
      <c r="AE87" s="432"/>
      <c r="AF87" s="432"/>
      <c r="AG87" s="432"/>
      <c r="AH87" s="432"/>
      <c r="AI87" s="432"/>
      <c r="AJ87" s="432"/>
      <c r="AK87" s="432"/>
      <c r="AL87" s="432"/>
      <c r="AM87" s="432"/>
      <c r="AN87" s="432"/>
      <c r="AO87" s="432"/>
      <c r="AP87" s="432"/>
      <c r="AQ87" s="432"/>
      <c r="AR87" s="432"/>
      <c r="AS87" s="432"/>
    </row>
    <row r="88" spans="1:49" s="401" customFormat="1">
      <c r="A88" s="429">
        <v>39473</v>
      </c>
      <c r="B88" s="430">
        <v>52104</v>
      </c>
      <c r="C88" s="430" t="s">
        <v>600</v>
      </c>
      <c r="D88" s="431">
        <v>54.58</v>
      </c>
      <c r="E88" s="431">
        <v>54.58</v>
      </c>
      <c r="F88" s="431"/>
      <c r="G88" s="431">
        <v>5.4647999999999994</v>
      </c>
      <c r="H88" s="431">
        <f t="shared" si="4"/>
        <v>60.044799999999995</v>
      </c>
      <c r="I88" s="430">
        <v>2</v>
      </c>
      <c r="J88" s="431">
        <v>1.0915999999999999</v>
      </c>
      <c r="K88" s="430">
        <v>1045</v>
      </c>
      <c r="L88" s="388" t="s">
        <v>203</v>
      </c>
      <c r="M88" s="388" t="s">
        <v>202</v>
      </c>
      <c r="N88" s="388" t="s">
        <v>202</v>
      </c>
      <c r="O88" s="388" t="s">
        <v>554</v>
      </c>
      <c r="P88" s="430" t="s">
        <v>601</v>
      </c>
      <c r="Q88" s="388" t="s">
        <v>202</v>
      </c>
      <c r="R88" s="388" t="s">
        <v>202</v>
      </c>
      <c r="S88" s="390" t="s">
        <v>202</v>
      </c>
      <c r="T88" s="390" t="s">
        <v>202</v>
      </c>
      <c r="U88" s="390" t="s">
        <v>203</v>
      </c>
      <c r="W88" s="432"/>
      <c r="X88" s="432"/>
      <c r="Y88" s="432"/>
      <c r="Z88" s="432"/>
      <c r="AA88" s="432"/>
      <c r="AB88" s="432"/>
      <c r="AC88" s="432"/>
      <c r="AD88" s="432"/>
      <c r="AE88" s="432"/>
      <c r="AF88" s="432"/>
      <c r="AG88" s="432"/>
      <c r="AH88" s="432"/>
      <c r="AI88" s="432"/>
      <c r="AJ88" s="432"/>
      <c r="AK88" s="432"/>
      <c r="AL88" s="432"/>
      <c r="AM88" s="432"/>
      <c r="AN88" s="432"/>
      <c r="AO88" s="432"/>
      <c r="AP88" s="432"/>
      <c r="AQ88" s="432"/>
      <c r="AR88" s="432"/>
      <c r="AS88" s="432"/>
    </row>
    <row r="89" spans="1:49" s="401" customFormat="1">
      <c r="A89" s="429">
        <v>39504</v>
      </c>
      <c r="B89" s="430">
        <v>52549</v>
      </c>
      <c r="C89" s="430" t="s">
        <v>600</v>
      </c>
      <c r="D89" s="431">
        <v>12.29</v>
      </c>
      <c r="E89" s="431">
        <v>12.29</v>
      </c>
      <c r="F89" s="431"/>
      <c r="G89" s="431">
        <v>1.4747999999999999</v>
      </c>
      <c r="H89" s="431">
        <f t="shared" si="4"/>
        <v>13.764799999999999</v>
      </c>
      <c r="I89" s="430">
        <v>2</v>
      </c>
      <c r="J89" s="431">
        <v>0.24579999999999999</v>
      </c>
      <c r="K89" s="430">
        <v>1072</v>
      </c>
      <c r="L89" s="388" t="s">
        <v>203</v>
      </c>
      <c r="M89" s="388" t="s">
        <v>202</v>
      </c>
      <c r="N89" s="388" t="s">
        <v>202</v>
      </c>
      <c r="O89" s="388" t="s">
        <v>554</v>
      </c>
      <c r="P89" s="430" t="s">
        <v>602</v>
      </c>
      <c r="Q89" s="388" t="s">
        <v>202</v>
      </c>
      <c r="R89" s="388" t="s">
        <v>202</v>
      </c>
      <c r="S89" s="390" t="s">
        <v>202</v>
      </c>
      <c r="T89" s="390" t="s">
        <v>202</v>
      </c>
      <c r="U89" s="390" t="s">
        <v>203</v>
      </c>
      <c r="W89" s="432"/>
      <c r="X89" s="432"/>
      <c r="Y89" s="432"/>
      <c r="Z89" s="432"/>
      <c r="AA89" s="432"/>
      <c r="AB89" s="432"/>
      <c r="AC89" s="432"/>
      <c r="AD89" s="432"/>
      <c r="AE89" s="432"/>
      <c r="AF89" s="432"/>
      <c r="AG89" s="432"/>
      <c r="AH89" s="432"/>
      <c r="AI89" s="432"/>
      <c r="AJ89" s="432"/>
      <c r="AK89" s="432"/>
      <c r="AL89" s="432"/>
      <c r="AM89" s="432"/>
      <c r="AN89" s="432"/>
      <c r="AO89" s="432"/>
      <c r="AP89" s="432"/>
      <c r="AQ89" s="432"/>
      <c r="AR89" s="432"/>
      <c r="AS89" s="432"/>
    </row>
    <row r="90" spans="1:49" s="401" customFormat="1">
      <c r="A90" s="429">
        <v>39504</v>
      </c>
      <c r="B90" s="430">
        <v>52642</v>
      </c>
      <c r="C90" s="430" t="s">
        <v>600</v>
      </c>
      <c r="D90" s="431">
        <v>64.17</v>
      </c>
      <c r="E90" s="431">
        <v>64.17</v>
      </c>
      <c r="F90" s="431"/>
      <c r="G90" s="431">
        <v>7.7004000000000001</v>
      </c>
      <c r="H90" s="431">
        <f t="shared" si="4"/>
        <v>71.870400000000004</v>
      </c>
      <c r="I90" s="430">
        <v>2</v>
      </c>
      <c r="J90" s="431">
        <v>1.2834000000000001</v>
      </c>
      <c r="K90" s="430">
        <v>1029</v>
      </c>
      <c r="L90" s="388" t="s">
        <v>203</v>
      </c>
      <c r="M90" s="388" t="s">
        <v>202</v>
      </c>
      <c r="N90" s="388" t="s">
        <v>202</v>
      </c>
      <c r="O90" s="388" t="s">
        <v>554</v>
      </c>
      <c r="P90" s="430" t="s">
        <v>650</v>
      </c>
      <c r="Q90" s="388" t="s">
        <v>202</v>
      </c>
      <c r="R90" s="388" t="s">
        <v>202</v>
      </c>
      <c r="S90" s="390" t="s">
        <v>202</v>
      </c>
      <c r="T90" s="390" t="s">
        <v>202</v>
      </c>
      <c r="U90" s="390" t="s">
        <v>203</v>
      </c>
    </row>
    <row r="91" spans="1:49" s="401" customFormat="1">
      <c r="A91" s="429">
        <v>39533</v>
      </c>
      <c r="B91" s="430">
        <v>53157</v>
      </c>
      <c r="C91" s="430" t="s">
        <v>600</v>
      </c>
      <c r="D91" s="431">
        <v>53.88</v>
      </c>
      <c r="E91" s="431">
        <v>53.88</v>
      </c>
      <c r="F91" s="431"/>
      <c r="G91" s="431">
        <v>6.4656000000000002</v>
      </c>
      <c r="H91" s="431">
        <f t="shared" si="4"/>
        <v>60.345600000000005</v>
      </c>
      <c r="I91" s="430">
        <v>2</v>
      </c>
      <c r="J91" s="431">
        <v>1.0776000000000001</v>
      </c>
      <c r="K91" s="430">
        <v>1074</v>
      </c>
      <c r="L91" s="388" t="s">
        <v>203</v>
      </c>
      <c r="M91" s="388" t="s">
        <v>202</v>
      </c>
      <c r="N91" s="388" t="s">
        <v>202</v>
      </c>
      <c r="O91" s="388" t="s">
        <v>554</v>
      </c>
      <c r="P91" s="430" t="s">
        <v>603</v>
      </c>
      <c r="Q91" s="388" t="s">
        <v>202</v>
      </c>
      <c r="R91" s="388" t="s">
        <v>202</v>
      </c>
      <c r="S91" s="390" t="s">
        <v>202</v>
      </c>
      <c r="T91" s="390" t="s">
        <v>202</v>
      </c>
      <c r="U91" s="390" t="s">
        <v>203</v>
      </c>
    </row>
    <row r="92" spans="1:49" s="401" customFormat="1">
      <c r="A92" s="429">
        <v>39533</v>
      </c>
      <c r="B92" s="430">
        <v>53158</v>
      </c>
      <c r="C92" s="430" t="s">
        <v>600</v>
      </c>
      <c r="D92" s="431">
        <v>50.48</v>
      </c>
      <c r="E92" s="431">
        <v>50.48</v>
      </c>
      <c r="F92" s="431"/>
      <c r="G92" s="431">
        <v>1.44</v>
      </c>
      <c r="H92" s="431">
        <f t="shared" si="4"/>
        <v>51.919999999999995</v>
      </c>
      <c r="I92" s="430">
        <v>2</v>
      </c>
      <c r="J92" s="431">
        <v>1.0096000000000001</v>
      </c>
      <c r="K92" s="430">
        <v>1075</v>
      </c>
      <c r="L92" s="388" t="s">
        <v>203</v>
      </c>
      <c r="M92" s="388" t="s">
        <v>202</v>
      </c>
      <c r="N92" s="388" t="s">
        <v>202</v>
      </c>
      <c r="O92" s="388" t="s">
        <v>554</v>
      </c>
      <c r="P92" s="430" t="s">
        <v>651</v>
      </c>
      <c r="Q92" s="388" t="s">
        <v>202</v>
      </c>
      <c r="R92" s="388" t="s">
        <v>202</v>
      </c>
      <c r="S92" s="390" t="s">
        <v>202</v>
      </c>
      <c r="T92" s="390" t="s">
        <v>202</v>
      </c>
      <c r="U92" s="390" t="s">
        <v>203</v>
      </c>
    </row>
    <row r="93" spans="1:49" s="401" customFormat="1">
      <c r="A93" s="429">
        <v>39575</v>
      </c>
      <c r="B93" s="430">
        <v>53535</v>
      </c>
      <c r="C93" s="430" t="s">
        <v>652</v>
      </c>
      <c r="D93" s="431">
        <v>54.85</v>
      </c>
      <c r="E93" s="431">
        <v>54.85</v>
      </c>
      <c r="F93" s="431"/>
      <c r="G93" s="431">
        <v>6.5495999999999999</v>
      </c>
      <c r="H93" s="431">
        <f t="shared" si="4"/>
        <v>61.3996</v>
      </c>
      <c r="I93" s="430">
        <v>2</v>
      </c>
      <c r="J93" s="431">
        <v>1.097</v>
      </c>
      <c r="K93" s="430">
        <v>1098</v>
      </c>
      <c r="L93" s="388" t="s">
        <v>203</v>
      </c>
      <c r="M93" s="388" t="s">
        <v>202</v>
      </c>
      <c r="N93" s="388" t="s">
        <v>202</v>
      </c>
      <c r="O93" s="388" t="s">
        <v>554</v>
      </c>
      <c r="P93" s="430">
        <v>6546879</v>
      </c>
      <c r="Q93" s="388" t="s">
        <v>202</v>
      </c>
      <c r="R93" s="388" t="s">
        <v>202</v>
      </c>
      <c r="S93" s="390" t="s">
        <v>202</v>
      </c>
      <c r="T93" s="390" t="s">
        <v>202</v>
      </c>
      <c r="U93" s="390" t="s">
        <v>203</v>
      </c>
    </row>
    <row r="94" spans="1:49" s="401" customFormat="1">
      <c r="A94" s="429">
        <v>39577</v>
      </c>
      <c r="B94" s="430">
        <v>53616</v>
      </c>
      <c r="C94" s="430" t="s">
        <v>652</v>
      </c>
      <c r="D94" s="431">
        <v>13.44</v>
      </c>
      <c r="E94" s="431">
        <v>13.44</v>
      </c>
      <c r="F94" s="431"/>
      <c r="G94" s="431">
        <v>1.44</v>
      </c>
      <c r="H94" s="431">
        <f t="shared" si="4"/>
        <v>14.879999999999999</v>
      </c>
      <c r="I94" s="430">
        <v>2</v>
      </c>
      <c r="J94" s="431">
        <v>0.26879999999999998</v>
      </c>
      <c r="K94" s="430">
        <v>1114</v>
      </c>
      <c r="L94" s="388" t="s">
        <v>203</v>
      </c>
      <c r="M94" s="388" t="s">
        <v>202</v>
      </c>
      <c r="N94" s="388" t="s">
        <v>202</v>
      </c>
      <c r="O94" s="388" t="s">
        <v>554</v>
      </c>
      <c r="P94" s="430">
        <v>9114672</v>
      </c>
      <c r="Q94" s="388" t="s">
        <v>202</v>
      </c>
      <c r="R94" s="388" t="s">
        <v>202</v>
      </c>
      <c r="S94" s="390" t="s">
        <v>202</v>
      </c>
      <c r="T94" s="390" t="s">
        <v>202</v>
      </c>
      <c r="U94" s="390" t="s">
        <v>203</v>
      </c>
    </row>
    <row r="95" spans="1:49" s="401" customFormat="1">
      <c r="A95" s="429">
        <v>39608</v>
      </c>
      <c r="B95" s="430">
        <v>54199</v>
      </c>
      <c r="C95" s="430" t="s">
        <v>604</v>
      </c>
      <c r="D95" s="431">
        <v>43.6</v>
      </c>
      <c r="E95" s="431">
        <v>43.6</v>
      </c>
      <c r="F95" s="431"/>
      <c r="G95" s="431">
        <v>0</v>
      </c>
      <c r="H95" s="431">
        <f t="shared" si="4"/>
        <v>43.6</v>
      </c>
      <c r="I95" s="430">
        <v>2</v>
      </c>
      <c r="J95" s="431">
        <v>0.872</v>
      </c>
      <c r="K95" s="430">
        <v>1152</v>
      </c>
      <c r="L95" s="388" t="s">
        <v>203</v>
      </c>
      <c r="M95" s="388" t="s">
        <v>202</v>
      </c>
      <c r="N95" s="388" t="s">
        <v>202</v>
      </c>
      <c r="O95" s="388" t="s">
        <v>554</v>
      </c>
      <c r="P95" s="430">
        <v>220859</v>
      </c>
      <c r="Q95" s="388" t="s">
        <v>202</v>
      </c>
      <c r="R95" s="388" t="s">
        <v>202</v>
      </c>
      <c r="S95" s="390" t="s">
        <v>202</v>
      </c>
      <c r="T95" s="390" t="s">
        <v>202</v>
      </c>
      <c r="U95" s="390" t="s">
        <v>203</v>
      </c>
    </row>
    <row r="96" spans="1:49" s="401" customFormat="1">
      <c r="A96" s="429">
        <v>39608</v>
      </c>
      <c r="B96" s="430">
        <v>54199</v>
      </c>
      <c r="C96" s="430" t="s">
        <v>604</v>
      </c>
      <c r="D96" s="431">
        <v>50.25</v>
      </c>
      <c r="E96" s="431">
        <v>50.25</v>
      </c>
      <c r="F96" s="431"/>
      <c r="G96" s="431">
        <v>0</v>
      </c>
      <c r="H96" s="431">
        <f t="shared" si="4"/>
        <v>50.25</v>
      </c>
      <c r="I96" s="430">
        <v>2</v>
      </c>
      <c r="J96" s="431">
        <v>1.0049999999999999</v>
      </c>
      <c r="K96" s="430">
        <v>1151</v>
      </c>
      <c r="L96" s="388" t="s">
        <v>203</v>
      </c>
      <c r="M96" s="388" t="s">
        <v>202</v>
      </c>
      <c r="N96" s="388" t="s">
        <v>202</v>
      </c>
      <c r="O96" s="388" t="s">
        <v>554</v>
      </c>
      <c r="P96" s="430">
        <v>126824</v>
      </c>
      <c r="Q96" s="388" t="s">
        <v>202</v>
      </c>
      <c r="R96" s="388" t="s">
        <v>202</v>
      </c>
      <c r="S96" s="390" t="s">
        <v>202</v>
      </c>
      <c r="T96" s="390" t="s">
        <v>202</v>
      </c>
      <c r="U96" s="390" t="s">
        <v>203</v>
      </c>
    </row>
    <row r="97" spans="1:21" s="401" customFormat="1">
      <c r="A97" s="429">
        <v>39666</v>
      </c>
      <c r="B97" s="430">
        <v>55236</v>
      </c>
      <c r="C97" s="430" t="s">
        <v>653</v>
      </c>
      <c r="D97" s="431">
        <v>28.42</v>
      </c>
      <c r="E97" s="431">
        <v>28.42</v>
      </c>
      <c r="F97" s="431"/>
      <c r="G97" s="431">
        <v>3.4104000000000001</v>
      </c>
      <c r="H97" s="431">
        <f t="shared" si="4"/>
        <v>31.830400000000001</v>
      </c>
      <c r="I97" s="430">
        <v>2</v>
      </c>
      <c r="J97" s="431">
        <v>0.56840000000000002</v>
      </c>
      <c r="K97" s="430">
        <v>1255</v>
      </c>
      <c r="L97" s="388" t="s">
        <v>203</v>
      </c>
      <c r="M97" s="388" t="s">
        <v>202</v>
      </c>
      <c r="N97" s="388" t="s">
        <v>202</v>
      </c>
      <c r="O97" s="388" t="s">
        <v>554</v>
      </c>
      <c r="P97" s="430">
        <v>78313</v>
      </c>
      <c r="Q97" s="388" t="s">
        <v>202</v>
      </c>
      <c r="R97" s="388" t="s">
        <v>202</v>
      </c>
      <c r="S97" s="390" t="s">
        <v>202</v>
      </c>
      <c r="T97" s="390" t="s">
        <v>202</v>
      </c>
      <c r="U97" s="390" t="s">
        <v>203</v>
      </c>
    </row>
    <row r="98" spans="1:21" s="401" customFormat="1">
      <c r="A98" s="429">
        <v>39666</v>
      </c>
      <c r="B98" s="430">
        <v>55239</v>
      </c>
      <c r="C98" s="430" t="s">
        <v>654</v>
      </c>
      <c r="D98" s="431">
        <v>38.659999999999997</v>
      </c>
      <c r="E98" s="431">
        <v>38.659999999999997</v>
      </c>
      <c r="F98" s="431"/>
      <c r="G98" s="431">
        <v>4.6391999999999998</v>
      </c>
      <c r="H98" s="431">
        <f t="shared" si="4"/>
        <v>43.299199999999999</v>
      </c>
      <c r="I98" s="430">
        <v>2</v>
      </c>
      <c r="J98" s="431">
        <v>0.7732</v>
      </c>
      <c r="K98" s="430">
        <v>1257</v>
      </c>
      <c r="L98" s="388" t="s">
        <v>203</v>
      </c>
      <c r="M98" s="388" t="s">
        <v>202</v>
      </c>
      <c r="N98" s="388" t="s">
        <v>202</v>
      </c>
      <c r="O98" s="388" t="s">
        <v>554</v>
      </c>
      <c r="P98" s="430">
        <v>170508</v>
      </c>
      <c r="Q98" s="388" t="s">
        <v>202</v>
      </c>
      <c r="R98" s="388" t="s">
        <v>202</v>
      </c>
      <c r="S98" s="390" t="s">
        <v>202</v>
      </c>
      <c r="T98" s="390" t="s">
        <v>202</v>
      </c>
      <c r="U98" s="390" t="s">
        <v>203</v>
      </c>
    </row>
    <row r="99" spans="1:21" s="401" customFormat="1">
      <c r="A99" s="429">
        <v>39693</v>
      </c>
      <c r="B99" s="430">
        <v>55626</v>
      </c>
      <c r="C99" s="430" t="s">
        <v>655</v>
      </c>
      <c r="D99" s="431">
        <v>46.05</v>
      </c>
      <c r="E99" s="431">
        <v>46.05</v>
      </c>
      <c r="F99" s="431"/>
      <c r="G99" s="431">
        <v>5.5259999999999998</v>
      </c>
      <c r="H99" s="431">
        <f t="shared" si="4"/>
        <v>51.575999999999993</v>
      </c>
      <c r="I99" s="430">
        <v>2</v>
      </c>
      <c r="J99" s="431">
        <v>0.92099999999999993</v>
      </c>
      <c r="K99" s="430">
        <v>1290</v>
      </c>
      <c r="L99" s="388" t="s">
        <v>203</v>
      </c>
      <c r="M99" s="388" t="s">
        <v>202</v>
      </c>
      <c r="N99" s="388" t="s">
        <v>202</v>
      </c>
      <c r="O99" s="388" t="s">
        <v>554</v>
      </c>
      <c r="P99" s="430">
        <v>864196</v>
      </c>
      <c r="Q99" s="388" t="s">
        <v>202</v>
      </c>
      <c r="R99" s="388" t="s">
        <v>202</v>
      </c>
      <c r="S99" s="390" t="s">
        <v>202</v>
      </c>
      <c r="T99" s="390" t="s">
        <v>202</v>
      </c>
      <c r="U99" s="390" t="s">
        <v>203</v>
      </c>
    </row>
    <row r="100" spans="1:21" s="401" customFormat="1">
      <c r="A100" s="429">
        <v>39693</v>
      </c>
      <c r="B100" s="430">
        <v>55626</v>
      </c>
      <c r="C100" s="430" t="s">
        <v>655</v>
      </c>
      <c r="D100" s="431">
        <v>13.53</v>
      </c>
      <c r="E100" s="431">
        <v>13.53</v>
      </c>
      <c r="F100" s="431"/>
      <c r="G100" s="431">
        <v>1.6235999999999999</v>
      </c>
      <c r="H100" s="431">
        <f t="shared" si="4"/>
        <v>15.153599999999999</v>
      </c>
      <c r="I100" s="430">
        <v>2</v>
      </c>
      <c r="J100" s="431">
        <v>0.27060000000000001</v>
      </c>
      <c r="K100" s="430">
        <v>1289</v>
      </c>
      <c r="L100" s="388" t="s">
        <v>203</v>
      </c>
      <c r="M100" s="388" t="s">
        <v>202</v>
      </c>
      <c r="N100" s="388" t="s">
        <v>202</v>
      </c>
      <c r="O100" s="388" t="s">
        <v>554</v>
      </c>
      <c r="P100" s="430">
        <v>956662</v>
      </c>
      <c r="Q100" s="388" t="s">
        <v>202</v>
      </c>
      <c r="R100" s="388" t="s">
        <v>202</v>
      </c>
      <c r="S100" s="390" t="s">
        <v>202</v>
      </c>
      <c r="T100" s="390" t="s">
        <v>202</v>
      </c>
      <c r="U100" s="390" t="s">
        <v>203</v>
      </c>
    </row>
    <row r="101" spans="1:21" s="401" customFormat="1">
      <c r="A101" s="429">
        <v>39734</v>
      </c>
      <c r="B101" s="430">
        <v>56327</v>
      </c>
      <c r="C101" s="430" t="s">
        <v>606</v>
      </c>
      <c r="D101" s="431">
        <v>38.1</v>
      </c>
      <c r="E101" s="431">
        <v>38.1</v>
      </c>
      <c r="F101" s="431"/>
      <c r="G101" s="431">
        <v>4.5720000000000001</v>
      </c>
      <c r="H101" s="431">
        <f t="shared" si="4"/>
        <v>42.672000000000004</v>
      </c>
      <c r="I101" s="430">
        <v>2</v>
      </c>
      <c r="J101" s="431">
        <v>0.76200000000000001</v>
      </c>
      <c r="K101" s="430">
        <v>1350</v>
      </c>
      <c r="L101" s="388" t="s">
        <v>203</v>
      </c>
      <c r="M101" s="388" t="s">
        <v>202</v>
      </c>
      <c r="N101" s="388" t="s">
        <v>202</v>
      </c>
      <c r="O101" s="388" t="s">
        <v>554</v>
      </c>
      <c r="P101" s="430">
        <v>1776898</v>
      </c>
      <c r="Q101" s="388" t="s">
        <v>202</v>
      </c>
      <c r="R101" s="388" t="s">
        <v>202</v>
      </c>
      <c r="S101" s="390" t="s">
        <v>202</v>
      </c>
      <c r="T101" s="390" t="s">
        <v>202</v>
      </c>
      <c r="U101" s="390" t="s">
        <v>203</v>
      </c>
    </row>
    <row r="102" spans="1:21" s="401" customFormat="1">
      <c r="A102" s="429">
        <v>39734</v>
      </c>
      <c r="B102" s="430">
        <v>56327</v>
      </c>
      <c r="C102" s="430" t="s">
        <v>606</v>
      </c>
      <c r="D102" s="431">
        <v>13.75</v>
      </c>
      <c r="E102" s="431">
        <v>13.75</v>
      </c>
      <c r="F102" s="431"/>
      <c r="G102" s="431">
        <v>1.65</v>
      </c>
      <c r="H102" s="431">
        <f t="shared" si="4"/>
        <v>15.4</v>
      </c>
      <c r="I102" s="430">
        <v>2</v>
      </c>
      <c r="J102" s="431">
        <v>0.27500000000000002</v>
      </c>
      <c r="K102" s="430">
        <v>1351</v>
      </c>
      <c r="L102" s="388" t="s">
        <v>203</v>
      </c>
      <c r="M102" s="388" t="s">
        <v>202</v>
      </c>
      <c r="N102" s="388" t="s">
        <v>202</v>
      </c>
      <c r="O102" s="388" t="s">
        <v>554</v>
      </c>
      <c r="P102" s="430">
        <v>1869019</v>
      </c>
      <c r="Q102" s="388" t="s">
        <v>202</v>
      </c>
      <c r="R102" s="388" t="s">
        <v>202</v>
      </c>
      <c r="S102" s="390" t="s">
        <v>202</v>
      </c>
      <c r="T102" s="390" t="s">
        <v>202</v>
      </c>
      <c r="U102" s="390" t="s">
        <v>203</v>
      </c>
    </row>
    <row r="103" spans="1:21" s="401" customFormat="1">
      <c r="A103" s="429">
        <v>39765</v>
      </c>
      <c r="B103" s="430">
        <v>57014</v>
      </c>
      <c r="C103" s="430" t="s">
        <v>656</v>
      </c>
      <c r="D103" s="431">
        <v>14.35</v>
      </c>
      <c r="E103" s="431">
        <v>14.35</v>
      </c>
      <c r="F103" s="431"/>
      <c r="G103" s="431">
        <v>1.722</v>
      </c>
      <c r="H103" s="431">
        <f t="shared" si="4"/>
        <v>16.071999999999999</v>
      </c>
      <c r="I103" s="430">
        <v>2</v>
      </c>
      <c r="J103" s="431">
        <v>0.28699999999999998</v>
      </c>
      <c r="K103" s="430">
        <v>1377</v>
      </c>
      <c r="L103" s="388" t="s">
        <v>203</v>
      </c>
      <c r="M103" s="388" t="s">
        <v>202</v>
      </c>
      <c r="N103" s="388" t="s">
        <v>202</v>
      </c>
      <c r="O103" s="388" t="s">
        <v>554</v>
      </c>
      <c r="P103" s="430">
        <v>2259944</v>
      </c>
      <c r="Q103" s="388" t="s">
        <v>202</v>
      </c>
      <c r="R103" s="388" t="s">
        <v>202</v>
      </c>
      <c r="S103" s="390" t="s">
        <v>202</v>
      </c>
      <c r="T103" s="390" t="s">
        <v>202</v>
      </c>
      <c r="U103" s="390" t="s">
        <v>203</v>
      </c>
    </row>
    <row r="104" spans="1:21" s="401" customFormat="1">
      <c r="A104" s="429">
        <v>39765</v>
      </c>
      <c r="B104" s="430">
        <v>57014</v>
      </c>
      <c r="C104" s="430" t="s">
        <v>656</v>
      </c>
      <c r="D104" s="431">
        <v>36.81</v>
      </c>
      <c r="E104" s="431">
        <v>36.81</v>
      </c>
      <c r="F104" s="431"/>
      <c r="G104" s="431">
        <v>4.4172000000000002</v>
      </c>
      <c r="H104" s="431">
        <f t="shared" si="4"/>
        <v>41.227200000000003</v>
      </c>
      <c r="I104" s="430">
        <v>2</v>
      </c>
      <c r="J104" s="431">
        <v>0.73620000000000008</v>
      </c>
      <c r="K104" s="430">
        <v>1376</v>
      </c>
      <c r="L104" s="388" t="s">
        <v>203</v>
      </c>
      <c r="M104" s="388" t="s">
        <v>202</v>
      </c>
      <c r="N104" s="388" t="s">
        <v>202</v>
      </c>
      <c r="O104" s="388" t="s">
        <v>554</v>
      </c>
      <c r="P104" s="430">
        <v>2167384</v>
      </c>
      <c r="Q104" s="388" t="s">
        <v>202</v>
      </c>
      <c r="R104" s="388" t="s">
        <v>202</v>
      </c>
      <c r="S104" s="390" t="s">
        <v>202</v>
      </c>
      <c r="T104" s="390" t="s">
        <v>202</v>
      </c>
      <c r="U104" s="390" t="s">
        <v>203</v>
      </c>
    </row>
    <row r="105" spans="1:21" s="401" customFormat="1">
      <c r="A105" s="429">
        <v>39639</v>
      </c>
      <c r="B105" s="430">
        <v>54737</v>
      </c>
      <c r="C105" s="430" t="s">
        <v>605</v>
      </c>
      <c r="D105" s="431">
        <v>48.72</v>
      </c>
      <c r="E105" s="431">
        <v>48.72</v>
      </c>
      <c r="F105" s="431"/>
      <c r="G105" s="431">
        <v>5.8464</v>
      </c>
      <c r="H105" s="431">
        <f t="shared" si="4"/>
        <v>54.566400000000002</v>
      </c>
      <c r="I105" s="430">
        <v>2</v>
      </c>
      <c r="J105" s="431">
        <v>0.97440000000000004</v>
      </c>
      <c r="K105" s="430">
        <v>1215</v>
      </c>
      <c r="L105" s="388" t="s">
        <v>203</v>
      </c>
      <c r="M105" s="388" t="s">
        <v>202</v>
      </c>
      <c r="N105" s="388" t="s">
        <v>202</v>
      </c>
      <c r="O105" s="388" t="s">
        <v>554</v>
      </c>
      <c r="P105" s="430">
        <v>704446</v>
      </c>
      <c r="Q105" s="388" t="s">
        <v>202</v>
      </c>
      <c r="R105" s="388" t="s">
        <v>202</v>
      </c>
      <c r="S105" s="390" t="s">
        <v>202</v>
      </c>
      <c r="T105" s="390" t="s">
        <v>202</v>
      </c>
      <c r="U105" s="390" t="s">
        <v>203</v>
      </c>
    </row>
    <row r="106" spans="1:21" s="401" customFormat="1">
      <c r="A106" s="429">
        <v>39639</v>
      </c>
      <c r="B106" s="430">
        <v>54737</v>
      </c>
      <c r="C106" s="430" t="s">
        <v>605</v>
      </c>
      <c r="D106" s="431">
        <v>12.9</v>
      </c>
      <c r="E106" s="431">
        <v>12.9</v>
      </c>
      <c r="F106" s="431"/>
      <c r="G106" s="431">
        <v>1.548</v>
      </c>
      <c r="H106" s="431">
        <f t="shared" si="4"/>
        <v>14.448</v>
      </c>
      <c r="I106" s="430">
        <v>2</v>
      </c>
      <c r="J106" s="431">
        <v>0.25800000000000001</v>
      </c>
      <c r="K106" s="430">
        <v>1216</v>
      </c>
      <c r="L106" s="388" t="s">
        <v>203</v>
      </c>
      <c r="M106" s="388" t="s">
        <v>202</v>
      </c>
      <c r="N106" s="388" t="s">
        <v>202</v>
      </c>
      <c r="O106" s="388" t="s">
        <v>554</v>
      </c>
      <c r="P106" s="430">
        <v>612499</v>
      </c>
      <c r="Q106" s="388" t="s">
        <v>202</v>
      </c>
      <c r="R106" s="388" t="s">
        <v>202</v>
      </c>
      <c r="S106" s="390" t="s">
        <v>202</v>
      </c>
      <c r="T106" s="390" t="s">
        <v>202</v>
      </c>
      <c r="U106" s="390" t="s">
        <v>203</v>
      </c>
    </row>
    <row r="107" spans="1:21" s="401" customFormat="1">
      <c r="A107" s="429">
        <v>39794</v>
      </c>
      <c r="B107" s="430">
        <v>57577</v>
      </c>
      <c r="C107" s="430" t="s">
        <v>305</v>
      </c>
      <c r="D107" s="431">
        <v>14.92</v>
      </c>
      <c r="E107" s="431">
        <v>14.92</v>
      </c>
      <c r="F107" s="431"/>
      <c r="G107" s="431">
        <v>1.7904</v>
      </c>
      <c r="H107" s="431">
        <f t="shared" si="4"/>
        <v>16.7104</v>
      </c>
      <c r="I107" s="430">
        <v>2</v>
      </c>
      <c r="J107" s="431">
        <v>0.2984</v>
      </c>
      <c r="K107" s="430">
        <v>1218</v>
      </c>
      <c r="L107" s="388" t="s">
        <v>203</v>
      </c>
      <c r="M107" s="388" t="s">
        <v>202</v>
      </c>
      <c r="N107" s="388" t="s">
        <v>202</v>
      </c>
      <c r="O107" s="388" t="s">
        <v>554</v>
      </c>
      <c r="P107" s="430">
        <v>39780</v>
      </c>
      <c r="Q107" s="388" t="s">
        <v>202</v>
      </c>
      <c r="R107" s="388" t="s">
        <v>202</v>
      </c>
      <c r="S107" s="390" t="s">
        <v>202</v>
      </c>
      <c r="T107" s="390" t="s">
        <v>202</v>
      </c>
      <c r="U107" s="390" t="s">
        <v>203</v>
      </c>
    </row>
    <row r="108" spans="1:21" s="401" customFormat="1">
      <c r="D108" s="368">
        <f>SUM(D85:D107)</f>
        <v>842.86999999999989</v>
      </c>
      <c r="E108" s="415"/>
      <c r="F108" s="415"/>
      <c r="G108" s="415"/>
      <c r="H108" s="415"/>
      <c r="M108" s="400"/>
      <c r="N108" s="400"/>
      <c r="O108" s="400"/>
      <c r="Q108" s="400"/>
      <c r="R108" s="433"/>
      <c r="S108" s="434"/>
      <c r="T108" s="434"/>
    </row>
    <row r="109" spans="1:21" s="401" customFormat="1">
      <c r="D109" s="367"/>
      <c r="M109" s="400"/>
      <c r="N109" s="400"/>
      <c r="O109" s="400"/>
      <c r="Q109" s="400"/>
      <c r="R109" s="433"/>
      <c r="S109" s="434"/>
      <c r="T109" s="434"/>
    </row>
    <row r="110" spans="1:21" s="401" customFormat="1">
      <c r="D110" s="367"/>
      <c r="M110" s="400"/>
      <c r="N110" s="400"/>
      <c r="O110" s="400"/>
      <c r="Q110" s="400"/>
      <c r="R110" s="433"/>
      <c r="S110" s="434"/>
      <c r="T110" s="434"/>
    </row>
    <row r="111" spans="1:21" s="401" customFormat="1">
      <c r="D111" s="367"/>
      <c r="M111" s="400"/>
      <c r="N111" s="400"/>
      <c r="O111" s="400"/>
      <c r="Q111" s="400"/>
      <c r="R111" s="433"/>
      <c r="S111" s="434"/>
      <c r="T111" s="434"/>
    </row>
    <row r="112" spans="1:21" s="87" customFormat="1">
      <c r="M112" s="435"/>
      <c r="N112" s="435"/>
      <c r="O112" s="400"/>
    </row>
    <row r="113" spans="2:15" s="87" customFormat="1">
      <c r="M113" s="435"/>
      <c r="N113" s="435"/>
      <c r="O113" s="400"/>
    </row>
    <row r="114" spans="2:15" s="87" customFormat="1" ht="13.5" thickBot="1"/>
    <row r="115" spans="2:15" s="87" customFormat="1" ht="15.75" thickBot="1">
      <c r="B115" s="436" t="s">
        <v>170</v>
      </c>
      <c r="C115" s="437" t="s">
        <v>219</v>
      </c>
      <c r="D115" s="438" t="s">
        <v>17</v>
      </c>
    </row>
    <row r="116" spans="2:15" s="87" customFormat="1">
      <c r="B116" s="439">
        <v>6201</v>
      </c>
      <c r="C116" s="440" t="s">
        <v>573</v>
      </c>
      <c r="D116" s="441">
        <v>1922.56</v>
      </c>
    </row>
    <row r="117" spans="2:15" s="87" customFormat="1">
      <c r="B117" s="442">
        <v>6202</v>
      </c>
      <c r="C117" s="443" t="s">
        <v>657</v>
      </c>
      <c r="D117" s="444">
        <v>1490.75</v>
      </c>
    </row>
    <row r="118" spans="2:15" s="87" customFormat="1">
      <c r="B118" s="442">
        <v>6212</v>
      </c>
      <c r="C118" s="443" t="s">
        <v>658</v>
      </c>
      <c r="D118" s="444">
        <v>210.04</v>
      </c>
    </row>
    <row r="119" spans="2:15" s="87" customFormat="1">
      <c r="B119" s="442">
        <v>6803</v>
      </c>
      <c r="C119" s="443" t="s">
        <v>609</v>
      </c>
      <c r="D119" s="444">
        <v>1469.58</v>
      </c>
    </row>
    <row r="120" spans="2:15" s="87" customFormat="1">
      <c r="B120" s="442">
        <v>6804</v>
      </c>
      <c r="C120" s="443" t="s">
        <v>643</v>
      </c>
      <c r="D120" s="444">
        <v>842.87</v>
      </c>
    </row>
    <row r="121" spans="2:15" s="87" customFormat="1" ht="15">
      <c r="B121" s="445" t="s">
        <v>183</v>
      </c>
      <c r="C121" s="446"/>
      <c r="D121" s="447">
        <f>SUM(D116:D120)</f>
        <v>5935.8</v>
      </c>
    </row>
    <row r="122" spans="2:15" s="87" customFormat="1"/>
    <row r="123" spans="2:15" s="87" customFormat="1"/>
    <row r="124" spans="2:15" s="87" customFormat="1"/>
    <row r="125" spans="2:15" s="87" customFormat="1"/>
    <row r="126" spans="2:15" s="87" customFormat="1"/>
    <row r="127" spans="2:15" s="87" customFormat="1"/>
    <row r="128" spans="2:15" s="87" customFormat="1"/>
    <row r="129" s="87" customFormat="1"/>
    <row r="130" s="87" customFormat="1"/>
    <row r="131" s="87" customFormat="1"/>
    <row r="132" s="87" customFormat="1"/>
    <row r="133" s="87" customFormat="1"/>
    <row r="134" s="87" customFormat="1"/>
    <row r="135" s="87" customFormat="1"/>
    <row r="136" s="87" customFormat="1"/>
    <row r="137" s="87" customFormat="1"/>
    <row r="138" s="87" customFormat="1"/>
    <row r="139" s="87" customFormat="1"/>
    <row r="140" s="87" customFormat="1"/>
    <row r="141" s="87" customFormat="1"/>
    <row r="142" s="87" customFormat="1"/>
    <row r="143" s="87" customFormat="1"/>
    <row r="144" s="87" customFormat="1"/>
    <row r="145" s="87" customFormat="1"/>
    <row r="146" s="87" customFormat="1"/>
    <row r="147" s="87" customFormat="1"/>
    <row r="148" s="87" customFormat="1"/>
    <row r="149" s="87" customFormat="1"/>
    <row r="150" s="87" customFormat="1"/>
    <row r="151" s="87" customFormat="1"/>
    <row r="152" s="87" customFormat="1"/>
    <row r="153" s="87" customFormat="1"/>
    <row r="154" s="87" customFormat="1"/>
    <row r="155" s="87" customFormat="1"/>
    <row r="156" s="87" customFormat="1"/>
    <row r="157" s="87" customFormat="1"/>
    <row r="158" s="87" customFormat="1"/>
    <row r="159" s="87" customFormat="1"/>
    <row r="160" s="87" customFormat="1"/>
    <row r="161" s="87" customFormat="1"/>
    <row r="162" s="87" customFormat="1"/>
    <row r="163" s="87" customFormat="1"/>
    <row r="164" s="87" customFormat="1"/>
    <row r="165" s="87" customFormat="1"/>
    <row r="166" s="87" customFormat="1"/>
    <row r="167" s="87" customFormat="1"/>
    <row r="168" s="87" customFormat="1"/>
    <row r="169" s="87" customFormat="1"/>
    <row r="170" s="87" customFormat="1"/>
    <row r="171" s="87" customFormat="1"/>
  </sheetData>
  <mergeCells count="63">
    <mergeCell ref="U45:U46"/>
    <mergeCell ref="O45:O46"/>
    <mergeCell ref="P45:P46"/>
    <mergeCell ref="Q45:Q46"/>
    <mergeCell ref="R45:R46"/>
    <mergeCell ref="S45:S46"/>
    <mergeCell ref="T45:T46"/>
    <mergeCell ref="I45:I46"/>
    <mergeCell ref="J45:J46"/>
    <mergeCell ref="K45:K46"/>
    <mergeCell ref="L45:L46"/>
    <mergeCell ref="M45:M46"/>
    <mergeCell ref="N45:N46"/>
    <mergeCell ref="T26:T27"/>
    <mergeCell ref="U26:U27"/>
    <mergeCell ref="A45:A46"/>
    <mergeCell ref="B45:B46"/>
    <mergeCell ref="C45:C46"/>
    <mergeCell ref="D45:D46"/>
    <mergeCell ref="E45:E46"/>
    <mergeCell ref="F45:F46"/>
    <mergeCell ref="G45:G46"/>
    <mergeCell ref="H45:H46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6:M27"/>
    <mergeCell ref="S8:S9"/>
    <mergeCell ref="T8:T9"/>
    <mergeCell ref="U8:U9"/>
    <mergeCell ref="A26:A27"/>
    <mergeCell ref="B26:B27"/>
    <mergeCell ref="C26:C27"/>
    <mergeCell ref="D26:D27"/>
    <mergeCell ref="E26:E27"/>
    <mergeCell ref="F26:F27"/>
    <mergeCell ref="G26:G27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rintOptions horizontalCentered="1"/>
  <pageMargins left="0.47244094488188981" right="0.19685039370078741" top="0.74803149606299213" bottom="0.98425196850393704" header="0" footer="0"/>
  <pageSetup paperSize="9" scale="50" orientation="landscape" horizontalDpi="300" verticalDpi="300" r:id="rId1"/>
  <headerFooter alignWithMargins="0"/>
  <rowBreaks count="1" manualBreakCount="1">
    <brk id="43" max="16383" man="1"/>
  </rowBreaks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2:AW60"/>
  <sheetViews>
    <sheetView workbookViewId="0">
      <selection activeCell="A2" sqref="A2"/>
    </sheetView>
  </sheetViews>
  <sheetFormatPr baseColWidth="10" defaultRowHeight="12.75"/>
  <cols>
    <col min="1" max="1" width="12.5703125" style="87" bestFit="1" customWidth="1"/>
    <col min="2" max="2" width="11.140625" style="87" customWidth="1"/>
    <col min="3" max="3" width="32" style="87" customWidth="1"/>
    <col min="4" max="14" width="11.5703125" style="87" bestFit="1" customWidth="1"/>
    <col min="15" max="22" width="11.42578125" style="87"/>
    <col min="23" max="23" width="13.5703125" style="87" customWidth="1"/>
    <col min="24" max="256" width="11.42578125" style="87"/>
    <col min="257" max="257" width="12.5703125" style="87" bestFit="1" customWidth="1"/>
    <col min="258" max="258" width="11.140625" style="87" customWidth="1"/>
    <col min="259" max="259" width="32" style="87" customWidth="1"/>
    <col min="260" max="270" width="11.5703125" style="87" bestFit="1" customWidth="1"/>
    <col min="271" max="278" width="11.42578125" style="87"/>
    <col min="279" max="279" width="13.5703125" style="87" customWidth="1"/>
    <col min="280" max="512" width="11.42578125" style="87"/>
    <col min="513" max="513" width="12.5703125" style="87" bestFit="1" customWidth="1"/>
    <col min="514" max="514" width="11.140625" style="87" customWidth="1"/>
    <col min="515" max="515" width="32" style="87" customWidth="1"/>
    <col min="516" max="526" width="11.5703125" style="87" bestFit="1" customWidth="1"/>
    <col min="527" max="534" width="11.42578125" style="87"/>
    <col min="535" max="535" width="13.5703125" style="87" customWidth="1"/>
    <col min="536" max="768" width="11.42578125" style="87"/>
    <col min="769" max="769" width="12.5703125" style="87" bestFit="1" customWidth="1"/>
    <col min="770" max="770" width="11.140625" style="87" customWidth="1"/>
    <col min="771" max="771" width="32" style="87" customWidth="1"/>
    <col min="772" max="782" width="11.5703125" style="87" bestFit="1" customWidth="1"/>
    <col min="783" max="790" width="11.42578125" style="87"/>
    <col min="791" max="791" width="13.5703125" style="87" customWidth="1"/>
    <col min="792" max="1024" width="11.42578125" style="87"/>
    <col min="1025" max="1025" width="12.5703125" style="87" bestFit="1" customWidth="1"/>
    <col min="1026" max="1026" width="11.140625" style="87" customWidth="1"/>
    <col min="1027" max="1027" width="32" style="87" customWidth="1"/>
    <col min="1028" max="1038" width="11.5703125" style="87" bestFit="1" customWidth="1"/>
    <col min="1039" max="1046" width="11.42578125" style="87"/>
    <col min="1047" max="1047" width="13.5703125" style="87" customWidth="1"/>
    <col min="1048" max="1280" width="11.42578125" style="87"/>
    <col min="1281" max="1281" width="12.5703125" style="87" bestFit="1" customWidth="1"/>
    <col min="1282" max="1282" width="11.140625" style="87" customWidth="1"/>
    <col min="1283" max="1283" width="32" style="87" customWidth="1"/>
    <col min="1284" max="1294" width="11.5703125" style="87" bestFit="1" customWidth="1"/>
    <col min="1295" max="1302" width="11.42578125" style="87"/>
    <col min="1303" max="1303" width="13.5703125" style="87" customWidth="1"/>
    <col min="1304" max="1536" width="11.42578125" style="87"/>
    <col min="1537" max="1537" width="12.5703125" style="87" bestFit="1" customWidth="1"/>
    <col min="1538" max="1538" width="11.140625" style="87" customWidth="1"/>
    <col min="1539" max="1539" width="32" style="87" customWidth="1"/>
    <col min="1540" max="1550" width="11.5703125" style="87" bestFit="1" customWidth="1"/>
    <col min="1551" max="1558" width="11.42578125" style="87"/>
    <col min="1559" max="1559" width="13.5703125" style="87" customWidth="1"/>
    <col min="1560" max="1792" width="11.42578125" style="87"/>
    <col min="1793" max="1793" width="12.5703125" style="87" bestFit="1" customWidth="1"/>
    <col min="1794" max="1794" width="11.140625" style="87" customWidth="1"/>
    <col min="1795" max="1795" width="32" style="87" customWidth="1"/>
    <col min="1796" max="1806" width="11.5703125" style="87" bestFit="1" customWidth="1"/>
    <col min="1807" max="1814" width="11.42578125" style="87"/>
    <col min="1815" max="1815" width="13.5703125" style="87" customWidth="1"/>
    <col min="1816" max="2048" width="11.42578125" style="87"/>
    <col min="2049" max="2049" width="12.5703125" style="87" bestFit="1" customWidth="1"/>
    <col min="2050" max="2050" width="11.140625" style="87" customWidth="1"/>
    <col min="2051" max="2051" width="32" style="87" customWidth="1"/>
    <col min="2052" max="2062" width="11.5703125" style="87" bestFit="1" customWidth="1"/>
    <col min="2063" max="2070" width="11.42578125" style="87"/>
    <col min="2071" max="2071" width="13.5703125" style="87" customWidth="1"/>
    <col min="2072" max="2304" width="11.42578125" style="87"/>
    <col min="2305" max="2305" width="12.5703125" style="87" bestFit="1" customWidth="1"/>
    <col min="2306" max="2306" width="11.140625" style="87" customWidth="1"/>
    <col min="2307" max="2307" width="32" style="87" customWidth="1"/>
    <col min="2308" max="2318" width="11.5703125" style="87" bestFit="1" customWidth="1"/>
    <col min="2319" max="2326" width="11.42578125" style="87"/>
    <col min="2327" max="2327" width="13.5703125" style="87" customWidth="1"/>
    <col min="2328" max="2560" width="11.42578125" style="87"/>
    <col min="2561" max="2561" width="12.5703125" style="87" bestFit="1" customWidth="1"/>
    <col min="2562" max="2562" width="11.140625" style="87" customWidth="1"/>
    <col min="2563" max="2563" width="32" style="87" customWidth="1"/>
    <col min="2564" max="2574" width="11.5703125" style="87" bestFit="1" customWidth="1"/>
    <col min="2575" max="2582" width="11.42578125" style="87"/>
    <col min="2583" max="2583" width="13.5703125" style="87" customWidth="1"/>
    <col min="2584" max="2816" width="11.42578125" style="87"/>
    <col min="2817" max="2817" width="12.5703125" style="87" bestFit="1" customWidth="1"/>
    <col min="2818" max="2818" width="11.140625" style="87" customWidth="1"/>
    <col min="2819" max="2819" width="32" style="87" customWidth="1"/>
    <col min="2820" max="2830" width="11.5703125" style="87" bestFit="1" customWidth="1"/>
    <col min="2831" max="2838" width="11.42578125" style="87"/>
    <col min="2839" max="2839" width="13.5703125" style="87" customWidth="1"/>
    <col min="2840" max="3072" width="11.42578125" style="87"/>
    <col min="3073" max="3073" width="12.5703125" style="87" bestFit="1" customWidth="1"/>
    <col min="3074" max="3074" width="11.140625" style="87" customWidth="1"/>
    <col min="3075" max="3075" width="32" style="87" customWidth="1"/>
    <col min="3076" max="3086" width="11.5703125" style="87" bestFit="1" customWidth="1"/>
    <col min="3087" max="3094" width="11.42578125" style="87"/>
    <col min="3095" max="3095" width="13.5703125" style="87" customWidth="1"/>
    <col min="3096" max="3328" width="11.42578125" style="87"/>
    <col min="3329" max="3329" width="12.5703125" style="87" bestFit="1" customWidth="1"/>
    <col min="3330" max="3330" width="11.140625" style="87" customWidth="1"/>
    <col min="3331" max="3331" width="32" style="87" customWidth="1"/>
    <col min="3332" max="3342" width="11.5703125" style="87" bestFit="1" customWidth="1"/>
    <col min="3343" max="3350" width="11.42578125" style="87"/>
    <col min="3351" max="3351" width="13.5703125" style="87" customWidth="1"/>
    <col min="3352" max="3584" width="11.42578125" style="87"/>
    <col min="3585" max="3585" width="12.5703125" style="87" bestFit="1" customWidth="1"/>
    <col min="3586" max="3586" width="11.140625" style="87" customWidth="1"/>
    <col min="3587" max="3587" width="32" style="87" customWidth="1"/>
    <col min="3588" max="3598" width="11.5703125" style="87" bestFit="1" customWidth="1"/>
    <col min="3599" max="3606" width="11.42578125" style="87"/>
    <col min="3607" max="3607" width="13.5703125" style="87" customWidth="1"/>
    <col min="3608" max="3840" width="11.42578125" style="87"/>
    <col min="3841" max="3841" width="12.5703125" style="87" bestFit="1" customWidth="1"/>
    <col min="3842" max="3842" width="11.140625" style="87" customWidth="1"/>
    <col min="3843" max="3843" width="32" style="87" customWidth="1"/>
    <col min="3844" max="3854" width="11.5703125" style="87" bestFit="1" customWidth="1"/>
    <col min="3855" max="3862" width="11.42578125" style="87"/>
    <col min="3863" max="3863" width="13.5703125" style="87" customWidth="1"/>
    <col min="3864" max="4096" width="11.42578125" style="87"/>
    <col min="4097" max="4097" width="12.5703125" style="87" bestFit="1" customWidth="1"/>
    <col min="4098" max="4098" width="11.140625" style="87" customWidth="1"/>
    <col min="4099" max="4099" width="32" style="87" customWidth="1"/>
    <col min="4100" max="4110" width="11.5703125" style="87" bestFit="1" customWidth="1"/>
    <col min="4111" max="4118" width="11.42578125" style="87"/>
    <col min="4119" max="4119" width="13.5703125" style="87" customWidth="1"/>
    <col min="4120" max="4352" width="11.42578125" style="87"/>
    <col min="4353" max="4353" width="12.5703125" style="87" bestFit="1" customWidth="1"/>
    <col min="4354" max="4354" width="11.140625" style="87" customWidth="1"/>
    <col min="4355" max="4355" width="32" style="87" customWidth="1"/>
    <col min="4356" max="4366" width="11.5703125" style="87" bestFit="1" customWidth="1"/>
    <col min="4367" max="4374" width="11.42578125" style="87"/>
    <col min="4375" max="4375" width="13.5703125" style="87" customWidth="1"/>
    <col min="4376" max="4608" width="11.42578125" style="87"/>
    <col min="4609" max="4609" width="12.5703125" style="87" bestFit="1" customWidth="1"/>
    <col min="4610" max="4610" width="11.140625" style="87" customWidth="1"/>
    <col min="4611" max="4611" width="32" style="87" customWidth="1"/>
    <col min="4612" max="4622" width="11.5703125" style="87" bestFit="1" customWidth="1"/>
    <col min="4623" max="4630" width="11.42578125" style="87"/>
    <col min="4631" max="4631" width="13.5703125" style="87" customWidth="1"/>
    <col min="4632" max="4864" width="11.42578125" style="87"/>
    <col min="4865" max="4865" width="12.5703125" style="87" bestFit="1" customWidth="1"/>
    <col min="4866" max="4866" width="11.140625" style="87" customWidth="1"/>
    <col min="4867" max="4867" width="32" style="87" customWidth="1"/>
    <col min="4868" max="4878" width="11.5703125" style="87" bestFit="1" customWidth="1"/>
    <col min="4879" max="4886" width="11.42578125" style="87"/>
    <col min="4887" max="4887" width="13.5703125" style="87" customWidth="1"/>
    <col min="4888" max="5120" width="11.42578125" style="87"/>
    <col min="5121" max="5121" width="12.5703125" style="87" bestFit="1" customWidth="1"/>
    <col min="5122" max="5122" width="11.140625" style="87" customWidth="1"/>
    <col min="5123" max="5123" width="32" style="87" customWidth="1"/>
    <col min="5124" max="5134" width="11.5703125" style="87" bestFit="1" customWidth="1"/>
    <col min="5135" max="5142" width="11.42578125" style="87"/>
    <col min="5143" max="5143" width="13.5703125" style="87" customWidth="1"/>
    <col min="5144" max="5376" width="11.42578125" style="87"/>
    <col min="5377" max="5377" width="12.5703125" style="87" bestFit="1" customWidth="1"/>
    <col min="5378" max="5378" width="11.140625" style="87" customWidth="1"/>
    <col min="5379" max="5379" width="32" style="87" customWidth="1"/>
    <col min="5380" max="5390" width="11.5703125" style="87" bestFit="1" customWidth="1"/>
    <col min="5391" max="5398" width="11.42578125" style="87"/>
    <col min="5399" max="5399" width="13.5703125" style="87" customWidth="1"/>
    <col min="5400" max="5632" width="11.42578125" style="87"/>
    <col min="5633" max="5633" width="12.5703125" style="87" bestFit="1" customWidth="1"/>
    <col min="5634" max="5634" width="11.140625" style="87" customWidth="1"/>
    <col min="5635" max="5635" width="32" style="87" customWidth="1"/>
    <col min="5636" max="5646" width="11.5703125" style="87" bestFit="1" customWidth="1"/>
    <col min="5647" max="5654" width="11.42578125" style="87"/>
    <col min="5655" max="5655" width="13.5703125" style="87" customWidth="1"/>
    <col min="5656" max="5888" width="11.42578125" style="87"/>
    <col min="5889" max="5889" width="12.5703125" style="87" bestFit="1" customWidth="1"/>
    <col min="5890" max="5890" width="11.140625" style="87" customWidth="1"/>
    <col min="5891" max="5891" width="32" style="87" customWidth="1"/>
    <col min="5892" max="5902" width="11.5703125" style="87" bestFit="1" customWidth="1"/>
    <col min="5903" max="5910" width="11.42578125" style="87"/>
    <col min="5911" max="5911" width="13.5703125" style="87" customWidth="1"/>
    <col min="5912" max="6144" width="11.42578125" style="87"/>
    <col min="6145" max="6145" width="12.5703125" style="87" bestFit="1" customWidth="1"/>
    <col min="6146" max="6146" width="11.140625" style="87" customWidth="1"/>
    <col min="6147" max="6147" width="32" style="87" customWidth="1"/>
    <col min="6148" max="6158" width="11.5703125" style="87" bestFit="1" customWidth="1"/>
    <col min="6159" max="6166" width="11.42578125" style="87"/>
    <col min="6167" max="6167" width="13.5703125" style="87" customWidth="1"/>
    <col min="6168" max="6400" width="11.42578125" style="87"/>
    <col min="6401" max="6401" width="12.5703125" style="87" bestFit="1" customWidth="1"/>
    <col min="6402" max="6402" width="11.140625" style="87" customWidth="1"/>
    <col min="6403" max="6403" width="32" style="87" customWidth="1"/>
    <col min="6404" max="6414" width="11.5703125" style="87" bestFit="1" customWidth="1"/>
    <col min="6415" max="6422" width="11.42578125" style="87"/>
    <col min="6423" max="6423" width="13.5703125" style="87" customWidth="1"/>
    <col min="6424" max="6656" width="11.42578125" style="87"/>
    <col min="6657" max="6657" width="12.5703125" style="87" bestFit="1" customWidth="1"/>
    <col min="6658" max="6658" width="11.140625" style="87" customWidth="1"/>
    <col min="6659" max="6659" width="32" style="87" customWidth="1"/>
    <col min="6660" max="6670" width="11.5703125" style="87" bestFit="1" customWidth="1"/>
    <col min="6671" max="6678" width="11.42578125" style="87"/>
    <col min="6679" max="6679" width="13.5703125" style="87" customWidth="1"/>
    <col min="6680" max="6912" width="11.42578125" style="87"/>
    <col min="6913" max="6913" width="12.5703125" style="87" bestFit="1" customWidth="1"/>
    <col min="6914" max="6914" width="11.140625" style="87" customWidth="1"/>
    <col min="6915" max="6915" width="32" style="87" customWidth="1"/>
    <col min="6916" max="6926" width="11.5703125" style="87" bestFit="1" customWidth="1"/>
    <col min="6927" max="6934" width="11.42578125" style="87"/>
    <col min="6935" max="6935" width="13.5703125" style="87" customWidth="1"/>
    <col min="6936" max="7168" width="11.42578125" style="87"/>
    <col min="7169" max="7169" width="12.5703125" style="87" bestFit="1" customWidth="1"/>
    <col min="7170" max="7170" width="11.140625" style="87" customWidth="1"/>
    <col min="7171" max="7171" width="32" style="87" customWidth="1"/>
    <col min="7172" max="7182" width="11.5703125" style="87" bestFit="1" customWidth="1"/>
    <col min="7183" max="7190" width="11.42578125" style="87"/>
    <col min="7191" max="7191" width="13.5703125" style="87" customWidth="1"/>
    <col min="7192" max="7424" width="11.42578125" style="87"/>
    <col min="7425" max="7425" width="12.5703125" style="87" bestFit="1" customWidth="1"/>
    <col min="7426" max="7426" width="11.140625" style="87" customWidth="1"/>
    <col min="7427" max="7427" width="32" style="87" customWidth="1"/>
    <col min="7428" max="7438" width="11.5703125" style="87" bestFit="1" customWidth="1"/>
    <col min="7439" max="7446" width="11.42578125" style="87"/>
    <col min="7447" max="7447" width="13.5703125" style="87" customWidth="1"/>
    <col min="7448" max="7680" width="11.42578125" style="87"/>
    <col min="7681" max="7681" width="12.5703125" style="87" bestFit="1" customWidth="1"/>
    <col min="7682" max="7682" width="11.140625" style="87" customWidth="1"/>
    <col min="7683" max="7683" width="32" style="87" customWidth="1"/>
    <col min="7684" max="7694" width="11.5703125" style="87" bestFit="1" customWidth="1"/>
    <col min="7695" max="7702" width="11.42578125" style="87"/>
    <col min="7703" max="7703" width="13.5703125" style="87" customWidth="1"/>
    <col min="7704" max="7936" width="11.42578125" style="87"/>
    <col min="7937" max="7937" width="12.5703125" style="87" bestFit="1" customWidth="1"/>
    <col min="7938" max="7938" width="11.140625" style="87" customWidth="1"/>
    <col min="7939" max="7939" width="32" style="87" customWidth="1"/>
    <col min="7940" max="7950" width="11.5703125" style="87" bestFit="1" customWidth="1"/>
    <col min="7951" max="7958" width="11.42578125" style="87"/>
    <col min="7959" max="7959" width="13.5703125" style="87" customWidth="1"/>
    <col min="7960" max="8192" width="11.42578125" style="87"/>
    <col min="8193" max="8193" width="12.5703125" style="87" bestFit="1" customWidth="1"/>
    <col min="8194" max="8194" width="11.140625" style="87" customWidth="1"/>
    <col min="8195" max="8195" width="32" style="87" customWidth="1"/>
    <col min="8196" max="8206" width="11.5703125" style="87" bestFit="1" customWidth="1"/>
    <col min="8207" max="8214" width="11.42578125" style="87"/>
    <col min="8215" max="8215" width="13.5703125" style="87" customWidth="1"/>
    <col min="8216" max="8448" width="11.42578125" style="87"/>
    <col min="8449" max="8449" width="12.5703125" style="87" bestFit="1" customWidth="1"/>
    <col min="8450" max="8450" width="11.140625" style="87" customWidth="1"/>
    <col min="8451" max="8451" width="32" style="87" customWidth="1"/>
    <col min="8452" max="8462" width="11.5703125" style="87" bestFit="1" customWidth="1"/>
    <col min="8463" max="8470" width="11.42578125" style="87"/>
    <col min="8471" max="8471" width="13.5703125" style="87" customWidth="1"/>
    <col min="8472" max="8704" width="11.42578125" style="87"/>
    <col min="8705" max="8705" width="12.5703125" style="87" bestFit="1" customWidth="1"/>
    <col min="8706" max="8706" width="11.140625" style="87" customWidth="1"/>
    <col min="8707" max="8707" width="32" style="87" customWidth="1"/>
    <col min="8708" max="8718" width="11.5703125" style="87" bestFit="1" customWidth="1"/>
    <col min="8719" max="8726" width="11.42578125" style="87"/>
    <col min="8727" max="8727" width="13.5703125" style="87" customWidth="1"/>
    <col min="8728" max="8960" width="11.42578125" style="87"/>
    <col min="8961" max="8961" width="12.5703125" style="87" bestFit="1" customWidth="1"/>
    <col min="8962" max="8962" width="11.140625" style="87" customWidth="1"/>
    <col min="8963" max="8963" width="32" style="87" customWidth="1"/>
    <col min="8964" max="8974" width="11.5703125" style="87" bestFit="1" customWidth="1"/>
    <col min="8975" max="8982" width="11.42578125" style="87"/>
    <col min="8983" max="8983" width="13.5703125" style="87" customWidth="1"/>
    <col min="8984" max="9216" width="11.42578125" style="87"/>
    <col min="9217" max="9217" width="12.5703125" style="87" bestFit="1" customWidth="1"/>
    <col min="9218" max="9218" width="11.140625" style="87" customWidth="1"/>
    <col min="9219" max="9219" width="32" style="87" customWidth="1"/>
    <col min="9220" max="9230" width="11.5703125" style="87" bestFit="1" customWidth="1"/>
    <col min="9231" max="9238" width="11.42578125" style="87"/>
    <col min="9239" max="9239" width="13.5703125" style="87" customWidth="1"/>
    <col min="9240" max="9472" width="11.42578125" style="87"/>
    <col min="9473" max="9473" width="12.5703125" style="87" bestFit="1" customWidth="1"/>
    <col min="9474" max="9474" width="11.140625" style="87" customWidth="1"/>
    <col min="9475" max="9475" width="32" style="87" customWidth="1"/>
    <col min="9476" max="9486" width="11.5703125" style="87" bestFit="1" customWidth="1"/>
    <col min="9487" max="9494" width="11.42578125" style="87"/>
    <col min="9495" max="9495" width="13.5703125" style="87" customWidth="1"/>
    <col min="9496" max="9728" width="11.42578125" style="87"/>
    <col min="9729" max="9729" width="12.5703125" style="87" bestFit="1" customWidth="1"/>
    <col min="9730" max="9730" width="11.140625" style="87" customWidth="1"/>
    <col min="9731" max="9731" width="32" style="87" customWidth="1"/>
    <col min="9732" max="9742" width="11.5703125" style="87" bestFit="1" customWidth="1"/>
    <col min="9743" max="9750" width="11.42578125" style="87"/>
    <col min="9751" max="9751" width="13.5703125" style="87" customWidth="1"/>
    <col min="9752" max="9984" width="11.42578125" style="87"/>
    <col min="9985" max="9985" width="12.5703125" style="87" bestFit="1" customWidth="1"/>
    <col min="9986" max="9986" width="11.140625" style="87" customWidth="1"/>
    <col min="9987" max="9987" width="32" style="87" customWidth="1"/>
    <col min="9988" max="9998" width="11.5703125" style="87" bestFit="1" customWidth="1"/>
    <col min="9999" max="10006" width="11.42578125" style="87"/>
    <col min="10007" max="10007" width="13.5703125" style="87" customWidth="1"/>
    <col min="10008" max="10240" width="11.42578125" style="87"/>
    <col min="10241" max="10241" width="12.5703125" style="87" bestFit="1" customWidth="1"/>
    <col min="10242" max="10242" width="11.140625" style="87" customWidth="1"/>
    <col min="10243" max="10243" width="32" style="87" customWidth="1"/>
    <col min="10244" max="10254" width="11.5703125" style="87" bestFit="1" customWidth="1"/>
    <col min="10255" max="10262" width="11.42578125" style="87"/>
    <col min="10263" max="10263" width="13.5703125" style="87" customWidth="1"/>
    <col min="10264" max="10496" width="11.42578125" style="87"/>
    <col min="10497" max="10497" width="12.5703125" style="87" bestFit="1" customWidth="1"/>
    <col min="10498" max="10498" width="11.140625" style="87" customWidth="1"/>
    <col min="10499" max="10499" width="32" style="87" customWidth="1"/>
    <col min="10500" max="10510" width="11.5703125" style="87" bestFit="1" customWidth="1"/>
    <col min="10511" max="10518" width="11.42578125" style="87"/>
    <col min="10519" max="10519" width="13.5703125" style="87" customWidth="1"/>
    <col min="10520" max="10752" width="11.42578125" style="87"/>
    <col min="10753" max="10753" width="12.5703125" style="87" bestFit="1" customWidth="1"/>
    <col min="10754" max="10754" width="11.140625" style="87" customWidth="1"/>
    <col min="10755" max="10755" width="32" style="87" customWidth="1"/>
    <col min="10756" max="10766" width="11.5703125" style="87" bestFit="1" customWidth="1"/>
    <col min="10767" max="10774" width="11.42578125" style="87"/>
    <col min="10775" max="10775" width="13.5703125" style="87" customWidth="1"/>
    <col min="10776" max="11008" width="11.42578125" style="87"/>
    <col min="11009" max="11009" width="12.5703125" style="87" bestFit="1" customWidth="1"/>
    <col min="11010" max="11010" width="11.140625" style="87" customWidth="1"/>
    <col min="11011" max="11011" width="32" style="87" customWidth="1"/>
    <col min="11012" max="11022" width="11.5703125" style="87" bestFit="1" customWidth="1"/>
    <col min="11023" max="11030" width="11.42578125" style="87"/>
    <col min="11031" max="11031" width="13.5703125" style="87" customWidth="1"/>
    <col min="11032" max="11264" width="11.42578125" style="87"/>
    <col min="11265" max="11265" width="12.5703125" style="87" bestFit="1" customWidth="1"/>
    <col min="11266" max="11266" width="11.140625" style="87" customWidth="1"/>
    <col min="11267" max="11267" width="32" style="87" customWidth="1"/>
    <col min="11268" max="11278" width="11.5703125" style="87" bestFit="1" customWidth="1"/>
    <col min="11279" max="11286" width="11.42578125" style="87"/>
    <col min="11287" max="11287" width="13.5703125" style="87" customWidth="1"/>
    <col min="11288" max="11520" width="11.42578125" style="87"/>
    <col min="11521" max="11521" width="12.5703125" style="87" bestFit="1" customWidth="1"/>
    <col min="11522" max="11522" width="11.140625" style="87" customWidth="1"/>
    <col min="11523" max="11523" width="32" style="87" customWidth="1"/>
    <col min="11524" max="11534" width="11.5703125" style="87" bestFit="1" customWidth="1"/>
    <col min="11535" max="11542" width="11.42578125" style="87"/>
    <col min="11543" max="11543" width="13.5703125" style="87" customWidth="1"/>
    <col min="11544" max="11776" width="11.42578125" style="87"/>
    <col min="11777" max="11777" width="12.5703125" style="87" bestFit="1" customWidth="1"/>
    <col min="11778" max="11778" width="11.140625" style="87" customWidth="1"/>
    <col min="11779" max="11779" width="32" style="87" customWidth="1"/>
    <col min="11780" max="11790" width="11.5703125" style="87" bestFit="1" customWidth="1"/>
    <col min="11791" max="11798" width="11.42578125" style="87"/>
    <col min="11799" max="11799" width="13.5703125" style="87" customWidth="1"/>
    <col min="11800" max="12032" width="11.42578125" style="87"/>
    <col min="12033" max="12033" width="12.5703125" style="87" bestFit="1" customWidth="1"/>
    <col min="12034" max="12034" width="11.140625" style="87" customWidth="1"/>
    <col min="12035" max="12035" width="32" style="87" customWidth="1"/>
    <col min="12036" max="12046" width="11.5703125" style="87" bestFit="1" customWidth="1"/>
    <col min="12047" max="12054" width="11.42578125" style="87"/>
    <col min="12055" max="12055" width="13.5703125" style="87" customWidth="1"/>
    <col min="12056" max="12288" width="11.42578125" style="87"/>
    <col min="12289" max="12289" width="12.5703125" style="87" bestFit="1" customWidth="1"/>
    <col min="12290" max="12290" width="11.140625" style="87" customWidth="1"/>
    <col min="12291" max="12291" width="32" style="87" customWidth="1"/>
    <col min="12292" max="12302" width="11.5703125" style="87" bestFit="1" customWidth="1"/>
    <col min="12303" max="12310" width="11.42578125" style="87"/>
    <col min="12311" max="12311" width="13.5703125" style="87" customWidth="1"/>
    <col min="12312" max="12544" width="11.42578125" style="87"/>
    <col min="12545" max="12545" width="12.5703125" style="87" bestFit="1" customWidth="1"/>
    <col min="12546" max="12546" width="11.140625" style="87" customWidth="1"/>
    <col min="12547" max="12547" width="32" style="87" customWidth="1"/>
    <col min="12548" max="12558" width="11.5703125" style="87" bestFit="1" customWidth="1"/>
    <col min="12559" max="12566" width="11.42578125" style="87"/>
    <col min="12567" max="12567" width="13.5703125" style="87" customWidth="1"/>
    <col min="12568" max="12800" width="11.42578125" style="87"/>
    <col min="12801" max="12801" width="12.5703125" style="87" bestFit="1" customWidth="1"/>
    <col min="12802" max="12802" width="11.140625" style="87" customWidth="1"/>
    <col min="12803" max="12803" width="32" style="87" customWidth="1"/>
    <col min="12804" max="12814" width="11.5703125" style="87" bestFit="1" customWidth="1"/>
    <col min="12815" max="12822" width="11.42578125" style="87"/>
    <col min="12823" max="12823" width="13.5703125" style="87" customWidth="1"/>
    <col min="12824" max="13056" width="11.42578125" style="87"/>
    <col min="13057" max="13057" width="12.5703125" style="87" bestFit="1" customWidth="1"/>
    <col min="13058" max="13058" width="11.140625" style="87" customWidth="1"/>
    <col min="13059" max="13059" width="32" style="87" customWidth="1"/>
    <col min="13060" max="13070" width="11.5703125" style="87" bestFit="1" customWidth="1"/>
    <col min="13071" max="13078" width="11.42578125" style="87"/>
    <col min="13079" max="13079" width="13.5703125" style="87" customWidth="1"/>
    <col min="13080" max="13312" width="11.42578125" style="87"/>
    <col min="13313" max="13313" width="12.5703125" style="87" bestFit="1" customWidth="1"/>
    <col min="13314" max="13314" width="11.140625" style="87" customWidth="1"/>
    <col min="13315" max="13315" width="32" style="87" customWidth="1"/>
    <col min="13316" max="13326" width="11.5703125" style="87" bestFit="1" customWidth="1"/>
    <col min="13327" max="13334" width="11.42578125" style="87"/>
    <col min="13335" max="13335" width="13.5703125" style="87" customWidth="1"/>
    <col min="13336" max="13568" width="11.42578125" style="87"/>
    <col min="13569" max="13569" width="12.5703125" style="87" bestFit="1" customWidth="1"/>
    <col min="13570" max="13570" width="11.140625" style="87" customWidth="1"/>
    <col min="13571" max="13571" width="32" style="87" customWidth="1"/>
    <col min="13572" max="13582" width="11.5703125" style="87" bestFit="1" customWidth="1"/>
    <col min="13583" max="13590" width="11.42578125" style="87"/>
    <col min="13591" max="13591" width="13.5703125" style="87" customWidth="1"/>
    <col min="13592" max="13824" width="11.42578125" style="87"/>
    <col min="13825" max="13825" width="12.5703125" style="87" bestFit="1" customWidth="1"/>
    <col min="13826" max="13826" width="11.140625" style="87" customWidth="1"/>
    <col min="13827" max="13827" width="32" style="87" customWidth="1"/>
    <col min="13828" max="13838" width="11.5703125" style="87" bestFit="1" customWidth="1"/>
    <col min="13839" max="13846" width="11.42578125" style="87"/>
    <col min="13847" max="13847" width="13.5703125" style="87" customWidth="1"/>
    <col min="13848" max="14080" width="11.42578125" style="87"/>
    <col min="14081" max="14081" width="12.5703125" style="87" bestFit="1" customWidth="1"/>
    <col min="14082" max="14082" width="11.140625" style="87" customWidth="1"/>
    <col min="14083" max="14083" width="32" style="87" customWidth="1"/>
    <col min="14084" max="14094" width="11.5703125" style="87" bestFit="1" customWidth="1"/>
    <col min="14095" max="14102" width="11.42578125" style="87"/>
    <col min="14103" max="14103" width="13.5703125" style="87" customWidth="1"/>
    <col min="14104" max="14336" width="11.42578125" style="87"/>
    <col min="14337" max="14337" width="12.5703125" style="87" bestFit="1" customWidth="1"/>
    <col min="14338" max="14338" width="11.140625" style="87" customWidth="1"/>
    <col min="14339" max="14339" width="32" style="87" customWidth="1"/>
    <col min="14340" max="14350" width="11.5703125" style="87" bestFit="1" customWidth="1"/>
    <col min="14351" max="14358" width="11.42578125" style="87"/>
    <col min="14359" max="14359" width="13.5703125" style="87" customWidth="1"/>
    <col min="14360" max="14592" width="11.42578125" style="87"/>
    <col min="14593" max="14593" width="12.5703125" style="87" bestFit="1" customWidth="1"/>
    <col min="14594" max="14594" width="11.140625" style="87" customWidth="1"/>
    <col min="14595" max="14595" width="32" style="87" customWidth="1"/>
    <col min="14596" max="14606" width="11.5703125" style="87" bestFit="1" customWidth="1"/>
    <col min="14607" max="14614" width="11.42578125" style="87"/>
    <col min="14615" max="14615" width="13.5703125" style="87" customWidth="1"/>
    <col min="14616" max="14848" width="11.42578125" style="87"/>
    <col min="14849" max="14849" width="12.5703125" style="87" bestFit="1" customWidth="1"/>
    <col min="14850" max="14850" width="11.140625" style="87" customWidth="1"/>
    <col min="14851" max="14851" width="32" style="87" customWidth="1"/>
    <col min="14852" max="14862" width="11.5703125" style="87" bestFit="1" customWidth="1"/>
    <col min="14863" max="14870" width="11.42578125" style="87"/>
    <col min="14871" max="14871" width="13.5703125" style="87" customWidth="1"/>
    <col min="14872" max="15104" width="11.42578125" style="87"/>
    <col min="15105" max="15105" width="12.5703125" style="87" bestFit="1" customWidth="1"/>
    <col min="15106" max="15106" width="11.140625" style="87" customWidth="1"/>
    <col min="15107" max="15107" width="32" style="87" customWidth="1"/>
    <col min="15108" max="15118" width="11.5703125" style="87" bestFit="1" customWidth="1"/>
    <col min="15119" max="15126" width="11.42578125" style="87"/>
    <col min="15127" max="15127" width="13.5703125" style="87" customWidth="1"/>
    <col min="15128" max="15360" width="11.42578125" style="87"/>
    <col min="15361" max="15361" width="12.5703125" style="87" bestFit="1" customWidth="1"/>
    <col min="15362" max="15362" width="11.140625" style="87" customWidth="1"/>
    <col min="15363" max="15363" width="32" style="87" customWidth="1"/>
    <col min="15364" max="15374" width="11.5703125" style="87" bestFit="1" customWidth="1"/>
    <col min="15375" max="15382" width="11.42578125" style="87"/>
    <col min="15383" max="15383" width="13.5703125" style="87" customWidth="1"/>
    <col min="15384" max="15616" width="11.42578125" style="87"/>
    <col min="15617" max="15617" width="12.5703125" style="87" bestFit="1" customWidth="1"/>
    <col min="15618" max="15618" width="11.140625" style="87" customWidth="1"/>
    <col min="15619" max="15619" width="32" style="87" customWidth="1"/>
    <col min="15620" max="15630" width="11.5703125" style="87" bestFit="1" customWidth="1"/>
    <col min="15631" max="15638" width="11.42578125" style="87"/>
    <col min="15639" max="15639" width="13.5703125" style="87" customWidth="1"/>
    <col min="15640" max="15872" width="11.42578125" style="87"/>
    <col min="15873" max="15873" width="12.5703125" style="87" bestFit="1" customWidth="1"/>
    <col min="15874" max="15874" width="11.140625" style="87" customWidth="1"/>
    <col min="15875" max="15875" width="32" style="87" customWidth="1"/>
    <col min="15876" max="15886" width="11.5703125" style="87" bestFit="1" customWidth="1"/>
    <col min="15887" max="15894" width="11.42578125" style="87"/>
    <col min="15895" max="15895" width="13.5703125" style="87" customWidth="1"/>
    <col min="15896" max="16128" width="11.42578125" style="87"/>
    <col min="16129" max="16129" width="12.5703125" style="87" bestFit="1" customWidth="1"/>
    <col min="16130" max="16130" width="11.140625" style="87" customWidth="1"/>
    <col min="16131" max="16131" width="32" style="87" customWidth="1"/>
    <col min="16132" max="16142" width="11.5703125" style="87" bestFit="1" customWidth="1"/>
    <col min="16143" max="16150" width="11.42578125" style="87"/>
    <col min="16151" max="16151" width="13.5703125" style="87" customWidth="1"/>
    <col min="16152" max="16384" width="11.42578125" style="87"/>
  </cols>
  <sheetData>
    <row r="2" spans="1:24" ht="15.75">
      <c r="A2" s="339" t="s">
        <v>659</v>
      </c>
    </row>
    <row r="5" spans="1:24" s="448" customFormat="1">
      <c r="A5" s="363" t="s">
        <v>660</v>
      </c>
      <c r="B5" s="394"/>
      <c r="C5" s="394"/>
      <c r="D5" s="391"/>
      <c r="H5" s="449">
        <v>5262.56</v>
      </c>
      <c r="P5" s="450" t="e">
        <f>#REF!-#REF!</f>
        <v>#REF!</v>
      </c>
    </row>
    <row r="6" spans="1:24" s="448" customFormat="1">
      <c r="A6" s="363" t="s">
        <v>661</v>
      </c>
      <c r="B6" s="394"/>
      <c r="C6" s="394"/>
      <c r="D6" s="391"/>
      <c r="H6" s="451">
        <v>4612.59</v>
      </c>
    </row>
    <row r="7" spans="1:24" s="448" customFormat="1">
      <c r="A7" s="452"/>
      <c r="D7" s="391"/>
      <c r="G7" s="366" t="s">
        <v>532</v>
      </c>
      <c r="H7" s="453">
        <f>SUM(H5:H6)</f>
        <v>9875.1500000000015</v>
      </c>
      <c r="J7" s="367" t="s">
        <v>533</v>
      </c>
      <c r="K7" s="367"/>
      <c r="M7" s="448">
        <v>9875.15</v>
      </c>
    </row>
    <row r="8" spans="1:24" s="448" customFormat="1" ht="13.5" thickBot="1">
      <c r="A8" s="452"/>
      <c r="D8" s="391"/>
      <c r="G8" s="453"/>
    </row>
    <row r="9" spans="1:24" s="378" customFormat="1" ht="25.5" customHeight="1">
      <c r="A9" s="454" t="s">
        <v>534</v>
      </c>
      <c r="B9" s="455" t="s">
        <v>559</v>
      </c>
      <c r="C9" s="456" t="s">
        <v>219</v>
      </c>
      <c r="D9" s="457" t="s">
        <v>579</v>
      </c>
      <c r="E9" s="458" t="s">
        <v>525</v>
      </c>
      <c r="F9" s="458" t="s">
        <v>524</v>
      </c>
      <c r="G9" s="457" t="s">
        <v>662</v>
      </c>
      <c r="H9" s="458" t="s">
        <v>522</v>
      </c>
      <c r="I9" s="457" t="s">
        <v>663</v>
      </c>
      <c r="J9" s="457" t="s">
        <v>664</v>
      </c>
      <c r="K9" s="457" t="s">
        <v>665</v>
      </c>
      <c r="L9" s="457" t="s">
        <v>539</v>
      </c>
      <c r="M9" s="457" t="s">
        <v>540</v>
      </c>
      <c r="N9" s="458" t="s">
        <v>615</v>
      </c>
      <c r="O9" s="459" t="s">
        <v>542</v>
      </c>
      <c r="P9" s="459" t="s">
        <v>543</v>
      </c>
      <c r="Q9" s="459" t="s">
        <v>544</v>
      </c>
      <c r="R9" s="459" t="s">
        <v>545</v>
      </c>
      <c r="S9" s="459" t="s">
        <v>546</v>
      </c>
      <c r="T9" s="459" t="s">
        <v>547</v>
      </c>
      <c r="U9" s="459" t="s">
        <v>548</v>
      </c>
      <c r="V9" s="459" t="s">
        <v>666</v>
      </c>
      <c r="W9" s="459" t="s">
        <v>599</v>
      </c>
      <c r="X9" s="460" t="s">
        <v>565</v>
      </c>
    </row>
    <row r="10" spans="1:24" s="378" customFormat="1" ht="18.75" customHeight="1">
      <c r="A10" s="461"/>
      <c r="B10" s="351"/>
      <c r="C10" s="352"/>
      <c r="D10" s="354"/>
      <c r="E10" s="354"/>
      <c r="F10" s="354"/>
      <c r="G10" s="354"/>
      <c r="H10" s="354"/>
      <c r="I10" s="354"/>
      <c r="J10" s="354"/>
      <c r="K10" s="354"/>
      <c r="L10" s="353"/>
      <c r="M10" s="353"/>
      <c r="N10" s="354"/>
      <c r="O10" s="376"/>
      <c r="P10" s="376"/>
      <c r="Q10" s="376"/>
      <c r="R10" s="376"/>
      <c r="S10" s="376"/>
      <c r="T10" s="376"/>
      <c r="U10" s="376"/>
      <c r="V10" s="385"/>
      <c r="W10" s="376"/>
      <c r="X10" s="462"/>
    </row>
    <row r="11" spans="1:24" s="391" customFormat="1">
      <c r="A11" s="463">
        <v>39576</v>
      </c>
      <c r="B11" s="387">
        <v>53602</v>
      </c>
      <c r="C11" s="388" t="s">
        <v>667</v>
      </c>
      <c r="D11" s="389">
        <v>2033.6</v>
      </c>
      <c r="E11" s="389">
        <v>1983.6</v>
      </c>
      <c r="F11" s="389"/>
      <c r="G11" s="389">
        <v>252.29879999999997</v>
      </c>
      <c r="H11" s="389">
        <v>2354.7887999999998</v>
      </c>
      <c r="I11" s="464" t="s">
        <v>596</v>
      </c>
      <c r="J11" s="464">
        <f>+D11*0.02</f>
        <v>40.671999999999997</v>
      </c>
      <c r="K11" s="464">
        <v>176.60915999999997</v>
      </c>
      <c r="L11" s="464" t="s">
        <v>596</v>
      </c>
      <c r="M11" s="464">
        <v>2136.1298399999996</v>
      </c>
      <c r="N11" s="465">
        <v>1112</v>
      </c>
      <c r="O11" s="388" t="s">
        <v>203</v>
      </c>
      <c r="P11" s="388" t="s">
        <v>202</v>
      </c>
      <c r="Q11" s="388" t="s">
        <v>202</v>
      </c>
      <c r="R11" s="388" t="s">
        <v>554</v>
      </c>
      <c r="S11" s="388">
        <v>59</v>
      </c>
      <c r="T11" s="388" t="s">
        <v>202</v>
      </c>
      <c r="U11" s="388" t="s">
        <v>202</v>
      </c>
      <c r="V11" s="388" t="s">
        <v>203</v>
      </c>
      <c r="W11" s="388" t="s">
        <v>202</v>
      </c>
      <c r="X11" s="466" t="s">
        <v>203</v>
      </c>
    </row>
    <row r="12" spans="1:24" s="391" customFormat="1">
      <c r="A12" s="463">
        <v>39716</v>
      </c>
      <c r="B12" s="387">
        <v>56046</v>
      </c>
      <c r="C12" s="388" t="s">
        <v>668</v>
      </c>
      <c r="D12" s="389">
        <v>35.714285714285708</v>
      </c>
      <c r="E12" s="389">
        <v>35.714285714285708</v>
      </c>
      <c r="F12" s="389">
        <v>0</v>
      </c>
      <c r="G12" s="389">
        <v>4.2857142857142847</v>
      </c>
      <c r="H12" s="389">
        <v>39.999999999999993</v>
      </c>
      <c r="I12" s="464" t="s">
        <v>596</v>
      </c>
      <c r="J12" s="464" t="s">
        <v>596</v>
      </c>
      <c r="K12" s="464" t="s">
        <v>596</v>
      </c>
      <c r="L12" s="464" t="s">
        <v>596</v>
      </c>
      <c r="M12" s="464">
        <v>39.999999999999993</v>
      </c>
      <c r="N12" s="465"/>
      <c r="O12" s="388" t="s">
        <v>203</v>
      </c>
      <c r="P12" s="388" t="s">
        <v>202</v>
      </c>
      <c r="Q12" s="388" t="s">
        <v>202</v>
      </c>
      <c r="R12" s="388" t="s">
        <v>554</v>
      </c>
      <c r="S12" s="388">
        <v>6376</v>
      </c>
      <c r="T12" s="388" t="s">
        <v>202</v>
      </c>
      <c r="U12" s="388" t="s">
        <v>202</v>
      </c>
      <c r="V12" s="388" t="s">
        <v>203</v>
      </c>
      <c r="W12" s="388" t="s">
        <v>202</v>
      </c>
      <c r="X12" s="466" t="s">
        <v>203</v>
      </c>
    </row>
    <row r="13" spans="1:24" s="391" customFormat="1">
      <c r="A13" s="463">
        <v>39727</v>
      </c>
      <c r="B13" s="387">
        <v>56173</v>
      </c>
      <c r="C13" s="388" t="s">
        <v>669</v>
      </c>
      <c r="D13" s="389">
        <v>1980</v>
      </c>
      <c r="E13" s="389">
        <v>1980</v>
      </c>
      <c r="F13" s="389"/>
      <c r="G13" s="389">
        <v>237.6</v>
      </c>
      <c r="H13" s="389">
        <v>2217.6</v>
      </c>
      <c r="I13" s="464" t="s">
        <v>596</v>
      </c>
      <c r="J13" s="464">
        <v>39.6</v>
      </c>
      <c r="K13" s="464">
        <v>166.32</v>
      </c>
      <c r="L13" s="464"/>
      <c r="M13" s="464">
        <v>2011.6799999999998</v>
      </c>
      <c r="N13" s="465">
        <v>1330</v>
      </c>
      <c r="O13" s="388" t="s">
        <v>203</v>
      </c>
      <c r="P13" s="388" t="s">
        <v>202</v>
      </c>
      <c r="Q13" s="388" t="s">
        <v>202</v>
      </c>
      <c r="R13" s="388" t="s">
        <v>554</v>
      </c>
      <c r="S13" s="388">
        <v>66</v>
      </c>
      <c r="T13" s="388" t="s">
        <v>202</v>
      </c>
      <c r="U13" s="388" t="s">
        <v>202</v>
      </c>
      <c r="V13" s="388" t="s">
        <v>203</v>
      </c>
      <c r="W13" s="388" t="s">
        <v>202</v>
      </c>
      <c r="X13" s="466" t="s">
        <v>203</v>
      </c>
    </row>
    <row r="14" spans="1:24" s="391" customFormat="1">
      <c r="A14" s="463">
        <v>39759</v>
      </c>
      <c r="B14" s="387">
        <v>56847</v>
      </c>
      <c r="C14" s="388" t="s">
        <v>669</v>
      </c>
      <c r="D14" s="389">
        <v>1980</v>
      </c>
      <c r="E14" s="389">
        <v>1980</v>
      </c>
      <c r="F14" s="389"/>
      <c r="G14" s="389">
        <v>237.6</v>
      </c>
      <c r="H14" s="389">
        <v>2217.6</v>
      </c>
      <c r="I14" s="464" t="s">
        <v>596</v>
      </c>
      <c r="J14" s="464">
        <v>39.6</v>
      </c>
      <c r="K14" s="464">
        <v>166.32</v>
      </c>
      <c r="L14" s="464">
        <v>205.92</v>
      </c>
      <c r="M14" s="464">
        <v>2011.6799999999998</v>
      </c>
      <c r="N14" s="465">
        <v>1374</v>
      </c>
      <c r="O14" s="388" t="s">
        <v>203</v>
      </c>
      <c r="P14" s="388" t="s">
        <v>202</v>
      </c>
      <c r="Q14" s="388" t="s">
        <v>202</v>
      </c>
      <c r="R14" s="388" t="s">
        <v>554</v>
      </c>
      <c r="S14" s="388">
        <v>67</v>
      </c>
      <c r="T14" s="388" t="s">
        <v>202</v>
      </c>
      <c r="U14" s="388" t="s">
        <v>202</v>
      </c>
      <c r="V14" s="388" t="s">
        <v>203</v>
      </c>
      <c r="W14" s="388" t="s">
        <v>202</v>
      </c>
      <c r="X14" s="466" t="s">
        <v>203</v>
      </c>
    </row>
    <row r="15" spans="1:24" s="391" customFormat="1">
      <c r="A15" s="463">
        <v>39456</v>
      </c>
      <c r="B15" s="387">
        <v>51539</v>
      </c>
      <c r="C15" s="388" t="s">
        <v>670</v>
      </c>
      <c r="D15" s="467">
        <v>633</v>
      </c>
      <c r="E15" s="467">
        <f>+J6+D15</f>
        <v>633</v>
      </c>
      <c r="F15" s="389"/>
      <c r="G15" s="389">
        <v>75.959999999999994</v>
      </c>
      <c r="H15" s="389">
        <f>+D15+G15</f>
        <v>708.96</v>
      </c>
      <c r="I15" s="464" t="s">
        <v>596</v>
      </c>
      <c r="J15" s="464" t="s">
        <v>596</v>
      </c>
      <c r="K15" s="464" t="s">
        <v>596</v>
      </c>
      <c r="L15" s="464" t="s">
        <v>596</v>
      </c>
      <c r="M15" s="464">
        <v>106.0192</v>
      </c>
      <c r="N15" s="465"/>
      <c r="O15" s="388" t="s">
        <v>203</v>
      </c>
      <c r="P15" s="388" t="s">
        <v>202</v>
      </c>
      <c r="Q15" s="388" t="s">
        <v>202</v>
      </c>
      <c r="R15" s="388" t="s">
        <v>554</v>
      </c>
      <c r="S15" s="388" t="s">
        <v>671</v>
      </c>
      <c r="T15" s="388" t="s">
        <v>202</v>
      </c>
      <c r="U15" s="388" t="s">
        <v>202</v>
      </c>
      <c r="V15" s="388" t="s">
        <v>203</v>
      </c>
      <c r="W15" s="388" t="s">
        <v>202</v>
      </c>
      <c r="X15" s="466" t="s">
        <v>203</v>
      </c>
    </row>
    <row r="16" spans="1:24" s="391" customFormat="1">
      <c r="A16" s="463">
        <v>39451</v>
      </c>
      <c r="B16" s="387">
        <v>51614</v>
      </c>
      <c r="C16" s="388" t="s">
        <v>672</v>
      </c>
      <c r="D16" s="389">
        <v>1580</v>
      </c>
      <c r="E16" s="389">
        <v>1580</v>
      </c>
      <c r="F16" s="389"/>
      <c r="G16" s="389">
        <v>189.6</v>
      </c>
      <c r="H16" s="389">
        <v>1769.6</v>
      </c>
      <c r="I16" s="464" t="s">
        <v>596</v>
      </c>
      <c r="J16" s="464">
        <v>31.6</v>
      </c>
      <c r="K16" s="464">
        <v>132.72</v>
      </c>
      <c r="L16" s="464" t="s">
        <v>596</v>
      </c>
      <c r="M16" s="464">
        <v>1605.28</v>
      </c>
      <c r="N16" s="465">
        <v>947</v>
      </c>
      <c r="O16" s="388" t="s">
        <v>203</v>
      </c>
      <c r="P16" s="388" t="s">
        <v>202</v>
      </c>
      <c r="Q16" s="388" t="s">
        <v>202</v>
      </c>
      <c r="R16" s="388" t="s">
        <v>554</v>
      </c>
      <c r="S16" s="388" t="s">
        <v>673</v>
      </c>
      <c r="T16" s="388" t="s">
        <v>202</v>
      </c>
      <c r="U16" s="388" t="s">
        <v>202</v>
      </c>
      <c r="V16" s="388" t="s">
        <v>203</v>
      </c>
      <c r="W16" s="388" t="s">
        <v>202</v>
      </c>
      <c r="X16" s="466" t="s">
        <v>203</v>
      </c>
    </row>
    <row r="17" spans="1:49" s="391" customFormat="1">
      <c r="A17" s="463">
        <v>39464</v>
      </c>
      <c r="B17" s="387">
        <v>51734</v>
      </c>
      <c r="C17" s="388" t="s">
        <v>674</v>
      </c>
      <c r="D17" s="389">
        <v>11.25</v>
      </c>
      <c r="E17" s="389">
        <v>11.25</v>
      </c>
      <c r="F17" s="389"/>
      <c r="G17" s="389">
        <v>1.3499999999999999</v>
      </c>
      <c r="H17" s="389">
        <v>12.6</v>
      </c>
      <c r="I17" s="464" t="s">
        <v>596</v>
      </c>
      <c r="J17" s="464" t="s">
        <v>596</v>
      </c>
      <c r="K17" s="464" t="s">
        <v>596</v>
      </c>
      <c r="L17" s="464" t="s">
        <v>596</v>
      </c>
      <c r="M17" s="464">
        <v>12.6</v>
      </c>
      <c r="N17" s="465"/>
      <c r="O17" s="388" t="s">
        <v>203</v>
      </c>
      <c r="P17" s="388" t="s">
        <v>202</v>
      </c>
      <c r="Q17" s="388" t="s">
        <v>202</v>
      </c>
      <c r="R17" s="388" t="s">
        <v>554</v>
      </c>
      <c r="S17" s="388" t="s">
        <v>675</v>
      </c>
      <c r="T17" s="388" t="s">
        <v>202</v>
      </c>
      <c r="U17" s="388" t="s">
        <v>202</v>
      </c>
      <c r="V17" s="388" t="s">
        <v>203</v>
      </c>
      <c r="W17" s="388" t="s">
        <v>202</v>
      </c>
      <c r="X17" s="466" t="s">
        <v>203</v>
      </c>
    </row>
    <row r="18" spans="1:49" s="391" customFormat="1">
      <c r="A18" s="463">
        <v>39504</v>
      </c>
      <c r="B18" s="387">
        <v>52425</v>
      </c>
      <c r="C18" s="388" t="s">
        <v>676</v>
      </c>
      <c r="D18" s="389">
        <v>122.45</v>
      </c>
      <c r="E18" s="389"/>
      <c r="F18" s="389">
        <v>122.45</v>
      </c>
      <c r="G18" s="389">
        <v>0</v>
      </c>
      <c r="H18" s="389">
        <v>122.45</v>
      </c>
      <c r="I18" s="464" t="s">
        <v>596</v>
      </c>
      <c r="J18" s="464">
        <v>2.4490000000000003</v>
      </c>
      <c r="K18" s="464" t="s">
        <v>596</v>
      </c>
      <c r="L18" s="464" t="s">
        <v>596</v>
      </c>
      <c r="M18" s="464">
        <v>120.001</v>
      </c>
      <c r="N18" s="465">
        <v>999</v>
      </c>
      <c r="O18" s="388" t="s">
        <v>203</v>
      </c>
      <c r="P18" s="388" t="s">
        <v>202</v>
      </c>
      <c r="Q18" s="388" t="s">
        <v>202</v>
      </c>
      <c r="R18" s="388" t="s">
        <v>677</v>
      </c>
      <c r="S18" s="388" t="s">
        <v>678</v>
      </c>
      <c r="T18" s="388" t="s">
        <v>202</v>
      </c>
      <c r="U18" s="388" t="s">
        <v>202</v>
      </c>
      <c r="V18" s="388" t="s">
        <v>203</v>
      </c>
      <c r="W18" s="388" t="s">
        <v>202</v>
      </c>
      <c r="X18" s="466" t="s">
        <v>203</v>
      </c>
    </row>
    <row r="19" spans="1:49" s="391" customFormat="1">
      <c r="A19" s="463">
        <v>39556</v>
      </c>
      <c r="B19" s="387">
        <v>53333</v>
      </c>
      <c r="C19" s="388" t="s">
        <v>679</v>
      </c>
      <c r="D19" s="389">
        <v>400</v>
      </c>
      <c r="E19" s="389">
        <v>400</v>
      </c>
      <c r="F19" s="389"/>
      <c r="G19" s="389">
        <v>48</v>
      </c>
      <c r="H19" s="389">
        <v>448</v>
      </c>
      <c r="I19" s="464" t="s">
        <v>596</v>
      </c>
      <c r="J19" s="464">
        <v>8</v>
      </c>
      <c r="K19" s="464" t="s">
        <v>596</v>
      </c>
      <c r="L19" s="464">
        <v>48</v>
      </c>
      <c r="M19" s="464">
        <v>392</v>
      </c>
      <c r="N19" s="465">
        <v>1085</v>
      </c>
      <c r="O19" s="388" t="s">
        <v>203</v>
      </c>
      <c r="P19" s="388" t="s">
        <v>202</v>
      </c>
      <c r="Q19" s="388" t="s">
        <v>202</v>
      </c>
      <c r="R19" s="388" t="s">
        <v>677</v>
      </c>
      <c r="S19" s="388" t="s">
        <v>680</v>
      </c>
      <c r="T19" s="388" t="s">
        <v>202</v>
      </c>
      <c r="U19" s="388" t="s">
        <v>202</v>
      </c>
      <c r="V19" s="388" t="s">
        <v>203</v>
      </c>
      <c r="W19" s="388" t="s">
        <v>202</v>
      </c>
      <c r="X19" s="466" t="s">
        <v>203</v>
      </c>
    </row>
    <row r="20" spans="1:49" s="391" customFormat="1">
      <c r="A20" s="463">
        <v>39581</v>
      </c>
      <c r="B20" s="387">
        <v>53686</v>
      </c>
      <c r="C20" s="388" t="s">
        <v>681</v>
      </c>
      <c r="D20" s="389">
        <v>39.020000000000003</v>
      </c>
      <c r="E20" s="389">
        <v>39.020000000000003</v>
      </c>
      <c r="F20" s="389"/>
      <c r="G20" s="389">
        <v>4.6824000000000003</v>
      </c>
      <c r="H20" s="389">
        <v>43.702400000000004</v>
      </c>
      <c r="I20" s="464" t="s">
        <v>596</v>
      </c>
      <c r="J20" s="464">
        <v>0</v>
      </c>
      <c r="K20" s="464" t="s">
        <v>596</v>
      </c>
      <c r="L20" s="464" t="s">
        <v>596</v>
      </c>
      <c r="M20" s="464">
        <v>43.702400000000004</v>
      </c>
      <c r="N20" s="465"/>
      <c r="O20" s="388" t="s">
        <v>203</v>
      </c>
      <c r="P20" s="388" t="s">
        <v>202</v>
      </c>
      <c r="Q20" s="388" t="s">
        <v>202</v>
      </c>
      <c r="R20" s="388" t="s">
        <v>554</v>
      </c>
      <c r="S20" s="388">
        <v>17879</v>
      </c>
      <c r="T20" s="388" t="s">
        <v>202</v>
      </c>
      <c r="U20" s="388" t="s">
        <v>202</v>
      </c>
      <c r="V20" s="388" t="s">
        <v>203</v>
      </c>
      <c r="W20" s="388" t="s">
        <v>202</v>
      </c>
      <c r="X20" s="466" t="s">
        <v>203</v>
      </c>
    </row>
    <row r="21" spans="1:49" s="391" customFormat="1">
      <c r="A21" s="463">
        <v>39633</v>
      </c>
      <c r="B21" s="387">
        <v>54610</v>
      </c>
      <c r="C21" s="388" t="s">
        <v>682</v>
      </c>
      <c r="D21" s="389">
        <v>400.12</v>
      </c>
      <c r="E21" s="389">
        <v>400.12</v>
      </c>
      <c r="F21" s="389"/>
      <c r="G21" s="389">
        <v>48.014400000000002</v>
      </c>
      <c r="H21" s="389">
        <v>448.13440000000003</v>
      </c>
      <c r="I21" s="464">
        <v>4</v>
      </c>
      <c r="J21" s="464" t="s">
        <v>596</v>
      </c>
      <c r="K21" s="464" t="s">
        <v>596</v>
      </c>
      <c r="L21" s="464" t="s">
        <v>596</v>
      </c>
      <c r="M21" s="464">
        <v>4.0011999999999999</v>
      </c>
      <c r="N21" s="465" t="s">
        <v>596</v>
      </c>
      <c r="O21" s="388" t="s">
        <v>596</v>
      </c>
      <c r="P21" s="388" t="s">
        <v>202</v>
      </c>
      <c r="Q21" s="388" t="s">
        <v>202</v>
      </c>
      <c r="R21" s="388" t="s">
        <v>554</v>
      </c>
      <c r="S21" s="388">
        <v>23095</v>
      </c>
      <c r="T21" s="388" t="s">
        <v>596</v>
      </c>
      <c r="U21" s="388" t="s">
        <v>596</v>
      </c>
      <c r="V21" s="388" t="s">
        <v>596</v>
      </c>
      <c r="W21" s="388" t="s">
        <v>683</v>
      </c>
      <c r="X21" s="466" t="s">
        <v>203</v>
      </c>
    </row>
    <row r="22" spans="1:49" s="391" customFormat="1">
      <c r="A22" s="463">
        <v>39633</v>
      </c>
      <c r="B22" s="387">
        <v>54646</v>
      </c>
      <c r="C22" s="388" t="s">
        <v>684</v>
      </c>
      <c r="D22" s="389">
        <v>400</v>
      </c>
      <c r="E22" s="389">
        <v>400</v>
      </c>
      <c r="F22" s="389"/>
      <c r="G22" s="389">
        <v>48</v>
      </c>
      <c r="H22" s="389">
        <v>448</v>
      </c>
      <c r="I22" s="464" t="s">
        <v>596</v>
      </c>
      <c r="J22" s="464">
        <v>8</v>
      </c>
      <c r="K22" s="464">
        <v>33.599999999999994</v>
      </c>
      <c r="L22" s="464" t="s">
        <v>596</v>
      </c>
      <c r="M22" s="464">
        <v>41.599999999999994</v>
      </c>
      <c r="N22" s="465">
        <v>1191</v>
      </c>
      <c r="O22" s="388" t="s">
        <v>203</v>
      </c>
      <c r="P22" s="388" t="s">
        <v>202</v>
      </c>
      <c r="Q22" s="388" t="s">
        <v>202</v>
      </c>
      <c r="R22" s="388" t="s">
        <v>554</v>
      </c>
      <c r="S22" s="388">
        <v>210</v>
      </c>
      <c r="T22" s="388" t="s">
        <v>202</v>
      </c>
      <c r="U22" s="388" t="s">
        <v>202</v>
      </c>
      <c r="V22" s="388" t="s">
        <v>203</v>
      </c>
      <c r="W22" s="388" t="s">
        <v>202</v>
      </c>
      <c r="X22" s="466" t="s">
        <v>203</v>
      </c>
    </row>
    <row r="23" spans="1:49" s="391" customFormat="1">
      <c r="A23" s="463">
        <v>39645</v>
      </c>
      <c r="B23" s="387">
        <v>54845</v>
      </c>
      <c r="C23" s="388" t="s">
        <v>685</v>
      </c>
      <c r="D23" s="389">
        <v>100</v>
      </c>
      <c r="E23" s="389">
        <v>100</v>
      </c>
      <c r="F23" s="389"/>
      <c r="G23" s="389">
        <v>12</v>
      </c>
      <c r="H23" s="389">
        <v>112</v>
      </c>
      <c r="I23" s="464" t="s">
        <v>596</v>
      </c>
      <c r="J23" s="464">
        <v>2</v>
      </c>
      <c r="K23" s="464" t="s">
        <v>596</v>
      </c>
      <c r="L23" s="464">
        <v>12</v>
      </c>
      <c r="M23" s="464">
        <v>14</v>
      </c>
      <c r="N23" s="465">
        <v>1225</v>
      </c>
      <c r="O23" s="388" t="s">
        <v>203</v>
      </c>
      <c r="P23" s="388" t="s">
        <v>202</v>
      </c>
      <c r="Q23" s="388" t="s">
        <v>202</v>
      </c>
      <c r="R23" s="388" t="s">
        <v>677</v>
      </c>
      <c r="S23" s="388">
        <v>914</v>
      </c>
      <c r="T23" s="388" t="s">
        <v>202</v>
      </c>
      <c r="U23" s="388" t="s">
        <v>202</v>
      </c>
      <c r="V23" s="388" t="s">
        <v>203</v>
      </c>
      <c r="W23" s="388" t="s">
        <v>202</v>
      </c>
      <c r="X23" s="466" t="s">
        <v>203</v>
      </c>
    </row>
    <row r="24" spans="1:49" s="391" customFormat="1" ht="13.5" thickBot="1">
      <c r="A24" s="468">
        <v>39702</v>
      </c>
      <c r="B24" s="469">
        <v>55887</v>
      </c>
      <c r="C24" s="470" t="s">
        <v>686</v>
      </c>
      <c r="D24" s="471">
        <v>160</v>
      </c>
      <c r="E24" s="471">
        <v>160</v>
      </c>
      <c r="F24" s="471">
        <v>160</v>
      </c>
      <c r="G24" s="471">
        <v>0</v>
      </c>
      <c r="H24" s="471">
        <v>160</v>
      </c>
      <c r="I24" s="472" t="s">
        <v>596</v>
      </c>
      <c r="J24" s="472">
        <v>3.2</v>
      </c>
      <c r="K24" s="472" t="s">
        <v>596</v>
      </c>
      <c r="L24" s="472" t="s">
        <v>596</v>
      </c>
      <c r="M24" s="472">
        <v>156.80000000000001</v>
      </c>
      <c r="N24" s="473">
        <v>1314</v>
      </c>
      <c r="O24" s="470" t="s">
        <v>203</v>
      </c>
      <c r="P24" s="470" t="s">
        <v>202</v>
      </c>
      <c r="Q24" s="470" t="s">
        <v>202</v>
      </c>
      <c r="R24" s="470" t="s">
        <v>677</v>
      </c>
      <c r="S24" s="470">
        <v>932</v>
      </c>
      <c r="T24" s="388" t="s">
        <v>202</v>
      </c>
      <c r="U24" s="388" t="s">
        <v>202</v>
      </c>
      <c r="V24" s="388" t="s">
        <v>203</v>
      </c>
      <c r="W24" s="388" t="s">
        <v>202</v>
      </c>
      <c r="X24" s="466" t="s">
        <v>203</v>
      </c>
    </row>
    <row r="25" spans="1:49">
      <c r="D25" s="474">
        <f>SUM(D11:D24)</f>
        <v>9875.1542857142867</v>
      </c>
      <c r="I25" s="475"/>
      <c r="J25" s="475"/>
      <c r="K25" s="475"/>
      <c r="L25" s="475"/>
      <c r="M25" s="475"/>
      <c r="N25" s="475"/>
    </row>
    <row r="29" spans="1:49" s="367" customFormat="1" ht="15.75">
      <c r="A29" s="476" t="s">
        <v>607</v>
      </c>
      <c r="B29" s="477">
        <v>6811</v>
      </c>
      <c r="C29" s="478"/>
      <c r="D29" s="478"/>
      <c r="E29" s="401"/>
      <c r="F29" s="479"/>
      <c r="G29" s="479"/>
      <c r="H29" s="479"/>
      <c r="I29" s="479"/>
      <c r="J29" s="479"/>
      <c r="K29" s="480"/>
      <c r="L29" s="480"/>
      <c r="M29" s="480"/>
      <c r="N29" s="480"/>
      <c r="O29" s="480"/>
      <c r="P29" s="480"/>
      <c r="Q29" s="480"/>
      <c r="R29" s="481"/>
      <c r="S29" s="480"/>
      <c r="T29" s="480"/>
      <c r="U29" s="480"/>
      <c r="V29" s="482"/>
      <c r="W29" s="483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480"/>
      <c r="AM29" s="480"/>
      <c r="AN29" s="480"/>
      <c r="AO29" s="480"/>
      <c r="AP29" s="480"/>
      <c r="AQ29" s="480"/>
      <c r="AR29" s="480"/>
      <c r="AS29" s="480"/>
      <c r="AT29" s="480"/>
      <c r="AU29" s="480"/>
      <c r="AV29" s="480"/>
      <c r="AW29" s="480"/>
    </row>
    <row r="30" spans="1:49" s="367" customFormat="1" ht="15.75">
      <c r="A30" s="484" t="s">
        <v>608</v>
      </c>
      <c r="B30" s="477" t="s">
        <v>687</v>
      </c>
      <c r="C30" s="403"/>
      <c r="D30" s="365"/>
      <c r="G30" s="366" t="s">
        <v>532</v>
      </c>
      <c r="H30" s="485">
        <v>1881.97</v>
      </c>
      <c r="J30" s="367" t="s">
        <v>533</v>
      </c>
      <c r="L30" s="349">
        <f>D38</f>
        <v>1881.97</v>
      </c>
      <c r="M30" s="480"/>
      <c r="N30" s="480"/>
      <c r="O30" s="480"/>
      <c r="P30" s="480"/>
      <c r="Q30" s="480"/>
      <c r="R30" s="481"/>
      <c r="S30" s="480"/>
      <c r="T30" s="480"/>
      <c r="U30" s="480"/>
      <c r="V30" s="482"/>
      <c r="W30" s="483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480"/>
      <c r="AQ30" s="480"/>
      <c r="AR30" s="480"/>
      <c r="AS30" s="480"/>
      <c r="AT30" s="480"/>
      <c r="AU30" s="480"/>
      <c r="AV30" s="480"/>
      <c r="AW30" s="480"/>
    </row>
    <row r="31" spans="1:49" s="401" customFormat="1" ht="13.5" thickBot="1"/>
    <row r="32" spans="1:49" s="401" customFormat="1" ht="51">
      <c r="A32" s="486" t="s">
        <v>514</v>
      </c>
      <c r="B32" s="487" t="s">
        <v>610</v>
      </c>
      <c r="C32" s="487" t="s">
        <v>219</v>
      </c>
      <c r="D32" s="487" t="s">
        <v>611</v>
      </c>
      <c r="E32" s="487" t="s">
        <v>525</v>
      </c>
      <c r="F32" s="487" t="s">
        <v>524</v>
      </c>
      <c r="G32" s="487" t="s">
        <v>612</v>
      </c>
      <c r="H32" s="487" t="s">
        <v>688</v>
      </c>
      <c r="I32" s="487" t="s">
        <v>581</v>
      </c>
      <c r="J32" s="487" t="s">
        <v>614</v>
      </c>
      <c r="K32" s="487" t="s">
        <v>689</v>
      </c>
      <c r="L32" s="488" t="s">
        <v>690</v>
      </c>
      <c r="M32" s="488" t="s">
        <v>615</v>
      </c>
      <c r="N32" s="487" t="s">
        <v>616</v>
      </c>
      <c r="O32" s="487" t="s">
        <v>213</v>
      </c>
      <c r="P32" s="487" t="s">
        <v>617</v>
      </c>
      <c r="Q32" s="487" t="s">
        <v>618</v>
      </c>
      <c r="R32" s="488" t="s">
        <v>619</v>
      </c>
      <c r="S32" s="488" t="s">
        <v>620</v>
      </c>
      <c r="T32" s="489" t="s">
        <v>691</v>
      </c>
      <c r="U32" s="487" t="s">
        <v>622</v>
      </c>
      <c r="V32" s="487" t="s">
        <v>646</v>
      </c>
      <c r="W32" s="490" t="s">
        <v>565</v>
      </c>
      <c r="X32" s="491"/>
      <c r="Y32" s="491"/>
      <c r="Z32" s="491"/>
      <c r="AA32" s="491"/>
      <c r="AB32" s="491"/>
      <c r="AC32" s="491"/>
      <c r="AD32" s="491"/>
      <c r="AE32" s="491"/>
      <c r="AF32" s="491"/>
      <c r="AG32" s="491"/>
      <c r="AH32" s="491"/>
      <c r="AI32" s="491"/>
      <c r="AJ32" s="491"/>
      <c r="AK32" s="491"/>
      <c r="AL32" s="491"/>
      <c r="AM32" s="491"/>
      <c r="AN32" s="491"/>
      <c r="AO32" s="491"/>
      <c r="AP32" s="491"/>
      <c r="AQ32" s="491"/>
      <c r="AR32" s="491"/>
      <c r="AS32" s="491"/>
      <c r="AT32" s="491"/>
      <c r="AU32" s="491"/>
      <c r="AV32" s="491"/>
    </row>
    <row r="33" spans="1:49" s="401" customFormat="1">
      <c r="A33" s="492">
        <v>39702</v>
      </c>
      <c r="B33" s="493">
        <v>55887</v>
      </c>
      <c r="C33" s="493" t="s">
        <v>686</v>
      </c>
      <c r="D33" s="494">
        <v>320</v>
      </c>
      <c r="E33" s="494">
        <v>0</v>
      </c>
      <c r="F33" s="494">
        <v>320</v>
      </c>
      <c r="G33" s="494">
        <v>0</v>
      </c>
      <c r="H33" s="494">
        <f>D33+G33</f>
        <v>320</v>
      </c>
      <c r="I33" s="495">
        <v>2</v>
      </c>
      <c r="J33" s="494">
        <v>6.8</v>
      </c>
      <c r="K33" s="495" t="s">
        <v>596</v>
      </c>
      <c r="L33" s="495" t="s">
        <v>596</v>
      </c>
      <c r="M33" s="496">
        <v>1314</v>
      </c>
      <c r="N33" s="388" t="s">
        <v>203</v>
      </c>
      <c r="O33" s="388" t="s">
        <v>202</v>
      </c>
      <c r="P33" s="388" t="s">
        <v>202</v>
      </c>
      <c r="Q33" s="388" t="s">
        <v>554</v>
      </c>
      <c r="R33" s="401">
        <v>458879</v>
      </c>
      <c r="S33" s="388" t="s">
        <v>202</v>
      </c>
      <c r="T33" s="388" t="s">
        <v>202</v>
      </c>
      <c r="U33" s="388" t="s">
        <v>203</v>
      </c>
      <c r="V33" s="388" t="s">
        <v>202</v>
      </c>
      <c r="W33" s="497" t="s">
        <v>203</v>
      </c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1"/>
      <c r="AL33" s="491"/>
      <c r="AM33" s="491"/>
      <c r="AN33" s="491"/>
      <c r="AO33" s="491"/>
      <c r="AP33" s="491"/>
      <c r="AQ33" s="491"/>
      <c r="AR33" s="491"/>
      <c r="AS33" s="491"/>
      <c r="AT33" s="491"/>
      <c r="AU33" s="491"/>
      <c r="AV33" s="491"/>
    </row>
    <row r="34" spans="1:49" s="401" customFormat="1">
      <c r="A34" s="492">
        <v>39455</v>
      </c>
      <c r="B34" s="493">
        <v>51431</v>
      </c>
      <c r="C34" s="493" t="s">
        <v>692</v>
      </c>
      <c r="D34" s="494">
        <v>672.03</v>
      </c>
      <c r="E34" s="494">
        <v>672.03</v>
      </c>
      <c r="F34" s="494"/>
      <c r="G34" s="494">
        <f>+E34*0.12</f>
        <v>80.643599999999992</v>
      </c>
      <c r="H34" s="494">
        <f>D34+G34</f>
        <v>752.67359999999996</v>
      </c>
      <c r="I34" s="495">
        <v>2</v>
      </c>
      <c r="J34" s="494">
        <v>13.4406</v>
      </c>
      <c r="K34" s="495" t="s">
        <v>596</v>
      </c>
      <c r="L34" s="494" t="s">
        <v>596</v>
      </c>
      <c r="M34" s="496">
        <v>929</v>
      </c>
      <c r="N34" s="388" t="s">
        <v>203</v>
      </c>
      <c r="O34" s="388" t="s">
        <v>202</v>
      </c>
      <c r="P34" s="388" t="s">
        <v>202</v>
      </c>
      <c r="Q34" s="388" t="s">
        <v>554</v>
      </c>
      <c r="R34" s="401">
        <v>5998</v>
      </c>
      <c r="S34" s="388" t="s">
        <v>202</v>
      </c>
      <c r="T34" s="388" t="s">
        <v>202</v>
      </c>
      <c r="U34" s="388" t="s">
        <v>203</v>
      </c>
      <c r="V34" s="388" t="s">
        <v>202</v>
      </c>
      <c r="W34" s="497" t="s">
        <v>203</v>
      </c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491"/>
      <c r="AK34" s="491"/>
      <c r="AL34" s="491"/>
      <c r="AM34" s="491"/>
      <c r="AN34" s="491"/>
      <c r="AO34" s="491"/>
      <c r="AP34" s="491"/>
      <c r="AQ34" s="491"/>
      <c r="AR34" s="491"/>
      <c r="AS34" s="491"/>
      <c r="AT34" s="491"/>
      <c r="AU34" s="491"/>
      <c r="AV34" s="491"/>
    </row>
    <row r="35" spans="1:49" s="401" customFormat="1">
      <c r="A35" s="492">
        <v>39812</v>
      </c>
      <c r="B35" s="493">
        <v>57787</v>
      </c>
      <c r="C35" s="493" t="s">
        <v>428</v>
      </c>
      <c r="D35" s="494">
        <v>552.44000000000005</v>
      </c>
      <c r="E35" s="494">
        <v>552.44000000000005</v>
      </c>
      <c r="F35" s="494"/>
      <c r="G35" s="494">
        <f>+E35*0.12</f>
        <v>66.2928</v>
      </c>
      <c r="H35" s="494">
        <f>D35+G35</f>
        <v>618.7328</v>
      </c>
      <c r="I35" s="495">
        <v>2</v>
      </c>
      <c r="J35" s="494">
        <v>11.05</v>
      </c>
      <c r="K35" s="495">
        <v>100</v>
      </c>
      <c r="L35" s="494">
        <v>66.290000000000006</v>
      </c>
      <c r="M35" s="496">
        <v>1245</v>
      </c>
      <c r="N35" s="388" t="s">
        <v>203</v>
      </c>
      <c r="O35" s="388" t="s">
        <v>202</v>
      </c>
      <c r="P35" s="388" t="s">
        <v>202</v>
      </c>
      <c r="Q35" s="495" t="s">
        <v>693</v>
      </c>
      <c r="R35" s="493">
        <v>935</v>
      </c>
      <c r="S35" s="388" t="s">
        <v>202</v>
      </c>
      <c r="T35" s="388" t="s">
        <v>202</v>
      </c>
      <c r="U35" s="388" t="s">
        <v>203</v>
      </c>
      <c r="V35" s="388" t="s">
        <v>202</v>
      </c>
      <c r="W35" s="497" t="s">
        <v>203</v>
      </c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  <c r="AJ35" s="491"/>
      <c r="AK35" s="491"/>
      <c r="AL35" s="491"/>
      <c r="AM35" s="491"/>
      <c r="AN35" s="491"/>
      <c r="AO35" s="491"/>
      <c r="AP35" s="491"/>
      <c r="AQ35" s="491"/>
      <c r="AR35" s="491"/>
      <c r="AS35" s="491"/>
      <c r="AT35" s="491"/>
      <c r="AU35" s="491"/>
      <c r="AV35" s="491"/>
    </row>
    <row r="36" spans="1:49" s="401" customFormat="1">
      <c r="A36" s="492">
        <v>39643</v>
      </c>
      <c r="B36" s="493">
        <v>54803</v>
      </c>
      <c r="C36" s="493" t="s">
        <v>694</v>
      </c>
      <c r="D36" s="494">
        <v>337.5</v>
      </c>
      <c r="E36" s="494"/>
      <c r="F36" s="494">
        <v>337.5</v>
      </c>
      <c r="G36" s="494">
        <v>0</v>
      </c>
      <c r="H36" s="494">
        <f>D36+G36</f>
        <v>337.5</v>
      </c>
      <c r="I36" s="495"/>
      <c r="J36" s="494"/>
      <c r="K36" s="495"/>
      <c r="L36" s="495"/>
      <c r="M36" s="494"/>
      <c r="N36" s="388"/>
      <c r="O36" s="388"/>
      <c r="P36" s="388"/>
      <c r="Q36" s="495"/>
      <c r="R36" s="493"/>
      <c r="S36" s="498"/>
      <c r="T36" s="498"/>
      <c r="U36" s="499"/>
      <c r="V36" s="500"/>
      <c r="W36" s="497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1"/>
      <c r="AL36" s="491"/>
      <c r="AM36" s="491"/>
      <c r="AN36" s="491"/>
      <c r="AO36" s="491"/>
      <c r="AP36" s="491"/>
      <c r="AQ36" s="491"/>
      <c r="AR36" s="491"/>
      <c r="AS36" s="491"/>
      <c r="AT36" s="491"/>
      <c r="AU36" s="491"/>
      <c r="AV36" s="491"/>
    </row>
    <row r="37" spans="1:49" s="401" customFormat="1" ht="13.5" thickBot="1">
      <c r="A37" s="501"/>
      <c r="B37" s="502"/>
      <c r="C37" s="502"/>
      <c r="D37" s="502"/>
      <c r="E37" s="502"/>
      <c r="F37" s="502"/>
      <c r="G37" s="502"/>
      <c r="H37" s="502"/>
      <c r="I37" s="503"/>
      <c r="J37" s="503"/>
      <c r="K37" s="503"/>
      <c r="L37" s="503"/>
      <c r="M37" s="502"/>
      <c r="N37" s="388"/>
      <c r="O37" s="388"/>
      <c r="P37" s="388"/>
      <c r="Q37" s="504"/>
      <c r="R37" s="502"/>
      <c r="S37" s="503"/>
      <c r="T37" s="503"/>
      <c r="U37" s="505"/>
      <c r="V37" s="506"/>
      <c r="W37" s="507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1"/>
      <c r="AL37" s="491"/>
      <c r="AM37" s="491"/>
      <c r="AN37" s="491"/>
      <c r="AO37" s="491"/>
      <c r="AP37" s="491"/>
      <c r="AQ37" s="491"/>
      <c r="AR37" s="491"/>
      <c r="AS37" s="491"/>
      <c r="AT37" s="491"/>
      <c r="AU37" s="491"/>
      <c r="AV37" s="491"/>
    </row>
    <row r="38" spans="1:49" s="433" customFormat="1">
      <c r="A38" s="508"/>
      <c r="B38" s="509"/>
      <c r="C38" s="509"/>
      <c r="D38" s="510">
        <f>SUM(D33:D37)</f>
        <v>1881.97</v>
      </c>
      <c r="E38" s="509"/>
      <c r="F38" s="509"/>
      <c r="G38" s="509"/>
      <c r="H38" s="509"/>
      <c r="I38" s="511"/>
      <c r="J38" s="509"/>
      <c r="K38" s="511"/>
      <c r="L38" s="511"/>
      <c r="M38" s="509"/>
      <c r="N38" s="511"/>
      <c r="O38" s="511"/>
      <c r="P38" s="511"/>
      <c r="Q38" s="512"/>
      <c r="R38" s="509"/>
      <c r="S38" s="511"/>
      <c r="T38" s="511"/>
      <c r="U38" s="513"/>
      <c r="V38" s="514"/>
      <c r="W38" s="511"/>
      <c r="X38" s="509"/>
      <c r="Y38" s="509"/>
      <c r="Z38" s="509"/>
      <c r="AA38" s="509"/>
      <c r="AB38" s="509"/>
      <c r="AC38" s="509"/>
      <c r="AD38" s="509"/>
      <c r="AE38" s="509"/>
      <c r="AF38" s="509"/>
      <c r="AG38" s="509"/>
      <c r="AH38" s="509"/>
      <c r="AI38" s="509"/>
      <c r="AJ38" s="509"/>
      <c r="AK38" s="509"/>
      <c r="AL38" s="509"/>
      <c r="AM38" s="509"/>
      <c r="AN38" s="509"/>
      <c r="AO38" s="509"/>
      <c r="AP38" s="509"/>
      <c r="AQ38" s="509"/>
      <c r="AR38" s="509"/>
      <c r="AS38" s="509"/>
      <c r="AT38" s="509"/>
      <c r="AU38" s="509"/>
      <c r="AV38" s="509"/>
    </row>
    <row r="39" spans="1:49" s="401" customFormat="1">
      <c r="F39" s="415"/>
    </row>
    <row r="40" spans="1:49" s="401" customFormat="1">
      <c r="B40" s="515"/>
      <c r="C40" s="515"/>
      <c r="D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5"/>
      <c r="S40" s="515"/>
      <c r="T40" s="515"/>
      <c r="U40" s="515"/>
      <c r="V40" s="515"/>
      <c r="W40" s="515"/>
      <c r="X40" s="515"/>
      <c r="Y40" s="515"/>
      <c r="Z40" s="515"/>
      <c r="AA40" s="515"/>
      <c r="AB40" s="515"/>
      <c r="AC40" s="515"/>
      <c r="AD40" s="515"/>
      <c r="AE40" s="515"/>
      <c r="AF40" s="515"/>
      <c r="AG40" s="515"/>
      <c r="AH40" s="515"/>
      <c r="AI40" s="515"/>
      <c r="AJ40" s="515"/>
      <c r="AK40" s="515"/>
      <c r="AL40" s="515"/>
      <c r="AM40" s="515"/>
      <c r="AN40" s="515"/>
      <c r="AO40" s="515"/>
      <c r="AP40" s="515"/>
      <c r="AQ40" s="515"/>
      <c r="AR40" s="515"/>
      <c r="AS40" s="515"/>
      <c r="AT40" s="515"/>
      <c r="AU40" s="515"/>
      <c r="AV40" s="515"/>
    </row>
    <row r="41" spans="1:49" s="367" customFormat="1" ht="15.75">
      <c r="A41" s="476" t="s">
        <v>607</v>
      </c>
      <c r="B41" s="516">
        <v>6812</v>
      </c>
      <c r="C41" s="478"/>
      <c r="D41" s="478"/>
      <c r="E41" s="401"/>
      <c r="F41" s="479"/>
      <c r="G41" s="479"/>
      <c r="H41" s="479"/>
      <c r="I41" s="479"/>
      <c r="J41" s="479"/>
      <c r="K41" s="480"/>
      <c r="L41" s="480"/>
      <c r="M41" s="480"/>
      <c r="N41" s="480"/>
      <c r="O41" s="480"/>
      <c r="P41" s="480"/>
      <c r="Q41" s="480"/>
      <c r="R41" s="481"/>
      <c r="S41" s="480"/>
      <c r="T41" s="480"/>
      <c r="U41" s="480"/>
      <c r="V41" s="482"/>
      <c r="W41" s="483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0"/>
      <c r="AS41" s="480"/>
      <c r="AT41" s="480"/>
      <c r="AU41" s="480"/>
      <c r="AV41" s="480"/>
      <c r="AW41" s="480"/>
    </row>
    <row r="42" spans="1:49" s="367" customFormat="1" ht="15.75">
      <c r="A42" s="484" t="s">
        <v>608</v>
      </c>
      <c r="B42" s="477" t="s">
        <v>695</v>
      </c>
      <c r="C42" s="403"/>
      <c r="F42" s="365"/>
      <c r="G42" s="366" t="s">
        <v>532</v>
      </c>
      <c r="H42" s="517">
        <v>571.20000000000005</v>
      </c>
      <c r="J42" s="367" t="s">
        <v>533</v>
      </c>
      <c r="L42" s="349">
        <f>D53</f>
        <v>571.20000000000005</v>
      </c>
      <c r="M42" s="480"/>
      <c r="N42" s="480"/>
      <c r="O42" s="480"/>
      <c r="P42" s="480"/>
      <c r="Q42" s="480"/>
      <c r="R42" s="481"/>
      <c r="S42" s="480"/>
      <c r="T42" s="480"/>
      <c r="U42" s="480"/>
      <c r="V42" s="482"/>
      <c r="W42" s="483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0"/>
      <c r="AS42" s="480"/>
      <c r="AT42" s="480"/>
      <c r="AU42" s="480"/>
      <c r="AV42" s="480"/>
      <c r="AW42" s="480"/>
    </row>
    <row r="43" spans="1:49" s="401" customFormat="1" ht="13.5" thickBot="1"/>
    <row r="44" spans="1:49" s="401" customFormat="1" ht="51">
      <c r="A44" s="518" t="s">
        <v>514</v>
      </c>
      <c r="B44" s="519" t="s">
        <v>610</v>
      </c>
      <c r="C44" s="519" t="s">
        <v>219</v>
      </c>
      <c r="D44" s="519" t="s">
        <v>611</v>
      </c>
      <c r="E44" s="519" t="s">
        <v>525</v>
      </c>
      <c r="F44" s="519" t="s">
        <v>524</v>
      </c>
      <c r="G44" s="519" t="s">
        <v>612</v>
      </c>
      <c r="H44" s="519" t="s">
        <v>696</v>
      </c>
      <c r="I44" s="519" t="s">
        <v>581</v>
      </c>
      <c r="J44" s="519" t="s">
        <v>614</v>
      </c>
      <c r="K44" s="519" t="s">
        <v>689</v>
      </c>
      <c r="L44" s="520" t="s">
        <v>690</v>
      </c>
      <c r="M44" s="520" t="s">
        <v>615</v>
      </c>
      <c r="N44" s="519" t="s">
        <v>616</v>
      </c>
      <c r="O44" s="519" t="s">
        <v>213</v>
      </c>
      <c r="P44" s="519" t="s">
        <v>617</v>
      </c>
      <c r="Q44" s="519" t="s">
        <v>618</v>
      </c>
      <c r="R44" s="520" t="s">
        <v>619</v>
      </c>
      <c r="S44" s="520" t="s">
        <v>620</v>
      </c>
      <c r="T44" s="521" t="s">
        <v>691</v>
      </c>
      <c r="U44" s="519" t="s">
        <v>622</v>
      </c>
      <c r="V44" s="519" t="s">
        <v>646</v>
      </c>
      <c r="W44" s="522" t="s">
        <v>565</v>
      </c>
      <c r="X44" s="523"/>
      <c r="Y44" s="523"/>
      <c r="Z44" s="523"/>
      <c r="AA44" s="523"/>
      <c r="AB44" s="523"/>
      <c r="AC44" s="523"/>
      <c r="AD44" s="523"/>
      <c r="AE44" s="523"/>
      <c r="AF44" s="523"/>
      <c r="AG44" s="523"/>
      <c r="AH44" s="523"/>
      <c r="AI44" s="523"/>
      <c r="AJ44" s="523"/>
      <c r="AK44" s="523"/>
      <c r="AL44" s="523"/>
      <c r="AM44" s="523"/>
      <c r="AN44" s="523"/>
      <c r="AO44" s="523"/>
      <c r="AP44" s="523"/>
      <c r="AQ44" s="523"/>
      <c r="AR44" s="523"/>
      <c r="AS44" s="523"/>
      <c r="AT44" s="523"/>
    </row>
    <row r="45" spans="1:49" s="401" customFormat="1">
      <c r="A45" s="524">
        <v>39772</v>
      </c>
      <c r="B45" s="525">
        <v>57177</v>
      </c>
      <c r="C45" s="525" t="s">
        <v>697</v>
      </c>
      <c r="D45" s="526">
        <v>70</v>
      </c>
      <c r="E45" s="526">
        <v>70</v>
      </c>
      <c r="F45" s="526"/>
      <c r="G45" s="526">
        <v>8.4</v>
      </c>
      <c r="H45" s="526">
        <f>D45+G45</f>
        <v>78.400000000000006</v>
      </c>
      <c r="I45" s="527">
        <v>2</v>
      </c>
      <c r="J45" s="467">
        <f>+I45*0.02</f>
        <v>0.04</v>
      </c>
      <c r="K45" s="527">
        <v>70</v>
      </c>
      <c r="L45" s="526">
        <f>+G45*K45/100</f>
        <v>5.88</v>
      </c>
      <c r="M45" s="525">
        <v>1386</v>
      </c>
      <c r="N45" s="388" t="s">
        <v>203</v>
      </c>
      <c r="O45" s="388" t="s">
        <v>202</v>
      </c>
      <c r="P45" s="388" t="s">
        <v>202</v>
      </c>
      <c r="Q45" s="527" t="s">
        <v>698</v>
      </c>
      <c r="R45" s="525">
        <v>15239</v>
      </c>
      <c r="S45" s="528"/>
      <c r="T45" s="528"/>
      <c r="U45" s="529"/>
      <c r="V45" s="530"/>
      <c r="W45" s="528"/>
      <c r="X45" s="523"/>
      <c r="Y45" s="523"/>
      <c r="Z45" s="523"/>
      <c r="AA45" s="523"/>
      <c r="AB45" s="523"/>
      <c r="AC45" s="523"/>
      <c r="AD45" s="523"/>
      <c r="AE45" s="523"/>
      <c r="AF45" s="523"/>
      <c r="AG45" s="523"/>
      <c r="AH45" s="523"/>
      <c r="AI45" s="523"/>
      <c r="AJ45" s="523"/>
      <c r="AK45" s="523"/>
      <c r="AL45" s="523"/>
      <c r="AM45" s="523"/>
      <c r="AN45" s="523"/>
      <c r="AO45" s="523"/>
      <c r="AP45" s="523"/>
      <c r="AQ45" s="523"/>
      <c r="AR45" s="523"/>
      <c r="AS45" s="523"/>
      <c r="AT45" s="523"/>
    </row>
    <row r="46" spans="1:49" s="401" customFormat="1">
      <c r="A46" s="524">
        <v>39608</v>
      </c>
      <c r="B46" s="525">
        <v>54135</v>
      </c>
      <c r="C46" s="525" t="s">
        <v>699</v>
      </c>
      <c r="D46" s="526">
        <v>65.2</v>
      </c>
      <c r="E46" s="526">
        <v>65.2</v>
      </c>
      <c r="F46" s="526"/>
      <c r="G46" s="526">
        <v>7.8239999999999998</v>
      </c>
      <c r="H46" s="526">
        <f t="shared" ref="H46:H52" si="0">D46+G46</f>
        <v>73.024000000000001</v>
      </c>
      <c r="I46" s="527">
        <v>2</v>
      </c>
      <c r="J46" s="467">
        <f t="shared" ref="J46:J52" si="1">+I46*0.02</f>
        <v>0.04</v>
      </c>
      <c r="K46" s="527">
        <v>70</v>
      </c>
      <c r="L46" s="526">
        <f>+G46*K46/100</f>
        <v>5.4767999999999999</v>
      </c>
      <c r="M46" s="525">
        <v>1148</v>
      </c>
      <c r="N46" s="388" t="s">
        <v>203</v>
      </c>
      <c r="O46" s="388" t="s">
        <v>202</v>
      </c>
      <c r="P46" s="388" t="s">
        <v>202</v>
      </c>
      <c r="Q46" s="527" t="s">
        <v>698</v>
      </c>
      <c r="R46" s="525">
        <v>453</v>
      </c>
      <c r="S46" s="528"/>
      <c r="T46" s="528"/>
      <c r="U46" s="529"/>
      <c r="V46" s="530"/>
      <c r="W46" s="528"/>
      <c r="X46" s="523"/>
      <c r="Y46" s="523"/>
      <c r="Z46" s="523"/>
      <c r="AA46" s="523"/>
      <c r="AB46" s="523"/>
      <c r="AC46" s="523"/>
      <c r="AD46" s="523"/>
      <c r="AE46" s="523"/>
      <c r="AF46" s="523"/>
      <c r="AG46" s="523"/>
      <c r="AH46" s="523"/>
      <c r="AI46" s="523"/>
      <c r="AJ46" s="523"/>
      <c r="AK46" s="523"/>
      <c r="AL46" s="523"/>
      <c r="AM46" s="523"/>
      <c r="AN46" s="523"/>
      <c r="AO46" s="523"/>
      <c r="AP46" s="523"/>
      <c r="AQ46" s="523"/>
      <c r="AR46" s="523"/>
      <c r="AS46" s="523"/>
      <c r="AT46" s="523"/>
    </row>
    <row r="47" spans="1:49" s="401" customFormat="1">
      <c r="A47" s="524">
        <v>39576</v>
      </c>
      <c r="B47" s="525">
        <v>53563</v>
      </c>
      <c r="C47" s="525" t="s">
        <v>700</v>
      </c>
      <c r="D47" s="526">
        <v>70</v>
      </c>
      <c r="E47" s="526">
        <v>70</v>
      </c>
      <c r="F47" s="526"/>
      <c r="G47" s="526">
        <v>8.4</v>
      </c>
      <c r="H47" s="526">
        <f t="shared" si="0"/>
        <v>78.400000000000006</v>
      </c>
      <c r="I47" s="527">
        <v>2</v>
      </c>
      <c r="J47" s="467">
        <f t="shared" si="1"/>
        <v>0.04</v>
      </c>
      <c r="K47" s="527">
        <v>0</v>
      </c>
      <c r="L47" s="526">
        <f t="shared" ref="L47:L52" si="2">+G47*K47/100</f>
        <v>0</v>
      </c>
      <c r="M47" s="525">
        <v>1102</v>
      </c>
      <c r="N47" s="388" t="s">
        <v>203</v>
      </c>
      <c r="O47" s="388" t="s">
        <v>202</v>
      </c>
      <c r="P47" s="388" t="s">
        <v>202</v>
      </c>
      <c r="Q47" s="527" t="s">
        <v>698</v>
      </c>
      <c r="R47" s="525">
        <v>13837</v>
      </c>
      <c r="S47" s="528"/>
      <c r="T47" s="528"/>
      <c r="U47" s="529"/>
      <c r="V47" s="530"/>
      <c r="W47" s="528"/>
      <c r="X47" s="523"/>
      <c r="Y47" s="523"/>
      <c r="Z47" s="523"/>
      <c r="AA47" s="523"/>
      <c r="AB47" s="523"/>
      <c r="AC47" s="523"/>
      <c r="AD47" s="523"/>
      <c r="AE47" s="523"/>
      <c r="AF47" s="523"/>
      <c r="AG47" s="523"/>
      <c r="AH47" s="523"/>
      <c r="AI47" s="523"/>
      <c r="AJ47" s="523"/>
      <c r="AK47" s="523"/>
      <c r="AL47" s="523"/>
      <c r="AM47" s="523"/>
      <c r="AN47" s="523"/>
      <c r="AO47" s="523"/>
      <c r="AP47" s="523"/>
      <c r="AQ47" s="523"/>
      <c r="AR47" s="523"/>
      <c r="AS47" s="523"/>
      <c r="AT47" s="523"/>
    </row>
    <row r="48" spans="1:49" s="401" customFormat="1">
      <c r="A48" s="524">
        <v>39591</v>
      </c>
      <c r="B48" s="525">
        <v>53884</v>
      </c>
      <c r="C48" s="525" t="s">
        <v>701</v>
      </c>
      <c r="D48" s="526">
        <v>20</v>
      </c>
      <c r="E48" s="526">
        <v>20</v>
      </c>
      <c r="F48" s="526"/>
      <c r="G48" s="526">
        <v>2.4</v>
      </c>
      <c r="H48" s="526">
        <f t="shared" si="0"/>
        <v>22.4</v>
      </c>
      <c r="I48" s="527">
        <v>2</v>
      </c>
      <c r="J48" s="467">
        <f t="shared" si="1"/>
        <v>0.04</v>
      </c>
      <c r="K48" s="527">
        <v>0</v>
      </c>
      <c r="L48" s="526">
        <f t="shared" si="2"/>
        <v>0</v>
      </c>
      <c r="M48" s="525">
        <v>1120</v>
      </c>
      <c r="N48" s="388" t="s">
        <v>203</v>
      </c>
      <c r="O48" s="388" t="s">
        <v>202</v>
      </c>
      <c r="P48" s="388" t="s">
        <v>202</v>
      </c>
      <c r="Q48" s="527" t="s">
        <v>698</v>
      </c>
      <c r="R48" s="525">
        <v>12775</v>
      </c>
      <c r="S48" s="528"/>
      <c r="T48" s="528"/>
      <c r="U48" s="529"/>
      <c r="V48" s="530"/>
      <c r="W48" s="528"/>
      <c r="X48" s="523"/>
      <c r="Y48" s="523"/>
      <c r="Z48" s="523"/>
      <c r="AA48" s="523"/>
      <c r="AB48" s="523"/>
      <c r="AC48" s="523"/>
      <c r="AD48" s="523"/>
      <c r="AE48" s="523"/>
      <c r="AF48" s="523"/>
      <c r="AG48" s="523"/>
      <c r="AH48" s="523"/>
      <c r="AI48" s="523"/>
      <c r="AJ48" s="523"/>
      <c r="AK48" s="523"/>
      <c r="AL48" s="523"/>
      <c r="AM48" s="523"/>
      <c r="AN48" s="523"/>
      <c r="AO48" s="523"/>
      <c r="AP48" s="523"/>
      <c r="AQ48" s="523"/>
      <c r="AR48" s="523"/>
      <c r="AS48" s="523"/>
      <c r="AT48" s="523"/>
    </row>
    <row r="49" spans="1:46" s="401" customFormat="1">
      <c r="A49" s="524">
        <v>39644</v>
      </c>
      <c r="B49" s="525">
        <v>54836</v>
      </c>
      <c r="C49" s="525" t="s">
        <v>702</v>
      </c>
      <c r="D49" s="526">
        <v>50</v>
      </c>
      <c r="E49" s="526">
        <v>50</v>
      </c>
      <c r="F49" s="526"/>
      <c r="G49" s="526">
        <v>6</v>
      </c>
      <c r="H49" s="526">
        <f t="shared" si="0"/>
        <v>56</v>
      </c>
      <c r="I49" s="527">
        <v>2</v>
      </c>
      <c r="J49" s="467">
        <f t="shared" si="1"/>
        <v>0.04</v>
      </c>
      <c r="K49" s="527">
        <v>70</v>
      </c>
      <c r="L49" s="526">
        <f t="shared" si="2"/>
        <v>4.2</v>
      </c>
      <c r="M49" s="525">
        <v>1221</v>
      </c>
      <c r="N49" s="388" t="s">
        <v>203</v>
      </c>
      <c r="O49" s="388" t="s">
        <v>202</v>
      </c>
      <c r="P49" s="388" t="s">
        <v>202</v>
      </c>
      <c r="Q49" s="527" t="s">
        <v>703</v>
      </c>
      <c r="R49" s="525">
        <v>911</v>
      </c>
      <c r="S49" s="528"/>
      <c r="T49" s="528"/>
      <c r="U49" s="529"/>
      <c r="V49" s="530"/>
      <c r="W49" s="528"/>
      <c r="X49" s="523"/>
      <c r="Y49" s="523"/>
      <c r="Z49" s="523"/>
      <c r="AA49" s="523"/>
      <c r="AB49" s="523"/>
      <c r="AC49" s="523"/>
      <c r="AD49" s="523"/>
      <c r="AE49" s="523"/>
      <c r="AF49" s="523"/>
      <c r="AG49" s="523"/>
      <c r="AH49" s="523"/>
      <c r="AI49" s="523"/>
      <c r="AJ49" s="523"/>
      <c r="AK49" s="523"/>
      <c r="AL49" s="523"/>
      <c r="AM49" s="523"/>
      <c r="AN49" s="523"/>
      <c r="AO49" s="523"/>
      <c r="AP49" s="523"/>
      <c r="AQ49" s="523"/>
      <c r="AR49" s="523"/>
      <c r="AS49" s="523"/>
      <c r="AT49" s="523"/>
    </row>
    <row r="50" spans="1:46" s="401" customFormat="1">
      <c r="A50" s="524">
        <v>39696</v>
      </c>
      <c r="B50" s="525">
        <v>55696</v>
      </c>
      <c r="C50" s="525" t="s">
        <v>699</v>
      </c>
      <c r="D50" s="526">
        <v>80</v>
      </c>
      <c r="E50" s="526">
        <v>80</v>
      </c>
      <c r="F50" s="526">
        <v>0</v>
      </c>
      <c r="G50" s="526">
        <v>9.6</v>
      </c>
      <c r="H50" s="526">
        <f t="shared" si="0"/>
        <v>89.6</v>
      </c>
      <c r="I50" s="527">
        <v>2</v>
      </c>
      <c r="J50" s="467">
        <f t="shared" si="1"/>
        <v>0.04</v>
      </c>
      <c r="K50" s="527">
        <v>70</v>
      </c>
      <c r="L50" s="526">
        <f t="shared" si="2"/>
        <v>6.72</v>
      </c>
      <c r="M50" s="525">
        <v>1294</v>
      </c>
      <c r="N50" s="388" t="s">
        <v>203</v>
      </c>
      <c r="O50" s="388" t="s">
        <v>202</v>
      </c>
      <c r="P50" s="388" t="s">
        <v>202</v>
      </c>
      <c r="Q50" s="527" t="s">
        <v>698</v>
      </c>
      <c r="R50" s="525">
        <v>526</v>
      </c>
      <c r="S50" s="528"/>
      <c r="T50" s="528"/>
      <c r="U50" s="529"/>
      <c r="V50" s="530"/>
      <c r="W50" s="528"/>
      <c r="X50" s="523"/>
      <c r="Y50" s="523"/>
      <c r="Z50" s="523"/>
      <c r="AA50" s="523"/>
      <c r="AB50" s="523"/>
      <c r="AC50" s="523"/>
      <c r="AD50" s="523"/>
      <c r="AE50" s="523"/>
      <c r="AF50" s="523"/>
      <c r="AG50" s="523"/>
      <c r="AH50" s="523"/>
      <c r="AI50" s="523"/>
      <c r="AJ50" s="523"/>
      <c r="AK50" s="523"/>
      <c r="AL50" s="523"/>
      <c r="AM50" s="523"/>
      <c r="AN50" s="523"/>
      <c r="AO50" s="523"/>
      <c r="AP50" s="523"/>
      <c r="AQ50" s="523"/>
      <c r="AR50" s="523"/>
      <c r="AS50" s="523"/>
      <c r="AT50" s="523"/>
    </row>
    <row r="51" spans="1:46" s="401" customFormat="1">
      <c r="A51" s="524">
        <v>39765</v>
      </c>
      <c r="B51" s="525">
        <v>57017</v>
      </c>
      <c r="C51" s="525" t="s">
        <v>704</v>
      </c>
      <c r="D51" s="526">
        <v>171</v>
      </c>
      <c r="E51" s="526">
        <v>171</v>
      </c>
      <c r="F51" s="526"/>
      <c r="G51" s="526">
        <v>20.52</v>
      </c>
      <c r="H51" s="526">
        <f t="shared" si="0"/>
        <v>191.52</v>
      </c>
      <c r="I51" s="527">
        <v>2</v>
      </c>
      <c r="J51" s="467">
        <f t="shared" si="1"/>
        <v>0.04</v>
      </c>
      <c r="K51" s="527">
        <v>70</v>
      </c>
      <c r="L51" s="526">
        <f t="shared" si="2"/>
        <v>14.363999999999999</v>
      </c>
      <c r="M51" s="525">
        <v>1379</v>
      </c>
      <c r="N51" s="388" t="s">
        <v>203</v>
      </c>
      <c r="O51" s="388" t="s">
        <v>202</v>
      </c>
      <c r="P51" s="388" t="s">
        <v>202</v>
      </c>
      <c r="Q51" s="527" t="s">
        <v>698</v>
      </c>
      <c r="R51" s="525">
        <v>562</v>
      </c>
      <c r="S51" s="528"/>
      <c r="T51" s="528"/>
      <c r="U51" s="529"/>
      <c r="V51" s="530"/>
      <c r="W51" s="528"/>
      <c r="X51" s="523"/>
      <c r="Y51" s="523"/>
      <c r="Z51" s="523"/>
      <c r="AA51" s="523"/>
      <c r="AB51" s="523"/>
      <c r="AC51" s="523"/>
      <c r="AD51" s="523"/>
      <c r="AE51" s="523"/>
      <c r="AF51" s="523"/>
      <c r="AG51" s="523"/>
      <c r="AH51" s="523"/>
      <c r="AI51" s="523"/>
      <c r="AJ51" s="523"/>
      <c r="AK51" s="523"/>
      <c r="AL51" s="523"/>
      <c r="AM51" s="523"/>
      <c r="AN51" s="523"/>
      <c r="AO51" s="523"/>
      <c r="AP51" s="523"/>
      <c r="AQ51" s="523"/>
      <c r="AR51" s="523"/>
      <c r="AS51" s="523"/>
      <c r="AT51" s="523"/>
    </row>
    <row r="52" spans="1:46" s="401" customFormat="1">
      <c r="A52" s="524">
        <v>39797</v>
      </c>
      <c r="B52" s="525">
        <v>57633</v>
      </c>
      <c r="C52" s="525" t="s">
        <v>330</v>
      </c>
      <c r="D52" s="526">
        <v>45</v>
      </c>
      <c r="E52" s="526">
        <v>45</v>
      </c>
      <c r="F52" s="526"/>
      <c r="G52" s="526">
        <v>5.4</v>
      </c>
      <c r="H52" s="526">
        <f t="shared" si="0"/>
        <v>50.4</v>
      </c>
      <c r="I52" s="527">
        <v>2</v>
      </c>
      <c r="J52" s="467">
        <f t="shared" si="1"/>
        <v>0.04</v>
      </c>
      <c r="K52" s="527">
        <v>0</v>
      </c>
      <c r="L52" s="526">
        <f t="shared" si="2"/>
        <v>0</v>
      </c>
      <c r="M52" s="525">
        <v>1354</v>
      </c>
      <c r="N52" s="388" t="s">
        <v>203</v>
      </c>
      <c r="O52" s="388" t="s">
        <v>202</v>
      </c>
      <c r="P52" s="388" t="s">
        <v>202</v>
      </c>
      <c r="Q52" s="527" t="s">
        <v>698</v>
      </c>
      <c r="R52" s="525">
        <v>39792</v>
      </c>
      <c r="S52" s="528"/>
      <c r="T52" s="528"/>
      <c r="U52" s="529"/>
      <c r="V52" s="530"/>
      <c r="W52" s="528"/>
      <c r="X52" s="523"/>
      <c r="Y52" s="523"/>
      <c r="Z52" s="523"/>
      <c r="AA52" s="523"/>
      <c r="AB52" s="523"/>
      <c r="AC52" s="523"/>
      <c r="AD52" s="523"/>
      <c r="AE52" s="523"/>
      <c r="AF52" s="523"/>
      <c r="AG52" s="523"/>
      <c r="AH52" s="523"/>
      <c r="AI52" s="523"/>
      <c r="AJ52" s="523"/>
      <c r="AK52" s="523"/>
      <c r="AL52" s="523"/>
      <c r="AM52" s="523"/>
      <c r="AN52" s="523"/>
      <c r="AO52" s="523"/>
      <c r="AP52" s="523"/>
      <c r="AQ52" s="523"/>
      <c r="AR52" s="523"/>
      <c r="AS52" s="523"/>
      <c r="AT52" s="523"/>
    </row>
    <row r="53" spans="1:46" s="401" customFormat="1">
      <c r="A53" s="524"/>
      <c r="B53" s="525"/>
      <c r="C53" s="525"/>
      <c r="D53" s="531">
        <f>SUM(D45:D52)</f>
        <v>571.20000000000005</v>
      </c>
      <c r="E53" s="526"/>
      <c r="F53" s="526"/>
      <c r="G53" s="526"/>
      <c r="H53" s="526"/>
      <c r="I53" s="527"/>
      <c r="J53" s="526"/>
      <c r="K53" s="527"/>
      <c r="L53" s="527"/>
      <c r="M53" s="525"/>
      <c r="N53" s="528"/>
      <c r="O53" s="528"/>
      <c r="P53" s="528"/>
      <c r="Q53" s="527"/>
      <c r="R53" s="525"/>
      <c r="S53" s="528"/>
      <c r="T53" s="528"/>
      <c r="U53" s="529"/>
      <c r="V53" s="530"/>
      <c r="W53" s="528"/>
      <c r="X53" s="523"/>
      <c r="Y53" s="523"/>
      <c r="Z53" s="523"/>
      <c r="AA53" s="523"/>
      <c r="AB53" s="523"/>
      <c r="AC53" s="523"/>
      <c r="AD53" s="523"/>
      <c r="AE53" s="523"/>
      <c r="AF53" s="523"/>
      <c r="AG53" s="523"/>
      <c r="AH53" s="523"/>
      <c r="AI53" s="523"/>
      <c r="AJ53" s="523"/>
      <c r="AK53" s="523"/>
      <c r="AL53" s="523"/>
      <c r="AM53" s="523"/>
      <c r="AN53" s="523"/>
      <c r="AO53" s="523"/>
      <c r="AP53" s="523"/>
      <c r="AQ53" s="523"/>
      <c r="AR53" s="523"/>
      <c r="AS53" s="523"/>
      <c r="AT53" s="523"/>
    </row>
    <row r="54" spans="1:46" s="401" customFormat="1" ht="13.5" thickBot="1"/>
    <row r="55" spans="1:46" ht="15.75" thickBot="1">
      <c r="B55" s="436" t="s">
        <v>170</v>
      </c>
      <c r="C55" s="437" t="s">
        <v>219</v>
      </c>
      <c r="D55" s="438" t="s">
        <v>17</v>
      </c>
    </row>
    <row r="56" spans="1:46">
      <c r="B56" s="440">
        <v>6203</v>
      </c>
      <c r="C56" s="440" t="s">
        <v>705</v>
      </c>
      <c r="D56" s="441">
        <v>5262.56</v>
      </c>
    </row>
    <row r="57" spans="1:46">
      <c r="B57" s="446">
        <v>6209</v>
      </c>
      <c r="C57" s="443" t="s">
        <v>706</v>
      </c>
      <c r="D57" s="444">
        <v>4612.59</v>
      </c>
    </row>
    <row r="58" spans="1:46">
      <c r="B58" s="446">
        <v>6811</v>
      </c>
      <c r="C58" s="443" t="s">
        <v>687</v>
      </c>
      <c r="D58" s="444">
        <v>1881.97</v>
      </c>
    </row>
    <row r="59" spans="1:46">
      <c r="B59" s="446">
        <v>6812</v>
      </c>
      <c r="C59" s="443" t="s">
        <v>695</v>
      </c>
      <c r="D59" s="444">
        <v>571.20000000000005</v>
      </c>
    </row>
    <row r="60" spans="1:46" ht="15">
      <c r="B60" s="445" t="s">
        <v>183</v>
      </c>
      <c r="C60" s="446"/>
      <c r="D60" s="447">
        <f>SUM(D55:D59)</f>
        <v>12328.320000000002</v>
      </c>
    </row>
  </sheetData>
  <mergeCells count="24"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</mergeCells>
  <pageMargins left="0.74803149606299213" right="0.74803149606299213" top="0.98425196850393704" bottom="0.98425196850393704" header="0" footer="0"/>
  <pageSetup paperSize="9" scale="44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U75"/>
  <sheetViews>
    <sheetView workbookViewId="0">
      <selection activeCell="D9" sqref="D9"/>
    </sheetView>
  </sheetViews>
  <sheetFormatPr baseColWidth="10" defaultRowHeight="12.75"/>
  <cols>
    <col min="1" max="1" width="11.42578125" style="87"/>
    <col min="2" max="2" width="12.5703125" style="87" bestFit="1" customWidth="1"/>
    <col min="3" max="3" width="10.140625" style="87" customWidth="1"/>
    <col min="4" max="4" width="33.140625" style="87" customWidth="1"/>
    <col min="5" max="8" width="11.5703125" style="87" bestFit="1" customWidth="1"/>
    <col min="9" max="9" width="11.85546875" style="87" bestFit="1" customWidth="1"/>
    <col min="10" max="12" width="11.5703125" style="87" bestFit="1" customWidth="1"/>
    <col min="13" max="13" width="11.85546875" style="87" bestFit="1" customWidth="1"/>
    <col min="14" max="14" width="11.5703125" style="87" bestFit="1" customWidth="1"/>
    <col min="15" max="257" width="11.42578125" style="87"/>
    <col min="258" max="258" width="12.5703125" style="87" bestFit="1" customWidth="1"/>
    <col min="259" max="259" width="10.140625" style="87" customWidth="1"/>
    <col min="260" max="260" width="33.140625" style="87" customWidth="1"/>
    <col min="261" max="264" width="11.5703125" style="87" bestFit="1" customWidth="1"/>
    <col min="265" max="265" width="11.85546875" style="87" bestFit="1" customWidth="1"/>
    <col min="266" max="268" width="11.5703125" style="87" bestFit="1" customWidth="1"/>
    <col min="269" max="269" width="11.85546875" style="87" bestFit="1" customWidth="1"/>
    <col min="270" max="270" width="11.5703125" style="87" bestFit="1" customWidth="1"/>
    <col min="271" max="513" width="11.42578125" style="87"/>
    <col min="514" max="514" width="12.5703125" style="87" bestFit="1" customWidth="1"/>
    <col min="515" max="515" width="10.140625" style="87" customWidth="1"/>
    <col min="516" max="516" width="33.140625" style="87" customWidth="1"/>
    <col min="517" max="520" width="11.5703125" style="87" bestFit="1" customWidth="1"/>
    <col min="521" max="521" width="11.85546875" style="87" bestFit="1" customWidth="1"/>
    <col min="522" max="524" width="11.5703125" style="87" bestFit="1" customWidth="1"/>
    <col min="525" max="525" width="11.85546875" style="87" bestFit="1" customWidth="1"/>
    <col min="526" max="526" width="11.5703125" style="87" bestFit="1" customWidth="1"/>
    <col min="527" max="769" width="11.42578125" style="87"/>
    <col min="770" max="770" width="12.5703125" style="87" bestFit="1" customWidth="1"/>
    <col min="771" max="771" width="10.140625" style="87" customWidth="1"/>
    <col min="772" max="772" width="33.140625" style="87" customWidth="1"/>
    <col min="773" max="776" width="11.5703125" style="87" bestFit="1" customWidth="1"/>
    <col min="777" max="777" width="11.85546875" style="87" bestFit="1" customWidth="1"/>
    <col min="778" max="780" width="11.5703125" style="87" bestFit="1" customWidth="1"/>
    <col min="781" max="781" width="11.85546875" style="87" bestFit="1" customWidth="1"/>
    <col min="782" max="782" width="11.5703125" style="87" bestFit="1" customWidth="1"/>
    <col min="783" max="1025" width="11.42578125" style="87"/>
    <col min="1026" max="1026" width="12.5703125" style="87" bestFit="1" customWidth="1"/>
    <col min="1027" max="1027" width="10.140625" style="87" customWidth="1"/>
    <col min="1028" max="1028" width="33.140625" style="87" customWidth="1"/>
    <col min="1029" max="1032" width="11.5703125" style="87" bestFit="1" customWidth="1"/>
    <col min="1033" max="1033" width="11.85546875" style="87" bestFit="1" customWidth="1"/>
    <col min="1034" max="1036" width="11.5703125" style="87" bestFit="1" customWidth="1"/>
    <col min="1037" max="1037" width="11.85546875" style="87" bestFit="1" customWidth="1"/>
    <col min="1038" max="1038" width="11.5703125" style="87" bestFit="1" customWidth="1"/>
    <col min="1039" max="1281" width="11.42578125" style="87"/>
    <col min="1282" max="1282" width="12.5703125" style="87" bestFit="1" customWidth="1"/>
    <col min="1283" max="1283" width="10.140625" style="87" customWidth="1"/>
    <col min="1284" max="1284" width="33.140625" style="87" customWidth="1"/>
    <col min="1285" max="1288" width="11.5703125" style="87" bestFit="1" customWidth="1"/>
    <col min="1289" max="1289" width="11.85546875" style="87" bestFit="1" customWidth="1"/>
    <col min="1290" max="1292" width="11.5703125" style="87" bestFit="1" customWidth="1"/>
    <col min="1293" max="1293" width="11.85546875" style="87" bestFit="1" customWidth="1"/>
    <col min="1294" max="1294" width="11.5703125" style="87" bestFit="1" customWidth="1"/>
    <col min="1295" max="1537" width="11.42578125" style="87"/>
    <col min="1538" max="1538" width="12.5703125" style="87" bestFit="1" customWidth="1"/>
    <col min="1539" max="1539" width="10.140625" style="87" customWidth="1"/>
    <col min="1540" max="1540" width="33.140625" style="87" customWidth="1"/>
    <col min="1541" max="1544" width="11.5703125" style="87" bestFit="1" customWidth="1"/>
    <col min="1545" max="1545" width="11.85546875" style="87" bestFit="1" customWidth="1"/>
    <col min="1546" max="1548" width="11.5703125" style="87" bestFit="1" customWidth="1"/>
    <col min="1549" max="1549" width="11.85546875" style="87" bestFit="1" customWidth="1"/>
    <col min="1550" max="1550" width="11.5703125" style="87" bestFit="1" customWidth="1"/>
    <col min="1551" max="1793" width="11.42578125" style="87"/>
    <col min="1794" max="1794" width="12.5703125" style="87" bestFit="1" customWidth="1"/>
    <col min="1795" max="1795" width="10.140625" style="87" customWidth="1"/>
    <col min="1796" max="1796" width="33.140625" style="87" customWidth="1"/>
    <col min="1797" max="1800" width="11.5703125" style="87" bestFit="1" customWidth="1"/>
    <col min="1801" max="1801" width="11.85546875" style="87" bestFit="1" customWidth="1"/>
    <col min="1802" max="1804" width="11.5703125" style="87" bestFit="1" customWidth="1"/>
    <col min="1805" max="1805" width="11.85546875" style="87" bestFit="1" customWidth="1"/>
    <col min="1806" max="1806" width="11.5703125" style="87" bestFit="1" customWidth="1"/>
    <col min="1807" max="2049" width="11.42578125" style="87"/>
    <col min="2050" max="2050" width="12.5703125" style="87" bestFit="1" customWidth="1"/>
    <col min="2051" max="2051" width="10.140625" style="87" customWidth="1"/>
    <col min="2052" max="2052" width="33.140625" style="87" customWidth="1"/>
    <col min="2053" max="2056" width="11.5703125" style="87" bestFit="1" customWidth="1"/>
    <col min="2057" max="2057" width="11.85546875" style="87" bestFit="1" customWidth="1"/>
    <col min="2058" max="2060" width="11.5703125" style="87" bestFit="1" customWidth="1"/>
    <col min="2061" max="2061" width="11.85546875" style="87" bestFit="1" customWidth="1"/>
    <col min="2062" max="2062" width="11.5703125" style="87" bestFit="1" customWidth="1"/>
    <col min="2063" max="2305" width="11.42578125" style="87"/>
    <col min="2306" max="2306" width="12.5703125" style="87" bestFit="1" customWidth="1"/>
    <col min="2307" max="2307" width="10.140625" style="87" customWidth="1"/>
    <col min="2308" max="2308" width="33.140625" style="87" customWidth="1"/>
    <col min="2309" max="2312" width="11.5703125" style="87" bestFit="1" customWidth="1"/>
    <col min="2313" max="2313" width="11.85546875" style="87" bestFit="1" customWidth="1"/>
    <col min="2314" max="2316" width="11.5703125" style="87" bestFit="1" customWidth="1"/>
    <col min="2317" max="2317" width="11.85546875" style="87" bestFit="1" customWidth="1"/>
    <col min="2318" max="2318" width="11.5703125" style="87" bestFit="1" customWidth="1"/>
    <col min="2319" max="2561" width="11.42578125" style="87"/>
    <col min="2562" max="2562" width="12.5703125" style="87" bestFit="1" customWidth="1"/>
    <col min="2563" max="2563" width="10.140625" style="87" customWidth="1"/>
    <col min="2564" max="2564" width="33.140625" style="87" customWidth="1"/>
    <col min="2565" max="2568" width="11.5703125" style="87" bestFit="1" customWidth="1"/>
    <col min="2569" max="2569" width="11.85546875" style="87" bestFit="1" customWidth="1"/>
    <col min="2570" max="2572" width="11.5703125" style="87" bestFit="1" customWidth="1"/>
    <col min="2573" max="2573" width="11.85546875" style="87" bestFit="1" customWidth="1"/>
    <col min="2574" max="2574" width="11.5703125" style="87" bestFit="1" customWidth="1"/>
    <col min="2575" max="2817" width="11.42578125" style="87"/>
    <col min="2818" max="2818" width="12.5703125" style="87" bestFit="1" customWidth="1"/>
    <col min="2819" max="2819" width="10.140625" style="87" customWidth="1"/>
    <col min="2820" max="2820" width="33.140625" style="87" customWidth="1"/>
    <col min="2821" max="2824" width="11.5703125" style="87" bestFit="1" customWidth="1"/>
    <col min="2825" max="2825" width="11.85546875" style="87" bestFit="1" customWidth="1"/>
    <col min="2826" max="2828" width="11.5703125" style="87" bestFit="1" customWidth="1"/>
    <col min="2829" max="2829" width="11.85546875" style="87" bestFit="1" customWidth="1"/>
    <col min="2830" max="2830" width="11.5703125" style="87" bestFit="1" customWidth="1"/>
    <col min="2831" max="3073" width="11.42578125" style="87"/>
    <col min="3074" max="3074" width="12.5703125" style="87" bestFit="1" customWidth="1"/>
    <col min="3075" max="3075" width="10.140625" style="87" customWidth="1"/>
    <col min="3076" max="3076" width="33.140625" style="87" customWidth="1"/>
    <col min="3077" max="3080" width="11.5703125" style="87" bestFit="1" customWidth="1"/>
    <col min="3081" max="3081" width="11.85546875" style="87" bestFit="1" customWidth="1"/>
    <col min="3082" max="3084" width="11.5703125" style="87" bestFit="1" customWidth="1"/>
    <col min="3085" max="3085" width="11.85546875" style="87" bestFit="1" customWidth="1"/>
    <col min="3086" max="3086" width="11.5703125" style="87" bestFit="1" customWidth="1"/>
    <col min="3087" max="3329" width="11.42578125" style="87"/>
    <col min="3330" max="3330" width="12.5703125" style="87" bestFit="1" customWidth="1"/>
    <col min="3331" max="3331" width="10.140625" style="87" customWidth="1"/>
    <col min="3332" max="3332" width="33.140625" style="87" customWidth="1"/>
    <col min="3333" max="3336" width="11.5703125" style="87" bestFit="1" customWidth="1"/>
    <col min="3337" max="3337" width="11.85546875" style="87" bestFit="1" customWidth="1"/>
    <col min="3338" max="3340" width="11.5703125" style="87" bestFit="1" customWidth="1"/>
    <col min="3341" max="3341" width="11.85546875" style="87" bestFit="1" customWidth="1"/>
    <col min="3342" max="3342" width="11.5703125" style="87" bestFit="1" customWidth="1"/>
    <col min="3343" max="3585" width="11.42578125" style="87"/>
    <col min="3586" max="3586" width="12.5703125" style="87" bestFit="1" customWidth="1"/>
    <col min="3587" max="3587" width="10.140625" style="87" customWidth="1"/>
    <col min="3588" max="3588" width="33.140625" style="87" customWidth="1"/>
    <col min="3589" max="3592" width="11.5703125" style="87" bestFit="1" customWidth="1"/>
    <col min="3593" max="3593" width="11.85546875" style="87" bestFit="1" customWidth="1"/>
    <col min="3594" max="3596" width="11.5703125" style="87" bestFit="1" customWidth="1"/>
    <col min="3597" max="3597" width="11.85546875" style="87" bestFit="1" customWidth="1"/>
    <col min="3598" max="3598" width="11.5703125" style="87" bestFit="1" customWidth="1"/>
    <col min="3599" max="3841" width="11.42578125" style="87"/>
    <col min="3842" max="3842" width="12.5703125" style="87" bestFit="1" customWidth="1"/>
    <col min="3843" max="3843" width="10.140625" style="87" customWidth="1"/>
    <col min="3844" max="3844" width="33.140625" style="87" customWidth="1"/>
    <col min="3845" max="3848" width="11.5703125" style="87" bestFit="1" customWidth="1"/>
    <col min="3849" max="3849" width="11.85546875" style="87" bestFit="1" customWidth="1"/>
    <col min="3850" max="3852" width="11.5703125" style="87" bestFit="1" customWidth="1"/>
    <col min="3853" max="3853" width="11.85546875" style="87" bestFit="1" customWidth="1"/>
    <col min="3854" max="3854" width="11.5703125" style="87" bestFit="1" customWidth="1"/>
    <col min="3855" max="4097" width="11.42578125" style="87"/>
    <col min="4098" max="4098" width="12.5703125" style="87" bestFit="1" customWidth="1"/>
    <col min="4099" max="4099" width="10.140625" style="87" customWidth="1"/>
    <col min="4100" max="4100" width="33.140625" style="87" customWidth="1"/>
    <col min="4101" max="4104" width="11.5703125" style="87" bestFit="1" customWidth="1"/>
    <col min="4105" max="4105" width="11.85546875" style="87" bestFit="1" customWidth="1"/>
    <col min="4106" max="4108" width="11.5703125" style="87" bestFit="1" customWidth="1"/>
    <col min="4109" max="4109" width="11.85546875" style="87" bestFit="1" customWidth="1"/>
    <col min="4110" max="4110" width="11.5703125" style="87" bestFit="1" customWidth="1"/>
    <col min="4111" max="4353" width="11.42578125" style="87"/>
    <col min="4354" max="4354" width="12.5703125" style="87" bestFit="1" customWidth="1"/>
    <col min="4355" max="4355" width="10.140625" style="87" customWidth="1"/>
    <col min="4356" max="4356" width="33.140625" style="87" customWidth="1"/>
    <col min="4357" max="4360" width="11.5703125" style="87" bestFit="1" customWidth="1"/>
    <col min="4361" max="4361" width="11.85546875" style="87" bestFit="1" customWidth="1"/>
    <col min="4362" max="4364" width="11.5703125" style="87" bestFit="1" customWidth="1"/>
    <col min="4365" max="4365" width="11.85546875" style="87" bestFit="1" customWidth="1"/>
    <col min="4366" max="4366" width="11.5703125" style="87" bestFit="1" customWidth="1"/>
    <col min="4367" max="4609" width="11.42578125" style="87"/>
    <col min="4610" max="4610" width="12.5703125" style="87" bestFit="1" customWidth="1"/>
    <col min="4611" max="4611" width="10.140625" style="87" customWidth="1"/>
    <col min="4612" max="4612" width="33.140625" style="87" customWidth="1"/>
    <col min="4613" max="4616" width="11.5703125" style="87" bestFit="1" customWidth="1"/>
    <col min="4617" max="4617" width="11.85546875" style="87" bestFit="1" customWidth="1"/>
    <col min="4618" max="4620" width="11.5703125" style="87" bestFit="1" customWidth="1"/>
    <col min="4621" max="4621" width="11.85546875" style="87" bestFit="1" customWidth="1"/>
    <col min="4622" max="4622" width="11.5703125" style="87" bestFit="1" customWidth="1"/>
    <col min="4623" max="4865" width="11.42578125" style="87"/>
    <col min="4866" max="4866" width="12.5703125" style="87" bestFit="1" customWidth="1"/>
    <col min="4867" max="4867" width="10.140625" style="87" customWidth="1"/>
    <col min="4868" max="4868" width="33.140625" style="87" customWidth="1"/>
    <col min="4869" max="4872" width="11.5703125" style="87" bestFit="1" customWidth="1"/>
    <col min="4873" max="4873" width="11.85546875" style="87" bestFit="1" customWidth="1"/>
    <col min="4874" max="4876" width="11.5703125" style="87" bestFit="1" customWidth="1"/>
    <col min="4877" max="4877" width="11.85546875" style="87" bestFit="1" customWidth="1"/>
    <col min="4878" max="4878" width="11.5703125" style="87" bestFit="1" customWidth="1"/>
    <col min="4879" max="5121" width="11.42578125" style="87"/>
    <col min="5122" max="5122" width="12.5703125" style="87" bestFit="1" customWidth="1"/>
    <col min="5123" max="5123" width="10.140625" style="87" customWidth="1"/>
    <col min="5124" max="5124" width="33.140625" style="87" customWidth="1"/>
    <col min="5125" max="5128" width="11.5703125" style="87" bestFit="1" customWidth="1"/>
    <col min="5129" max="5129" width="11.85546875" style="87" bestFit="1" customWidth="1"/>
    <col min="5130" max="5132" width="11.5703125" style="87" bestFit="1" customWidth="1"/>
    <col min="5133" max="5133" width="11.85546875" style="87" bestFit="1" customWidth="1"/>
    <col min="5134" max="5134" width="11.5703125" style="87" bestFit="1" customWidth="1"/>
    <col min="5135" max="5377" width="11.42578125" style="87"/>
    <col min="5378" max="5378" width="12.5703125" style="87" bestFit="1" customWidth="1"/>
    <col min="5379" max="5379" width="10.140625" style="87" customWidth="1"/>
    <col min="5380" max="5380" width="33.140625" style="87" customWidth="1"/>
    <col min="5381" max="5384" width="11.5703125" style="87" bestFit="1" customWidth="1"/>
    <col min="5385" max="5385" width="11.85546875" style="87" bestFit="1" customWidth="1"/>
    <col min="5386" max="5388" width="11.5703125" style="87" bestFit="1" customWidth="1"/>
    <col min="5389" max="5389" width="11.85546875" style="87" bestFit="1" customWidth="1"/>
    <col min="5390" max="5390" width="11.5703125" style="87" bestFit="1" customWidth="1"/>
    <col min="5391" max="5633" width="11.42578125" style="87"/>
    <col min="5634" max="5634" width="12.5703125" style="87" bestFit="1" customWidth="1"/>
    <col min="5635" max="5635" width="10.140625" style="87" customWidth="1"/>
    <col min="5636" max="5636" width="33.140625" style="87" customWidth="1"/>
    <col min="5637" max="5640" width="11.5703125" style="87" bestFit="1" customWidth="1"/>
    <col min="5641" max="5641" width="11.85546875" style="87" bestFit="1" customWidth="1"/>
    <col min="5642" max="5644" width="11.5703125" style="87" bestFit="1" customWidth="1"/>
    <col min="5645" max="5645" width="11.85546875" style="87" bestFit="1" customWidth="1"/>
    <col min="5646" max="5646" width="11.5703125" style="87" bestFit="1" customWidth="1"/>
    <col min="5647" max="5889" width="11.42578125" style="87"/>
    <col min="5890" max="5890" width="12.5703125" style="87" bestFit="1" customWidth="1"/>
    <col min="5891" max="5891" width="10.140625" style="87" customWidth="1"/>
    <col min="5892" max="5892" width="33.140625" style="87" customWidth="1"/>
    <col min="5893" max="5896" width="11.5703125" style="87" bestFit="1" customWidth="1"/>
    <col min="5897" max="5897" width="11.85546875" style="87" bestFit="1" customWidth="1"/>
    <col min="5898" max="5900" width="11.5703125" style="87" bestFit="1" customWidth="1"/>
    <col min="5901" max="5901" width="11.85546875" style="87" bestFit="1" customWidth="1"/>
    <col min="5902" max="5902" width="11.5703125" style="87" bestFit="1" customWidth="1"/>
    <col min="5903" max="6145" width="11.42578125" style="87"/>
    <col min="6146" max="6146" width="12.5703125" style="87" bestFit="1" customWidth="1"/>
    <col min="6147" max="6147" width="10.140625" style="87" customWidth="1"/>
    <col min="6148" max="6148" width="33.140625" style="87" customWidth="1"/>
    <col min="6149" max="6152" width="11.5703125" style="87" bestFit="1" customWidth="1"/>
    <col min="6153" max="6153" width="11.85546875" style="87" bestFit="1" customWidth="1"/>
    <col min="6154" max="6156" width="11.5703125" style="87" bestFit="1" customWidth="1"/>
    <col min="6157" max="6157" width="11.85546875" style="87" bestFit="1" customWidth="1"/>
    <col min="6158" max="6158" width="11.5703125" style="87" bestFit="1" customWidth="1"/>
    <col min="6159" max="6401" width="11.42578125" style="87"/>
    <col min="6402" max="6402" width="12.5703125" style="87" bestFit="1" customWidth="1"/>
    <col min="6403" max="6403" width="10.140625" style="87" customWidth="1"/>
    <col min="6404" max="6404" width="33.140625" style="87" customWidth="1"/>
    <col min="6405" max="6408" width="11.5703125" style="87" bestFit="1" customWidth="1"/>
    <col min="6409" max="6409" width="11.85546875" style="87" bestFit="1" customWidth="1"/>
    <col min="6410" max="6412" width="11.5703125" style="87" bestFit="1" customWidth="1"/>
    <col min="6413" max="6413" width="11.85546875" style="87" bestFit="1" customWidth="1"/>
    <col min="6414" max="6414" width="11.5703125" style="87" bestFit="1" customWidth="1"/>
    <col min="6415" max="6657" width="11.42578125" style="87"/>
    <col min="6658" max="6658" width="12.5703125" style="87" bestFit="1" customWidth="1"/>
    <col min="6659" max="6659" width="10.140625" style="87" customWidth="1"/>
    <col min="6660" max="6660" width="33.140625" style="87" customWidth="1"/>
    <col min="6661" max="6664" width="11.5703125" style="87" bestFit="1" customWidth="1"/>
    <col min="6665" max="6665" width="11.85546875" style="87" bestFit="1" customWidth="1"/>
    <col min="6666" max="6668" width="11.5703125" style="87" bestFit="1" customWidth="1"/>
    <col min="6669" max="6669" width="11.85546875" style="87" bestFit="1" customWidth="1"/>
    <col min="6670" max="6670" width="11.5703125" style="87" bestFit="1" customWidth="1"/>
    <col min="6671" max="6913" width="11.42578125" style="87"/>
    <col min="6914" max="6914" width="12.5703125" style="87" bestFit="1" customWidth="1"/>
    <col min="6915" max="6915" width="10.140625" style="87" customWidth="1"/>
    <col min="6916" max="6916" width="33.140625" style="87" customWidth="1"/>
    <col min="6917" max="6920" width="11.5703125" style="87" bestFit="1" customWidth="1"/>
    <col min="6921" max="6921" width="11.85546875" style="87" bestFit="1" customWidth="1"/>
    <col min="6922" max="6924" width="11.5703125" style="87" bestFit="1" customWidth="1"/>
    <col min="6925" max="6925" width="11.85546875" style="87" bestFit="1" customWidth="1"/>
    <col min="6926" max="6926" width="11.5703125" style="87" bestFit="1" customWidth="1"/>
    <col min="6927" max="7169" width="11.42578125" style="87"/>
    <col min="7170" max="7170" width="12.5703125" style="87" bestFit="1" customWidth="1"/>
    <col min="7171" max="7171" width="10.140625" style="87" customWidth="1"/>
    <col min="7172" max="7172" width="33.140625" style="87" customWidth="1"/>
    <col min="7173" max="7176" width="11.5703125" style="87" bestFit="1" customWidth="1"/>
    <col min="7177" max="7177" width="11.85546875" style="87" bestFit="1" customWidth="1"/>
    <col min="7178" max="7180" width="11.5703125" style="87" bestFit="1" customWidth="1"/>
    <col min="7181" max="7181" width="11.85546875" style="87" bestFit="1" customWidth="1"/>
    <col min="7182" max="7182" width="11.5703125" style="87" bestFit="1" customWidth="1"/>
    <col min="7183" max="7425" width="11.42578125" style="87"/>
    <col min="7426" max="7426" width="12.5703125" style="87" bestFit="1" customWidth="1"/>
    <col min="7427" max="7427" width="10.140625" style="87" customWidth="1"/>
    <col min="7428" max="7428" width="33.140625" style="87" customWidth="1"/>
    <col min="7429" max="7432" width="11.5703125" style="87" bestFit="1" customWidth="1"/>
    <col min="7433" max="7433" width="11.85546875" style="87" bestFit="1" customWidth="1"/>
    <col min="7434" max="7436" width="11.5703125" style="87" bestFit="1" customWidth="1"/>
    <col min="7437" max="7437" width="11.85546875" style="87" bestFit="1" customWidth="1"/>
    <col min="7438" max="7438" width="11.5703125" style="87" bestFit="1" customWidth="1"/>
    <col min="7439" max="7681" width="11.42578125" style="87"/>
    <col min="7682" max="7682" width="12.5703125" style="87" bestFit="1" customWidth="1"/>
    <col min="7683" max="7683" width="10.140625" style="87" customWidth="1"/>
    <col min="7684" max="7684" width="33.140625" style="87" customWidth="1"/>
    <col min="7685" max="7688" width="11.5703125" style="87" bestFit="1" customWidth="1"/>
    <col min="7689" max="7689" width="11.85546875" style="87" bestFit="1" customWidth="1"/>
    <col min="7690" max="7692" width="11.5703125" style="87" bestFit="1" customWidth="1"/>
    <col min="7693" max="7693" width="11.85546875" style="87" bestFit="1" customWidth="1"/>
    <col min="7694" max="7694" width="11.5703125" style="87" bestFit="1" customWidth="1"/>
    <col min="7695" max="7937" width="11.42578125" style="87"/>
    <col min="7938" max="7938" width="12.5703125" style="87" bestFit="1" customWidth="1"/>
    <col min="7939" max="7939" width="10.140625" style="87" customWidth="1"/>
    <col min="7940" max="7940" width="33.140625" style="87" customWidth="1"/>
    <col min="7941" max="7944" width="11.5703125" style="87" bestFit="1" customWidth="1"/>
    <col min="7945" max="7945" width="11.85546875" style="87" bestFit="1" customWidth="1"/>
    <col min="7946" max="7948" width="11.5703125" style="87" bestFit="1" customWidth="1"/>
    <col min="7949" max="7949" width="11.85546875" style="87" bestFit="1" customWidth="1"/>
    <col min="7950" max="7950" width="11.5703125" style="87" bestFit="1" customWidth="1"/>
    <col min="7951" max="8193" width="11.42578125" style="87"/>
    <col min="8194" max="8194" width="12.5703125" style="87" bestFit="1" customWidth="1"/>
    <col min="8195" max="8195" width="10.140625" style="87" customWidth="1"/>
    <col min="8196" max="8196" width="33.140625" style="87" customWidth="1"/>
    <col min="8197" max="8200" width="11.5703125" style="87" bestFit="1" customWidth="1"/>
    <col min="8201" max="8201" width="11.85546875" style="87" bestFit="1" customWidth="1"/>
    <col min="8202" max="8204" width="11.5703125" style="87" bestFit="1" customWidth="1"/>
    <col min="8205" max="8205" width="11.85546875" style="87" bestFit="1" customWidth="1"/>
    <col min="8206" max="8206" width="11.5703125" style="87" bestFit="1" customWidth="1"/>
    <col min="8207" max="8449" width="11.42578125" style="87"/>
    <col min="8450" max="8450" width="12.5703125" style="87" bestFit="1" customWidth="1"/>
    <col min="8451" max="8451" width="10.140625" style="87" customWidth="1"/>
    <col min="8452" max="8452" width="33.140625" style="87" customWidth="1"/>
    <col min="8453" max="8456" width="11.5703125" style="87" bestFit="1" customWidth="1"/>
    <col min="8457" max="8457" width="11.85546875" style="87" bestFit="1" customWidth="1"/>
    <col min="8458" max="8460" width="11.5703125" style="87" bestFit="1" customWidth="1"/>
    <col min="8461" max="8461" width="11.85546875" style="87" bestFit="1" customWidth="1"/>
    <col min="8462" max="8462" width="11.5703125" style="87" bestFit="1" customWidth="1"/>
    <col min="8463" max="8705" width="11.42578125" style="87"/>
    <col min="8706" max="8706" width="12.5703125" style="87" bestFit="1" customWidth="1"/>
    <col min="8707" max="8707" width="10.140625" style="87" customWidth="1"/>
    <col min="8708" max="8708" width="33.140625" style="87" customWidth="1"/>
    <col min="8709" max="8712" width="11.5703125" style="87" bestFit="1" customWidth="1"/>
    <col min="8713" max="8713" width="11.85546875" style="87" bestFit="1" customWidth="1"/>
    <col min="8714" max="8716" width="11.5703125" style="87" bestFit="1" customWidth="1"/>
    <col min="8717" max="8717" width="11.85546875" style="87" bestFit="1" customWidth="1"/>
    <col min="8718" max="8718" width="11.5703125" style="87" bestFit="1" customWidth="1"/>
    <col min="8719" max="8961" width="11.42578125" style="87"/>
    <col min="8962" max="8962" width="12.5703125" style="87" bestFit="1" customWidth="1"/>
    <col min="8963" max="8963" width="10.140625" style="87" customWidth="1"/>
    <col min="8964" max="8964" width="33.140625" style="87" customWidth="1"/>
    <col min="8965" max="8968" width="11.5703125" style="87" bestFit="1" customWidth="1"/>
    <col min="8969" max="8969" width="11.85546875" style="87" bestFit="1" customWidth="1"/>
    <col min="8970" max="8972" width="11.5703125" style="87" bestFit="1" customWidth="1"/>
    <col min="8973" max="8973" width="11.85546875" style="87" bestFit="1" customWidth="1"/>
    <col min="8974" max="8974" width="11.5703125" style="87" bestFit="1" customWidth="1"/>
    <col min="8975" max="9217" width="11.42578125" style="87"/>
    <col min="9218" max="9218" width="12.5703125" style="87" bestFit="1" customWidth="1"/>
    <col min="9219" max="9219" width="10.140625" style="87" customWidth="1"/>
    <col min="9220" max="9220" width="33.140625" style="87" customWidth="1"/>
    <col min="9221" max="9224" width="11.5703125" style="87" bestFit="1" customWidth="1"/>
    <col min="9225" max="9225" width="11.85546875" style="87" bestFit="1" customWidth="1"/>
    <col min="9226" max="9228" width="11.5703125" style="87" bestFit="1" customWidth="1"/>
    <col min="9229" max="9229" width="11.85546875" style="87" bestFit="1" customWidth="1"/>
    <col min="9230" max="9230" width="11.5703125" style="87" bestFit="1" customWidth="1"/>
    <col min="9231" max="9473" width="11.42578125" style="87"/>
    <col min="9474" max="9474" width="12.5703125" style="87" bestFit="1" customWidth="1"/>
    <col min="9475" max="9475" width="10.140625" style="87" customWidth="1"/>
    <col min="9476" max="9476" width="33.140625" style="87" customWidth="1"/>
    <col min="9477" max="9480" width="11.5703125" style="87" bestFit="1" customWidth="1"/>
    <col min="9481" max="9481" width="11.85546875" style="87" bestFit="1" customWidth="1"/>
    <col min="9482" max="9484" width="11.5703125" style="87" bestFit="1" customWidth="1"/>
    <col min="9485" max="9485" width="11.85546875" style="87" bestFit="1" customWidth="1"/>
    <col min="9486" max="9486" width="11.5703125" style="87" bestFit="1" customWidth="1"/>
    <col min="9487" max="9729" width="11.42578125" style="87"/>
    <col min="9730" max="9730" width="12.5703125" style="87" bestFit="1" customWidth="1"/>
    <col min="9731" max="9731" width="10.140625" style="87" customWidth="1"/>
    <col min="9732" max="9732" width="33.140625" style="87" customWidth="1"/>
    <col min="9733" max="9736" width="11.5703125" style="87" bestFit="1" customWidth="1"/>
    <col min="9737" max="9737" width="11.85546875" style="87" bestFit="1" customWidth="1"/>
    <col min="9738" max="9740" width="11.5703125" style="87" bestFit="1" customWidth="1"/>
    <col min="9741" max="9741" width="11.85546875" style="87" bestFit="1" customWidth="1"/>
    <col min="9742" max="9742" width="11.5703125" style="87" bestFit="1" customWidth="1"/>
    <col min="9743" max="9985" width="11.42578125" style="87"/>
    <col min="9986" max="9986" width="12.5703125" style="87" bestFit="1" customWidth="1"/>
    <col min="9987" max="9987" width="10.140625" style="87" customWidth="1"/>
    <col min="9988" max="9988" width="33.140625" style="87" customWidth="1"/>
    <col min="9989" max="9992" width="11.5703125" style="87" bestFit="1" customWidth="1"/>
    <col min="9993" max="9993" width="11.85546875" style="87" bestFit="1" customWidth="1"/>
    <col min="9994" max="9996" width="11.5703125" style="87" bestFit="1" customWidth="1"/>
    <col min="9997" max="9997" width="11.85546875" style="87" bestFit="1" customWidth="1"/>
    <col min="9998" max="9998" width="11.5703125" style="87" bestFit="1" customWidth="1"/>
    <col min="9999" max="10241" width="11.42578125" style="87"/>
    <col min="10242" max="10242" width="12.5703125" style="87" bestFit="1" customWidth="1"/>
    <col min="10243" max="10243" width="10.140625" style="87" customWidth="1"/>
    <col min="10244" max="10244" width="33.140625" style="87" customWidth="1"/>
    <col min="10245" max="10248" width="11.5703125" style="87" bestFit="1" customWidth="1"/>
    <col min="10249" max="10249" width="11.85546875" style="87" bestFit="1" customWidth="1"/>
    <col min="10250" max="10252" width="11.5703125" style="87" bestFit="1" customWidth="1"/>
    <col min="10253" max="10253" width="11.85546875" style="87" bestFit="1" customWidth="1"/>
    <col min="10254" max="10254" width="11.5703125" style="87" bestFit="1" customWidth="1"/>
    <col min="10255" max="10497" width="11.42578125" style="87"/>
    <col min="10498" max="10498" width="12.5703125" style="87" bestFit="1" customWidth="1"/>
    <col min="10499" max="10499" width="10.140625" style="87" customWidth="1"/>
    <col min="10500" max="10500" width="33.140625" style="87" customWidth="1"/>
    <col min="10501" max="10504" width="11.5703125" style="87" bestFit="1" customWidth="1"/>
    <col min="10505" max="10505" width="11.85546875" style="87" bestFit="1" customWidth="1"/>
    <col min="10506" max="10508" width="11.5703125" style="87" bestFit="1" customWidth="1"/>
    <col min="10509" max="10509" width="11.85546875" style="87" bestFit="1" customWidth="1"/>
    <col min="10510" max="10510" width="11.5703125" style="87" bestFit="1" customWidth="1"/>
    <col min="10511" max="10753" width="11.42578125" style="87"/>
    <col min="10754" max="10754" width="12.5703125" style="87" bestFit="1" customWidth="1"/>
    <col min="10755" max="10755" width="10.140625" style="87" customWidth="1"/>
    <col min="10756" max="10756" width="33.140625" style="87" customWidth="1"/>
    <col min="10757" max="10760" width="11.5703125" style="87" bestFit="1" customWidth="1"/>
    <col min="10761" max="10761" width="11.85546875" style="87" bestFit="1" customWidth="1"/>
    <col min="10762" max="10764" width="11.5703125" style="87" bestFit="1" customWidth="1"/>
    <col min="10765" max="10765" width="11.85546875" style="87" bestFit="1" customWidth="1"/>
    <col min="10766" max="10766" width="11.5703125" style="87" bestFit="1" customWidth="1"/>
    <col min="10767" max="11009" width="11.42578125" style="87"/>
    <col min="11010" max="11010" width="12.5703125" style="87" bestFit="1" customWidth="1"/>
    <col min="11011" max="11011" width="10.140625" style="87" customWidth="1"/>
    <col min="11012" max="11012" width="33.140625" style="87" customWidth="1"/>
    <col min="11013" max="11016" width="11.5703125" style="87" bestFit="1" customWidth="1"/>
    <col min="11017" max="11017" width="11.85546875" style="87" bestFit="1" customWidth="1"/>
    <col min="11018" max="11020" width="11.5703125" style="87" bestFit="1" customWidth="1"/>
    <col min="11021" max="11021" width="11.85546875" style="87" bestFit="1" customWidth="1"/>
    <col min="11022" max="11022" width="11.5703125" style="87" bestFit="1" customWidth="1"/>
    <col min="11023" max="11265" width="11.42578125" style="87"/>
    <col min="11266" max="11266" width="12.5703125" style="87" bestFit="1" customWidth="1"/>
    <col min="11267" max="11267" width="10.140625" style="87" customWidth="1"/>
    <col min="11268" max="11268" width="33.140625" style="87" customWidth="1"/>
    <col min="11269" max="11272" width="11.5703125" style="87" bestFit="1" customWidth="1"/>
    <col min="11273" max="11273" width="11.85546875" style="87" bestFit="1" customWidth="1"/>
    <col min="11274" max="11276" width="11.5703125" style="87" bestFit="1" customWidth="1"/>
    <col min="11277" max="11277" width="11.85546875" style="87" bestFit="1" customWidth="1"/>
    <col min="11278" max="11278" width="11.5703125" style="87" bestFit="1" customWidth="1"/>
    <col min="11279" max="11521" width="11.42578125" style="87"/>
    <col min="11522" max="11522" width="12.5703125" style="87" bestFit="1" customWidth="1"/>
    <col min="11523" max="11523" width="10.140625" style="87" customWidth="1"/>
    <col min="11524" max="11524" width="33.140625" style="87" customWidth="1"/>
    <col min="11525" max="11528" width="11.5703125" style="87" bestFit="1" customWidth="1"/>
    <col min="11529" max="11529" width="11.85546875" style="87" bestFit="1" customWidth="1"/>
    <col min="11530" max="11532" width="11.5703125" style="87" bestFit="1" customWidth="1"/>
    <col min="11533" max="11533" width="11.85546875" style="87" bestFit="1" customWidth="1"/>
    <col min="11534" max="11534" width="11.5703125" style="87" bestFit="1" customWidth="1"/>
    <col min="11535" max="11777" width="11.42578125" style="87"/>
    <col min="11778" max="11778" width="12.5703125" style="87" bestFit="1" customWidth="1"/>
    <col min="11779" max="11779" width="10.140625" style="87" customWidth="1"/>
    <col min="11780" max="11780" width="33.140625" style="87" customWidth="1"/>
    <col min="11781" max="11784" width="11.5703125" style="87" bestFit="1" customWidth="1"/>
    <col min="11785" max="11785" width="11.85546875" style="87" bestFit="1" customWidth="1"/>
    <col min="11786" max="11788" width="11.5703125" style="87" bestFit="1" customWidth="1"/>
    <col min="11789" max="11789" width="11.85546875" style="87" bestFit="1" customWidth="1"/>
    <col min="11790" max="11790" width="11.5703125" style="87" bestFit="1" customWidth="1"/>
    <col min="11791" max="12033" width="11.42578125" style="87"/>
    <col min="12034" max="12034" width="12.5703125" style="87" bestFit="1" customWidth="1"/>
    <col min="12035" max="12035" width="10.140625" style="87" customWidth="1"/>
    <col min="12036" max="12036" width="33.140625" style="87" customWidth="1"/>
    <col min="12037" max="12040" width="11.5703125" style="87" bestFit="1" customWidth="1"/>
    <col min="12041" max="12041" width="11.85546875" style="87" bestFit="1" customWidth="1"/>
    <col min="12042" max="12044" width="11.5703125" style="87" bestFit="1" customWidth="1"/>
    <col min="12045" max="12045" width="11.85546875" style="87" bestFit="1" customWidth="1"/>
    <col min="12046" max="12046" width="11.5703125" style="87" bestFit="1" customWidth="1"/>
    <col min="12047" max="12289" width="11.42578125" style="87"/>
    <col min="12290" max="12290" width="12.5703125" style="87" bestFit="1" customWidth="1"/>
    <col min="12291" max="12291" width="10.140625" style="87" customWidth="1"/>
    <col min="12292" max="12292" width="33.140625" style="87" customWidth="1"/>
    <col min="12293" max="12296" width="11.5703125" style="87" bestFit="1" customWidth="1"/>
    <col min="12297" max="12297" width="11.85546875" style="87" bestFit="1" customWidth="1"/>
    <col min="12298" max="12300" width="11.5703125" style="87" bestFit="1" customWidth="1"/>
    <col min="12301" max="12301" width="11.85546875" style="87" bestFit="1" customWidth="1"/>
    <col min="12302" max="12302" width="11.5703125" style="87" bestFit="1" customWidth="1"/>
    <col min="12303" max="12545" width="11.42578125" style="87"/>
    <col min="12546" max="12546" width="12.5703125" style="87" bestFit="1" customWidth="1"/>
    <col min="12547" max="12547" width="10.140625" style="87" customWidth="1"/>
    <col min="12548" max="12548" width="33.140625" style="87" customWidth="1"/>
    <col min="12549" max="12552" width="11.5703125" style="87" bestFit="1" customWidth="1"/>
    <col min="12553" max="12553" width="11.85546875" style="87" bestFit="1" customWidth="1"/>
    <col min="12554" max="12556" width="11.5703125" style="87" bestFit="1" customWidth="1"/>
    <col min="12557" max="12557" width="11.85546875" style="87" bestFit="1" customWidth="1"/>
    <col min="12558" max="12558" width="11.5703125" style="87" bestFit="1" customWidth="1"/>
    <col min="12559" max="12801" width="11.42578125" style="87"/>
    <col min="12802" max="12802" width="12.5703125" style="87" bestFit="1" customWidth="1"/>
    <col min="12803" max="12803" width="10.140625" style="87" customWidth="1"/>
    <col min="12804" max="12804" width="33.140625" style="87" customWidth="1"/>
    <col min="12805" max="12808" width="11.5703125" style="87" bestFit="1" customWidth="1"/>
    <col min="12809" max="12809" width="11.85546875" style="87" bestFit="1" customWidth="1"/>
    <col min="12810" max="12812" width="11.5703125" style="87" bestFit="1" customWidth="1"/>
    <col min="12813" max="12813" width="11.85546875" style="87" bestFit="1" customWidth="1"/>
    <col min="12814" max="12814" width="11.5703125" style="87" bestFit="1" customWidth="1"/>
    <col min="12815" max="13057" width="11.42578125" style="87"/>
    <col min="13058" max="13058" width="12.5703125" style="87" bestFit="1" customWidth="1"/>
    <col min="13059" max="13059" width="10.140625" style="87" customWidth="1"/>
    <col min="13060" max="13060" width="33.140625" style="87" customWidth="1"/>
    <col min="13061" max="13064" width="11.5703125" style="87" bestFit="1" customWidth="1"/>
    <col min="13065" max="13065" width="11.85546875" style="87" bestFit="1" customWidth="1"/>
    <col min="13066" max="13068" width="11.5703125" style="87" bestFit="1" customWidth="1"/>
    <col min="13069" max="13069" width="11.85546875" style="87" bestFit="1" customWidth="1"/>
    <col min="13070" max="13070" width="11.5703125" style="87" bestFit="1" customWidth="1"/>
    <col min="13071" max="13313" width="11.42578125" style="87"/>
    <col min="13314" max="13314" width="12.5703125" style="87" bestFit="1" customWidth="1"/>
    <col min="13315" max="13315" width="10.140625" style="87" customWidth="1"/>
    <col min="13316" max="13316" width="33.140625" style="87" customWidth="1"/>
    <col min="13317" max="13320" width="11.5703125" style="87" bestFit="1" customWidth="1"/>
    <col min="13321" max="13321" width="11.85546875" style="87" bestFit="1" customWidth="1"/>
    <col min="13322" max="13324" width="11.5703125" style="87" bestFit="1" customWidth="1"/>
    <col min="13325" max="13325" width="11.85546875" style="87" bestFit="1" customWidth="1"/>
    <col min="13326" max="13326" width="11.5703125" style="87" bestFit="1" customWidth="1"/>
    <col min="13327" max="13569" width="11.42578125" style="87"/>
    <col min="13570" max="13570" width="12.5703125" style="87" bestFit="1" customWidth="1"/>
    <col min="13571" max="13571" width="10.140625" style="87" customWidth="1"/>
    <col min="13572" max="13572" width="33.140625" style="87" customWidth="1"/>
    <col min="13573" max="13576" width="11.5703125" style="87" bestFit="1" customWidth="1"/>
    <col min="13577" max="13577" width="11.85546875" style="87" bestFit="1" customWidth="1"/>
    <col min="13578" max="13580" width="11.5703125" style="87" bestFit="1" customWidth="1"/>
    <col min="13581" max="13581" width="11.85546875" style="87" bestFit="1" customWidth="1"/>
    <col min="13582" max="13582" width="11.5703125" style="87" bestFit="1" customWidth="1"/>
    <col min="13583" max="13825" width="11.42578125" style="87"/>
    <col min="13826" max="13826" width="12.5703125" style="87" bestFit="1" customWidth="1"/>
    <col min="13827" max="13827" width="10.140625" style="87" customWidth="1"/>
    <col min="13828" max="13828" width="33.140625" style="87" customWidth="1"/>
    <col min="13829" max="13832" width="11.5703125" style="87" bestFit="1" customWidth="1"/>
    <col min="13833" max="13833" width="11.85546875" style="87" bestFit="1" customWidth="1"/>
    <col min="13834" max="13836" width="11.5703125" style="87" bestFit="1" customWidth="1"/>
    <col min="13837" max="13837" width="11.85546875" style="87" bestFit="1" customWidth="1"/>
    <col min="13838" max="13838" width="11.5703125" style="87" bestFit="1" customWidth="1"/>
    <col min="13839" max="14081" width="11.42578125" style="87"/>
    <col min="14082" max="14082" width="12.5703125" style="87" bestFit="1" customWidth="1"/>
    <col min="14083" max="14083" width="10.140625" style="87" customWidth="1"/>
    <col min="14084" max="14084" width="33.140625" style="87" customWidth="1"/>
    <col min="14085" max="14088" width="11.5703125" style="87" bestFit="1" customWidth="1"/>
    <col min="14089" max="14089" width="11.85546875" style="87" bestFit="1" customWidth="1"/>
    <col min="14090" max="14092" width="11.5703125" style="87" bestFit="1" customWidth="1"/>
    <col min="14093" max="14093" width="11.85546875" style="87" bestFit="1" customWidth="1"/>
    <col min="14094" max="14094" width="11.5703125" style="87" bestFit="1" customWidth="1"/>
    <col min="14095" max="14337" width="11.42578125" style="87"/>
    <col min="14338" max="14338" width="12.5703125" style="87" bestFit="1" customWidth="1"/>
    <col min="14339" max="14339" width="10.140625" style="87" customWidth="1"/>
    <col min="14340" max="14340" width="33.140625" style="87" customWidth="1"/>
    <col min="14341" max="14344" width="11.5703125" style="87" bestFit="1" customWidth="1"/>
    <col min="14345" max="14345" width="11.85546875" style="87" bestFit="1" customWidth="1"/>
    <col min="14346" max="14348" width="11.5703125" style="87" bestFit="1" customWidth="1"/>
    <col min="14349" max="14349" width="11.85546875" style="87" bestFit="1" customWidth="1"/>
    <col min="14350" max="14350" width="11.5703125" style="87" bestFit="1" customWidth="1"/>
    <col min="14351" max="14593" width="11.42578125" style="87"/>
    <col min="14594" max="14594" width="12.5703125" style="87" bestFit="1" customWidth="1"/>
    <col min="14595" max="14595" width="10.140625" style="87" customWidth="1"/>
    <col min="14596" max="14596" width="33.140625" style="87" customWidth="1"/>
    <col min="14597" max="14600" width="11.5703125" style="87" bestFit="1" customWidth="1"/>
    <col min="14601" max="14601" width="11.85546875" style="87" bestFit="1" customWidth="1"/>
    <col min="14602" max="14604" width="11.5703125" style="87" bestFit="1" customWidth="1"/>
    <col min="14605" max="14605" width="11.85546875" style="87" bestFit="1" customWidth="1"/>
    <col min="14606" max="14606" width="11.5703125" style="87" bestFit="1" customWidth="1"/>
    <col min="14607" max="14849" width="11.42578125" style="87"/>
    <col min="14850" max="14850" width="12.5703125" style="87" bestFit="1" customWidth="1"/>
    <col min="14851" max="14851" width="10.140625" style="87" customWidth="1"/>
    <col min="14852" max="14852" width="33.140625" style="87" customWidth="1"/>
    <col min="14853" max="14856" width="11.5703125" style="87" bestFit="1" customWidth="1"/>
    <col min="14857" max="14857" width="11.85546875" style="87" bestFit="1" customWidth="1"/>
    <col min="14858" max="14860" width="11.5703125" style="87" bestFit="1" customWidth="1"/>
    <col min="14861" max="14861" width="11.85546875" style="87" bestFit="1" customWidth="1"/>
    <col min="14862" max="14862" width="11.5703125" style="87" bestFit="1" customWidth="1"/>
    <col min="14863" max="15105" width="11.42578125" style="87"/>
    <col min="15106" max="15106" width="12.5703125" style="87" bestFit="1" customWidth="1"/>
    <col min="15107" max="15107" width="10.140625" style="87" customWidth="1"/>
    <col min="15108" max="15108" width="33.140625" style="87" customWidth="1"/>
    <col min="15109" max="15112" width="11.5703125" style="87" bestFit="1" customWidth="1"/>
    <col min="15113" max="15113" width="11.85546875" style="87" bestFit="1" customWidth="1"/>
    <col min="15114" max="15116" width="11.5703125" style="87" bestFit="1" customWidth="1"/>
    <col min="15117" max="15117" width="11.85546875" style="87" bestFit="1" customWidth="1"/>
    <col min="15118" max="15118" width="11.5703125" style="87" bestFit="1" customWidth="1"/>
    <col min="15119" max="15361" width="11.42578125" style="87"/>
    <col min="15362" max="15362" width="12.5703125" style="87" bestFit="1" customWidth="1"/>
    <col min="15363" max="15363" width="10.140625" style="87" customWidth="1"/>
    <col min="15364" max="15364" width="33.140625" style="87" customWidth="1"/>
    <col min="15365" max="15368" width="11.5703125" style="87" bestFit="1" customWidth="1"/>
    <col min="15369" max="15369" width="11.85546875" style="87" bestFit="1" customWidth="1"/>
    <col min="15370" max="15372" width="11.5703125" style="87" bestFit="1" customWidth="1"/>
    <col min="15373" max="15373" width="11.85546875" style="87" bestFit="1" customWidth="1"/>
    <col min="15374" max="15374" width="11.5703125" style="87" bestFit="1" customWidth="1"/>
    <col min="15375" max="15617" width="11.42578125" style="87"/>
    <col min="15618" max="15618" width="12.5703125" style="87" bestFit="1" customWidth="1"/>
    <col min="15619" max="15619" width="10.140625" style="87" customWidth="1"/>
    <col min="15620" max="15620" width="33.140625" style="87" customWidth="1"/>
    <col min="15621" max="15624" width="11.5703125" style="87" bestFit="1" customWidth="1"/>
    <col min="15625" max="15625" width="11.85546875" style="87" bestFit="1" customWidth="1"/>
    <col min="15626" max="15628" width="11.5703125" style="87" bestFit="1" customWidth="1"/>
    <col min="15629" max="15629" width="11.85546875" style="87" bestFit="1" customWidth="1"/>
    <col min="15630" max="15630" width="11.5703125" style="87" bestFit="1" customWidth="1"/>
    <col min="15631" max="15873" width="11.42578125" style="87"/>
    <col min="15874" max="15874" width="12.5703125" style="87" bestFit="1" customWidth="1"/>
    <col min="15875" max="15875" width="10.140625" style="87" customWidth="1"/>
    <col min="15876" max="15876" width="33.140625" style="87" customWidth="1"/>
    <col min="15877" max="15880" width="11.5703125" style="87" bestFit="1" customWidth="1"/>
    <col min="15881" max="15881" width="11.85546875" style="87" bestFit="1" customWidth="1"/>
    <col min="15882" max="15884" width="11.5703125" style="87" bestFit="1" customWidth="1"/>
    <col min="15885" max="15885" width="11.85546875" style="87" bestFit="1" customWidth="1"/>
    <col min="15886" max="15886" width="11.5703125" style="87" bestFit="1" customWidth="1"/>
    <col min="15887" max="16129" width="11.42578125" style="87"/>
    <col min="16130" max="16130" width="12.5703125" style="87" bestFit="1" customWidth="1"/>
    <col min="16131" max="16131" width="10.140625" style="87" customWidth="1"/>
    <col min="16132" max="16132" width="33.140625" style="87" customWidth="1"/>
    <col min="16133" max="16136" width="11.5703125" style="87" bestFit="1" customWidth="1"/>
    <col min="16137" max="16137" width="11.85546875" style="87" bestFit="1" customWidth="1"/>
    <col min="16138" max="16140" width="11.5703125" style="87" bestFit="1" customWidth="1"/>
    <col min="16141" max="16141" width="11.85546875" style="87" bestFit="1" customWidth="1"/>
    <col min="16142" max="16142" width="11.5703125" style="87" bestFit="1" customWidth="1"/>
    <col min="16143" max="16384" width="11.42578125" style="87"/>
  </cols>
  <sheetData>
    <row r="1" spans="1:47">
      <c r="C1" s="393"/>
    </row>
    <row r="2" spans="1:47" ht="15.75">
      <c r="B2" s="339" t="s">
        <v>707</v>
      </c>
      <c r="C2" s="393"/>
    </row>
    <row r="4" spans="1:47" ht="15.75">
      <c r="B4" s="342" t="s">
        <v>607</v>
      </c>
      <c r="C4" s="532">
        <v>6801</v>
      </c>
      <c r="D4" s="533"/>
      <c r="E4" s="533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534"/>
    </row>
    <row r="5" spans="1:47" ht="15.75">
      <c r="B5" s="535" t="s">
        <v>608</v>
      </c>
      <c r="C5" s="532" t="s">
        <v>708</v>
      </c>
      <c r="D5" s="392"/>
      <c r="E5" s="536"/>
      <c r="H5" s="537" t="s">
        <v>532</v>
      </c>
      <c r="I5" s="538">
        <v>872.2</v>
      </c>
      <c r="J5" s="378"/>
      <c r="K5" s="378" t="s">
        <v>533</v>
      </c>
      <c r="L5" s="378"/>
      <c r="M5" s="539">
        <v>872.2</v>
      </c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</row>
    <row r="6" spans="1:47" ht="13.5" thickBot="1"/>
    <row r="7" spans="1:47" ht="76.5">
      <c r="A7" s="540"/>
      <c r="B7" s="541" t="s">
        <v>514</v>
      </c>
      <c r="C7" s="542" t="s">
        <v>610</v>
      </c>
      <c r="D7" s="542" t="s">
        <v>219</v>
      </c>
      <c r="E7" s="542" t="s">
        <v>611</v>
      </c>
      <c r="F7" s="542" t="s">
        <v>525</v>
      </c>
      <c r="G7" s="542" t="s">
        <v>524</v>
      </c>
      <c r="H7" s="542" t="s">
        <v>612</v>
      </c>
      <c r="I7" s="542" t="s">
        <v>696</v>
      </c>
      <c r="J7" s="542" t="s">
        <v>581</v>
      </c>
      <c r="K7" s="542" t="s">
        <v>614</v>
      </c>
      <c r="L7" s="542" t="s">
        <v>689</v>
      </c>
      <c r="M7" s="543" t="s">
        <v>690</v>
      </c>
      <c r="N7" s="543" t="s">
        <v>615</v>
      </c>
      <c r="O7" s="542" t="s">
        <v>616</v>
      </c>
      <c r="P7" s="542" t="s">
        <v>213</v>
      </c>
      <c r="Q7" s="542" t="s">
        <v>617</v>
      </c>
      <c r="R7" s="542" t="s">
        <v>618</v>
      </c>
      <c r="S7" s="543" t="s">
        <v>619</v>
      </c>
      <c r="T7" s="543" t="s">
        <v>620</v>
      </c>
      <c r="U7" s="544" t="s">
        <v>691</v>
      </c>
      <c r="V7" s="542" t="s">
        <v>622</v>
      </c>
      <c r="W7" s="542" t="s">
        <v>646</v>
      </c>
      <c r="X7" s="545" t="s">
        <v>565</v>
      </c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  <c r="AK7" s="540"/>
      <c r="AL7" s="540"/>
      <c r="AM7" s="540"/>
      <c r="AN7" s="540"/>
      <c r="AO7" s="540"/>
      <c r="AP7" s="540"/>
      <c r="AQ7" s="540"/>
      <c r="AR7" s="540"/>
      <c r="AS7" s="540"/>
      <c r="AT7" s="540"/>
      <c r="AU7" s="540"/>
    </row>
    <row r="8" spans="1:47">
      <c r="A8" s="540"/>
      <c r="B8" s="546">
        <v>39540</v>
      </c>
      <c r="C8" s="547">
        <v>53429</v>
      </c>
      <c r="D8" s="547" t="s">
        <v>709</v>
      </c>
      <c r="E8" s="548">
        <v>500</v>
      </c>
      <c r="F8" s="548"/>
      <c r="G8" s="548">
        <v>500</v>
      </c>
      <c r="H8" s="548"/>
      <c r="I8" s="548">
        <f>E8</f>
        <v>500</v>
      </c>
      <c r="J8" s="549">
        <v>2</v>
      </c>
      <c r="K8" s="548">
        <v>10</v>
      </c>
      <c r="L8" s="549"/>
      <c r="M8" s="549"/>
      <c r="N8" s="547">
        <v>1092</v>
      </c>
      <c r="O8" s="388" t="s">
        <v>203</v>
      </c>
      <c r="P8" s="388" t="s">
        <v>202</v>
      </c>
      <c r="Q8" s="388" t="s">
        <v>202</v>
      </c>
      <c r="R8" s="550" t="s">
        <v>698</v>
      </c>
      <c r="S8" s="550" t="s">
        <v>710</v>
      </c>
      <c r="T8" s="550"/>
      <c r="U8" s="551">
        <v>39904</v>
      </c>
      <c r="V8" s="550" t="s">
        <v>202</v>
      </c>
      <c r="W8" s="550" t="s">
        <v>202</v>
      </c>
      <c r="X8" s="550" t="s">
        <v>203</v>
      </c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  <c r="AK8" s="540"/>
      <c r="AL8" s="540"/>
      <c r="AM8" s="540"/>
      <c r="AN8" s="540"/>
      <c r="AO8" s="540"/>
      <c r="AP8" s="540"/>
      <c r="AQ8" s="540"/>
      <c r="AR8" s="540"/>
      <c r="AS8" s="540"/>
      <c r="AT8" s="540"/>
      <c r="AU8" s="540"/>
    </row>
    <row r="9" spans="1:47">
      <c r="A9" s="540"/>
      <c r="B9" s="546">
        <v>39787</v>
      </c>
      <c r="C9" s="547">
        <v>57448</v>
      </c>
      <c r="D9" s="547" t="s">
        <v>246</v>
      </c>
      <c r="E9" s="548">
        <v>222.2</v>
      </c>
      <c r="F9" s="548">
        <v>222.2</v>
      </c>
      <c r="G9" s="548"/>
      <c r="H9" s="548">
        <v>26.663999999999998</v>
      </c>
      <c r="I9" s="548">
        <f>+E9</f>
        <v>222.2</v>
      </c>
      <c r="J9" s="549">
        <v>2</v>
      </c>
      <c r="K9" s="548">
        <v>4.46</v>
      </c>
      <c r="L9" s="549"/>
      <c r="M9" s="549"/>
      <c r="N9" s="550">
        <v>1101</v>
      </c>
      <c r="O9" s="388" t="s">
        <v>203</v>
      </c>
      <c r="P9" s="388" t="s">
        <v>202</v>
      </c>
      <c r="Q9" s="388" t="s">
        <v>202</v>
      </c>
      <c r="R9" s="550" t="s">
        <v>698</v>
      </c>
      <c r="S9" s="547" t="s">
        <v>711</v>
      </c>
      <c r="T9" s="552"/>
      <c r="U9" s="551">
        <v>40367</v>
      </c>
      <c r="V9" s="550" t="s">
        <v>202</v>
      </c>
      <c r="W9" s="550" t="s">
        <v>202</v>
      </c>
      <c r="X9" s="550" t="s">
        <v>203</v>
      </c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540"/>
      <c r="AJ9" s="540"/>
      <c r="AK9" s="540"/>
      <c r="AL9" s="540"/>
      <c r="AM9" s="540"/>
      <c r="AN9" s="540"/>
      <c r="AO9" s="540"/>
      <c r="AP9" s="540"/>
      <c r="AQ9" s="540"/>
      <c r="AR9" s="540"/>
      <c r="AS9" s="540"/>
      <c r="AT9" s="540"/>
      <c r="AU9" s="540"/>
    </row>
    <row r="10" spans="1:47">
      <c r="A10" s="540"/>
      <c r="B10" s="546">
        <v>39766</v>
      </c>
      <c r="C10" s="547">
        <v>57076</v>
      </c>
      <c r="D10" s="547" t="s">
        <v>712</v>
      </c>
      <c r="E10" s="548">
        <v>125</v>
      </c>
      <c r="F10" s="548"/>
      <c r="G10" s="548">
        <v>125</v>
      </c>
      <c r="H10" s="548">
        <v>0</v>
      </c>
      <c r="I10" s="548">
        <f>+E10</f>
        <v>125</v>
      </c>
      <c r="J10" s="549">
        <v>2</v>
      </c>
      <c r="K10" s="548">
        <v>2.5</v>
      </c>
      <c r="L10" s="549">
        <v>30</v>
      </c>
      <c r="M10" s="547">
        <v>2.5</v>
      </c>
      <c r="N10" s="547">
        <v>1384</v>
      </c>
      <c r="O10" s="388" t="s">
        <v>203</v>
      </c>
      <c r="P10" s="388" t="s">
        <v>202</v>
      </c>
      <c r="Q10" s="388" t="s">
        <v>202</v>
      </c>
      <c r="R10" s="550" t="s">
        <v>713</v>
      </c>
      <c r="S10" s="550" t="s">
        <v>714</v>
      </c>
      <c r="T10" s="552"/>
      <c r="U10" s="551">
        <v>39938</v>
      </c>
      <c r="V10" s="550" t="s">
        <v>202</v>
      </c>
      <c r="W10" s="550" t="s">
        <v>202</v>
      </c>
      <c r="X10" s="550" t="s">
        <v>203</v>
      </c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540"/>
      <c r="AR10" s="540"/>
      <c r="AS10" s="540"/>
      <c r="AT10" s="540"/>
      <c r="AU10" s="540"/>
    </row>
    <row r="11" spans="1:47">
      <c r="A11" s="540"/>
      <c r="B11" s="546">
        <v>39694</v>
      </c>
      <c r="C11" s="547">
        <v>55657</v>
      </c>
      <c r="D11" s="547" t="s">
        <v>715</v>
      </c>
      <c r="E11" s="548">
        <v>25</v>
      </c>
      <c r="F11" s="548">
        <v>25</v>
      </c>
      <c r="G11" s="548">
        <v>0</v>
      </c>
      <c r="H11" s="548">
        <v>3</v>
      </c>
      <c r="I11" s="548">
        <f>+E11</f>
        <v>25</v>
      </c>
      <c r="J11" s="549">
        <v>1</v>
      </c>
      <c r="K11" s="548">
        <v>0.25</v>
      </c>
      <c r="L11" s="549">
        <v>70</v>
      </c>
      <c r="M11" s="547">
        <v>0.89999999999999991</v>
      </c>
      <c r="N11" s="547">
        <v>1291</v>
      </c>
      <c r="O11" s="388" t="s">
        <v>203</v>
      </c>
      <c r="P11" s="388" t="s">
        <v>202</v>
      </c>
      <c r="Q11" s="388" t="s">
        <v>202</v>
      </c>
      <c r="R11" s="550" t="s">
        <v>698</v>
      </c>
      <c r="S11" s="550" t="s">
        <v>716</v>
      </c>
      <c r="T11" s="552"/>
      <c r="U11" s="551">
        <v>40367</v>
      </c>
      <c r="V11" s="550" t="s">
        <v>202</v>
      </c>
      <c r="W11" s="550" t="s">
        <v>202</v>
      </c>
      <c r="X11" s="550" t="s">
        <v>203</v>
      </c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/>
      <c r="AJ11" s="540"/>
      <c r="AK11" s="540"/>
      <c r="AL11" s="540"/>
      <c r="AM11" s="540"/>
      <c r="AN11" s="540"/>
      <c r="AO11" s="540"/>
      <c r="AP11" s="540"/>
      <c r="AQ11" s="540"/>
      <c r="AR11" s="540"/>
      <c r="AS11" s="540"/>
      <c r="AT11" s="540"/>
      <c r="AU11" s="540"/>
    </row>
    <row r="12" spans="1:47">
      <c r="A12" s="540"/>
      <c r="B12" s="553"/>
      <c r="C12" s="554"/>
      <c r="D12" s="554"/>
      <c r="E12" s="554"/>
      <c r="F12" s="554"/>
      <c r="G12" s="554"/>
      <c r="H12" s="554"/>
      <c r="I12" s="554"/>
      <c r="J12" s="555"/>
      <c r="K12" s="554"/>
      <c r="L12" s="555"/>
      <c r="M12" s="554"/>
      <c r="N12" s="554"/>
      <c r="O12" s="556"/>
      <c r="P12" s="557"/>
      <c r="Q12" s="557"/>
      <c r="R12" s="557"/>
      <c r="S12" s="557"/>
      <c r="T12" s="558"/>
      <c r="U12" s="559"/>
      <c r="V12" s="557"/>
      <c r="W12" s="557"/>
      <c r="X12" s="557"/>
      <c r="Y12" s="540"/>
      <c r="Z12" s="540"/>
      <c r="AA12" s="540"/>
      <c r="AB12" s="540"/>
      <c r="AC12" s="540"/>
      <c r="AD12" s="540"/>
      <c r="AE12" s="540"/>
      <c r="AF12" s="540"/>
      <c r="AG12" s="540"/>
      <c r="AH12" s="540"/>
      <c r="AI12" s="540"/>
      <c r="AJ12" s="540"/>
      <c r="AK12" s="540"/>
      <c r="AL12" s="540"/>
      <c r="AM12" s="540"/>
      <c r="AN12" s="540"/>
      <c r="AO12" s="540"/>
      <c r="AP12" s="540"/>
      <c r="AQ12" s="540"/>
      <c r="AR12" s="540"/>
      <c r="AS12" s="540"/>
      <c r="AT12" s="540"/>
      <c r="AU12" s="540"/>
    </row>
    <row r="13" spans="1:47" ht="15.75">
      <c r="B13" s="339" t="s">
        <v>717</v>
      </c>
    </row>
    <row r="14" spans="1:47" ht="15.75">
      <c r="B14" s="339"/>
    </row>
    <row r="15" spans="1:47" s="378" customFormat="1" ht="15.75">
      <c r="B15" s="342" t="s">
        <v>607</v>
      </c>
      <c r="C15" s="342">
        <v>6810</v>
      </c>
      <c r="D15" s="560"/>
      <c r="E15" s="560"/>
      <c r="F15" s="560"/>
      <c r="H15" s="561"/>
      <c r="I15" s="561"/>
      <c r="J15" s="562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3"/>
    </row>
    <row r="16" spans="1:47" s="378" customFormat="1" ht="15.75">
      <c r="B16" s="535" t="s">
        <v>608</v>
      </c>
      <c r="C16" s="532" t="s">
        <v>718</v>
      </c>
      <c r="D16" s="560"/>
      <c r="E16" s="560"/>
      <c r="H16" s="537" t="s">
        <v>532</v>
      </c>
      <c r="I16" s="564">
        <v>3865.08</v>
      </c>
      <c r="J16" s="561"/>
      <c r="K16" s="378" t="s">
        <v>533</v>
      </c>
      <c r="L16" s="562"/>
      <c r="M16" s="565">
        <f>E75</f>
        <v>3865.0799999999995</v>
      </c>
      <c r="N16" s="563"/>
      <c r="O16" s="563"/>
      <c r="P16" s="563"/>
      <c r="Q16" s="563"/>
      <c r="R16" s="563"/>
      <c r="S16" s="563"/>
      <c r="T16" s="563"/>
      <c r="U16" s="563"/>
      <c r="V16" s="563"/>
      <c r="W16" s="563"/>
      <c r="X16" s="563"/>
      <c r="Y16" s="563"/>
      <c r="Z16" s="563"/>
      <c r="AA16" s="563"/>
      <c r="AB16" s="563"/>
    </row>
    <row r="17" spans="2:28" ht="13.5" thickBot="1"/>
    <row r="18" spans="2:28" ht="50.25" customHeight="1">
      <c r="B18" s="566" t="s">
        <v>514</v>
      </c>
      <c r="C18" s="567" t="s">
        <v>610</v>
      </c>
      <c r="D18" s="567" t="s">
        <v>219</v>
      </c>
      <c r="E18" s="567" t="s">
        <v>611</v>
      </c>
      <c r="F18" s="567" t="s">
        <v>525</v>
      </c>
      <c r="G18" s="567" t="s">
        <v>524</v>
      </c>
      <c r="H18" s="567" t="s">
        <v>612</v>
      </c>
      <c r="I18" s="567" t="s">
        <v>688</v>
      </c>
      <c r="J18" s="567" t="s">
        <v>581</v>
      </c>
      <c r="K18" s="567" t="s">
        <v>614</v>
      </c>
      <c r="L18" s="567" t="s">
        <v>689</v>
      </c>
      <c r="M18" s="568" t="s">
        <v>690</v>
      </c>
      <c r="N18" s="568" t="s">
        <v>615</v>
      </c>
      <c r="O18" s="567" t="s">
        <v>616</v>
      </c>
      <c r="P18" s="567" t="s">
        <v>213</v>
      </c>
      <c r="Q18" s="567" t="s">
        <v>617</v>
      </c>
      <c r="R18" s="567" t="s">
        <v>618</v>
      </c>
      <c r="S18" s="568" t="s">
        <v>619</v>
      </c>
      <c r="T18" s="568" t="s">
        <v>620</v>
      </c>
      <c r="U18" s="569" t="s">
        <v>691</v>
      </c>
      <c r="V18" s="570" t="s">
        <v>622</v>
      </c>
      <c r="W18" s="567" t="s">
        <v>646</v>
      </c>
      <c r="X18" s="571" t="s">
        <v>565</v>
      </c>
      <c r="Z18" s="572"/>
      <c r="AA18" s="572"/>
      <c r="AB18" s="572"/>
    </row>
    <row r="19" spans="2:28">
      <c r="B19" s="573">
        <v>39561</v>
      </c>
      <c r="C19" s="574">
        <v>53415</v>
      </c>
      <c r="D19" s="574" t="s">
        <v>719</v>
      </c>
      <c r="E19" s="548">
        <v>53.93</v>
      </c>
      <c r="F19" s="549">
        <v>53.93</v>
      </c>
      <c r="G19" s="548"/>
      <c r="H19" s="549">
        <v>6.4715999999999996</v>
      </c>
      <c r="I19" s="548">
        <f t="shared" ref="I19:I74" si="0">E19+H19</f>
        <v>60.401600000000002</v>
      </c>
      <c r="J19" s="574">
        <v>2</v>
      </c>
      <c r="K19" s="548">
        <v>1.0786</v>
      </c>
      <c r="L19" s="574">
        <v>30</v>
      </c>
      <c r="M19" s="548">
        <v>1.9414799999999999</v>
      </c>
      <c r="N19" s="574">
        <v>1091</v>
      </c>
      <c r="O19" s="388" t="s">
        <v>203</v>
      </c>
      <c r="P19" s="388" t="s">
        <v>202</v>
      </c>
      <c r="Q19" s="388" t="s">
        <v>202</v>
      </c>
      <c r="R19" s="575" t="s">
        <v>698</v>
      </c>
      <c r="S19" s="574" t="s">
        <v>720</v>
      </c>
      <c r="T19" s="388" t="s">
        <v>202</v>
      </c>
      <c r="U19" s="388" t="s">
        <v>202</v>
      </c>
      <c r="V19" s="388" t="s">
        <v>203</v>
      </c>
      <c r="W19" s="388" t="s">
        <v>202</v>
      </c>
      <c r="X19" s="576" t="s">
        <v>203</v>
      </c>
      <c r="Z19" s="577"/>
      <c r="AA19" s="577"/>
      <c r="AB19" s="577"/>
    </row>
    <row r="20" spans="2:28">
      <c r="B20" s="573">
        <v>39575</v>
      </c>
      <c r="C20" s="574">
        <v>53539</v>
      </c>
      <c r="D20" s="574" t="s">
        <v>721</v>
      </c>
      <c r="E20" s="548">
        <v>54</v>
      </c>
      <c r="F20" s="549"/>
      <c r="G20" s="548">
        <v>54</v>
      </c>
      <c r="H20" s="549"/>
      <c r="I20" s="548">
        <f t="shared" si="0"/>
        <v>54</v>
      </c>
      <c r="J20" s="574">
        <v>1</v>
      </c>
      <c r="K20" s="548">
        <v>0.54</v>
      </c>
      <c r="L20" s="574"/>
      <c r="M20" s="548"/>
      <c r="N20" s="574">
        <v>1100</v>
      </c>
      <c r="O20" s="388" t="s">
        <v>203</v>
      </c>
      <c r="P20" s="388" t="s">
        <v>202</v>
      </c>
      <c r="Q20" s="388" t="s">
        <v>202</v>
      </c>
      <c r="R20" s="575" t="s">
        <v>698</v>
      </c>
      <c r="S20" s="574">
        <v>3761</v>
      </c>
      <c r="T20" s="388" t="s">
        <v>202</v>
      </c>
      <c r="U20" s="388" t="s">
        <v>202</v>
      </c>
      <c r="V20" s="388" t="s">
        <v>203</v>
      </c>
      <c r="W20" s="388" t="s">
        <v>202</v>
      </c>
      <c r="X20" s="576" t="s">
        <v>203</v>
      </c>
      <c r="Z20" s="577"/>
      <c r="AA20" s="577"/>
      <c r="AB20" s="577"/>
    </row>
    <row r="21" spans="2:28">
      <c r="B21" s="573">
        <v>39637</v>
      </c>
      <c r="C21" s="574">
        <v>54712</v>
      </c>
      <c r="D21" s="574" t="s">
        <v>722</v>
      </c>
      <c r="E21" s="548">
        <v>40.36</v>
      </c>
      <c r="F21" s="549">
        <v>16.86</v>
      </c>
      <c r="G21" s="548">
        <v>23.5</v>
      </c>
      <c r="H21" s="549">
        <v>2.0231999999999997</v>
      </c>
      <c r="I21" s="548">
        <f t="shared" si="0"/>
        <v>42.383200000000002</v>
      </c>
      <c r="J21" s="574">
        <v>1</v>
      </c>
      <c r="K21" s="548">
        <v>0.40360000000000001</v>
      </c>
      <c r="L21" s="574">
        <v>30</v>
      </c>
      <c r="M21" s="548">
        <v>0.60695999999999983</v>
      </c>
      <c r="N21" s="574">
        <v>1211</v>
      </c>
      <c r="O21" s="388" t="s">
        <v>203</v>
      </c>
      <c r="P21" s="388" t="s">
        <v>202</v>
      </c>
      <c r="Q21" s="388" t="s">
        <v>202</v>
      </c>
      <c r="R21" s="575" t="s">
        <v>698</v>
      </c>
      <c r="S21" s="574">
        <v>453</v>
      </c>
      <c r="T21" s="388" t="s">
        <v>202</v>
      </c>
      <c r="U21" s="388" t="s">
        <v>202</v>
      </c>
      <c r="V21" s="388" t="s">
        <v>203</v>
      </c>
      <c r="W21" s="388" t="s">
        <v>202</v>
      </c>
      <c r="X21" s="576" t="s">
        <v>203</v>
      </c>
      <c r="Z21" s="577"/>
      <c r="AA21" s="577"/>
      <c r="AB21" s="577"/>
    </row>
    <row r="22" spans="2:28">
      <c r="B22" s="573">
        <v>39661</v>
      </c>
      <c r="C22" s="574">
        <v>55142</v>
      </c>
      <c r="D22" s="574" t="s">
        <v>722</v>
      </c>
      <c r="E22" s="548">
        <v>164.2</v>
      </c>
      <c r="F22" s="549">
        <v>146.19999999999999</v>
      </c>
      <c r="G22" s="548">
        <v>18</v>
      </c>
      <c r="H22" s="549">
        <v>17.543999999999997</v>
      </c>
      <c r="I22" s="548">
        <f t="shared" si="0"/>
        <v>181.74399999999997</v>
      </c>
      <c r="J22" s="574">
        <v>1</v>
      </c>
      <c r="K22" s="548">
        <v>1.6419999999999999</v>
      </c>
      <c r="L22" s="574">
        <v>30</v>
      </c>
      <c r="M22" s="548">
        <v>5.2631999999999985</v>
      </c>
      <c r="N22" s="574">
        <v>1247</v>
      </c>
      <c r="O22" s="388" t="s">
        <v>203</v>
      </c>
      <c r="P22" s="388" t="s">
        <v>202</v>
      </c>
      <c r="Q22" s="388" t="s">
        <v>202</v>
      </c>
      <c r="R22" s="575" t="s">
        <v>698</v>
      </c>
      <c r="S22" s="574">
        <v>459</v>
      </c>
      <c r="T22" s="388" t="s">
        <v>202</v>
      </c>
      <c r="U22" s="388" t="s">
        <v>202</v>
      </c>
      <c r="V22" s="388" t="s">
        <v>203</v>
      </c>
      <c r="W22" s="388" t="s">
        <v>202</v>
      </c>
      <c r="X22" s="576" t="s">
        <v>203</v>
      </c>
      <c r="Z22" s="577"/>
      <c r="AA22" s="577"/>
      <c r="AB22" s="577"/>
    </row>
    <row r="23" spans="2:28">
      <c r="B23" s="573">
        <v>39681</v>
      </c>
      <c r="C23" s="574">
        <v>55506</v>
      </c>
      <c r="D23" s="574" t="s">
        <v>722</v>
      </c>
      <c r="E23" s="548">
        <v>95.93</v>
      </c>
      <c r="F23" s="549">
        <v>95.93</v>
      </c>
      <c r="G23" s="548"/>
      <c r="H23" s="549">
        <v>11.5116</v>
      </c>
      <c r="I23" s="548">
        <f t="shared" si="0"/>
        <v>107.44160000000001</v>
      </c>
      <c r="J23" s="574">
        <v>1</v>
      </c>
      <c r="K23" s="548">
        <v>0.95930000000000004</v>
      </c>
      <c r="L23" s="574">
        <v>30</v>
      </c>
      <c r="M23" s="548">
        <v>3.4534799999999999</v>
      </c>
      <c r="N23" s="574">
        <v>1276</v>
      </c>
      <c r="O23" s="388" t="s">
        <v>203</v>
      </c>
      <c r="P23" s="388" t="s">
        <v>202</v>
      </c>
      <c r="Q23" s="388" t="s">
        <v>202</v>
      </c>
      <c r="R23" s="575" t="s">
        <v>698</v>
      </c>
      <c r="S23" s="574">
        <v>460</v>
      </c>
      <c r="T23" s="388" t="s">
        <v>202</v>
      </c>
      <c r="U23" s="388" t="s">
        <v>202</v>
      </c>
      <c r="V23" s="388" t="s">
        <v>203</v>
      </c>
      <c r="W23" s="388" t="s">
        <v>202</v>
      </c>
      <c r="X23" s="576" t="s">
        <v>203</v>
      </c>
      <c r="Z23" s="577"/>
      <c r="AA23" s="577"/>
      <c r="AB23" s="577"/>
    </row>
    <row r="24" spans="2:28">
      <c r="B24" s="573">
        <v>39681</v>
      </c>
      <c r="C24" s="574">
        <v>55506</v>
      </c>
      <c r="D24" s="574" t="s">
        <v>722</v>
      </c>
      <c r="E24" s="548">
        <v>8.24</v>
      </c>
      <c r="F24" s="549">
        <v>8.24</v>
      </c>
      <c r="G24" s="548"/>
      <c r="H24" s="549">
        <v>0.98880000000000001</v>
      </c>
      <c r="I24" s="548">
        <f t="shared" si="0"/>
        <v>9.2287999999999997</v>
      </c>
      <c r="J24" s="574">
        <v>1</v>
      </c>
      <c r="K24" s="548">
        <v>8.2400000000000001E-2</v>
      </c>
      <c r="L24" s="574">
        <v>30</v>
      </c>
      <c r="M24" s="548">
        <v>0.29664000000000001</v>
      </c>
      <c r="N24" s="574">
        <v>1279</v>
      </c>
      <c r="O24" s="388" t="s">
        <v>203</v>
      </c>
      <c r="P24" s="388" t="s">
        <v>202</v>
      </c>
      <c r="Q24" s="388" t="s">
        <v>202</v>
      </c>
      <c r="R24" s="575" t="s">
        <v>698</v>
      </c>
      <c r="S24" s="574">
        <v>461</v>
      </c>
      <c r="T24" s="388" t="s">
        <v>202</v>
      </c>
      <c r="U24" s="388" t="s">
        <v>202</v>
      </c>
      <c r="V24" s="388" t="s">
        <v>203</v>
      </c>
      <c r="W24" s="388" t="s">
        <v>202</v>
      </c>
      <c r="X24" s="576" t="s">
        <v>203</v>
      </c>
      <c r="Z24" s="577"/>
      <c r="AA24" s="577"/>
      <c r="AB24" s="577"/>
    </row>
    <row r="25" spans="2:28">
      <c r="B25" s="573">
        <v>39696</v>
      </c>
      <c r="C25" s="574">
        <v>55726</v>
      </c>
      <c r="D25" s="574" t="s">
        <v>723</v>
      </c>
      <c r="E25" s="548">
        <v>54.68</v>
      </c>
      <c r="F25" s="549">
        <v>29.93</v>
      </c>
      <c r="G25" s="548">
        <v>24.75</v>
      </c>
      <c r="H25" s="549">
        <v>3.5915999999999997</v>
      </c>
      <c r="I25" s="548">
        <f t="shared" si="0"/>
        <v>58.271599999999999</v>
      </c>
      <c r="J25" s="574">
        <v>1</v>
      </c>
      <c r="K25" s="548">
        <v>0.54680000000000006</v>
      </c>
      <c r="L25" s="574">
        <v>30</v>
      </c>
      <c r="M25" s="548">
        <v>1.0774799999999998</v>
      </c>
      <c r="N25" s="574">
        <v>1302</v>
      </c>
      <c r="O25" s="388" t="s">
        <v>203</v>
      </c>
      <c r="P25" s="388" t="s">
        <v>202</v>
      </c>
      <c r="Q25" s="388" t="s">
        <v>202</v>
      </c>
      <c r="R25" s="575" t="s">
        <v>698</v>
      </c>
      <c r="S25" s="574">
        <v>464</v>
      </c>
      <c r="T25" s="388" t="s">
        <v>202</v>
      </c>
      <c r="U25" s="388" t="s">
        <v>202</v>
      </c>
      <c r="V25" s="388" t="s">
        <v>203</v>
      </c>
      <c r="W25" s="388" t="s">
        <v>202</v>
      </c>
      <c r="X25" s="576" t="s">
        <v>203</v>
      </c>
      <c r="Z25" s="577"/>
      <c r="AA25" s="577"/>
      <c r="AB25" s="577"/>
    </row>
    <row r="26" spans="2:28">
      <c r="B26" s="573">
        <v>39737</v>
      </c>
      <c r="C26" s="574">
        <v>56437</v>
      </c>
      <c r="D26" s="574" t="s">
        <v>270</v>
      </c>
      <c r="E26" s="548">
        <v>42.94</v>
      </c>
      <c r="F26" s="549">
        <v>18.39</v>
      </c>
      <c r="G26" s="548">
        <v>24.55</v>
      </c>
      <c r="H26" s="549">
        <v>2.2067999999999999</v>
      </c>
      <c r="I26" s="548">
        <f t="shared" si="0"/>
        <v>45.146799999999999</v>
      </c>
      <c r="J26" s="574">
        <v>1</v>
      </c>
      <c r="K26" s="548">
        <v>0.4294</v>
      </c>
      <c r="L26" s="574">
        <v>30</v>
      </c>
      <c r="M26" s="548">
        <v>0.66203999999999996</v>
      </c>
      <c r="N26" s="574">
        <v>1354</v>
      </c>
      <c r="O26" s="388" t="s">
        <v>203</v>
      </c>
      <c r="P26" s="388" t="s">
        <v>202</v>
      </c>
      <c r="Q26" s="388" t="s">
        <v>202</v>
      </c>
      <c r="R26" s="575" t="s">
        <v>698</v>
      </c>
      <c r="S26" s="574">
        <v>466</v>
      </c>
      <c r="T26" s="388" t="s">
        <v>202</v>
      </c>
      <c r="U26" s="388" t="s">
        <v>202</v>
      </c>
      <c r="V26" s="388" t="s">
        <v>203</v>
      </c>
      <c r="W26" s="388" t="s">
        <v>202</v>
      </c>
      <c r="X26" s="576" t="s">
        <v>203</v>
      </c>
      <c r="Z26" s="577"/>
      <c r="AA26" s="577"/>
      <c r="AB26" s="577"/>
    </row>
    <row r="27" spans="2:28">
      <c r="B27" s="573">
        <v>39766</v>
      </c>
      <c r="C27" s="574">
        <v>57074</v>
      </c>
      <c r="D27" s="574" t="s">
        <v>724</v>
      </c>
      <c r="E27" s="548">
        <v>245.08</v>
      </c>
      <c r="F27" s="549">
        <v>245.08</v>
      </c>
      <c r="G27" s="548"/>
      <c r="H27" s="549">
        <v>29.409600000000001</v>
      </c>
      <c r="I27" s="548">
        <f t="shared" si="0"/>
        <v>274.4896</v>
      </c>
      <c r="J27" s="574">
        <v>1</v>
      </c>
      <c r="K27" s="548">
        <v>2.4508000000000001</v>
      </c>
      <c r="L27" s="574">
        <v>100</v>
      </c>
      <c r="M27" s="548">
        <v>2.4508000000000001</v>
      </c>
      <c r="N27" s="574">
        <v>1383</v>
      </c>
      <c r="O27" s="388" t="s">
        <v>203</v>
      </c>
      <c r="P27" s="388" t="s">
        <v>202</v>
      </c>
      <c r="Q27" s="388" t="s">
        <v>202</v>
      </c>
      <c r="R27" s="575" t="s">
        <v>698</v>
      </c>
      <c r="S27" s="574">
        <v>13544</v>
      </c>
      <c r="T27" s="388" t="s">
        <v>202</v>
      </c>
      <c r="U27" s="388" t="s">
        <v>202</v>
      </c>
      <c r="V27" s="388" t="s">
        <v>203</v>
      </c>
      <c r="W27" s="388" t="s">
        <v>202</v>
      </c>
      <c r="X27" s="576" t="s">
        <v>203</v>
      </c>
    </row>
    <row r="28" spans="2:28">
      <c r="B28" s="573">
        <v>39766</v>
      </c>
      <c r="C28" s="574">
        <v>57088</v>
      </c>
      <c r="D28" s="574" t="s">
        <v>724</v>
      </c>
      <c r="E28" s="548">
        <v>11.23</v>
      </c>
      <c r="F28" s="549">
        <v>11.23</v>
      </c>
      <c r="G28" s="548"/>
      <c r="H28" s="549">
        <v>1.3475999999999999</v>
      </c>
      <c r="I28" s="548">
        <f t="shared" si="0"/>
        <v>12.5776</v>
      </c>
      <c r="J28" s="574"/>
      <c r="K28" s="548"/>
      <c r="L28" s="574"/>
      <c r="M28" s="548">
        <v>0</v>
      </c>
      <c r="N28" s="574"/>
      <c r="O28" s="388" t="s">
        <v>203</v>
      </c>
      <c r="P28" s="388" t="s">
        <v>202</v>
      </c>
      <c r="Q28" s="388" t="s">
        <v>202</v>
      </c>
      <c r="R28" s="575" t="s">
        <v>698</v>
      </c>
      <c r="S28" s="574">
        <v>7142</v>
      </c>
      <c r="T28" s="388" t="s">
        <v>202</v>
      </c>
      <c r="U28" s="388" t="s">
        <v>202</v>
      </c>
      <c r="V28" s="388" t="s">
        <v>203</v>
      </c>
      <c r="W28" s="388" t="s">
        <v>202</v>
      </c>
      <c r="X28" s="576" t="s">
        <v>203</v>
      </c>
    </row>
    <row r="29" spans="2:28">
      <c r="B29" s="573">
        <v>39769</v>
      </c>
      <c r="C29" s="574">
        <v>57118</v>
      </c>
      <c r="D29" s="574" t="s">
        <v>724</v>
      </c>
      <c r="E29" s="548">
        <v>130.5</v>
      </c>
      <c r="F29" s="549">
        <v>130.5</v>
      </c>
      <c r="G29" s="548"/>
      <c r="H29" s="549">
        <v>15.66</v>
      </c>
      <c r="I29" s="548">
        <f t="shared" si="0"/>
        <v>146.16</v>
      </c>
      <c r="J29" s="574">
        <v>1</v>
      </c>
      <c r="K29" s="548">
        <v>1.3049999999999999</v>
      </c>
      <c r="L29" s="574">
        <v>100</v>
      </c>
      <c r="M29" s="548">
        <v>1.3049999999999999</v>
      </c>
      <c r="N29" s="574">
        <v>1385</v>
      </c>
      <c r="O29" s="388" t="s">
        <v>203</v>
      </c>
      <c r="P29" s="388" t="s">
        <v>202</v>
      </c>
      <c r="Q29" s="388" t="s">
        <v>202</v>
      </c>
      <c r="R29" s="575" t="s">
        <v>698</v>
      </c>
      <c r="S29" s="574">
        <v>13565</v>
      </c>
      <c r="T29" s="388" t="s">
        <v>202</v>
      </c>
      <c r="U29" s="388" t="s">
        <v>202</v>
      </c>
      <c r="V29" s="388" t="s">
        <v>203</v>
      </c>
      <c r="W29" s="388" t="s">
        <v>202</v>
      </c>
      <c r="X29" s="576" t="s">
        <v>203</v>
      </c>
    </row>
    <row r="30" spans="2:28">
      <c r="B30" s="573">
        <v>39769</v>
      </c>
      <c r="C30" s="574">
        <v>57118</v>
      </c>
      <c r="D30" s="574" t="s">
        <v>725</v>
      </c>
      <c r="E30" s="548">
        <v>104.63</v>
      </c>
      <c r="F30" s="549">
        <v>104.63</v>
      </c>
      <c r="G30" s="548"/>
      <c r="H30" s="549">
        <v>12.555599999999998</v>
      </c>
      <c r="I30" s="548">
        <f t="shared" si="0"/>
        <v>117.18559999999999</v>
      </c>
      <c r="J30" s="574"/>
      <c r="K30" s="548"/>
      <c r="L30" s="574"/>
      <c r="M30" s="548">
        <v>0</v>
      </c>
      <c r="N30" s="574"/>
      <c r="O30" s="388" t="s">
        <v>203</v>
      </c>
      <c r="P30" s="388" t="s">
        <v>202</v>
      </c>
      <c r="Q30" s="388" t="s">
        <v>202</v>
      </c>
      <c r="R30" s="575" t="s">
        <v>698</v>
      </c>
      <c r="S30" s="574">
        <v>225</v>
      </c>
      <c r="T30" s="388" t="s">
        <v>202</v>
      </c>
      <c r="U30" s="388" t="s">
        <v>202</v>
      </c>
      <c r="V30" s="388" t="s">
        <v>203</v>
      </c>
      <c r="W30" s="388" t="s">
        <v>202</v>
      </c>
      <c r="X30" s="576" t="s">
        <v>203</v>
      </c>
    </row>
    <row r="31" spans="2:28">
      <c r="B31" s="573" t="s">
        <v>726</v>
      </c>
      <c r="C31" s="574">
        <v>57510</v>
      </c>
      <c r="D31" s="574" t="s">
        <v>270</v>
      </c>
      <c r="E31" s="548">
        <v>59.6</v>
      </c>
      <c r="F31" s="549">
        <v>59.6</v>
      </c>
      <c r="G31" s="548"/>
      <c r="H31" s="549">
        <v>7.1520000000000001</v>
      </c>
      <c r="I31" s="548">
        <f t="shared" si="0"/>
        <v>66.751999999999995</v>
      </c>
      <c r="J31" s="574">
        <v>1</v>
      </c>
      <c r="K31" s="548">
        <v>0.6</v>
      </c>
      <c r="L31" s="574"/>
      <c r="M31" s="548"/>
      <c r="N31" s="574"/>
      <c r="O31" s="388" t="s">
        <v>203</v>
      </c>
      <c r="P31" s="388" t="s">
        <v>202</v>
      </c>
      <c r="Q31" s="388" t="s">
        <v>202</v>
      </c>
      <c r="R31" s="575" t="s">
        <v>698</v>
      </c>
      <c r="S31" s="574">
        <v>39791</v>
      </c>
      <c r="T31" s="388" t="s">
        <v>202</v>
      </c>
      <c r="U31" s="388" t="s">
        <v>202</v>
      </c>
      <c r="V31" s="388" t="s">
        <v>203</v>
      </c>
      <c r="W31" s="388" t="s">
        <v>202</v>
      </c>
      <c r="X31" s="576" t="s">
        <v>203</v>
      </c>
    </row>
    <row r="32" spans="2:28">
      <c r="B32" s="573">
        <v>39801</v>
      </c>
      <c r="C32" s="574">
        <v>57722</v>
      </c>
      <c r="D32" s="574" t="s">
        <v>394</v>
      </c>
      <c r="E32" s="548">
        <v>43</v>
      </c>
      <c r="F32" s="549">
        <v>43</v>
      </c>
      <c r="G32" s="548"/>
      <c r="H32" s="549">
        <v>5.16</v>
      </c>
      <c r="I32" s="548">
        <f t="shared" si="0"/>
        <v>48.16</v>
      </c>
      <c r="J32" s="574"/>
      <c r="K32" s="548"/>
      <c r="L32" s="574"/>
      <c r="M32" s="548"/>
      <c r="N32" s="574"/>
      <c r="O32" s="388" t="s">
        <v>203</v>
      </c>
      <c r="P32" s="388" t="s">
        <v>202</v>
      </c>
      <c r="Q32" s="388" t="s">
        <v>202</v>
      </c>
      <c r="R32" s="575" t="s">
        <v>698</v>
      </c>
      <c r="S32" s="574">
        <v>39800</v>
      </c>
      <c r="T32" s="388" t="s">
        <v>202</v>
      </c>
      <c r="U32" s="388" t="s">
        <v>202</v>
      </c>
      <c r="V32" s="388" t="s">
        <v>203</v>
      </c>
      <c r="W32" s="388" t="s">
        <v>202</v>
      </c>
      <c r="X32" s="576" t="s">
        <v>203</v>
      </c>
    </row>
    <row r="33" spans="2:24">
      <c r="B33" s="573">
        <v>39454</v>
      </c>
      <c r="C33" s="574">
        <v>51448</v>
      </c>
      <c r="D33" s="574" t="s">
        <v>719</v>
      </c>
      <c r="E33" s="548">
        <v>45.2</v>
      </c>
      <c r="F33" s="549">
        <v>45.2</v>
      </c>
      <c r="G33" s="548"/>
      <c r="H33" s="549">
        <v>5.4240000000000004</v>
      </c>
      <c r="I33" s="548">
        <f t="shared" si="0"/>
        <v>50.624000000000002</v>
      </c>
      <c r="J33" s="574">
        <v>2</v>
      </c>
      <c r="K33" s="548">
        <v>0.90400000000000003</v>
      </c>
      <c r="L33" s="574">
        <v>30</v>
      </c>
      <c r="M33" s="548">
        <v>1.6272</v>
      </c>
      <c r="N33" s="574">
        <v>932</v>
      </c>
      <c r="O33" s="388" t="s">
        <v>203</v>
      </c>
      <c r="P33" s="388" t="s">
        <v>202</v>
      </c>
      <c r="Q33" s="388" t="s">
        <v>202</v>
      </c>
      <c r="R33" s="575" t="s">
        <v>698</v>
      </c>
      <c r="S33" s="574" t="s">
        <v>727</v>
      </c>
      <c r="T33" s="388" t="s">
        <v>202</v>
      </c>
      <c r="U33" s="388" t="s">
        <v>202</v>
      </c>
      <c r="V33" s="388" t="s">
        <v>203</v>
      </c>
      <c r="W33" s="388" t="s">
        <v>202</v>
      </c>
      <c r="X33" s="576" t="s">
        <v>203</v>
      </c>
    </row>
    <row r="34" spans="2:24">
      <c r="B34" s="573">
        <v>39464</v>
      </c>
      <c r="C34" s="574">
        <v>51691</v>
      </c>
      <c r="D34" s="574" t="s">
        <v>728</v>
      </c>
      <c r="E34" s="548">
        <v>52.8</v>
      </c>
      <c r="F34" s="549">
        <v>41.85</v>
      </c>
      <c r="G34" s="548">
        <v>10.95</v>
      </c>
      <c r="H34" s="549">
        <v>5.0220000000000002</v>
      </c>
      <c r="I34" s="548">
        <f t="shared" si="0"/>
        <v>57.821999999999996</v>
      </c>
      <c r="J34" s="574">
        <v>2</v>
      </c>
      <c r="K34" s="548">
        <v>1.056</v>
      </c>
      <c r="L34" s="574">
        <v>30</v>
      </c>
      <c r="M34" s="548">
        <v>1.5065999999999999</v>
      </c>
      <c r="N34" s="574">
        <v>951</v>
      </c>
      <c r="O34" s="388" t="s">
        <v>203</v>
      </c>
      <c r="P34" s="388" t="s">
        <v>202</v>
      </c>
      <c r="Q34" s="388" t="s">
        <v>202</v>
      </c>
      <c r="R34" s="575" t="s">
        <v>698</v>
      </c>
      <c r="S34" s="574" t="s">
        <v>729</v>
      </c>
      <c r="T34" s="388" t="s">
        <v>202</v>
      </c>
      <c r="U34" s="388" t="s">
        <v>202</v>
      </c>
      <c r="V34" s="388" t="s">
        <v>203</v>
      </c>
      <c r="W34" s="388" t="s">
        <v>202</v>
      </c>
      <c r="X34" s="576" t="s">
        <v>203</v>
      </c>
    </row>
    <row r="35" spans="2:24">
      <c r="B35" s="573">
        <v>39490</v>
      </c>
      <c r="C35" s="574">
        <v>52274</v>
      </c>
      <c r="D35" s="574" t="s">
        <v>730</v>
      </c>
      <c r="E35" s="548">
        <v>2.21</v>
      </c>
      <c r="F35" s="549">
        <v>2.21</v>
      </c>
      <c r="G35" s="548"/>
      <c r="H35" s="549">
        <v>0.26519999999999999</v>
      </c>
      <c r="I35" s="548">
        <f t="shared" si="0"/>
        <v>2.4752000000000001</v>
      </c>
      <c r="J35" s="574"/>
      <c r="K35" s="548">
        <v>0</v>
      </c>
      <c r="L35" s="574"/>
      <c r="M35" s="548"/>
      <c r="N35" s="574"/>
      <c r="O35" s="388" t="s">
        <v>203</v>
      </c>
      <c r="P35" s="388" t="s">
        <v>202</v>
      </c>
      <c r="Q35" s="388" t="s">
        <v>202</v>
      </c>
      <c r="R35" s="575" t="s">
        <v>731</v>
      </c>
      <c r="S35" s="574" t="s">
        <v>732</v>
      </c>
      <c r="T35" s="388" t="s">
        <v>202</v>
      </c>
      <c r="U35" s="388" t="s">
        <v>202</v>
      </c>
      <c r="V35" s="388" t="s">
        <v>203</v>
      </c>
      <c r="W35" s="388" t="s">
        <v>202</v>
      </c>
      <c r="X35" s="576" t="s">
        <v>203</v>
      </c>
    </row>
    <row r="36" spans="2:24">
      <c r="B36" s="573">
        <v>39499</v>
      </c>
      <c r="C36" s="574">
        <v>52267</v>
      </c>
      <c r="D36" s="574" t="s">
        <v>733</v>
      </c>
      <c r="E36" s="548">
        <v>214.83</v>
      </c>
      <c r="F36" s="549">
        <v>197.23</v>
      </c>
      <c r="G36" s="548">
        <v>17.600000000000001</v>
      </c>
      <c r="H36" s="549">
        <v>23.667599999999997</v>
      </c>
      <c r="I36" s="548">
        <f t="shared" si="0"/>
        <v>238.49760000000001</v>
      </c>
      <c r="J36" s="574">
        <v>2</v>
      </c>
      <c r="K36" s="548">
        <v>4.2966000000000006</v>
      </c>
      <c r="L36" s="574">
        <v>30</v>
      </c>
      <c r="M36" s="548">
        <v>7.1002799999999988</v>
      </c>
      <c r="N36" s="574">
        <v>994</v>
      </c>
      <c r="O36" s="388" t="s">
        <v>203</v>
      </c>
      <c r="P36" s="388" t="s">
        <v>202</v>
      </c>
      <c r="Q36" s="388" t="s">
        <v>202</v>
      </c>
      <c r="R36" s="575" t="s">
        <v>698</v>
      </c>
      <c r="S36" s="574" t="s">
        <v>734</v>
      </c>
      <c r="T36" s="388" t="s">
        <v>202</v>
      </c>
      <c r="U36" s="388" t="s">
        <v>202</v>
      </c>
      <c r="V36" s="388" t="s">
        <v>203</v>
      </c>
      <c r="W36" s="388" t="s">
        <v>202</v>
      </c>
      <c r="X36" s="576" t="s">
        <v>203</v>
      </c>
    </row>
    <row r="37" spans="2:24">
      <c r="B37" s="573">
        <v>39471</v>
      </c>
      <c r="C37" s="574">
        <v>52005</v>
      </c>
      <c r="D37" s="574" t="s">
        <v>735</v>
      </c>
      <c r="E37" s="548">
        <v>27</v>
      </c>
      <c r="F37" s="549"/>
      <c r="G37" s="548">
        <v>27</v>
      </c>
      <c r="H37" s="549">
        <v>0</v>
      </c>
      <c r="I37" s="548">
        <f t="shared" si="0"/>
        <v>27</v>
      </c>
      <c r="J37" s="574"/>
      <c r="K37" s="548"/>
      <c r="L37" s="574"/>
      <c r="M37" s="548"/>
      <c r="N37" s="574"/>
      <c r="O37" s="388" t="s">
        <v>203</v>
      </c>
      <c r="P37" s="388" t="s">
        <v>202</v>
      </c>
      <c r="Q37" s="388" t="s">
        <v>202</v>
      </c>
      <c r="R37" s="575" t="s">
        <v>698</v>
      </c>
      <c r="S37" s="574" t="s">
        <v>736</v>
      </c>
      <c r="T37" s="388" t="s">
        <v>202</v>
      </c>
      <c r="U37" s="388" t="s">
        <v>202</v>
      </c>
      <c r="V37" s="388" t="s">
        <v>203</v>
      </c>
      <c r="W37" s="388" t="s">
        <v>202</v>
      </c>
      <c r="X37" s="576" t="s">
        <v>203</v>
      </c>
    </row>
    <row r="38" spans="2:24">
      <c r="B38" s="573">
        <v>39481</v>
      </c>
      <c r="C38" s="574">
        <v>52004</v>
      </c>
      <c r="D38" s="574" t="s">
        <v>737</v>
      </c>
      <c r="E38" s="548">
        <v>20</v>
      </c>
      <c r="F38" s="549">
        <v>20</v>
      </c>
      <c r="G38" s="548"/>
      <c r="H38" s="549">
        <v>2.4</v>
      </c>
      <c r="I38" s="548">
        <f t="shared" si="0"/>
        <v>22.4</v>
      </c>
      <c r="J38" s="574">
        <v>2</v>
      </c>
      <c r="K38" s="548">
        <v>0.4</v>
      </c>
      <c r="L38" s="574">
        <v>70</v>
      </c>
      <c r="M38" s="548">
        <v>1.68</v>
      </c>
      <c r="N38" s="574">
        <v>971</v>
      </c>
      <c r="O38" s="388" t="s">
        <v>203</v>
      </c>
      <c r="P38" s="388" t="s">
        <v>202</v>
      </c>
      <c r="Q38" s="388" t="s">
        <v>202</v>
      </c>
      <c r="R38" s="575" t="s">
        <v>698</v>
      </c>
      <c r="S38" s="574" t="s">
        <v>738</v>
      </c>
      <c r="T38" s="388" t="s">
        <v>202</v>
      </c>
      <c r="U38" s="388" t="s">
        <v>202</v>
      </c>
      <c r="V38" s="388" t="s">
        <v>203</v>
      </c>
      <c r="W38" s="388" t="s">
        <v>202</v>
      </c>
      <c r="X38" s="576" t="s">
        <v>203</v>
      </c>
    </row>
    <row r="39" spans="2:24">
      <c r="B39" s="573">
        <v>39481</v>
      </c>
      <c r="C39" s="574">
        <v>52004</v>
      </c>
      <c r="D39" s="574" t="s">
        <v>739</v>
      </c>
      <c r="E39" s="548">
        <v>40</v>
      </c>
      <c r="F39" s="549">
        <v>40</v>
      </c>
      <c r="G39" s="548"/>
      <c r="H39" s="549">
        <v>4.8</v>
      </c>
      <c r="I39" s="548">
        <f t="shared" si="0"/>
        <v>44.8</v>
      </c>
      <c r="J39" s="574">
        <v>2</v>
      </c>
      <c r="K39" s="548">
        <v>0.8</v>
      </c>
      <c r="L39" s="574">
        <v>70</v>
      </c>
      <c r="M39" s="548">
        <v>3.36</v>
      </c>
      <c r="N39" s="574">
        <v>970</v>
      </c>
      <c r="O39" s="388" t="s">
        <v>203</v>
      </c>
      <c r="P39" s="388" t="s">
        <v>202</v>
      </c>
      <c r="Q39" s="388" t="s">
        <v>202</v>
      </c>
      <c r="R39" s="575" t="s">
        <v>698</v>
      </c>
      <c r="S39" s="574" t="s">
        <v>740</v>
      </c>
      <c r="T39" s="388" t="s">
        <v>202</v>
      </c>
      <c r="U39" s="388" t="s">
        <v>202</v>
      </c>
      <c r="V39" s="388" t="s">
        <v>203</v>
      </c>
      <c r="W39" s="388" t="s">
        <v>202</v>
      </c>
      <c r="X39" s="576" t="s">
        <v>203</v>
      </c>
    </row>
    <row r="40" spans="2:24">
      <c r="B40" s="573">
        <v>39485</v>
      </c>
      <c r="C40" s="574">
        <v>52645</v>
      </c>
      <c r="D40" s="574" t="s">
        <v>741</v>
      </c>
      <c r="E40" s="548">
        <v>24</v>
      </c>
      <c r="F40" s="549"/>
      <c r="G40" s="548">
        <v>24</v>
      </c>
      <c r="H40" s="549">
        <v>0</v>
      </c>
      <c r="I40" s="548">
        <f t="shared" si="0"/>
        <v>24</v>
      </c>
      <c r="J40" s="574"/>
      <c r="K40" s="548"/>
      <c r="L40" s="574"/>
      <c r="M40" s="548"/>
      <c r="N40" s="574"/>
      <c r="O40" s="388" t="s">
        <v>203</v>
      </c>
      <c r="P40" s="388" t="s">
        <v>202</v>
      </c>
      <c r="Q40" s="388" t="s">
        <v>202</v>
      </c>
      <c r="R40" s="575" t="s">
        <v>698</v>
      </c>
      <c r="S40" s="574" t="s">
        <v>742</v>
      </c>
      <c r="T40" s="388" t="s">
        <v>202</v>
      </c>
      <c r="U40" s="388" t="s">
        <v>202</v>
      </c>
      <c r="V40" s="388" t="s">
        <v>203</v>
      </c>
      <c r="W40" s="388" t="s">
        <v>202</v>
      </c>
      <c r="X40" s="576" t="s">
        <v>203</v>
      </c>
    </row>
    <row r="41" spans="2:24">
      <c r="B41" s="573">
        <v>39526</v>
      </c>
      <c r="C41" s="574">
        <v>53039</v>
      </c>
      <c r="D41" s="574" t="s">
        <v>743</v>
      </c>
      <c r="E41" s="548">
        <v>66</v>
      </c>
      <c r="F41" s="549">
        <v>66</v>
      </c>
      <c r="G41" s="548"/>
      <c r="H41" s="549">
        <v>7.92</v>
      </c>
      <c r="I41" s="548">
        <f t="shared" si="0"/>
        <v>73.92</v>
      </c>
      <c r="J41" s="574">
        <v>2</v>
      </c>
      <c r="K41" s="548">
        <v>1.32</v>
      </c>
      <c r="L41" s="574">
        <v>70</v>
      </c>
      <c r="M41" s="548">
        <v>5.5439999999999996</v>
      </c>
      <c r="N41" s="574">
        <v>1057</v>
      </c>
      <c r="O41" s="388" t="s">
        <v>203</v>
      </c>
      <c r="P41" s="388" t="s">
        <v>202</v>
      </c>
      <c r="Q41" s="388" t="s">
        <v>202</v>
      </c>
      <c r="R41" s="575" t="s">
        <v>698</v>
      </c>
      <c r="S41" s="574" t="s">
        <v>744</v>
      </c>
      <c r="T41" s="388" t="s">
        <v>202</v>
      </c>
      <c r="U41" s="388" t="s">
        <v>202</v>
      </c>
      <c r="V41" s="388" t="s">
        <v>203</v>
      </c>
      <c r="W41" s="388" t="s">
        <v>202</v>
      </c>
      <c r="X41" s="576" t="s">
        <v>203</v>
      </c>
    </row>
    <row r="42" spans="2:24">
      <c r="B42" s="573">
        <v>39514</v>
      </c>
      <c r="C42" s="574">
        <v>53156</v>
      </c>
      <c r="D42" s="574" t="s">
        <v>745</v>
      </c>
      <c r="E42" s="548">
        <v>70</v>
      </c>
      <c r="F42" s="549">
        <v>70</v>
      </c>
      <c r="G42" s="548">
        <v>0</v>
      </c>
      <c r="H42" s="549">
        <v>8.4</v>
      </c>
      <c r="I42" s="548">
        <f t="shared" si="0"/>
        <v>78.400000000000006</v>
      </c>
      <c r="J42" s="574">
        <v>2</v>
      </c>
      <c r="K42" s="548">
        <v>1.4000000000000001</v>
      </c>
      <c r="L42" s="574">
        <v>70</v>
      </c>
      <c r="M42" s="548">
        <v>5.88</v>
      </c>
      <c r="N42" s="574">
        <v>1073</v>
      </c>
      <c r="O42" s="388" t="s">
        <v>203</v>
      </c>
      <c r="P42" s="388" t="s">
        <v>202</v>
      </c>
      <c r="Q42" s="388" t="s">
        <v>202</v>
      </c>
      <c r="R42" s="575" t="s">
        <v>698</v>
      </c>
      <c r="S42" s="574" t="s">
        <v>746</v>
      </c>
      <c r="T42" s="388" t="s">
        <v>202</v>
      </c>
      <c r="U42" s="388" t="s">
        <v>202</v>
      </c>
      <c r="V42" s="388" t="s">
        <v>203</v>
      </c>
      <c r="W42" s="388" t="s">
        <v>202</v>
      </c>
      <c r="X42" s="576" t="s">
        <v>203</v>
      </c>
    </row>
    <row r="43" spans="2:24">
      <c r="B43" s="573">
        <v>39546</v>
      </c>
      <c r="C43" s="574">
        <v>53174</v>
      </c>
      <c r="D43" s="574" t="s">
        <v>747</v>
      </c>
      <c r="E43" s="548">
        <v>24.5</v>
      </c>
      <c r="F43" s="549">
        <v>8.5</v>
      </c>
      <c r="G43" s="548">
        <v>16</v>
      </c>
      <c r="H43" s="549">
        <v>1.02</v>
      </c>
      <c r="I43" s="548">
        <f t="shared" si="0"/>
        <v>25.52</v>
      </c>
      <c r="J43" s="574">
        <v>2</v>
      </c>
      <c r="K43" s="548">
        <v>0.49</v>
      </c>
      <c r="L43" s="574">
        <v>30</v>
      </c>
      <c r="M43" s="548">
        <v>0.30599999999999999</v>
      </c>
      <c r="N43" s="574">
        <v>1077</v>
      </c>
      <c r="O43" s="388" t="s">
        <v>203</v>
      </c>
      <c r="P43" s="388" t="s">
        <v>202</v>
      </c>
      <c r="Q43" s="388" t="s">
        <v>202</v>
      </c>
      <c r="R43" s="575" t="s">
        <v>698</v>
      </c>
      <c r="S43" s="574" t="s">
        <v>748</v>
      </c>
      <c r="T43" s="388" t="s">
        <v>202</v>
      </c>
      <c r="U43" s="388" t="s">
        <v>202</v>
      </c>
      <c r="V43" s="388" t="s">
        <v>203</v>
      </c>
      <c r="W43" s="388" t="s">
        <v>202</v>
      </c>
      <c r="X43" s="576" t="s">
        <v>203</v>
      </c>
    </row>
    <row r="44" spans="2:24">
      <c r="B44" s="573">
        <v>39559</v>
      </c>
      <c r="C44" s="574">
        <v>53369</v>
      </c>
      <c r="D44" s="574" t="s">
        <v>749</v>
      </c>
      <c r="E44" s="548">
        <v>16</v>
      </c>
      <c r="F44" s="549">
        <v>9.33</v>
      </c>
      <c r="G44" s="548">
        <v>6.67</v>
      </c>
      <c r="H44" s="549">
        <v>1.1195999999999999</v>
      </c>
      <c r="I44" s="548">
        <f t="shared" si="0"/>
        <v>17.119599999999998</v>
      </c>
      <c r="J44" s="574">
        <v>2</v>
      </c>
      <c r="K44" s="548">
        <v>0.32</v>
      </c>
      <c r="L44" s="574">
        <v>70</v>
      </c>
      <c r="M44" s="548">
        <v>0.78371999999999986</v>
      </c>
      <c r="N44" s="574">
        <v>1087</v>
      </c>
      <c r="O44" s="388" t="s">
        <v>203</v>
      </c>
      <c r="P44" s="388" t="s">
        <v>202</v>
      </c>
      <c r="Q44" s="388" t="s">
        <v>202</v>
      </c>
      <c r="R44" s="575" t="s">
        <v>698</v>
      </c>
      <c r="S44" s="574" t="s">
        <v>750</v>
      </c>
      <c r="T44" s="388" t="s">
        <v>202</v>
      </c>
      <c r="U44" s="388" t="s">
        <v>202</v>
      </c>
      <c r="V44" s="388" t="s">
        <v>203</v>
      </c>
      <c r="W44" s="388" t="s">
        <v>202</v>
      </c>
      <c r="X44" s="576" t="s">
        <v>203</v>
      </c>
    </row>
    <row r="45" spans="2:24">
      <c r="B45" s="573">
        <v>39589</v>
      </c>
      <c r="C45" s="574">
        <v>53841</v>
      </c>
      <c r="D45" s="574" t="s">
        <v>751</v>
      </c>
      <c r="E45" s="548">
        <v>490</v>
      </c>
      <c r="F45" s="549">
        <v>490</v>
      </c>
      <c r="G45" s="548"/>
      <c r="H45" s="549">
        <v>58.8</v>
      </c>
      <c r="I45" s="548">
        <f t="shared" si="0"/>
        <v>548.79999999999995</v>
      </c>
      <c r="J45" s="574">
        <v>1</v>
      </c>
      <c r="K45" s="548">
        <v>4.9000000000000004</v>
      </c>
      <c r="L45" s="574">
        <v>30</v>
      </c>
      <c r="M45" s="548">
        <v>17.639999999999997</v>
      </c>
      <c r="N45" s="574">
        <v>1118</v>
      </c>
      <c r="O45" s="388" t="s">
        <v>203</v>
      </c>
      <c r="P45" s="388" t="s">
        <v>202</v>
      </c>
      <c r="Q45" s="388" t="s">
        <v>202</v>
      </c>
      <c r="R45" s="575" t="s">
        <v>698</v>
      </c>
      <c r="S45" s="574">
        <v>2153</v>
      </c>
      <c r="T45" s="388" t="s">
        <v>202</v>
      </c>
      <c r="U45" s="388" t="s">
        <v>202</v>
      </c>
      <c r="V45" s="388" t="s">
        <v>203</v>
      </c>
      <c r="W45" s="388" t="s">
        <v>202</v>
      </c>
      <c r="X45" s="576" t="s">
        <v>203</v>
      </c>
    </row>
    <row r="46" spans="2:24">
      <c r="B46" s="573">
        <v>39594</v>
      </c>
      <c r="C46" s="574">
        <v>53903</v>
      </c>
      <c r="D46" s="574" t="s">
        <v>752</v>
      </c>
      <c r="E46" s="548">
        <v>45</v>
      </c>
      <c r="F46" s="549">
        <v>45</v>
      </c>
      <c r="G46" s="548"/>
      <c r="H46" s="549">
        <v>5.3999999999999995</v>
      </c>
      <c r="I46" s="548">
        <f t="shared" si="0"/>
        <v>50.4</v>
      </c>
      <c r="J46" s="574">
        <v>1</v>
      </c>
      <c r="K46" s="548">
        <v>0.45</v>
      </c>
      <c r="L46" s="574">
        <v>30</v>
      </c>
      <c r="M46" s="548">
        <v>1.6199999999999999</v>
      </c>
      <c r="N46" s="574">
        <v>1122</v>
      </c>
      <c r="O46" s="388" t="s">
        <v>203</v>
      </c>
      <c r="P46" s="388" t="s">
        <v>202</v>
      </c>
      <c r="Q46" s="388" t="s">
        <v>202</v>
      </c>
      <c r="R46" s="575" t="s">
        <v>698</v>
      </c>
      <c r="S46" s="574">
        <v>1127</v>
      </c>
      <c r="T46" s="388" t="s">
        <v>202</v>
      </c>
      <c r="U46" s="388" t="s">
        <v>202</v>
      </c>
      <c r="V46" s="388" t="s">
        <v>203</v>
      </c>
      <c r="W46" s="388" t="s">
        <v>202</v>
      </c>
      <c r="X46" s="576" t="s">
        <v>203</v>
      </c>
    </row>
    <row r="47" spans="2:24">
      <c r="B47" s="573">
        <v>39596</v>
      </c>
      <c r="C47" s="574">
        <v>53933</v>
      </c>
      <c r="D47" s="574" t="s">
        <v>753</v>
      </c>
      <c r="E47" s="548">
        <v>153.1</v>
      </c>
      <c r="F47" s="549">
        <v>135.1</v>
      </c>
      <c r="G47" s="548">
        <v>18</v>
      </c>
      <c r="H47" s="549">
        <v>16.212</v>
      </c>
      <c r="I47" s="548">
        <f t="shared" si="0"/>
        <v>169.31199999999998</v>
      </c>
      <c r="J47" s="574">
        <v>1</v>
      </c>
      <c r="K47" s="548">
        <v>1.5309999999999999</v>
      </c>
      <c r="L47" s="574">
        <v>30</v>
      </c>
      <c r="M47" s="548">
        <v>4.8635999999999999</v>
      </c>
      <c r="N47" s="574">
        <v>1127</v>
      </c>
      <c r="O47" s="388" t="s">
        <v>203</v>
      </c>
      <c r="P47" s="388" t="s">
        <v>202</v>
      </c>
      <c r="Q47" s="388" t="s">
        <v>202</v>
      </c>
      <c r="R47" s="575" t="s">
        <v>698</v>
      </c>
      <c r="S47" s="574">
        <v>444</v>
      </c>
      <c r="T47" s="388" t="s">
        <v>202</v>
      </c>
      <c r="U47" s="388" t="s">
        <v>202</v>
      </c>
      <c r="V47" s="388" t="s">
        <v>203</v>
      </c>
      <c r="W47" s="388" t="s">
        <v>202</v>
      </c>
      <c r="X47" s="576" t="s">
        <v>203</v>
      </c>
    </row>
    <row r="48" spans="2:24">
      <c r="B48" s="573">
        <v>39633</v>
      </c>
      <c r="C48" s="574">
        <v>54606</v>
      </c>
      <c r="D48" s="574" t="s">
        <v>754</v>
      </c>
      <c r="E48" s="548">
        <v>48</v>
      </c>
      <c r="F48" s="549">
        <v>48</v>
      </c>
      <c r="G48" s="548"/>
      <c r="H48" s="549">
        <v>5.76</v>
      </c>
      <c r="I48" s="548">
        <f t="shared" si="0"/>
        <v>53.76</v>
      </c>
      <c r="J48" s="574">
        <v>2</v>
      </c>
      <c r="K48" s="548">
        <v>0.96</v>
      </c>
      <c r="L48" s="574"/>
      <c r="M48" s="548"/>
      <c r="N48" s="574">
        <v>1188</v>
      </c>
      <c r="O48" s="388" t="s">
        <v>203</v>
      </c>
      <c r="P48" s="388" t="s">
        <v>202</v>
      </c>
      <c r="Q48" s="388" t="s">
        <v>202</v>
      </c>
      <c r="R48" s="575" t="s">
        <v>698</v>
      </c>
      <c r="S48" s="574">
        <v>31749</v>
      </c>
      <c r="T48" s="388" t="s">
        <v>202</v>
      </c>
      <c r="U48" s="388" t="s">
        <v>202</v>
      </c>
      <c r="V48" s="388" t="s">
        <v>203</v>
      </c>
      <c r="W48" s="388" t="s">
        <v>202</v>
      </c>
      <c r="X48" s="576" t="s">
        <v>203</v>
      </c>
    </row>
    <row r="49" spans="2:24">
      <c r="B49" s="573">
        <v>39660</v>
      </c>
      <c r="C49" s="574">
        <v>55092</v>
      </c>
      <c r="D49" s="574" t="s">
        <v>755</v>
      </c>
      <c r="E49" s="548">
        <v>50</v>
      </c>
      <c r="F49" s="549">
        <v>50</v>
      </c>
      <c r="G49" s="548"/>
      <c r="H49" s="549">
        <v>6</v>
      </c>
      <c r="I49" s="548">
        <f t="shared" si="0"/>
        <v>56</v>
      </c>
      <c r="J49" s="574">
        <v>2</v>
      </c>
      <c r="K49" s="548">
        <v>1</v>
      </c>
      <c r="L49" s="574">
        <v>70</v>
      </c>
      <c r="M49" s="548">
        <v>4.1999999999999993</v>
      </c>
      <c r="N49" s="574">
        <v>1245</v>
      </c>
      <c r="O49" s="388" t="s">
        <v>203</v>
      </c>
      <c r="P49" s="388" t="s">
        <v>202</v>
      </c>
      <c r="Q49" s="388" t="s">
        <v>202</v>
      </c>
      <c r="R49" s="575" t="s">
        <v>698</v>
      </c>
      <c r="S49" s="574">
        <v>54</v>
      </c>
      <c r="T49" s="388" t="s">
        <v>202</v>
      </c>
      <c r="U49" s="388" t="s">
        <v>202</v>
      </c>
      <c r="V49" s="388" t="s">
        <v>203</v>
      </c>
      <c r="W49" s="388" t="s">
        <v>202</v>
      </c>
      <c r="X49" s="576" t="s">
        <v>203</v>
      </c>
    </row>
    <row r="50" spans="2:24">
      <c r="B50" s="573">
        <v>39660</v>
      </c>
      <c r="C50" s="574">
        <v>55091</v>
      </c>
      <c r="D50" s="574" t="s">
        <v>755</v>
      </c>
      <c r="E50" s="548">
        <v>10</v>
      </c>
      <c r="F50" s="549">
        <v>10</v>
      </c>
      <c r="G50" s="548"/>
      <c r="H50" s="549">
        <v>1.2</v>
      </c>
      <c r="I50" s="548">
        <f t="shared" si="0"/>
        <v>11.2</v>
      </c>
      <c r="J50" s="574">
        <v>2</v>
      </c>
      <c r="K50" s="548">
        <v>0.2</v>
      </c>
      <c r="L50" s="574">
        <v>70</v>
      </c>
      <c r="M50" s="548">
        <v>0.84</v>
      </c>
      <c r="N50" s="574">
        <v>1244</v>
      </c>
      <c r="O50" s="388" t="s">
        <v>203</v>
      </c>
      <c r="P50" s="388" t="s">
        <v>202</v>
      </c>
      <c r="Q50" s="388" t="s">
        <v>202</v>
      </c>
      <c r="R50" s="575" t="s">
        <v>698</v>
      </c>
      <c r="S50" s="574">
        <v>53</v>
      </c>
      <c r="T50" s="388" t="s">
        <v>202</v>
      </c>
      <c r="U50" s="388" t="s">
        <v>202</v>
      </c>
      <c r="V50" s="388" t="s">
        <v>203</v>
      </c>
      <c r="W50" s="388" t="s">
        <v>202</v>
      </c>
      <c r="X50" s="576" t="s">
        <v>203</v>
      </c>
    </row>
    <row r="51" spans="2:24">
      <c r="B51" s="573">
        <v>39666</v>
      </c>
      <c r="C51" s="574">
        <v>55233</v>
      </c>
      <c r="D51" s="574" t="s">
        <v>756</v>
      </c>
      <c r="E51" s="548">
        <v>70</v>
      </c>
      <c r="F51" s="549">
        <v>70</v>
      </c>
      <c r="G51" s="548"/>
      <c r="H51" s="549">
        <v>8.4</v>
      </c>
      <c r="I51" s="548">
        <f t="shared" si="0"/>
        <v>78.400000000000006</v>
      </c>
      <c r="J51" s="574">
        <v>2</v>
      </c>
      <c r="K51" s="548">
        <v>1.4000000000000001</v>
      </c>
      <c r="L51" s="574">
        <v>70</v>
      </c>
      <c r="M51" s="548">
        <v>5.88</v>
      </c>
      <c r="N51" s="574">
        <v>1252</v>
      </c>
      <c r="O51" s="388" t="s">
        <v>203</v>
      </c>
      <c r="P51" s="388" t="s">
        <v>202</v>
      </c>
      <c r="Q51" s="388" t="s">
        <v>202</v>
      </c>
      <c r="R51" s="575" t="s">
        <v>698</v>
      </c>
      <c r="S51" s="574">
        <v>5</v>
      </c>
      <c r="T51" s="388" t="s">
        <v>202</v>
      </c>
      <c r="U51" s="388" t="s">
        <v>202</v>
      </c>
      <c r="V51" s="388" t="s">
        <v>203</v>
      </c>
      <c r="W51" s="388" t="s">
        <v>202</v>
      </c>
      <c r="X51" s="576" t="s">
        <v>203</v>
      </c>
    </row>
    <row r="52" spans="2:24">
      <c r="B52" s="573">
        <v>39678</v>
      </c>
      <c r="C52" s="574">
        <v>55461</v>
      </c>
      <c r="D52" s="574" t="s">
        <v>757</v>
      </c>
      <c r="E52" s="548">
        <v>70</v>
      </c>
      <c r="F52" s="549">
        <v>70</v>
      </c>
      <c r="G52" s="548"/>
      <c r="H52" s="549">
        <v>8.4</v>
      </c>
      <c r="I52" s="548">
        <f t="shared" si="0"/>
        <v>78.400000000000006</v>
      </c>
      <c r="J52" s="574">
        <v>2</v>
      </c>
      <c r="K52" s="548">
        <v>1.4000000000000001</v>
      </c>
      <c r="L52" s="574">
        <v>70</v>
      </c>
      <c r="M52" s="548">
        <v>5.88</v>
      </c>
      <c r="N52" s="574">
        <v>1271</v>
      </c>
      <c r="O52" s="388" t="s">
        <v>203</v>
      </c>
      <c r="P52" s="388" t="s">
        <v>202</v>
      </c>
      <c r="Q52" s="388" t="s">
        <v>202</v>
      </c>
      <c r="R52" s="575" t="s">
        <v>698</v>
      </c>
      <c r="S52" s="574">
        <v>55</v>
      </c>
      <c r="T52" s="388" t="s">
        <v>202</v>
      </c>
      <c r="U52" s="388" t="s">
        <v>202</v>
      </c>
      <c r="V52" s="388" t="s">
        <v>203</v>
      </c>
      <c r="W52" s="388" t="s">
        <v>202</v>
      </c>
      <c r="X52" s="576" t="s">
        <v>203</v>
      </c>
    </row>
    <row r="53" spans="2:24">
      <c r="B53" s="573">
        <v>39804</v>
      </c>
      <c r="C53" s="574">
        <v>57739</v>
      </c>
      <c r="D53" s="574" t="s">
        <v>397</v>
      </c>
      <c r="E53" s="548">
        <v>27</v>
      </c>
      <c r="F53" s="549"/>
      <c r="G53" s="548">
        <v>27</v>
      </c>
      <c r="H53" s="549">
        <v>0</v>
      </c>
      <c r="I53" s="548">
        <f t="shared" si="0"/>
        <v>27</v>
      </c>
      <c r="J53" s="574"/>
      <c r="K53" s="548"/>
      <c r="L53" s="574"/>
      <c r="M53" s="548"/>
      <c r="N53" s="574"/>
      <c r="O53" s="388" t="s">
        <v>203</v>
      </c>
      <c r="P53" s="388" t="s">
        <v>202</v>
      </c>
      <c r="Q53" s="388" t="s">
        <v>202</v>
      </c>
      <c r="R53" s="575" t="s">
        <v>698</v>
      </c>
      <c r="S53" s="574">
        <v>39804</v>
      </c>
      <c r="T53" s="388" t="s">
        <v>202</v>
      </c>
      <c r="U53" s="388" t="s">
        <v>202</v>
      </c>
      <c r="V53" s="388" t="s">
        <v>203</v>
      </c>
      <c r="W53" s="388" t="s">
        <v>202</v>
      </c>
      <c r="X53" s="576" t="s">
        <v>203</v>
      </c>
    </row>
    <row r="54" spans="2:24">
      <c r="B54" s="573">
        <v>39629</v>
      </c>
      <c r="C54" s="574">
        <v>54509</v>
      </c>
      <c r="D54" s="574" t="s">
        <v>758</v>
      </c>
      <c r="E54" s="548">
        <v>64</v>
      </c>
      <c r="F54" s="549">
        <v>64</v>
      </c>
      <c r="G54" s="548"/>
      <c r="H54" s="549">
        <v>7.68</v>
      </c>
      <c r="I54" s="548">
        <f t="shared" si="0"/>
        <v>71.680000000000007</v>
      </c>
      <c r="J54" s="574">
        <v>1</v>
      </c>
      <c r="K54" s="548">
        <v>0.64</v>
      </c>
      <c r="L54" s="574"/>
      <c r="M54" s="548"/>
      <c r="N54" s="574">
        <v>1175</v>
      </c>
      <c r="O54" s="388" t="s">
        <v>203</v>
      </c>
      <c r="P54" s="388" t="s">
        <v>202</v>
      </c>
      <c r="Q54" s="388" t="s">
        <v>202</v>
      </c>
      <c r="R54" s="575" t="s">
        <v>698</v>
      </c>
      <c r="S54" s="574">
        <v>42135</v>
      </c>
      <c r="T54" s="388" t="s">
        <v>202</v>
      </c>
      <c r="U54" s="388" t="s">
        <v>202</v>
      </c>
      <c r="V54" s="388" t="s">
        <v>203</v>
      </c>
      <c r="W54" s="388" t="s">
        <v>202</v>
      </c>
      <c r="X54" s="576" t="s">
        <v>203</v>
      </c>
    </row>
    <row r="55" spans="2:24">
      <c r="B55" s="573">
        <v>39665</v>
      </c>
      <c r="C55" s="574">
        <v>55201</v>
      </c>
      <c r="D55" s="574" t="s">
        <v>759</v>
      </c>
      <c r="E55" s="548">
        <v>105.6</v>
      </c>
      <c r="F55" s="549">
        <v>105.6</v>
      </c>
      <c r="G55" s="548"/>
      <c r="H55" s="549">
        <f>+E55*0.12</f>
        <v>12.671999999999999</v>
      </c>
      <c r="I55" s="548">
        <f t="shared" si="0"/>
        <v>118.27199999999999</v>
      </c>
      <c r="J55" s="574">
        <v>1</v>
      </c>
      <c r="K55" s="548">
        <v>1.06</v>
      </c>
      <c r="L55" s="574">
        <v>70</v>
      </c>
      <c r="M55" s="548">
        <f>+H55*0.7</f>
        <v>8.8703999999999983</v>
      </c>
      <c r="N55" s="574">
        <v>1250</v>
      </c>
      <c r="O55" s="388" t="s">
        <v>203</v>
      </c>
      <c r="P55" s="388" t="s">
        <v>202</v>
      </c>
      <c r="Q55" s="388" t="s">
        <v>202</v>
      </c>
      <c r="R55" s="575" t="s">
        <v>698</v>
      </c>
      <c r="S55" s="574">
        <v>122</v>
      </c>
      <c r="T55" s="388" t="s">
        <v>202</v>
      </c>
      <c r="U55" s="388" t="s">
        <v>202</v>
      </c>
      <c r="V55" s="388" t="s">
        <v>203</v>
      </c>
      <c r="W55" s="388" t="s">
        <v>202</v>
      </c>
      <c r="X55" s="576" t="s">
        <v>203</v>
      </c>
    </row>
    <row r="56" spans="2:24">
      <c r="B56" s="573">
        <v>39699</v>
      </c>
      <c r="C56" s="574">
        <v>55745</v>
      </c>
      <c r="D56" s="574" t="s">
        <v>760</v>
      </c>
      <c r="E56" s="548">
        <v>43</v>
      </c>
      <c r="F56" s="549">
        <v>43</v>
      </c>
      <c r="G56" s="548">
        <v>0</v>
      </c>
      <c r="H56" s="549">
        <v>5.16</v>
      </c>
      <c r="I56" s="548">
        <f t="shared" si="0"/>
        <v>48.16</v>
      </c>
      <c r="J56" s="574">
        <v>2</v>
      </c>
      <c r="K56" s="548">
        <v>0.86</v>
      </c>
      <c r="L56" s="574">
        <v>70</v>
      </c>
      <c r="M56" s="548">
        <v>3.6119999999999997</v>
      </c>
      <c r="N56" s="574">
        <v>1303</v>
      </c>
      <c r="O56" s="388" t="s">
        <v>203</v>
      </c>
      <c r="P56" s="388" t="s">
        <v>202</v>
      </c>
      <c r="Q56" s="388" t="s">
        <v>202</v>
      </c>
      <c r="R56" s="575" t="s">
        <v>698</v>
      </c>
      <c r="S56" s="574">
        <v>56</v>
      </c>
      <c r="T56" s="388" t="s">
        <v>202</v>
      </c>
      <c r="U56" s="388" t="s">
        <v>202</v>
      </c>
      <c r="V56" s="388" t="s">
        <v>203</v>
      </c>
      <c r="W56" s="388" t="s">
        <v>202</v>
      </c>
      <c r="X56" s="576" t="s">
        <v>203</v>
      </c>
    </row>
    <row r="57" spans="2:24">
      <c r="B57" s="573">
        <v>39759</v>
      </c>
      <c r="C57" s="574">
        <v>56846</v>
      </c>
      <c r="D57" s="574" t="s">
        <v>761</v>
      </c>
      <c r="E57" s="548">
        <v>69</v>
      </c>
      <c r="F57" s="549">
        <v>69</v>
      </c>
      <c r="G57" s="548"/>
      <c r="H57" s="549">
        <v>8.2799999999999994</v>
      </c>
      <c r="I57" s="548">
        <f t="shared" si="0"/>
        <v>77.28</v>
      </c>
      <c r="J57" s="574">
        <v>1</v>
      </c>
      <c r="K57" s="548">
        <v>0.69000000000000006</v>
      </c>
      <c r="L57" s="574">
        <v>100</v>
      </c>
      <c r="M57" s="548">
        <v>3.1739999999999995</v>
      </c>
      <c r="N57" s="574">
        <v>1373</v>
      </c>
      <c r="O57" s="388" t="s">
        <v>203</v>
      </c>
      <c r="P57" s="388" t="s">
        <v>202</v>
      </c>
      <c r="Q57" s="388" t="s">
        <v>202</v>
      </c>
      <c r="R57" s="575" t="s">
        <v>698</v>
      </c>
      <c r="S57" s="574">
        <v>157</v>
      </c>
      <c r="T57" s="388" t="s">
        <v>202</v>
      </c>
      <c r="U57" s="388" t="s">
        <v>202</v>
      </c>
      <c r="V57" s="388" t="s">
        <v>203</v>
      </c>
      <c r="W57" s="388" t="s">
        <v>202</v>
      </c>
      <c r="X57" s="576" t="s">
        <v>203</v>
      </c>
    </row>
    <row r="58" spans="2:24">
      <c r="B58" s="573">
        <v>39458</v>
      </c>
      <c r="C58" s="574">
        <v>51657</v>
      </c>
      <c r="D58" s="574" t="s">
        <v>762</v>
      </c>
      <c r="E58" s="548">
        <v>8</v>
      </c>
      <c r="F58" s="549"/>
      <c r="G58" s="548">
        <v>8</v>
      </c>
      <c r="H58" s="549"/>
      <c r="I58" s="548">
        <f t="shared" si="0"/>
        <v>8</v>
      </c>
      <c r="J58" s="574"/>
      <c r="K58" s="548"/>
      <c r="L58" s="574"/>
      <c r="M58" s="548"/>
      <c r="N58" s="574"/>
      <c r="O58" s="388" t="s">
        <v>203</v>
      </c>
      <c r="P58" s="388" t="s">
        <v>202</v>
      </c>
      <c r="Q58" s="388" t="s">
        <v>202</v>
      </c>
      <c r="R58" s="575" t="s">
        <v>698</v>
      </c>
      <c r="S58" s="574" t="s">
        <v>763</v>
      </c>
      <c r="T58" s="388" t="s">
        <v>202</v>
      </c>
      <c r="U58" s="388" t="s">
        <v>202</v>
      </c>
      <c r="V58" s="388" t="s">
        <v>203</v>
      </c>
      <c r="W58" s="388" t="s">
        <v>202</v>
      </c>
      <c r="X58" s="576" t="s">
        <v>203</v>
      </c>
    </row>
    <row r="59" spans="2:24">
      <c r="B59" s="573">
        <v>39470</v>
      </c>
      <c r="C59" s="574">
        <v>52058</v>
      </c>
      <c r="D59" s="574" t="s">
        <v>764</v>
      </c>
      <c r="E59" s="548">
        <v>3</v>
      </c>
      <c r="F59" s="549">
        <v>3</v>
      </c>
      <c r="G59" s="548"/>
      <c r="H59" s="549">
        <v>0.36</v>
      </c>
      <c r="I59" s="548">
        <f t="shared" si="0"/>
        <v>3.36</v>
      </c>
      <c r="J59" s="574"/>
      <c r="K59" s="548"/>
      <c r="L59" s="574"/>
      <c r="M59" s="548"/>
      <c r="N59" s="574"/>
      <c r="O59" s="388" t="s">
        <v>203</v>
      </c>
      <c r="P59" s="388" t="s">
        <v>202</v>
      </c>
      <c r="Q59" s="388" t="s">
        <v>202</v>
      </c>
      <c r="R59" s="575" t="s">
        <v>698</v>
      </c>
      <c r="S59" s="574" t="s">
        <v>765</v>
      </c>
      <c r="T59" s="388" t="s">
        <v>202</v>
      </c>
      <c r="U59" s="388" t="s">
        <v>202</v>
      </c>
      <c r="V59" s="388" t="s">
        <v>203</v>
      </c>
      <c r="W59" s="388" t="s">
        <v>202</v>
      </c>
      <c r="X59" s="576" t="s">
        <v>203</v>
      </c>
    </row>
    <row r="60" spans="2:24">
      <c r="B60" s="573">
        <v>39651</v>
      </c>
      <c r="C60" s="574">
        <v>54995</v>
      </c>
      <c r="D60" s="574" t="s">
        <v>766</v>
      </c>
      <c r="E60" s="548">
        <v>0.7</v>
      </c>
      <c r="F60" s="549"/>
      <c r="G60" s="548">
        <v>0.7</v>
      </c>
      <c r="H60" s="549">
        <v>0</v>
      </c>
      <c r="I60" s="548">
        <f t="shared" si="0"/>
        <v>0.7</v>
      </c>
      <c r="J60" s="574"/>
      <c r="K60" s="548"/>
      <c r="L60" s="574"/>
      <c r="M60" s="548"/>
      <c r="N60" s="574"/>
      <c r="O60" s="388" t="s">
        <v>203</v>
      </c>
      <c r="P60" s="388" t="s">
        <v>202</v>
      </c>
      <c r="Q60" s="388" t="s">
        <v>202</v>
      </c>
      <c r="R60" s="575" t="s">
        <v>731</v>
      </c>
      <c r="S60" s="574">
        <v>27464</v>
      </c>
      <c r="T60" s="388" t="s">
        <v>202</v>
      </c>
      <c r="U60" s="388" t="s">
        <v>202</v>
      </c>
      <c r="V60" s="388" t="s">
        <v>203</v>
      </c>
      <c r="W60" s="388" t="s">
        <v>202</v>
      </c>
      <c r="X60" s="576" t="s">
        <v>203</v>
      </c>
    </row>
    <row r="61" spans="2:24">
      <c r="B61" s="573">
        <v>39651</v>
      </c>
      <c r="C61" s="574">
        <v>54946</v>
      </c>
      <c r="D61" s="574" t="s">
        <v>754</v>
      </c>
      <c r="E61" s="548">
        <v>48</v>
      </c>
      <c r="F61" s="549">
        <v>48</v>
      </c>
      <c r="G61" s="548"/>
      <c r="H61" s="549">
        <v>5.76</v>
      </c>
      <c r="I61" s="548">
        <f t="shared" si="0"/>
        <v>53.76</v>
      </c>
      <c r="J61" s="574">
        <v>2</v>
      </c>
      <c r="K61" s="548">
        <v>0.96</v>
      </c>
      <c r="L61" s="574"/>
      <c r="M61" s="548"/>
      <c r="N61" s="574">
        <v>1230</v>
      </c>
      <c r="O61" s="388" t="s">
        <v>203</v>
      </c>
      <c r="P61" s="388" t="s">
        <v>202</v>
      </c>
      <c r="Q61" s="388" t="s">
        <v>202</v>
      </c>
      <c r="R61" s="575" t="s">
        <v>698</v>
      </c>
      <c r="S61" s="574">
        <v>322091</v>
      </c>
      <c r="T61" s="388" t="s">
        <v>202</v>
      </c>
      <c r="U61" s="388" t="s">
        <v>202</v>
      </c>
      <c r="V61" s="388" t="s">
        <v>203</v>
      </c>
      <c r="W61" s="388" t="s">
        <v>202</v>
      </c>
      <c r="X61" s="576" t="s">
        <v>203</v>
      </c>
    </row>
    <row r="62" spans="2:24">
      <c r="B62" s="573">
        <v>39737</v>
      </c>
      <c r="C62" s="574">
        <v>56438</v>
      </c>
      <c r="D62" s="574" t="s">
        <v>767</v>
      </c>
      <c r="E62" s="548">
        <v>19</v>
      </c>
      <c r="F62" s="549">
        <v>19</v>
      </c>
      <c r="G62" s="548"/>
      <c r="H62" s="549">
        <v>2.2799999999999998</v>
      </c>
      <c r="I62" s="548">
        <f t="shared" si="0"/>
        <v>21.28</v>
      </c>
      <c r="J62" s="574">
        <v>2</v>
      </c>
      <c r="K62" s="548">
        <v>0.38</v>
      </c>
      <c r="L62" s="574">
        <v>70</v>
      </c>
      <c r="M62" s="548">
        <v>1.5959999999999999</v>
      </c>
      <c r="N62" s="574">
        <v>1355</v>
      </c>
      <c r="O62" s="388" t="s">
        <v>203</v>
      </c>
      <c r="P62" s="388" t="s">
        <v>202</v>
      </c>
      <c r="Q62" s="388" t="s">
        <v>202</v>
      </c>
      <c r="R62" s="575" t="s">
        <v>698</v>
      </c>
      <c r="S62" s="574">
        <v>140</v>
      </c>
      <c r="T62" s="388" t="s">
        <v>202</v>
      </c>
      <c r="U62" s="388" t="s">
        <v>202</v>
      </c>
      <c r="V62" s="388" t="s">
        <v>203</v>
      </c>
      <c r="W62" s="388" t="s">
        <v>202</v>
      </c>
      <c r="X62" s="576" t="s">
        <v>203</v>
      </c>
    </row>
    <row r="63" spans="2:24">
      <c r="B63" s="573">
        <v>39737</v>
      </c>
      <c r="C63" s="574">
        <v>56449</v>
      </c>
      <c r="D63" s="574" t="s">
        <v>768</v>
      </c>
      <c r="E63" s="548">
        <v>81</v>
      </c>
      <c r="F63" s="549">
        <v>81</v>
      </c>
      <c r="G63" s="548"/>
      <c r="H63" s="549">
        <v>9.7199999999999989</v>
      </c>
      <c r="I63" s="548">
        <f t="shared" si="0"/>
        <v>90.72</v>
      </c>
      <c r="J63" s="574">
        <v>2</v>
      </c>
      <c r="K63" s="548">
        <v>1.62</v>
      </c>
      <c r="L63" s="574">
        <v>70</v>
      </c>
      <c r="M63" s="548">
        <v>6.8039999999999985</v>
      </c>
      <c r="N63" s="574">
        <v>1356</v>
      </c>
      <c r="O63" s="388" t="s">
        <v>203</v>
      </c>
      <c r="P63" s="388" t="s">
        <v>202</v>
      </c>
      <c r="Q63" s="388" t="s">
        <v>202</v>
      </c>
      <c r="R63" s="575" t="s">
        <v>698</v>
      </c>
      <c r="S63" s="574">
        <v>57</v>
      </c>
      <c r="T63" s="388" t="s">
        <v>202</v>
      </c>
      <c r="U63" s="388" t="s">
        <v>202</v>
      </c>
      <c r="V63" s="388" t="s">
        <v>203</v>
      </c>
      <c r="W63" s="388" t="s">
        <v>202</v>
      </c>
      <c r="X63" s="576" t="s">
        <v>203</v>
      </c>
    </row>
    <row r="64" spans="2:24">
      <c r="B64" s="573">
        <v>39784</v>
      </c>
      <c r="C64" s="574">
        <v>57352</v>
      </c>
      <c r="D64" s="574" t="s">
        <v>233</v>
      </c>
      <c r="E64" s="548">
        <v>66</v>
      </c>
      <c r="F64" s="549">
        <v>66</v>
      </c>
      <c r="G64" s="548"/>
      <c r="H64" s="549">
        <v>7.92</v>
      </c>
      <c r="I64" s="548">
        <f t="shared" si="0"/>
        <v>73.92</v>
      </c>
      <c r="J64" s="574">
        <v>2</v>
      </c>
      <c r="K64" s="548">
        <v>1.32</v>
      </c>
      <c r="L64" s="574">
        <v>70</v>
      </c>
      <c r="M64" s="548">
        <v>5.5439999999999996</v>
      </c>
      <c r="N64" s="574"/>
      <c r="O64" s="388" t="s">
        <v>203</v>
      </c>
      <c r="P64" s="388" t="s">
        <v>202</v>
      </c>
      <c r="Q64" s="388" t="s">
        <v>202</v>
      </c>
      <c r="R64" s="575" t="s">
        <v>698</v>
      </c>
      <c r="S64" s="574">
        <v>39780</v>
      </c>
      <c r="T64" s="388" t="s">
        <v>202</v>
      </c>
      <c r="U64" s="388" t="s">
        <v>202</v>
      </c>
      <c r="V64" s="388" t="s">
        <v>203</v>
      </c>
      <c r="W64" s="388" t="s">
        <v>202</v>
      </c>
      <c r="X64" s="576" t="s">
        <v>203</v>
      </c>
    </row>
    <row r="65" spans="2:24">
      <c r="B65" s="573">
        <v>39790</v>
      </c>
      <c r="C65" s="574">
        <v>57481</v>
      </c>
      <c r="D65" s="574" t="s">
        <v>261</v>
      </c>
      <c r="E65" s="548">
        <v>315</v>
      </c>
      <c r="F65" s="549">
        <v>315</v>
      </c>
      <c r="G65" s="548"/>
      <c r="H65" s="549">
        <v>37.799999999999997</v>
      </c>
      <c r="I65" s="548">
        <f t="shared" si="0"/>
        <v>352.8</v>
      </c>
      <c r="J65" s="574">
        <v>2</v>
      </c>
      <c r="K65" s="548">
        <v>6.3</v>
      </c>
      <c r="L65" s="574"/>
      <c r="M65" s="548"/>
      <c r="N65" s="574"/>
      <c r="O65" s="388" t="s">
        <v>203</v>
      </c>
      <c r="P65" s="388" t="s">
        <v>202</v>
      </c>
      <c r="Q65" s="388" t="s">
        <v>202</v>
      </c>
      <c r="R65" s="575" t="s">
        <v>698</v>
      </c>
      <c r="S65" s="574">
        <v>39776</v>
      </c>
      <c r="T65" s="388" t="s">
        <v>202</v>
      </c>
      <c r="U65" s="388" t="s">
        <v>202</v>
      </c>
      <c r="V65" s="388" t="s">
        <v>203</v>
      </c>
      <c r="W65" s="388" t="s">
        <v>202</v>
      </c>
      <c r="X65" s="576" t="s">
        <v>203</v>
      </c>
    </row>
    <row r="66" spans="2:24">
      <c r="B66" s="573">
        <v>39792</v>
      </c>
      <c r="C66" s="574">
        <v>11804</v>
      </c>
      <c r="D66" s="574" t="s">
        <v>300</v>
      </c>
      <c r="E66" s="548">
        <v>44.34</v>
      </c>
      <c r="F66" s="549">
        <v>44.34</v>
      </c>
      <c r="G66" s="548"/>
      <c r="H66" s="549">
        <v>5.3208000000000002</v>
      </c>
      <c r="I66" s="548">
        <f t="shared" si="0"/>
        <v>49.660800000000002</v>
      </c>
      <c r="J66" s="574">
        <v>1</v>
      </c>
      <c r="K66" s="548">
        <v>0.44</v>
      </c>
      <c r="L66" s="574"/>
      <c r="M66" s="548"/>
      <c r="N66" s="574"/>
      <c r="O66" s="388" t="s">
        <v>203</v>
      </c>
      <c r="P66" s="388" t="s">
        <v>202</v>
      </c>
      <c r="Q66" s="388" t="s">
        <v>202</v>
      </c>
      <c r="R66" s="575" t="s">
        <v>698</v>
      </c>
      <c r="S66" s="574">
        <v>39792</v>
      </c>
      <c r="T66" s="388" t="s">
        <v>202</v>
      </c>
      <c r="U66" s="388" t="s">
        <v>202</v>
      </c>
      <c r="V66" s="388" t="s">
        <v>203</v>
      </c>
      <c r="W66" s="388" t="s">
        <v>202</v>
      </c>
      <c r="X66" s="576" t="s">
        <v>203</v>
      </c>
    </row>
    <row r="67" spans="2:24">
      <c r="B67" s="573">
        <v>39459</v>
      </c>
      <c r="C67" s="574">
        <v>51657</v>
      </c>
      <c r="D67" s="574" t="s">
        <v>769</v>
      </c>
      <c r="E67" s="548">
        <v>7.85</v>
      </c>
      <c r="F67" s="549">
        <v>7.85</v>
      </c>
      <c r="G67" s="548"/>
      <c r="H67" s="549">
        <v>0.94199999999999995</v>
      </c>
      <c r="I67" s="548">
        <f t="shared" si="0"/>
        <v>8.7919999999999998</v>
      </c>
      <c r="J67" s="574"/>
      <c r="K67" s="548"/>
      <c r="L67" s="574"/>
      <c r="M67" s="548"/>
      <c r="N67" s="574"/>
      <c r="O67" s="388" t="s">
        <v>203</v>
      </c>
      <c r="P67" s="388" t="s">
        <v>202</v>
      </c>
      <c r="Q67" s="388" t="s">
        <v>202</v>
      </c>
      <c r="R67" s="575" t="s">
        <v>731</v>
      </c>
      <c r="S67" s="574" t="s">
        <v>770</v>
      </c>
      <c r="T67" s="388" t="s">
        <v>202</v>
      </c>
      <c r="U67" s="388" t="s">
        <v>202</v>
      </c>
      <c r="V67" s="388" t="s">
        <v>203</v>
      </c>
      <c r="W67" s="388" t="s">
        <v>202</v>
      </c>
      <c r="X67" s="576" t="s">
        <v>203</v>
      </c>
    </row>
    <row r="68" spans="2:24">
      <c r="B68" s="573">
        <v>39472</v>
      </c>
      <c r="C68" s="574">
        <v>51900</v>
      </c>
      <c r="D68" s="574" t="s">
        <v>771</v>
      </c>
      <c r="E68" s="548"/>
      <c r="F68" s="549">
        <v>2.96</v>
      </c>
      <c r="G68" s="548"/>
      <c r="H68" s="549">
        <v>0.36</v>
      </c>
      <c r="I68" s="548">
        <f t="shared" si="0"/>
        <v>0.36</v>
      </c>
      <c r="J68" s="574"/>
      <c r="K68" s="548"/>
      <c r="L68" s="574"/>
      <c r="M68" s="548"/>
      <c r="N68" s="574"/>
      <c r="O68" s="388" t="s">
        <v>203</v>
      </c>
      <c r="P68" s="388" t="s">
        <v>202</v>
      </c>
      <c r="Q68" s="388" t="s">
        <v>202</v>
      </c>
      <c r="R68" s="575" t="s">
        <v>772</v>
      </c>
      <c r="S68" s="574" t="s">
        <v>773</v>
      </c>
      <c r="T68" s="388" t="s">
        <v>202</v>
      </c>
      <c r="U68" s="388" t="s">
        <v>202</v>
      </c>
      <c r="V68" s="388" t="s">
        <v>203</v>
      </c>
      <c r="W68" s="388" t="s">
        <v>202</v>
      </c>
      <c r="X68" s="576" t="s">
        <v>203</v>
      </c>
    </row>
    <row r="69" spans="2:24">
      <c r="B69" s="573">
        <v>39524</v>
      </c>
      <c r="C69" s="574">
        <v>52798</v>
      </c>
      <c r="D69" s="574" t="s">
        <v>774</v>
      </c>
      <c r="E69" s="548">
        <v>60</v>
      </c>
      <c r="F69" s="549">
        <v>60</v>
      </c>
      <c r="G69" s="548"/>
      <c r="H69" s="549">
        <v>7.1999999999999993</v>
      </c>
      <c r="I69" s="548">
        <f t="shared" si="0"/>
        <v>67.2</v>
      </c>
      <c r="J69" s="574">
        <v>2</v>
      </c>
      <c r="K69" s="548">
        <v>1.2</v>
      </c>
      <c r="L69" s="574">
        <v>70</v>
      </c>
      <c r="M69" s="548">
        <v>5.0399999999999991</v>
      </c>
      <c r="N69" s="574">
        <v>1040</v>
      </c>
      <c r="O69" s="388" t="s">
        <v>203</v>
      </c>
      <c r="P69" s="388" t="s">
        <v>202</v>
      </c>
      <c r="Q69" s="388" t="s">
        <v>202</v>
      </c>
      <c r="R69" s="575" t="s">
        <v>698</v>
      </c>
      <c r="S69" s="574" t="s">
        <v>775</v>
      </c>
      <c r="T69" s="388" t="s">
        <v>202</v>
      </c>
      <c r="U69" s="388" t="s">
        <v>202</v>
      </c>
      <c r="V69" s="388" t="s">
        <v>203</v>
      </c>
      <c r="W69" s="388" t="s">
        <v>202</v>
      </c>
      <c r="X69" s="576" t="s">
        <v>203</v>
      </c>
    </row>
    <row r="70" spans="2:24">
      <c r="B70" s="573">
        <v>39542</v>
      </c>
      <c r="C70" s="574">
        <v>53155</v>
      </c>
      <c r="D70" s="574" t="s">
        <v>776</v>
      </c>
      <c r="E70" s="548">
        <v>20.67</v>
      </c>
      <c r="F70" s="549">
        <v>19.43</v>
      </c>
      <c r="G70" s="548">
        <v>1.24</v>
      </c>
      <c r="H70" s="549">
        <v>2.3315999999999999</v>
      </c>
      <c r="I70" s="548">
        <f t="shared" si="0"/>
        <v>23.001600000000003</v>
      </c>
      <c r="J70" s="574"/>
      <c r="K70" s="548"/>
      <c r="L70" s="574"/>
      <c r="M70" s="548"/>
      <c r="N70" s="574"/>
      <c r="O70" s="388" t="s">
        <v>203</v>
      </c>
      <c r="P70" s="388" t="s">
        <v>202</v>
      </c>
      <c r="Q70" s="388" t="s">
        <v>202</v>
      </c>
      <c r="R70" s="575" t="s">
        <v>698</v>
      </c>
      <c r="S70" s="574" t="s">
        <v>777</v>
      </c>
      <c r="T70" s="388" t="s">
        <v>202</v>
      </c>
      <c r="U70" s="388" t="s">
        <v>202</v>
      </c>
      <c r="V70" s="388" t="s">
        <v>203</v>
      </c>
      <c r="W70" s="388" t="s">
        <v>202</v>
      </c>
      <c r="X70" s="576" t="s">
        <v>203</v>
      </c>
    </row>
    <row r="71" spans="2:24">
      <c r="B71" s="573">
        <v>39721</v>
      </c>
      <c r="C71" s="574">
        <v>11499</v>
      </c>
      <c r="D71" s="574" t="s">
        <v>778</v>
      </c>
      <c r="E71" s="548">
        <v>11.52</v>
      </c>
      <c r="F71" s="549">
        <v>11.52</v>
      </c>
      <c r="G71" s="548">
        <v>0</v>
      </c>
      <c r="H71" s="549">
        <v>1.3823999999999999</v>
      </c>
      <c r="I71" s="548">
        <f t="shared" si="0"/>
        <v>12.9024</v>
      </c>
      <c r="J71" s="574"/>
      <c r="K71" s="548">
        <v>0</v>
      </c>
      <c r="L71" s="574">
        <v>0</v>
      </c>
      <c r="M71" s="548"/>
      <c r="N71" s="574"/>
      <c r="O71" s="388" t="s">
        <v>203</v>
      </c>
      <c r="P71" s="388" t="s">
        <v>202</v>
      </c>
      <c r="Q71" s="388" t="s">
        <v>202</v>
      </c>
      <c r="R71" s="575" t="s">
        <v>698</v>
      </c>
      <c r="S71" s="574">
        <v>18700</v>
      </c>
      <c r="T71" s="388" t="s">
        <v>202</v>
      </c>
      <c r="U71" s="388" t="s">
        <v>202</v>
      </c>
      <c r="V71" s="388" t="s">
        <v>203</v>
      </c>
      <c r="W71" s="388" t="s">
        <v>202</v>
      </c>
      <c r="X71" s="576" t="s">
        <v>203</v>
      </c>
    </row>
    <row r="72" spans="2:24">
      <c r="B72" s="573">
        <v>39706</v>
      </c>
      <c r="C72" s="574">
        <v>55874</v>
      </c>
      <c r="D72" s="574" t="s">
        <v>779</v>
      </c>
      <c r="E72" s="548">
        <v>73.44</v>
      </c>
      <c r="F72" s="549">
        <v>73.44</v>
      </c>
      <c r="G72" s="548">
        <v>0</v>
      </c>
      <c r="H72" s="549">
        <v>8.8127999999999993</v>
      </c>
      <c r="I72" s="548">
        <f t="shared" si="0"/>
        <v>82.252799999999993</v>
      </c>
      <c r="J72" s="574">
        <v>1</v>
      </c>
      <c r="K72" s="548">
        <v>0.73439999999999994</v>
      </c>
      <c r="L72" s="574">
        <v>30</v>
      </c>
      <c r="M72" s="548">
        <v>2.6438399999999995</v>
      </c>
      <c r="N72" s="574">
        <v>1313</v>
      </c>
      <c r="O72" s="388" t="s">
        <v>203</v>
      </c>
      <c r="P72" s="388" t="s">
        <v>202</v>
      </c>
      <c r="Q72" s="388" t="s">
        <v>202</v>
      </c>
      <c r="R72" s="575" t="s">
        <v>698</v>
      </c>
      <c r="S72" s="574">
        <v>132</v>
      </c>
      <c r="T72" s="388" t="s">
        <v>202</v>
      </c>
      <c r="U72" s="388" t="s">
        <v>202</v>
      </c>
      <c r="V72" s="388" t="s">
        <v>203</v>
      </c>
      <c r="W72" s="388" t="s">
        <v>202</v>
      </c>
      <c r="X72" s="576" t="s">
        <v>203</v>
      </c>
    </row>
    <row r="73" spans="2:24">
      <c r="B73" s="573">
        <v>39651</v>
      </c>
      <c r="C73" s="574">
        <v>54957</v>
      </c>
      <c r="D73" s="574" t="s">
        <v>754</v>
      </c>
      <c r="E73" s="548">
        <v>21</v>
      </c>
      <c r="F73" s="549">
        <v>21</v>
      </c>
      <c r="G73" s="548"/>
      <c r="H73" s="549">
        <v>2.52</v>
      </c>
      <c r="I73" s="548">
        <f t="shared" si="0"/>
        <v>23.52</v>
      </c>
      <c r="J73" s="574">
        <v>2</v>
      </c>
      <c r="K73" s="548">
        <v>0.42</v>
      </c>
      <c r="L73" s="574"/>
      <c r="M73" s="548"/>
      <c r="N73" s="574">
        <v>1232</v>
      </c>
      <c r="O73" s="388" t="s">
        <v>203</v>
      </c>
      <c r="P73" s="388" t="s">
        <v>202</v>
      </c>
      <c r="Q73" s="388" t="s">
        <v>202</v>
      </c>
      <c r="R73" s="575" t="s">
        <v>698</v>
      </c>
      <c r="S73" s="574">
        <v>32110</v>
      </c>
      <c r="T73" s="578"/>
      <c r="U73" s="578"/>
      <c r="V73" s="578"/>
      <c r="W73" s="578"/>
      <c r="X73" s="578"/>
    </row>
    <row r="74" spans="2:24">
      <c r="B74" s="573">
        <v>39657</v>
      </c>
      <c r="C74" s="574">
        <v>55034</v>
      </c>
      <c r="D74" s="574" t="s">
        <v>780</v>
      </c>
      <c r="E74" s="548">
        <v>130</v>
      </c>
      <c r="F74" s="549">
        <v>130</v>
      </c>
      <c r="G74" s="548"/>
      <c r="H74" s="549">
        <v>15.6</v>
      </c>
      <c r="I74" s="548">
        <f t="shared" si="0"/>
        <v>145.6</v>
      </c>
      <c r="J74" s="574">
        <v>1</v>
      </c>
      <c r="K74" s="548">
        <v>1.3</v>
      </c>
      <c r="L74" s="574"/>
      <c r="M74" s="548"/>
      <c r="N74" s="574">
        <v>1236</v>
      </c>
      <c r="O74" s="388" t="s">
        <v>203</v>
      </c>
      <c r="P74" s="388" t="s">
        <v>202</v>
      </c>
      <c r="Q74" s="388" t="s">
        <v>202</v>
      </c>
      <c r="R74" s="575" t="s">
        <v>698</v>
      </c>
      <c r="S74" s="574">
        <v>10123</v>
      </c>
      <c r="T74" s="578"/>
      <c r="U74" s="578"/>
      <c r="V74" s="578"/>
      <c r="W74" s="578"/>
      <c r="X74" s="578"/>
    </row>
    <row r="75" spans="2:24">
      <c r="E75" s="548">
        <f>SUM(E19:E74)</f>
        <v>3865.0799999999995</v>
      </c>
      <c r="F75" s="549"/>
      <c r="G75" s="548"/>
      <c r="H75" s="549"/>
      <c r="I75" s="548"/>
    </row>
  </sheetData>
  <printOptions horizontalCentered="1"/>
  <pageMargins left="0.74803149606299213" right="0.74803149606299213" top="0.98425196850393704" bottom="0.98425196850393704" header="0" footer="0"/>
  <pageSetup paperSize="9" scale="43" orientation="landscape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K20" sqref="K20"/>
    </sheetView>
  </sheetViews>
  <sheetFormatPr baseColWidth="10" defaultRowHeight="12.75"/>
  <sheetData/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PRESTAMOS ANEXO 1</vt:lpstr>
      <vt:lpstr>ANALÌTICA- ANEXO 2</vt:lpstr>
      <vt:lpstr>MUES faCTURAS cOMPRAS(Anexo 3) </vt:lpstr>
      <vt:lpstr>Muestra compr retenci(Anexo4)</vt:lpstr>
      <vt:lpstr>HON. PROF-ANEXO 5 </vt:lpstr>
      <vt:lpstr>SERV BASICOS Anexo 6</vt:lpstr>
      <vt:lpstr>MAnt y ReparAnexo 7</vt:lpstr>
      <vt:lpstr>Publicidad,sumnistros,Anexo 8-9</vt:lpstr>
      <vt:lpstr>ANEXO 10</vt:lpstr>
      <vt:lpstr>ANEXO 11</vt:lpstr>
      <vt:lpstr>BG</vt:lpstr>
      <vt:lpstr>'Publicidad,sumnistros,Anexo 8-9'!Área_de_impresión</vt:lpstr>
      <vt:lpstr>'SERV BASICOS Anexo 6'!Área_de_impresión</vt:lpstr>
      <vt:lpstr>'ANALÌTICA- ANEXO 2'!Títulos_a_imprimir</vt:lpstr>
      <vt:lpstr>'ANEXO 11'!Títulos_a_imprimir</vt:lpstr>
      <vt:lpstr>'MUES faCTURAS cOMPRAS(Anexo 3) '!Títulos_a_imprimir</vt:lpstr>
      <vt:lpstr>'Muestra compr retenci(Anexo4)'!Títulos_a_imprimir</vt:lpstr>
      <vt:lpstr>'PRESTAMOS ANEXO 1'!Títulos_a_imprimir</vt:lpstr>
      <vt:lpstr>'SERV BASICOS Anexo 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lisette</dc:creator>
  <cp:lastModifiedBy>Ingrid González</cp:lastModifiedBy>
  <cp:lastPrinted>2009-07-18T21:22:45Z</cp:lastPrinted>
  <dcterms:created xsi:type="dcterms:W3CDTF">2009-08-29T16:13:36Z</dcterms:created>
  <dcterms:modified xsi:type="dcterms:W3CDTF">2010-07-07T07:22:15Z</dcterms:modified>
</cp:coreProperties>
</file>