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9440" windowHeight="8130" tabRatio="890" firstSheet="7" activeTab="14"/>
  </bookViews>
  <sheets>
    <sheet name="Inversion Inicial" sheetId="1" r:id="rId1"/>
    <sheet name="Demanda" sheetId="2" r:id="rId2"/>
    <sheet name="proyeccion de ingresos" sheetId="3" r:id="rId3"/>
    <sheet name="proyeccion de egresos" sheetId="11" r:id="rId4"/>
    <sheet name="capital de trabajo" sheetId="12" r:id="rId5"/>
    <sheet name="gastos administrativos" sheetId="4" r:id="rId6"/>
    <sheet name="sueldos y salario" sheetId="5" r:id="rId7"/>
    <sheet name="depreciacion" sheetId="7" r:id="rId8"/>
    <sheet name="publicidad" sheetId="8" r:id="rId9"/>
    <sheet name="suminsitros" sheetId="9" r:id="rId10"/>
    <sheet name="amortizacion" sheetId="13" r:id="rId11"/>
    <sheet name="P&amp;G" sheetId="14" r:id="rId12"/>
    <sheet name="flujo de caja" sheetId="15" r:id="rId13"/>
    <sheet name="analisis escenarios" sheetId="18" r:id="rId14"/>
    <sheet name="graficos" sheetId="21" r:id="rId15"/>
    <sheet name="payback" sheetId="16" r:id="rId16"/>
    <sheet name="TMAR" sheetId="17" r:id="rId17"/>
    <sheet name="punto de equilibrio" sheetId="19" r:id="rId18"/>
    <sheet name="Materia Prima" sheetId="20" r:id="rId19"/>
  </sheets>
  <externalReferences>
    <externalReference r:id="rId20"/>
  </externalReferences>
  <calcPr calcId="124519"/>
</workbook>
</file>

<file path=xl/calcChain.xml><?xml version="1.0" encoding="utf-8"?>
<calcChain xmlns="http://schemas.openxmlformats.org/spreadsheetml/2006/main">
  <c r="D9" i="16"/>
  <c r="C8"/>
  <c r="D8"/>
  <c r="M6" i="19"/>
  <c r="L6"/>
  <c r="K6"/>
  <c r="J6"/>
  <c r="I6"/>
  <c r="H6"/>
  <c r="G6"/>
  <c r="F6"/>
  <c r="E6"/>
  <c r="D6"/>
  <c r="E10"/>
  <c r="F10"/>
  <c r="G10"/>
  <c r="H10"/>
  <c r="I10"/>
  <c r="J10"/>
  <c r="K10"/>
  <c r="L10"/>
  <c r="M10"/>
  <c r="D10"/>
  <c r="D9"/>
  <c r="E9" i="2"/>
  <c r="O49" i="7"/>
  <c r="K15" i="9"/>
  <c r="B13" i="7"/>
  <c r="B29" i="3"/>
  <c r="B22" i="2"/>
  <c r="C15" i="1"/>
  <c r="D18" i="21"/>
  <c r="B13" i="2" l="1"/>
  <c r="B12"/>
  <c r="F12" i="13"/>
  <c r="F20" i="8" l="1"/>
  <c r="F9" i="2" l="1"/>
  <c r="F10" s="1"/>
  <c r="E10"/>
  <c r="E11" s="1"/>
  <c r="F11"/>
  <c r="D6" i="3" l="1"/>
  <c r="F6"/>
  <c r="H6"/>
  <c r="J6"/>
  <c r="L6"/>
  <c r="B6"/>
  <c r="C6"/>
  <c r="E6"/>
  <c r="G6"/>
  <c r="I6"/>
  <c r="K6"/>
  <c r="M6"/>
  <c r="C18" i="2"/>
  <c r="D9" i="20"/>
  <c r="G9" s="1"/>
  <c r="C25" i="3"/>
  <c r="D4" i="5"/>
  <c r="E4" s="1"/>
  <c r="D5"/>
  <c r="E5" s="1"/>
  <c r="D6"/>
  <c r="E6" s="1"/>
  <c r="D8"/>
  <c r="E8" s="1"/>
  <c r="I8"/>
  <c r="D7"/>
  <c r="E7" s="1"/>
  <c r="I7"/>
  <c r="H7" i="18"/>
  <c r="E24" a="1"/>
  <c r="N24" s="1"/>
  <c r="E24"/>
  <c r="G24"/>
  <c r="I24"/>
  <c r="K24"/>
  <c r="M24"/>
  <c r="H15" i="17"/>
  <c r="D48" i="15" s="1"/>
  <c r="D6" i="14"/>
  <c r="G8" i="20"/>
  <c r="G7"/>
  <c r="G5"/>
  <c r="G4"/>
  <c r="B7" i="3"/>
  <c r="C18" i="4"/>
  <c r="C8" i="11" s="1"/>
  <c r="D8" s="1"/>
  <c r="E8" s="1"/>
  <c r="F8" s="1"/>
  <c r="G8" s="1"/>
  <c r="H8" s="1"/>
  <c r="I8" s="1"/>
  <c r="J8" s="1"/>
  <c r="K8" s="1"/>
  <c r="L8" s="1"/>
  <c r="M8" s="1"/>
  <c r="N8" s="1"/>
  <c r="C7" i="3"/>
  <c r="D7"/>
  <c r="E7"/>
  <c r="F7"/>
  <c r="G7"/>
  <c r="H7"/>
  <c r="I7"/>
  <c r="J7"/>
  <c r="K7"/>
  <c r="L7"/>
  <c r="M7"/>
  <c r="B15"/>
  <c r="D7" i="19" s="1"/>
  <c r="D11" s="1"/>
  <c r="G4" i="5"/>
  <c r="D8" i="14"/>
  <c r="F23" s="1"/>
  <c r="G23" i="15" s="1"/>
  <c r="D40" i="18"/>
  <c r="D21" i="14" a="1"/>
  <c r="D21" s="1"/>
  <c r="E21" i="15" s="1"/>
  <c r="B14" i="7"/>
  <c r="B28" s="1"/>
  <c r="B40" s="1"/>
  <c r="B15"/>
  <c r="B29"/>
  <c r="B41" s="1"/>
  <c r="B16"/>
  <c r="B30" s="1"/>
  <c r="B42" s="1"/>
  <c r="B17"/>
  <c r="B31" s="1"/>
  <c r="B43" s="1"/>
  <c r="B18"/>
  <c r="B32" s="1"/>
  <c r="B44" s="1"/>
  <c r="B19"/>
  <c r="B33"/>
  <c r="B45" s="1"/>
  <c r="B20"/>
  <c r="B34" s="1"/>
  <c r="B46" s="1"/>
  <c r="B27"/>
  <c r="B39" s="1"/>
  <c r="E47"/>
  <c r="C53" s="1"/>
  <c r="F47"/>
  <c r="G47"/>
  <c r="E3"/>
  <c r="D13" s="1"/>
  <c r="C13"/>
  <c r="E4"/>
  <c r="D14" s="1"/>
  <c r="C14"/>
  <c r="C28" s="1"/>
  <c r="C40" s="1"/>
  <c r="E5"/>
  <c r="D15" s="1"/>
  <c r="C15"/>
  <c r="C29" s="1"/>
  <c r="C41" s="1"/>
  <c r="E6"/>
  <c r="D16" s="1"/>
  <c r="C16"/>
  <c r="C30" s="1"/>
  <c r="C42" s="1"/>
  <c r="D27"/>
  <c r="H27" s="1"/>
  <c r="K27"/>
  <c r="D30"/>
  <c r="D42" s="1"/>
  <c r="D29"/>
  <c r="D41" s="1"/>
  <c r="E7"/>
  <c r="D31"/>
  <c r="D43" s="1"/>
  <c r="E8"/>
  <c r="D32"/>
  <c r="D44" s="1"/>
  <c r="E9"/>
  <c r="D33"/>
  <c r="D45" s="1"/>
  <c r="E10"/>
  <c r="D34"/>
  <c r="D46" s="1"/>
  <c r="C17"/>
  <c r="C31" s="1"/>
  <c r="C43" s="1"/>
  <c r="C18"/>
  <c r="C32" s="1"/>
  <c r="C44" s="1"/>
  <c r="C19"/>
  <c r="C33" s="1"/>
  <c r="C45" s="1"/>
  <c r="C20"/>
  <c r="C34" s="1"/>
  <c r="C46" s="1"/>
  <c r="C27"/>
  <c r="C39" s="1"/>
  <c r="G5" i="5"/>
  <c r="G6"/>
  <c r="G7"/>
  <c r="G8"/>
  <c r="B17"/>
  <c r="C5" i="11"/>
  <c r="D5" s="1"/>
  <c r="E5" s="1"/>
  <c r="F5" s="1"/>
  <c r="G5" s="1"/>
  <c r="H5" s="1"/>
  <c r="I5" s="1"/>
  <c r="J5" s="1"/>
  <c r="K5" s="1"/>
  <c r="L5" s="1"/>
  <c r="M5" s="1"/>
  <c r="N5" s="1"/>
  <c r="D17" i="7"/>
  <c r="E17"/>
  <c r="F17" s="1"/>
  <c r="D18"/>
  <c r="E18"/>
  <c r="F18" s="1"/>
  <c r="D19"/>
  <c r="E19"/>
  <c r="F19" s="1"/>
  <c r="D20"/>
  <c r="E20"/>
  <c r="F20" s="1"/>
  <c r="G45" i="20"/>
  <c r="H45" s="1"/>
  <c r="G44"/>
  <c r="H44" s="1"/>
  <c r="G43"/>
  <c r="I5"/>
  <c r="G41"/>
  <c r="I8"/>
  <c r="I7"/>
  <c r="I6"/>
  <c r="J6" s="1"/>
  <c r="J5"/>
  <c r="G6"/>
  <c r="D25" i="3" l="1"/>
  <c r="E25" s="1"/>
  <c r="G25" i="20"/>
  <c r="D37" i="15"/>
  <c r="F8" i="5"/>
  <c r="E9" i="19"/>
  <c r="H42" i="7"/>
  <c r="I42" s="1"/>
  <c r="J42" s="1"/>
  <c r="K42" s="1"/>
  <c r="L42" s="1"/>
  <c r="M42" s="1"/>
  <c r="N42" s="1"/>
  <c r="O42" s="1"/>
  <c r="E16"/>
  <c r="E15"/>
  <c r="E14"/>
  <c r="E13"/>
  <c r="D29" i="20"/>
  <c r="G20" i="7"/>
  <c r="H20" s="1"/>
  <c r="I20" s="1"/>
  <c r="J20" s="1"/>
  <c r="K20" s="1"/>
  <c r="L20" s="1"/>
  <c r="M20" s="1"/>
  <c r="N20" s="1"/>
  <c r="G19"/>
  <c r="H19" s="1"/>
  <c r="I19" s="1"/>
  <c r="J19" s="1"/>
  <c r="K19" s="1"/>
  <c r="L19" s="1"/>
  <c r="M19" s="1"/>
  <c r="N19" s="1"/>
  <c r="G18"/>
  <c r="H18" s="1"/>
  <c r="I18" s="1"/>
  <c r="J18" s="1"/>
  <c r="K18" s="1"/>
  <c r="L18" s="1"/>
  <c r="M18" s="1"/>
  <c r="N18" s="1"/>
  <c r="G17"/>
  <c r="H17" s="1"/>
  <c r="I17" s="1"/>
  <c r="J17" s="1"/>
  <c r="H41"/>
  <c r="I41" s="1"/>
  <c r="J41" s="1"/>
  <c r="K41" s="1"/>
  <c r="L41" s="1"/>
  <c r="M41" s="1"/>
  <c r="N41" s="1"/>
  <c r="O41" s="1"/>
  <c r="D39"/>
  <c r="D50" i="18"/>
  <c r="I23" i="14"/>
  <c r="K23"/>
  <c r="M23"/>
  <c r="H23"/>
  <c r="J23"/>
  <c r="L23"/>
  <c r="G23"/>
  <c r="J29" i="7"/>
  <c r="J30"/>
  <c r="D28"/>
  <c r="N27"/>
  <c r="O27" s="1"/>
  <c r="L24" i="18"/>
  <c r="J24"/>
  <c r="H24"/>
  <c r="F24"/>
  <c r="F7" i="5"/>
  <c r="I6"/>
  <c r="F6"/>
  <c r="I5"/>
  <c r="I4"/>
  <c r="J7"/>
  <c r="H7"/>
  <c r="C15" i="3"/>
  <c r="F5" i="5"/>
  <c r="F4"/>
  <c r="J8"/>
  <c r="H8"/>
  <c r="J6"/>
  <c r="H6"/>
  <c r="J5"/>
  <c r="H5"/>
  <c r="J4"/>
  <c r="H4"/>
  <c r="K15" i="20"/>
  <c r="K16"/>
  <c r="K17"/>
  <c r="K18"/>
  <c r="K19"/>
  <c r="K20"/>
  <c r="K21"/>
  <c r="K22"/>
  <c r="K23"/>
  <c r="K24"/>
  <c r="K25"/>
  <c r="K26"/>
  <c r="O5" i="11"/>
  <c r="O8"/>
  <c r="D15" i="3" l="1"/>
  <c r="E7" i="19"/>
  <c r="G26" i="20"/>
  <c r="K4" i="5"/>
  <c r="K5"/>
  <c r="K6"/>
  <c r="K8"/>
  <c r="F9" i="19"/>
  <c r="D40" i="7"/>
  <c r="K28"/>
  <c r="N28"/>
  <c r="H28"/>
  <c r="F14"/>
  <c r="G14" s="1"/>
  <c r="O14"/>
  <c r="P14" s="1"/>
  <c r="F15"/>
  <c r="G15" s="1"/>
  <c r="H15" s="1"/>
  <c r="F16"/>
  <c r="G16" s="1"/>
  <c r="H16" s="1"/>
  <c r="I16" s="1"/>
  <c r="O18"/>
  <c r="P18" s="1"/>
  <c r="O19"/>
  <c r="P19" s="1"/>
  <c r="O20"/>
  <c r="P20" s="1"/>
  <c r="D47"/>
  <c r="H39"/>
  <c r="K17"/>
  <c r="J21"/>
  <c r="C7" i="11"/>
  <c r="D34" i="20"/>
  <c r="D32"/>
  <c r="E29"/>
  <c r="F29"/>
  <c r="G29"/>
  <c r="H29"/>
  <c r="I29"/>
  <c r="J29"/>
  <c r="K29"/>
  <c r="L29"/>
  <c r="M29"/>
  <c r="N29"/>
  <c r="O29"/>
  <c r="D33"/>
  <c r="D31"/>
  <c r="F13" i="7"/>
  <c r="E21"/>
  <c r="C52" s="1"/>
  <c r="C54" s="1"/>
  <c r="D22" i="14" s="1"/>
  <c r="K7" i="5"/>
  <c r="K9" s="1"/>
  <c r="C3" i="4" s="1"/>
  <c r="C7" s="1"/>
  <c r="F21" i="8"/>
  <c r="F22"/>
  <c r="F23"/>
  <c r="H9" i="5"/>
  <c r="G9"/>
  <c r="F9"/>
  <c r="E9"/>
  <c r="D9"/>
  <c r="C9"/>
  <c r="I9"/>
  <c r="J9"/>
  <c r="B9"/>
  <c r="N7" i="3"/>
  <c r="C14"/>
  <c r="E8" i="19" s="1"/>
  <c r="E15" i="3" l="1"/>
  <c r="F7" i="19"/>
  <c r="O16" i="7"/>
  <c r="P16" s="1"/>
  <c r="G9" i="19"/>
  <c r="N7" i="11"/>
  <c r="O32" i="20"/>
  <c r="O34"/>
  <c r="O31"/>
  <c r="O33"/>
  <c r="O35" s="1"/>
  <c r="L7" i="11"/>
  <c r="M32" i="20"/>
  <c r="M34"/>
  <c r="M31"/>
  <c r="M33"/>
  <c r="M35" s="1"/>
  <c r="J7" i="11"/>
  <c r="K32" i="20"/>
  <c r="K34"/>
  <c r="K31"/>
  <c r="K33"/>
  <c r="K35" s="1"/>
  <c r="H7" i="11"/>
  <c r="I32" i="20"/>
  <c r="I34"/>
  <c r="I31"/>
  <c r="I33"/>
  <c r="I35" s="1"/>
  <c r="F7" i="11"/>
  <c r="G32" i="20"/>
  <c r="G34"/>
  <c r="G31"/>
  <c r="G33"/>
  <c r="G35" s="1"/>
  <c r="D7" i="11"/>
  <c r="E32" i="20"/>
  <c r="E34"/>
  <c r="E31"/>
  <c r="P29"/>
  <c r="E33"/>
  <c r="I15" i="7"/>
  <c r="H21"/>
  <c r="H40"/>
  <c r="I40" s="1"/>
  <c r="J40" s="1"/>
  <c r="K40" s="1"/>
  <c r="L40" s="1"/>
  <c r="M40" s="1"/>
  <c r="N40" s="1"/>
  <c r="O40" s="1"/>
  <c r="E25" i="18"/>
  <c r="E39" s="1"/>
  <c r="E22" i="15"/>
  <c r="F21" i="7"/>
  <c r="G13"/>
  <c r="G21" s="1"/>
  <c r="D35" i="20"/>
  <c r="M7" i="11"/>
  <c r="N32" i="20"/>
  <c r="N34"/>
  <c r="N33"/>
  <c r="N31"/>
  <c r="K7" i="11"/>
  <c r="L32" i="20"/>
  <c r="L34"/>
  <c r="L33"/>
  <c r="L31"/>
  <c r="I7" i="11"/>
  <c r="J32" i="20"/>
  <c r="J34"/>
  <c r="J33"/>
  <c r="J31"/>
  <c r="G7" i="11"/>
  <c r="H32" i="20"/>
  <c r="H34"/>
  <c r="H33"/>
  <c r="H31"/>
  <c r="E7" i="11"/>
  <c r="F32" i="20"/>
  <c r="F34"/>
  <c r="F33"/>
  <c r="F31"/>
  <c r="P31" s="1"/>
  <c r="L17" i="7"/>
  <c r="K21"/>
  <c r="I39"/>
  <c r="P32" i="20"/>
  <c r="F24" i="8"/>
  <c r="C4" i="11"/>
  <c r="D7" i="4"/>
  <c r="D20" i="14" s="1"/>
  <c r="C16" i="3"/>
  <c r="I4" i="7"/>
  <c r="N38" i="18"/>
  <c r="M38"/>
  <c r="L38"/>
  <c r="K38"/>
  <c r="J38"/>
  <c r="I38"/>
  <c r="H38"/>
  <c r="G38"/>
  <c r="F38"/>
  <c r="E38"/>
  <c r="H9"/>
  <c r="D3"/>
  <c r="D44" i="17"/>
  <c r="D45" s="1"/>
  <c r="H16"/>
  <c r="H23" s="1"/>
  <c r="C3" i="16"/>
  <c r="E35" i="15"/>
  <c r="E36"/>
  <c r="J7"/>
  <c r="J9" s="1"/>
  <c r="M21" i="14"/>
  <c r="N21" i="15" s="1"/>
  <c r="N35" s="1"/>
  <c r="L21" i="14"/>
  <c r="M21" i="15" s="1"/>
  <c r="M35" s="1"/>
  <c r="K21" i="14"/>
  <c r="L21" i="15" s="1"/>
  <c r="L35" s="1"/>
  <c r="J21" i="14"/>
  <c r="K21" i="15" s="1"/>
  <c r="K35" s="1"/>
  <c r="I21" i="14"/>
  <c r="J21" i="15" s="1"/>
  <c r="J35" s="1"/>
  <c r="H21" i="14"/>
  <c r="I21" i="15" s="1"/>
  <c r="I35" s="1"/>
  <c r="G21" i="14"/>
  <c r="H21" i="15" s="1"/>
  <c r="H35" s="1"/>
  <c r="F21" i="14"/>
  <c r="G21" i="15" s="1"/>
  <c r="G35" s="1"/>
  <c r="E21" i="14"/>
  <c r="F21" i="15" s="1"/>
  <c r="F35" s="1"/>
  <c r="D37" i="13"/>
  <c r="D36"/>
  <c r="D35"/>
  <c r="D34"/>
  <c r="D33"/>
  <c r="D32"/>
  <c r="D31"/>
  <c r="D30"/>
  <c r="D29"/>
  <c r="D28"/>
  <c r="E4" i="9"/>
  <c r="E5"/>
  <c r="E6"/>
  <c r="E7"/>
  <c r="E8"/>
  <c r="E9"/>
  <c r="E10"/>
  <c r="E11"/>
  <c r="E12"/>
  <c r="E13"/>
  <c r="E14"/>
  <c r="E15"/>
  <c r="E16"/>
  <c r="E17"/>
  <c r="E18"/>
  <c r="E19"/>
  <c r="E20"/>
  <c r="E21"/>
  <c r="E22"/>
  <c r="E23"/>
  <c r="E24"/>
  <c r="K4"/>
  <c r="K5"/>
  <c r="K6"/>
  <c r="K7"/>
  <c r="K8"/>
  <c r="K9"/>
  <c r="K10"/>
  <c r="K11"/>
  <c r="K12"/>
  <c r="K13"/>
  <c r="K14"/>
  <c r="K16"/>
  <c r="E27" i="8"/>
  <c r="E28"/>
  <c r="E29"/>
  <c r="E7"/>
  <c r="E8"/>
  <c r="E10"/>
  <c r="E12"/>
  <c r="I52" i="7"/>
  <c r="H52"/>
  <c r="F52"/>
  <c r="E52"/>
  <c r="E53"/>
  <c r="E54" s="1"/>
  <c r="F22" i="14" s="1"/>
  <c r="D52" i="7"/>
  <c r="D53"/>
  <c r="D54" s="1"/>
  <c r="E22" i="14" s="1"/>
  <c r="O28" i="7"/>
  <c r="O29"/>
  <c r="P35"/>
  <c r="E35"/>
  <c r="F35"/>
  <c r="G35"/>
  <c r="H35"/>
  <c r="I35"/>
  <c r="J35"/>
  <c r="K35"/>
  <c r="L35"/>
  <c r="M35"/>
  <c r="N35"/>
  <c r="D35"/>
  <c r="D21"/>
  <c r="C17" i="5"/>
  <c r="G9" i="2"/>
  <c r="G10" s="1"/>
  <c r="D4" i="13"/>
  <c r="F15" i="3" l="1"/>
  <c r="G7" i="19"/>
  <c r="O35" i="7"/>
  <c r="E25" i="9"/>
  <c r="F35" i="20"/>
  <c r="H9" i="19"/>
  <c r="P34" i="20"/>
  <c r="J35"/>
  <c r="N35"/>
  <c r="O7" i="11"/>
  <c r="D14" i="3"/>
  <c r="G11" i="2"/>
  <c r="G22" i="15"/>
  <c r="G36" s="1"/>
  <c r="G25" i="18"/>
  <c r="G39" s="1"/>
  <c r="N37" i="15"/>
  <c r="N40" i="18"/>
  <c r="H40"/>
  <c r="H37" i="15"/>
  <c r="F22"/>
  <c r="F36" s="1"/>
  <c r="F25" i="18"/>
  <c r="F39" s="1"/>
  <c r="K37" i="15"/>
  <c r="K40" i="18"/>
  <c r="D46" i="17"/>
  <c r="H47" i="7"/>
  <c r="F53" s="1"/>
  <c r="F54" s="1"/>
  <c r="G22" i="14" s="1"/>
  <c r="H35" i="20"/>
  <c r="L35"/>
  <c r="E35"/>
  <c r="P35" s="1"/>
  <c r="O13" i="7"/>
  <c r="J40" i="18"/>
  <c r="J37" i="15"/>
  <c r="I47" i="7"/>
  <c r="G53" s="1"/>
  <c r="J39"/>
  <c r="M17"/>
  <c r="L21"/>
  <c r="J52" s="1"/>
  <c r="I21"/>
  <c r="G52" s="1"/>
  <c r="G54" s="1"/>
  <c r="H22" i="14" s="1"/>
  <c r="O15" i="7"/>
  <c r="P15" s="1"/>
  <c r="P33" i="20"/>
  <c r="E20" i="14"/>
  <c r="F20" s="1"/>
  <c r="G20" s="1"/>
  <c r="H20" s="1"/>
  <c r="I20" s="1"/>
  <c r="J20" s="1"/>
  <c r="K20" s="1"/>
  <c r="L20" s="1"/>
  <c r="M20" s="1"/>
  <c r="E20" i="15"/>
  <c r="E30" i="8"/>
  <c r="D9" s="1"/>
  <c r="E9" s="1"/>
  <c r="E13" s="1"/>
  <c r="D4" i="11"/>
  <c r="E23" i="18"/>
  <c r="H9" i="2"/>
  <c r="G15" i="3" l="1"/>
  <c r="H7" i="19"/>
  <c r="D16" i="3"/>
  <c r="F8" i="19"/>
  <c r="I9"/>
  <c r="I22" i="15"/>
  <c r="I36" s="1"/>
  <c r="I25" i="18"/>
  <c r="I39" s="1"/>
  <c r="N17" i="7"/>
  <c r="M21"/>
  <c r="K52" s="1"/>
  <c r="H22" i="15"/>
  <c r="H36" s="1"/>
  <c r="H25" i="18"/>
  <c r="H39" s="1"/>
  <c r="O40"/>
  <c r="K39" i="7"/>
  <c r="J47"/>
  <c r="H53" s="1"/>
  <c r="H54" s="1"/>
  <c r="I22" i="14" s="1"/>
  <c r="P13" i="7"/>
  <c r="P21" s="1"/>
  <c r="O37" i="15"/>
  <c r="D13" i="8"/>
  <c r="F23" i="18"/>
  <c r="F20" i="15"/>
  <c r="E4" i="11"/>
  <c r="H10" i="2"/>
  <c r="I9"/>
  <c r="H15" i="3" l="1"/>
  <c r="I7" i="19"/>
  <c r="J9"/>
  <c r="E14" i="3"/>
  <c r="G8" i="19" s="1"/>
  <c r="H11" i="2"/>
  <c r="J22" i="15"/>
  <c r="J36" s="1"/>
  <c r="J25" i="18"/>
  <c r="J39" s="1"/>
  <c r="N21" i="7"/>
  <c r="L52" s="1"/>
  <c r="O17"/>
  <c r="K47"/>
  <c r="I53" s="1"/>
  <c r="I54" s="1"/>
  <c r="J22" i="14" s="1"/>
  <c r="L39" i="7"/>
  <c r="C11" i="4"/>
  <c r="C13" s="1"/>
  <c r="F4" i="11"/>
  <c r="G23" i="18"/>
  <c r="G20" i="15"/>
  <c r="I10" i="2"/>
  <c r="J9"/>
  <c r="I15" i="3" l="1"/>
  <c r="J7" i="19"/>
  <c r="E16" i="3"/>
  <c r="K9" i="19"/>
  <c r="F14" i="3"/>
  <c r="I11" i="2"/>
  <c r="M39" i="7"/>
  <c r="L47"/>
  <c r="J53" s="1"/>
  <c r="J54" s="1"/>
  <c r="K22" i="14" s="1"/>
  <c r="K22" i="15"/>
  <c r="K36" s="1"/>
  <c r="K25" i="18"/>
  <c r="K39" s="1"/>
  <c r="P17" i="7"/>
  <c r="O21"/>
  <c r="D13" i="4"/>
  <c r="D23" i="14" s="1"/>
  <c r="C6" i="11"/>
  <c r="H23" i="18"/>
  <c r="H20" i="15"/>
  <c r="G4" i="11"/>
  <c r="J10" i="2"/>
  <c r="K9"/>
  <c r="K7" i="19" l="1"/>
  <c r="J15" i="3"/>
  <c r="F16"/>
  <c r="H8" i="19"/>
  <c r="G11"/>
  <c r="G12" s="1"/>
  <c r="I11"/>
  <c r="I12" s="1"/>
  <c r="F11"/>
  <c r="F12" s="1"/>
  <c r="H11"/>
  <c r="H12" s="1"/>
  <c r="J11"/>
  <c r="J12" s="1"/>
  <c r="E11"/>
  <c r="E12" s="1"/>
  <c r="D12"/>
  <c r="L9"/>
  <c r="K11"/>
  <c r="K12" s="1"/>
  <c r="G14" i="3"/>
  <c r="I8" i="19" s="1"/>
  <c r="J11" i="2"/>
  <c r="L22" i="15"/>
  <c r="L36" s="1"/>
  <c r="L25" i="18"/>
  <c r="L39" s="1"/>
  <c r="N39" i="7"/>
  <c r="M47"/>
  <c r="K53" s="1"/>
  <c r="K54" s="1"/>
  <c r="L22" i="14" s="1"/>
  <c r="D19"/>
  <c r="E26" i="18"/>
  <c r="E22" s="1"/>
  <c r="E23" i="14"/>
  <c r="E23" i="15"/>
  <c r="E19" s="1"/>
  <c r="H19" i="14"/>
  <c r="C9" i="11"/>
  <c r="C4" i="12" s="1"/>
  <c r="D6" i="11"/>
  <c r="I23" i="18"/>
  <c r="I20" i="15"/>
  <c r="H4" i="11"/>
  <c r="G16" i="3"/>
  <c r="K10" i="2"/>
  <c r="L9"/>
  <c r="L7" i="19" l="1"/>
  <c r="L11" s="1"/>
  <c r="L12" s="1"/>
  <c r="K15" i="3"/>
  <c r="M7" i="19" s="1"/>
  <c r="M9"/>
  <c r="L10" i="2"/>
  <c r="M9"/>
  <c r="H14" i="3"/>
  <c r="K11" i="2"/>
  <c r="N47" i="7"/>
  <c r="L53" s="1"/>
  <c r="L54" s="1"/>
  <c r="M22" i="14" s="1"/>
  <c r="O39" i="7"/>
  <c r="O47" s="1"/>
  <c r="M22" i="15"/>
  <c r="M36" s="1"/>
  <c r="M25" i="18"/>
  <c r="M39" s="1"/>
  <c r="K23" i="15"/>
  <c r="K26" i="18"/>
  <c r="J26"/>
  <c r="J23" i="15"/>
  <c r="M23"/>
  <c r="M26" i="18"/>
  <c r="G26"/>
  <c r="G22" s="1"/>
  <c r="G19" i="15"/>
  <c r="F19" i="14"/>
  <c r="E19"/>
  <c r="F26" i="18"/>
  <c r="F22" s="1"/>
  <c r="F23" i="15"/>
  <c r="F19" s="1"/>
  <c r="E6" i="11"/>
  <c r="D9"/>
  <c r="D4" i="12" s="1"/>
  <c r="L26" i="18"/>
  <c r="L23" i="15"/>
  <c r="I23"/>
  <c r="I19" s="1"/>
  <c r="I26" i="18"/>
  <c r="H23" i="15"/>
  <c r="H19" s="1"/>
  <c r="H26" i="18"/>
  <c r="H22" s="1"/>
  <c r="G19" i="14"/>
  <c r="N26" i="18"/>
  <c r="N23" i="15"/>
  <c r="I22" i="18"/>
  <c r="J23"/>
  <c r="J22" s="1"/>
  <c r="J20" i="15"/>
  <c r="I19" i="14"/>
  <c r="I4" i="11"/>
  <c r="N45" i="18" l="1"/>
  <c r="N42" i="15"/>
  <c r="M11" i="19"/>
  <c r="M12" s="1"/>
  <c r="H16" i="3"/>
  <c r="J8" i="19"/>
  <c r="I14" i="3"/>
  <c r="L11" i="2"/>
  <c r="M10"/>
  <c r="N9"/>
  <c r="N10" s="1"/>
  <c r="N22" i="15"/>
  <c r="N36" s="1"/>
  <c r="N25" i="18"/>
  <c r="N39" s="1"/>
  <c r="J19" i="15"/>
  <c r="F6" i="11"/>
  <c r="E9"/>
  <c r="E4" i="12" s="1"/>
  <c r="J4" i="11"/>
  <c r="K23" i="18"/>
  <c r="K22" s="1"/>
  <c r="K20" i="15"/>
  <c r="K19" s="1"/>
  <c r="J19" i="14"/>
  <c r="I16" i="3" l="1"/>
  <c r="K8" i="19"/>
  <c r="M11" i="2"/>
  <c r="J14" i="3"/>
  <c r="N11" i="2"/>
  <c r="K14" i="3"/>
  <c r="G6" i="11"/>
  <c r="F9"/>
  <c r="F4" i="12" s="1"/>
  <c r="K4" i="11"/>
  <c r="L23" i="18"/>
  <c r="L22" s="1"/>
  <c r="L20" i="15"/>
  <c r="L19" s="1"/>
  <c r="K19" i="14"/>
  <c r="K16" i="3" l="1"/>
  <c r="M8" i="19"/>
  <c r="J16" i="3"/>
  <c r="L8" i="19"/>
  <c r="H6" i="11"/>
  <c r="G9"/>
  <c r="G4" i="12" s="1"/>
  <c r="M23" i="18"/>
  <c r="M22" s="1"/>
  <c r="M20" i="15"/>
  <c r="M19" s="1"/>
  <c r="L19" i="14"/>
  <c r="L4" i="11"/>
  <c r="I6" l="1"/>
  <c r="H9"/>
  <c r="H4" i="12" s="1"/>
  <c r="N23" i="18"/>
  <c r="N22" s="1"/>
  <c r="N20" i="15"/>
  <c r="N19" s="1"/>
  <c r="M19" i="14"/>
  <c r="M4" i="11"/>
  <c r="J6" l="1"/>
  <c r="I9"/>
  <c r="I4" i="12" s="1"/>
  <c r="N4" i="11"/>
  <c r="K6" l="1"/>
  <c r="J9"/>
  <c r="J4" i="12" s="1"/>
  <c r="O4" i="11"/>
  <c r="L6" l="1"/>
  <c r="K9"/>
  <c r="K4" i="12" s="1"/>
  <c r="M6" i="11" l="1"/>
  <c r="L9"/>
  <c r="L4" i="12" s="1"/>
  <c r="N6" i="11" l="1"/>
  <c r="M9"/>
  <c r="M4" i="12" s="1"/>
  <c r="N9" i="11" l="1"/>
  <c r="N4" i="12" s="1"/>
  <c r="O6" i="11"/>
  <c r="O9" s="1"/>
  <c r="O4" i="12" l="1"/>
  <c r="B14" i="3" l="1"/>
  <c r="D8" i="19" s="1"/>
  <c r="C28" i="3" l="1"/>
  <c r="C26"/>
  <c r="C27"/>
  <c r="C19" i="2"/>
  <c r="C20"/>
  <c r="C21"/>
  <c r="B16" i="3"/>
  <c r="E27" l="1"/>
  <c r="D27"/>
  <c r="E26"/>
  <c r="E29" s="1"/>
  <c r="I9" s="1"/>
  <c r="D26"/>
  <c r="J17" l="1"/>
  <c r="J18" s="1"/>
  <c r="F17"/>
  <c r="F18" s="1"/>
  <c r="C17"/>
  <c r="C18" s="1"/>
  <c r="E9"/>
  <c r="C9"/>
  <c r="G9"/>
  <c r="B9"/>
  <c r="E17"/>
  <c r="E18" s="1"/>
  <c r="K17"/>
  <c r="K18" s="1"/>
  <c r="J9"/>
  <c r="H9"/>
  <c r="G17"/>
  <c r="G18" s="1"/>
  <c r="I17"/>
  <c r="I18" s="1"/>
  <c r="B17"/>
  <c r="B18" s="1"/>
  <c r="D17"/>
  <c r="D18" s="1"/>
  <c r="H17"/>
  <c r="H18" s="1"/>
  <c r="D9"/>
  <c r="F9"/>
  <c r="K9"/>
  <c r="L9"/>
  <c r="M9"/>
  <c r="B8"/>
  <c r="C8"/>
  <c r="C10" s="1"/>
  <c r="D3" i="12" s="1"/>
  <c r="D5" s="1"/>
  <c r="N9" i="3" l="1"/>
  <c r="D8"/>
  <c r="D10" s="1"/>
  <c r="E3" i="12" s="1"/>
  <c r="E5" s="1"/>
  <c r="B10" i="3"/>
  <c r="C3" i="12" l="1"/>
  <c r="E8" i="3" l="1"/>
  <c r="F8"/>
  <c r="F10" s="1"/>
  <c r="G3" i="12" s="1"/>
  <c r="G5" s="1"/>
  <c r="C5"/>
  <c r="C6" s="1"/>
  <c r="D6" s="1"/>
  <c r="E6" s="1"/>
  <c r="E10" i="3" l="1"/>
  <c r="G8"/>
  <c r="G10" s="1"/>
  <c r="H3" i="12" s="1"/>
  <c r="H5" s="1"/>
  <c r="F3" l="1"/>
  <c r="F5" l="1"/>
  <c r="F6" s="1"/>
  <c r="G6" s="1"/>
  <c r="H6" s="1"/>
  <c r="I8" i="3"/>
  <c r="I10" s="1"/>
  <c r="J3" i="12" s="1"/>
  <c r="J5" s="1"/>
  <c r="H8" i="3"/>
  <c r="H10" l="1"/>
  <c r="J8"/>
  <c r="J10" s="1"/>
  <c r="K3" i="12" s="1"/>
  <c r="K5" s="1"/>
  <c r="I3" l="1"/>
  <c r="K8" i="3"/>
  <c r="K10" s="1"/>
  <c r="L3" i="12" s="1"/>
  <c r="L5" s="1"/>
  <c r="I5" l="1"/>
  <c r="I6" s="1"/>
  <c r="J6" s="1"/>
  <c r="K6" s="1"/>
  <c r="L6" s="1"/>
  <c r="L8" i="3"/>
  <c r="L10" s="1"/>
  <c r="M3" i="12" l="1"/>
  <c r="Q12" i="2"/>
  <c r="M5" i="12" l="1"/>
  <c r="M6" s="1"/>
  <c r="M8" i="3"/>
  <c r="N6"/>
  <c r="M10" l="1"/>
  <c r="N8"/>
  <c r="N10" s="1"/>
  <c r="I20" l="1"/>
  <c r="D16" i="14" s="1"/>
  <c r="D15"/>
  <c r="N3" i="12"/>
  <c r="Q8" i="3"/>
  <c r="E16" i="14"/>
  <c r="F16" i="15" s="1"/>
  <c r="D17" i="14" l="1"/>
  <c r="D24" s="1"/>
  <c r="E15" i="15"/>
  <c r="E15" i="14"/>
  <c r="G15"/>
  <c r="H15"/>
  <c r="F15"/>
  <c r="I15"/>
  <c r="K15"/>
  <c r="L15"/>
  <c r="J15"/>
  <c r="M15"/>
  <c r="E11" i="18"/>
  <c r="E18" s="1"/>
  <c r="E16" i="15"/>
  <c r="H16" i="14"/>
  <c r="I16"/>
  <c r="G16"/>
  <c r="E13" i="18"/>
  <c r="E19" s="1"/>
  <c r="F16" i="14"/>
  <c r="K16"/>
  <c r="M16"/>
  <c r="L16"/>
  <c r="J16"/>
  <c r="N5" i="12"/>
  <c r="N6" s="1"/>
  <c r="C8" s="1"/>
  <c r="D43" i="18" s="1"/>
  <c r="O3" i="12"/>
  <c r="M13" i="18" l="1"/>
  <c r="M19" s="1"/>
  <c r="M16" i="15"/>
  <c r="K16"/>
  <c r="K13" i="18"/>
  <c r="K19" s="1"/>
  <c r="N13"/>
  <c r="N19" s="1"/>
  <c r="N16" i="15"/>
  <c r="G16"/>
  <c r="G13" i="18"/>
  <c r="G19" s="1"/>
  <c r="F13"/>
  <c r="F19" s="1"/>
  <c r="J13"/>
  <c r="J19" s="1"/>
  <c r="J16" i="15"/>
  <c r="M17" i="14"/>
  <c r="M24" s="1"/>
  <c r="N11" i="18"/>
  <c r="N18" s="1"/>
  <c r="N15" i="15"/>
  <c r="L17" i="14"/>
  <c r="L24" s="1"/>
  <c r="M15" i="15"/>
  <c r="M11" i="18"/>
  <c r="M18" s="1"/>
  <c r="J15" i="15"/>
  <c r="J11" i="18"/>
  <c r="J18" s="1"/>
  <c r="I17" i="14"/>
  <c r="I24" s="1"/>
  <c r="I11" i="18"/>
  <c r="I18" s="1"/>
  <c r="H17" i="14"/>
  <c r="H24" s="1"/>
  <c r="I15" i="15"/>
  <c r="E17" i="14"/>
  <c r="E24" s="1"/>
  <c r="F11" i="18"/>
  <c r="F18" s="1"/>
  <c r="F15" i="15"/>
  <c r="D40"/>
  <c r="N41" s="1"/>
  <c r="N44" i="18"/>
  <c r="D5" i="13"/>
  <c r="D6" s="1"/>
  <c r="L16" i="15"/>
  <c r="L13" i="18"/>
  <c r="L19" s="1"/>
  <c r="H13"/>
  <c r="H19" s="1"/>
  <c r="H16" i="15"/>
  <c r="I16"/>
  <c r="I13" i="18"/>
  <c r="I19" s="1"/>
  <c r="J17" i="14"/>
  <c r="J24" s="1"/>
  <c r="K11" i="18"/>
  <c r="K18" s="1"/>
  <c r="K15" i="15"/>
  <c r="L15"/>
  <c r="K17" i="14"/>
  <c r="K24" s="1"/>
  <c r="L11" i="18"/>
  <c r="L18" s="1"/>
  <c r="L20" s="1"/>
  <c r="L27" s="1"/>
  <c r="G15" i="15"/>
  <c r="G11" i="18"/>
  <c r="G18" s="1"/>
  <c r="F17" i="14"/>
  <c r="F24" s="1"/>
  <c r="H11" i="18"/>
  <c r="H18" s="1"/>
  <c r="G17" i="14"/>
  <c r="G24" s="1"/>
  <c r="H15" i="15"/>
  <c r="H17" s="1"/>
  <c r="H24" s="1"/>
  <c r="E20" i="18"/>
  <c r="E27" s="1"/>
  <c r="E17" i="15"/>
  <c r="E24" s="1"/>
  <c r="G17" l="1"/>
  <c r="G24" s="1"/>
  <c r="K17"/>
  <c r="K24" s="1"/>
  <c r="H20" i="18"/>
  <c r="H27" s="1"/>
  <c r="G20"/>
  <c r="G27" s="1"/>
  <c r="L17" i="15"/>
  <c r="L24" s="1"/>
  <c r="K20" i="18"/>
  <c r="K27" s="1"/>
  <c r="F20"/>
  <c r="F27" s="1"/>
  <c r="I17" i="15"/>
  <c r="I24" s="1"/>
  <c r="J20" i="18"/>
  <c r="J27" s="1"/>
  <c r="M20"/>
  <c r="M27" s="1"/>
  <c r="N20"/>
  <c r="N27" s="1"/>
  <c r="D7" i="13"/>
  <c r="F10"/>
  <c r="G12" s="1"/>
  <c r="I20" i="18"/>
  <c r="I27" s="1"/>
  <c r="F17" i="15"/>
  <c r="F24" s="1"/>
  <c r="J17"/>
  <c r="J24" s="1"/>
  <c r="M17"/>
  <c r="M24" s="1"/>
  <c r="N17"/>
  <c r="N24" s="1"/>
  <c r="F15" i="13" l="1"/>
  <c r="H16" s="1"/>
  <c r="D41" i="18"/>
  <c r="D46" s="1"/>
  <c r="D38" i="15"/>
  <c r="D43" s="1"/>
  <c r="C7" i="16" l="1"/>
  <c r="C9" s="1"/>
  <c r="I16" i="13"/>
  <c r="G16" s="1"/>
  <c r="I22"/>
  <c r="I19"/>
  <c r="I21"/>
  <c r="I24"/>
  <c r="I17"/>
  <c r="I18"/>
  <c r="I20"/>
  <c r="I23"/>
  <c r="I25"/>
  <c r="E39" i="15" l="1"/>
  <c r="E42" i="18"/>
  <c r="D27" i="14"/>
  <c r="I26" i="13"/>
  <c r="O42" i="18" l="1"/>
  <c r="F16" i="13"/>
  <c r="D26" i="14"/>
  <c r="D28" s="1"/>
  <c r="E30" i="18"/>
  <c r="E29" s="1"/>
  <c r="E31" s="1"/>
  <c r="E27" i="15"/>
  <c r="E26" s="1"/>
  <c r="E28" s="1"/>
  <c r="E33" i="18" l="1"/>
  <c r="H17" i="13"/>
  <c r="E30" i="15"/>
  <c r="D30" i="14"/>
  <c r="E35" i="18" l="1"/>
  <c r="D32" i="14"/>
  <c r="E32" i="15"/>
  <c r="E27" i="14"/>
  <c r="G17" i="13"/>
  <c r="F39" i="15" s="1"/>
  <c r="E37" i="18" l="1"/>
  <c r="E46" s="1"/>
  <c r="F42"/>
  <c r="F17" i="13"/>
  <c r="E26" i="14"/>
  <c r="E28" s="1"/>
  <c r="F27" i="15"/>
  <c r="F26" s="1"/>
  <c r="F28" s="1"/>
  <c r="F30" i="18"/>
  <c r="F29" s="1"/>
  <c r="F31" s="1"/>
  <c r="E34" i="15"/>
  <c r="E43" s="1"/>
  <c r="D34" i="14"/>
  <c r="D7" i="16" l="1"/>
  <c r="F33" i="18"/>
  <c r="E30" i="14"/>
  <c r="F30" i="15"/>
  <c r="H18" i="13"/>
  <c r="F35" i="18" l="1"/>
  <c r="F32" i="15"/>
  <c r="E32" i="14"/>
  <c r="F27"/>
  <c r="G18" i="13"/>
  <c r="G39" i="15" s="1"/>
  <c r="F26" i="14" l="1"/>
  <c r="F28" s="1"/>
  <c r="G27" i="15"/>
  <c r="G26" s="1"/>
  <c r="G28" s="1"/>
  <c r="G30" i="18"/>
  <c r="G29" s="1"/>
  <c r="G31" s="1"/>
  <c r="E34" i="14"/>
  <c r="G42" i="18"/>
  <c r="F18" i="13"/>
  <c r="F34" i="15"/>
  <c r="F43" s="1"/>
  <c r="F37" i="18"/>
  <c r="F46" s="1"/>
  <c r="E7" i="16" l="1"/>
  <c r="E8" s="1"/>
  <c r="E9" s="1"/>
  <c r="H19" i="13"/>
  <c r="G32" i="18"/>
  <c r="G33" s="1"/>
  <c r="F29" i="14"/>
  <c r="F30" s="1"/>
  <c r="G29" i="15"/>
  <c r="G30" s="1"/>
  <c r="F31" i="14" l="1"/>
  <c r="F32" s="1"/>
  <c r="G31" i="15"/>
  <c r="G32" s="1"/>
  <c r="G34" i="18"/>
  <c r="G35" s="1"/>
  <c r="G27" i="14"/>
  <c r="G19" i="13"/>
  <c r="G33" i="15" l="1"/>
  <c r="G34" s="1"/>
  <c r="G43" s="1"/>
  <c r="G36" i="18"/>
  <c r="G37" s="1"/>
  <c r="G46" s="1"/>
  <c r="H39" i="15"/>
  <c r="H42" i="18"/>
  <c r="F19" i="13"/>
  <c r="H30" i="18"/>
  <c r="H29" s="1"/>
  <c r="H31" s="1"/>
  <c r="G26" i="14"/>
  <c r="G28" s="1"/>
  <c r="H27" i="15"/>
  <c r="H26" s="1"/>
  <c r="H28" s="1"/>
  <c r="F33" i="14"/>
  <c r="F34" s="1"/>
  <c r="F7" i="16" l="1"/>
  <c r="F8" s="1"/>
  <c r="F9" s="1"/>
  <c r="H29" i="15"/>
  <c r="H30" s="1"/>
  <c r="H32" i="18"/>
  <c r="H33" s="1"/>
  <c r="G29" i="14"/>
  <c r="G30" s="1"/>
  <c r="H20" i="13"/>
  <c r="G31" i="14" l="1"/>
  <c r="G32" s="1"/>
  <c r="H34" i="18"/>
  <c r="H35" s="1"/>
  <c r="H31" i="15"/>
  <c r="H32" s="1"/>
  <c r="H27" i="14"/>
  <c r="G20" i="13"/>
  <c r="I30" i="18" l="1"/>
  <c r="I29" s="1"/>
  <c r="I31" s="1"/>
  <c r="I27" i="15"/>
  <c r="I26" s="1"/>
  <c r="I28" s="1"/>
  <c r="H26" i="14"/>
  <c r="H28" s="1"/>
  <c r="H33" i="15"/>
  <c r="H34" s="1"/>
  <c r="H43" s="1"/>
  <c r="H36" i="18"/>
  <c r="H37" s="1"/>
  <c r="H46" s="1"/>
  <c r="G33" i="14"/>
  <c r="G34" s="1"/>
  <c r="I42" i="18"/>
  <c r="I39" i="15"/>
  <c r="F20" i="13"/>
  <c r="G7" i="16" l="1"/>
  <c r="G8" s="1"/>
  <c r="G9" s="1"/>
  <c r="I29" i="15"/>
  <c r="I30" s="1"/>
  <c r="H21" i="13"/>
  <c r="H29" i="14"/>
  <c r="H30" s="1"/>
  <c r="I32" i="18"/>
  <c r="I33" s="1"/>
  <c r="H31" i="14" l="1"/>
  <c r="H32" s="1"/>
  <c r="I31" i="15"/>
  <c r="I32" s="1"/>
  <c r="I34" i="18"/>
  <c r="I35" s="1"/>
  <c r="I27" i="14"/>
  <c r="G21" i="13"/>
  <c r="I26" i="14" l="1"/>
  <c r="I28" s="1"/>
  <c r="J30" i="18"/>
  <c r="J29" s="1"/>
  <c r="J31" s="1"/>
  <c r="J27" i="15"/>
  <c r="J26" s="1"/>
  <c r="J28" s="1"/>
  <c r="J42" i="18"/>
  <c r="J39" i="15"/>
  <c r="F21" i="13"/>
  <c r="I36" i="18"/>
  <c r="I37" s="1"/>
  <c r="I46" s="1"/>
  <c r="I33" i="15"/>
  <c r="I34" s="1"/>
  <c r="I43" s="1"/>
  <c r="H33" i="14"/>
  <c r="H34" s="1"/>
  <c r="J29" i="15" l="1"/>
  <c r="J30" s="1"/>
  <c r="I29" i="14"/>
  <c r="I30" s="1"/>
  <c r="H7" i="16"/>
  <c r="H8" s="1"/>
  <c r="H9" s="1"/>
  <c r="H22" i="13"/>
  <c r="J32" i="18"/>
  <c r="J33" s="1"/>
  <c r="I31" i="14" l="1"/>
  <c r="I32" s="1"/>
  <c r="J34" i="18"/>
  <c r="J35" s="1"/>
  <c r="J27" i="14"/>
  <c r="G22" i="13"/>
  <c r="J31" i="15"/>
  <c r="J32" s="1"/>
  <c r="I33" i="14" l="1"/>
  <c r="I34" s="1"/>
  <c r="J33" i="15"/>
  <c r="J34" s="1"/>
  <c r="J43" s="1"/>
  <c r="I7" i="16" s="1"/>
  <c r="I8" s="1"/>
  <c r="I9" s="1"/>
  <c r="K42" i="18"/>
  <c r="K39" i="15"/>
  <c r="F22" i="13"/>
  <c r="K30" i="18"/>
  <c r="K29" s="1"/>
  <c r="K31" s="1"/>
  <c r="K27" i="15"/>
  <c r="K26" s="1"/>
  <c r="K28" s="1"/>
  <c r="J26" i="14"/>
  <c r="J28" s="1"/>
  <c r="J36" i="18"/>
  <c r="J37" s="1"/>
  <c r="J46" s="1"/>
  <c r="J29" i="14" l="1"/>
  <c r="J30" s="1"/>
  <c r="K32" i="18"/>
  <c r="K33" s="1"/>
  <c r="K29" i="15"/>
  <c r="K30" s="1"/>
  <c r="H23" i="13"/>
  <c r="J31" i="14" l="1"/>
  <c r="J32" s="1"/>
  <c r="K27"/>
  <c r="G23" i="13"/>
  <c r="K31" i="15"/>
  <c r="K32" s="1"/>
  <c r="K34" i="18"/>
  <c r="K35" s="1"/>
  <c r="K36" l="1"/>
  <c r="K37" s="1"/>
  <c r="K46" s="1"/>
  <c r="K33" i="15"/>
  <c r="K34" s="1"/>
  <c r="K43" s="1"/>
  <c r="J7" i="16" s="1"/>
  <c r="J8" s="1"/>
  <c r="J9" s="1"/>
  <c r="K26" i="14"/>
  <c r="K28" s="1"/>
  <c r="L30" i="18"/>
  <c r="L29" s="1"/>
  <c r="L31" s="1"/>
  <c r="L27" i="15"/>
  <c r="L26" s="1"/>
  <c r="L28" s="1"/>
  <c r="L39"/>
  <c r="L42" i="18"/>
  <c r="F23" i="13"/>
  <c r="J33" i="14"/>
  <c r="J34" s="1"/>
  <c r="H24" i="13" l="1"/>
  <c r="L32" i="18"/>
  <c r="L33" s="1"/>
  <c r="L29" i="15"/>
  <c r="L30" s="1"/>
  <c r="K29" i="14"/>
  <c r="K30" s="1"/>
  <c r="K31" l="1"/>
  <c r="K32" s="1"/>
  <c r="L31" i="15"/>
  <c r="L32" s="1"/>
  <c r="L27" i="14"/>
  <c r="G24" i="13"/>
  <c r="L34" i="18"/>
  <c r="L35" s="1"/>
  <c r="K33" i="14" l="1"/>
  <c r="K34" s="1"/>
  <c r="L36" i="18"/>
  <c r="L37" s="1"/>
  <c r="L46" s="1"/>
  <c r="L26" i="14"/>
  <c r="L28" s="1"/>
  <c r="M30" i="18"/>
  <c r="M29" s="1"/>
  <c r="M31" s="1"/>
  <c r="M27" i="15"/>
  <c r="M26" s="1"/>
  <c r="M28" s="1"/>
  <c r="M39"/>
  <c r="M42" i="18"/>
  <c r="F24" i="13"/>
  <c r="L33" i="15"/>
  <c r="L34" s="1"/>
  <c r="L43" s="1"/>
  <c r="K7" i="16" s="1"/>
  <c r="K8" s="1"/>
  <c r="K9" s="1"/>
  <c r="H25" i="13" l="1"/>
  <c r="F26"/>
  <c r="M32" i="18"/>
  <c r="M33" s="1"/>
  <c r="M29" i="15"/>
  <c r="M30" s="1"/>
  <c r="L29" i="14"/>
  <c r="L30" s="1"/>
  <c r="L31" l="1"/>
  <c r="L32" s="1"/>
  <c r="M31" i="15"/>
  <c r="M32" s="1"/>
  <c r="M34" i="18"/>
  <c r="M35" s="1"/>
  <c r="M27" i="14"/>
  <c r="G25" i="13"/>
  <c r="H26"/>
  <c r="M33" i="15" l="1"/>
  <c r="M34" s="1"/>
  <c r="M43" s="1"/>
  <c r="L7" i="16" s="1"/>
  <c r="L8" s="1"/>
  <c r="L9" s="1"/>
  <c r="N27" i="15"/>
  <c r="N26" s="1"/>
  <c r="N28" s="1"/>
  <c r="M26" i="14"/>
  <c r="M28" s="1"/>
  <c r="N30" i="18"/>
  <c r="N29" s="1"/>
  <c r="N31" s="1"/>
  <c r="N39" i="15"/>
  <c r="N42" i="18"/>
  <c r="G26" i="13"/>
  <c r="M36" i="18"/>
  <c r="M37" s="1"/>
  <c r="M46" s="1"/>
  <c r="L33" i="14"/>
  <c r="L34" s="1"/>
  <c r="M29" l="1"/>
  <c r="M30" s="1"/>
  <c r="N32" i="18"/>
  <c r="N33" s="1"/>
  <c r="N29" i="15"/>
  <c r="N30" s="1"/>
  <c r="N31" l="1"/>
  <c r="N32" s="1"/>
  <c r="N34" i="18"/>
  <c r="N35" s="1"/>
  <c r="M31" i="14"/>
  <c r="M32" s="1"/>
  <c r="N36" i="18" l="1"/>
  <c r="N37" s="1"/>
  <c r="N46" s="1"/>
  <c r="M33" i="14"/>
  <c r="M34" s="1"/>
  <c r="N33" i="15"/>
  <c r="N34" s="1"/>
  <c r="N43" s="1"/>
  <c r="D50" s="1"/>
  <c r="D52" i="18" l="1"/>
  <c r="D5"/>
  <c r="D51"/>
  <c r="D4"/>
  <c r="M7" i="16"/>
  <c r="M8" s="1"/>
  <c r="M9" s="1"/>
  <c r="D49" i="15"/>
  <c r="C8" i="21" s="1"/>
</calcChain>
</file>

<file path=xl/comments1.xml><?xml version="1.0" encoding="utf-8"?>
<comments xmlns="http://schemas.openxmlformats.org/spreadsheetml/2006/main">
  <authors>
    <author>FIEC</author>
  </authors>
  <commentList>
    <comment ref="B3" authorId="0">
      <text>
        <r>
          <rPr>
            <b/>
            <sz val="8"/>
            <color indexed="81"/>
            <rFont val="Tahoma"/>
            <family val="2"/>
          </rPr>
          <t>FIEC:</t>
        </r>
        <r>
          <rPr>
            <sz val="8"/>
            <color indexed="81"/>
            <rFont val="Tahoma"/>
            <family val="2"/>
          </rPr>
          <t xml:space="preserve">
Dato proporcionado por el INEC.
http://www.inec.gov.ec/cpv/index.php?option=com_content&amp;view=article&amp;id=224&amp;Itemid=97&amp;lang=es</t>
        </r>
      </text>
    </comment>
    <comment ref="B4" authorId="0">
      <text>
        <r>
          <rPr>
            <b/>
            <sz val="8"/>
            <color indexed="81"/>
            <rFont val="Tahoma"/>
            <family val="2"/>
          </rPr>
          <t>despues de los filtros de edad y los ingresos mensuales</t>
        </r>
      </text>
    </comment>
    <comment ref="B14" authorId="0">
      <text>
        <r>
          <rPr>
            <b/>
            <sz val="8"/>
            <color indexed="81"/>
            <rFont val="Tahoma"/>
            <family val="2"/>
          </rPr>
          <t xml:space="preserve">FIEC: Super Compañias
</t>
        </r>
      </text>
    </comment>
  </commentList>
</comments>
</file>

<file path=xl/comments2.xml><?xml version="1.0" encoding="utf-8"?>
<comments xmlns="http://schemas.openxmlformats.org/spreadsheetml/2006/main">
  <authors>
    <author>FIEC</author>
  </authors>
  <commentList>
    <comment ref="I3" authorId="0">
      <text>
        <r>
          <rPr>
            <b/>
            <sz val="8"/>
            <color indexed="81"/>
            <rFont val="Tahoma"/>
            <family val="2"/>
          </rPr>
          <t>FIEC:</t>
        </r>
        <r>
          <rPr>
            <sz val="8"/>
            <color indexed="81"/>
            <rFont val="Tahoma"/>
            <family val="2"/>
          </rPr>
          <t xml:space="preserve">
0,5% IECE 
0,5% SECAP
</t>
        </r>
      </text>
    </comment>
  </commentList>
</comments>
</file>

<file path=xl/sharedStrings.xml><?xml version="1.0" encoding="utf-8"?>
<sst xmlns="http://schemas.openxmlformats.org/spreadsheetml/2006/main" count="708" uniqueCount="490">
  <si>
    <t>Poblacion Total guayaquil</t>
  </si>
  <si>
    <t>importadora el rosado</t>
  </si>
  <si>
    <t>grupo la favorita</t>
  </si>
  <si>
    <t>almacenes tia</t>
  </si>
  <si>
    <t>tiendas</t>
  </si>
  <si>
    <t>Cantidad (Q)</t>
  </si>
  <si>
    <t>precio</t>
  </si>
  <si>
    <t>tasa de nivel de compras</t>
  </si>
  <si>
    <t>ventas estimadas</t>
  </si>
  <si>
    <t>Precio Unitario</t>
  </si>
  <si>
    <t>Ingresos</t>
  </si>
  <si>
    <t>Descripcion</t>
  </si>
  <si>
    <t>Gastos Administrativos</t>
  </si>
  <si>
    <t xml:space="preserve">Costo mensual </t>
  </si>
  <si>
    <t>Sueldos y/o Salarios</t>
  </si>
  <si>
    <t>Materiales/Suministros de Oficina</t>
  </si>
  <si>
    <t>Suministros de Limpieza y/o Mantenimiento</t>
  </si>
  <si>
    <t xml:space="preserve">Alimentación del Pesonal </t>
  </si>
  <si>
    <t xml:space="preserve">TOTAL </t>
  </si>
  <si>
    <t xml:space="preserve">Gastos de Ventas </t>
  </si>
  <si>
    <t>Publicidad</t>
  </si>
  <si>
    <t>Costos por promoción( volantes)</t>
  </si>
  <si>
    <t xml:space="preserve">Gastos Varios </t>
  </si>
  <si>
    <t>Transporte mercaderia</t>
  </si>
  <si>
    <t>Gas</t>
  </si>
  <si>
    <t>Cargo</t>
  </si>
  <si>
    <t xml:space="preserve">Número de Puestos </t>
  </si>
  <si>
    <t>Monto Mensual por puesto</t>
  </si>
  <si>
    <t>Monto Mensual total</t>
  </si>
  <si>
    <t>Aporte Patronal 11,15%</t>
  </si>
  <si>
    <t>Decimo tercero</t>
  </si>
  <si>
    <t>Decimo Cuarto</t>
  </si>
  <si>
    <t>Vacaciones</t>
  </si>
  <si>
    <t>IECE y Secap</t>
  </si>
  <si>
    <t>iess 9,35%</t>
  </si>
  <si>
    <t>Total</t>
  </si>
  <si>
    <t>Total Gastos de Personal</t>
  </si>
  <si>
    <t>Descripción</t>
  </si>
  <si>
    <t>Costo Mensual</t>
  </si>
  <si>
    <t>Agua</t>
  </si>
  <si>
    <t>Energía Electrica</t>
  </si>
  <si>
    <t>Servicio Telefónico</t>
  </si>
  <si>
    <t>Internet</t>
  </si>
  <si>
    <t xml:space="preserve">Gastos SERVICIOS BASICOS </t>
  </si>
  <si>
    <t>Cantidad</t>
  </si>
  <si>
    <t>Elaborado por: Los Autores</t>
  </si>
  <si>
    <t xml:space="preserve">Febrero </t>
  </si>
  <si>
    <t>Marzo</t>
  </si>
  <si>
    <t>Abril</t>
  </si>
  <si>
    <t>Mayo</t>
  </si>
  <si>
    <t>Junio</t>
  </si>
  <si>
    <t>Julio</t>
  </si>
  <si>
    <t>Agosto</t>
  </si>
  <si>
    <t>Septiembre</t>
  </si>
  <si>
    <t>Octubre</t>
  </si>
  <si>
    <t>Noviembre</t>
  </si>
  <si>
    <t>Diciembre</t>
  </si>
  <si>
    <t>-</t>
  </si>
  <si>
    <t>TOTAL</t>
  </si>
  <si>
    <t>MES</t>
  </si>
  <si>
    <t>Activos</t>
  </si>
  <si>
    <t>costo x unidad</t>
  </si>
  <si>
    <t>costo total</t>
  </si>
  <si>
    <t>Vida contable</t>
  </si>
  <si>
    <t>Vida Cont.</t>
  </si>
  <si>
    <t>Depreciacion acum</t>
  </si>
  <si>
    <t>VDSC</t>
  </si>
  <si>
    <t xml:space="preserve">Calendario de reposición de Activos </t>
  </si>
  <si>
    <t>Años</t>
  </si>
  <si>
    <t xml:space="preserve">Total Inversión </t>
  </si>
  <si>
    <t>VDC</t>
  </si>
  <si>
    <t xml:space="preserve">Inversion en activos inicial </t>
  </si>
  <si>
    <t xml:space="preserve">Reinversion en activos </t>
  </si>
  <si>
    <t xml:space="preserve">Total de Depreciación </t>
  </si>
  <si>
    <t>Gasto de Publicidad</t>
  </si>
  <si>
    <t>Detalle</t>
  </si>
  <si>
    <t>Valor Mensual</t>
  </si>
  <si>
    <t>Valor Anual</t>
  </si>
  <si>
    <t>Diario El Universo</t>
  </si>
  <si>
    <t xml:space="preserve">Revista </t>
  </si>
  <si>
    <t xml:space="preserve">Radio </t>
  </si>
  <si>
    <t>Television</t>
  </si>
  <si>
    <t>Facebook</t>
  </si>
  <si>
    <t xml:space="preserve">Cine </t>
  </si>
  <si>
    <t>CANALES</t>
  </si>
  <si>
    <t>PRECIOS POR CUÑAS</t>
  </si>
  <si>
    <t xml:space="preserve">HORARIOS DISPONIBLES </t>
  </si>
  <si>
    <t xml:space="preserve">Total </t>
  </si>
  <si>
    <t>TELEAMAZONAS</t>
  </si>
  <si>
    <t>8am - 10am ,  2pm  a  4pm</t>
  </si>
  <si>
    <t>ECUAVISA</t>
  </si>
  <si>
    <t>8am - 10am ,  12pm  a  2pm y 4pm a  6pm</t>
  </si>
  <si>
    <t xml:space="preserve">CANAL UNO </t>
  </si>
  <si>
    <t>TV CABLE</t>
  </si>
  <si>
    <t>9am - 11am ,  12pm  a  2pm y  3pm a  5pm</t>
  </si>
  <si>
    <t xml:space="preserve">RADIOS </t>
  </si>
  <si>
    <t>PRECIOS POR CUÑAS (POR MENOS DE 30 S)</t>
  </si>
  <si>
    <t>Radio Tropicalida Súper Estereo</t>
  </si>
  <si>
    <t xml:space="preserve"> Radio Caravana</t>
  </si>
  <si>
    <t>Radio Fabu Súper Stereo</t>
  </si>
  <si>
    <t>CITYNOTICIAS</t>
  </si>
  <si>
    <t>Lunes a Viernes de 07:00 a 08:00 / 08:00 a 9:00 (son 2 emisiones)</t>
  </si>
  <si>
    <t>Precio Mensual</t>
  </si>
  <si>
    <t>Paquete A</t>
  </si>
  <si>
    <t>Paquete B</t>
  </si>
  <si>
    <t>Paquete C</t>
  </si>
  <si>
    <t>Paquete D</t>
  </si>
  <si>
    <t>Cuñas CityNoticias</t>
  </si>
  <si>
    <t>$2,200.00</t>
  </si>
  <si>
    <t>$1,900.00</t>
  </si>
  <si>
    <t>$1,400.00</t>
  </si>
  <si>
    <t>$1,100.00</t>
  </si>
  <si>
    <t>15"</t>
  </si>
  <si>
    <t>20"</t>
  </si>
  <si>
    <t xml:space="preserve">30" </t>
  </si>
  <si>
    <t>40"</t>
  </si>
  <si>
    <t>Contenido</t>
  </si>
  <si>
    <t>Presentación y Despedida</t>
  </si>
  <si>
    <t>Auspicio sección (Citynoticias)</t>
  </si>
  <si>
    <t>2 Cuñas en Citynoticias</t>
  </si>
  <si>
    <t>$12.00</t>
  </si>
  <si>
    <t>$22.00</t>
  </si>
  <si>
    <t>$24.00</t>
  </si>
  <si>
    <t>$26.00</t>
  </si>
  <si>
    <t>5 Cuñas en Citynoticias</t>
  </si>
  <si>
    <t>3 Cuñas en Citynoticias</t>
  </si>
  <si>
    <t>1 Cuña rotativa</t>
  </si>
  <si>
    <t>3 Cuñas rotativas</t>
  </si>
  <si>
    <t>2 Cuñas rotativas</t>
  </si>
  <si>
    <t>(costo unitario)</t>
  </si>
  <si>
    <t>MARCADOR</t>
  </si>
  <si>
    <t>lunes a viernes de 12h00 a 13h00</t>
  </si>
  <si>
    <t>PAQUETE A</t>
  </si>
  <si>
    <t>PAQUETE B</t>
  </si>
  <si>
    <t>CAPSULAS MARCADOR</t>
  </si>
  <si>
    <t>Paquete Digital 1</t>
  </si>
  <si>
    <t>Paquete Digital 2</t>
  </si>
  <si>
    <t>Cuña</t>
  </si>
  <si>
    <t>Mensión</t>
  </si>
  <si>
    <t>$1,200.00</t>
  </si>
  <si>
    <t>$900.00</t>
  </si>
  <si>
    <t>$1,300.00</t>
  </si>
  <si>
    <t>1 Auspicio de sección</t>
  </si>
  <si>
    <t>3 cápsulas (2 rotativas y 1 dentro del programa)</t>
  </si>
  <si>
    <t>2 mencion en vivo</t>
  </si>
  <si>
    <t>$11.00</t>
  </si>
  <si>
    <t>$18.00</t>
  </si>
  <si>
    <t>1 mención en vivo</t>
  </si>
  <si>
    <t>1 Auspicio de sección en el programa</t>
  </si>
  <si>
    <t>1 cuña (Marcador)</t>
  </si>
  <si>
    <t>2 menciones en vivo</t>
  </si>
  <si>
    <t>1 cuñas (Marcador)</t>
  </si>
  <si>
    <t>Botón Fijo (300X60) Deportes en eluniverso.com</t>
  </si>
  <si>
    <t>2 cuñas rotativas</t>
  </si>
  <si>
    <t>NOTA: Cada cápsula consiste de: Auspicio + información de 30" + 1 cuña de 30"</t>
  </si>
  <si>
    <t>MegaBanner (728x90) 300.000 impresiones en Marcador.ec</t>
  </si>
  <si>
    <t>Half Banner Fijo (233x90) Marcador.ec</t>
  </si>
  <si>
    <t>PROGRAMA DE ENTRETENIMIENTO</t>
  </si>
  <si>
    <t>lunes a viernes de 17h00 a 18h00</t>
  </si>
  <si>
    <t>PAQUETE C</t>
  </si>
  <si>
    <t>CAPSULAS AGUACATE</t>
  </si>
  <si>
    <t>$1,500.00</t>
  </si>
  <si>
    <t>$1,000.00</t>
  </si>
  <si>
    <t>$550.00</t>
  </si>
  <si>
    <t>$13.00</t>
  </si>
  <si>
    <t>$20.00</t>
  </si>
  <si>
    <t>1 cuña (En el programa)</t>
  </si>
  <si>
    <t>1 cuña (en el programa)</t>
  </si>
  <si>
    <t>1 cuña en el programa</t>
  </si>
  <si>
    <t>Botón Fijo (300X60) Entretenimiento en eluniverso.com</t>
  </si>
  <si>
    <t>Half Banner Fijo (233x90) Entretenimiento en eluniverso.com</t>
  </si>
  <si>
    <t>MegaBanner (728x90) 300.000 impresiones rotativas en eluniverso.com</t>
  </si>
  <si>
    <t>PAQUETES ROTATIVOS</t>
  </si>
  <si>
    <t>Lunes a Viernes de 10h00 a 12h00 / 13h00 a 17h00</t>
  </si>
  <si>
    <t>CAPSULAS COMERCIALES</t>
  </si>
  <si>
    <t>MICROINFORMATIVOS</t>
  </si>
  <si>
    <t>SUPER PAQUETE RADIO CITY</t>
  </si>
  <si>
    <t>$1,640.00</t>
  </si>
  <si>
    <t>$2,400.00</t>
  </si>
  <si>
    <t>6 cápsulas</t>
  </si>
  <si>
    <t>1 Microinformativo cada hora</t>
  </si>
  <si>
    <t>Cada cápsula consiste de: Auspicio + información de 30"</t>
  </si>
  <si>
    <t>(13 por día)</t>
  </si>
  <si>
    <t>1 mención en Euforia</t>
  </si>
  <si>
    <t>+ 1 cuña de 30"</t>
  </si>
  <si>
    <t>1 cuña en Euforia</t>
  </si>
  <si>
    <t>1 cuña rotativa diaria</t>
  </si>
  <si>
    <t>Cada Micro consiste de:</t>
  </si>
  <si>
    <t>1 mención en El Aguacate</t>
  </si>
  <si>
    <t>Ej. Un consejo de Salud, Tips de Seguridad Vial, etc</t>
  </si>
  <si>
    <t>1 Auspicio + 1 cuña de 30 seg</t>
  </si>
  <si>
    <t>1 cuña en El Aguacate</t>
  </si>
  <si>
    <t>3 cuñas rotativas</t>
  </si>
  <si>
    <t>CUÑAS ROTATIVAS</t>
  </si>
  <si>
    <t>Lunes a Viernes de 09h00 a 12h00 / 13h00 a 17h00</t>
  </si>
  <si>
    <t>Segundos</t>
  </si>
  <si>
    <t>50"</t>
  </si>
  <si>
    <t>$ 7.00</t>
  </si>
  <si>
    <t>$ 9.00</t>
  </si>
  <si>
    <t>$ 11.00</t>
  </si>
  <si>
    <t>$ 13.00</t>
  </si>
  <si>
    <t>$ 17.00</t>
  </si>
  <si>
    <t xml:space="preserve">Suministros de Oficinas </t>
  </si>
  <si>
    <t xml:space="preserve">Suministros de Limpieza </t>
  </si>
  <si>
    <t xml:space="preserve">total </t>
  </si>
  <si>
    <t>Carpetas</t>
  </si>
  <si>
    <t>Escobas</t>
  </si>
  <si>
    <t>Esferos</t>
  </si>
  <si>
    <t>Valdes</t>
  </si>
  <si>
    <t>Clip standár (cajas)</t>
  </si>
  <si>
    <t>Desinfectantes( galones)</t>
  </si>
  <si>
    <t>Hojas A4</t>
  </si>
  <si>
    <t>Jabón liquido</t>
  </si>
  <si>
    <t>Grapadora</t>
  </si>
  <si>
    <t xml:space="preserve">Trapeadores tipo escoba </t>
  </si>
  <si>
    <t>Perforadora</t>
  </si>
  <si>
    <t xml:space="preserve">Jergas ( mopa para limp. Pisos) </t>
  </si>
  <si>
    <t>Correctores</t>
  </si>
  <si>
    <t xml:space="preserve">Cloro </t>
  </si>
  <si>
    <t>Toners de impresora</t>
  </si>
  <si>
    <t xml:space="preserve">Franela </t>
  </si>
  <si>
    <t>Recarga de Toners</t>
  </si>
  <si>
    <t>Fundas de basura</t>
  </si>
  <si>
    <t>Resaltadoes</t>
  </si>
  <si>
    <t>Tachos de basura 80x40x60 cm para exteriores, de plástico reforzado, con ruedas</t>
  </si>
  <si>
    <t>Marcadores ( caja)</t>
  </si>
  <si>
    <t>Detergente</t>
  </si>
  <si>
    <t>Borrador</t>
  </si>
  <si>
    <t xml:space="preserve">Jabon de tocador </t>
  </si>
  <si>
    <t>Vinchas de carpetas</t>
  </si>
  <si>
    <t xml:space="preserve">Sobres Manila F2,F3,F4,F5 </t>
  </si>
  <si>
    <t>Lapices HB</t>
  </si>
  <si>
    <t>Rollo de papel para emision de factura</t>
  </si>
  <si>
    <t>Grapas (cajas)</t>
  </si>
  <si>
    <t>Saca grapas</t>
  </si>
  <si>
    <t>Reglas</t>
  </si>
  <si>
    <t>Botellones de agua</t>
  </si>
  <si>
    <t xml:space="preserve">Papel higienico (Jumbo 12 unidades) </t>
  </si>
  <si>
    <t>Valor</t>
  </si>
  <si>
    <t>EGRESOS</t>
  </si>
  <si>
    <t>Enero</t>
  </si>
  <si>
    <t xml:space="preserve">Gastos  por servicios Basicos </t>
  </si>
  <si>
    <t>Gastos / Ventas</t>
  </si>
  <si>
    <t xml:space="preserve">Gasto en Materia Prima </t>
  </si>
  <si>
    <t xml:space="preserve">Total de Egresos </t>
  </si>
  <si>
    <t>Febrero</t>
  </si>
  <si>
    <t>Egresos</t>
  </si>
  <si>
    <t>Saldo</t>
  </si>
  <si>
    <t xml:space="preserve">Saldo Acumulado </t>
  </si>
  <si>
    <t xml:space="preserve">Capital de Trabajo </t>
  </si>
  <si>
    <t>Inversion Inicial</t>
  </si>
  <si>
    <t>Capital de trabajo</t>
  </si>
  <si>
    <t>Inversión Total</t>
  </si>
  <si>
    <t>Capital propio</t>
  </si>
  <si>
    <t xml:space="preserve">Prestamo </t>
  </si>
  <si>
    <t>Tasa</t>
  </si>
  <si>
    <t>Nper</t>
  </si>
  <si>
    <t xml:space="preserve">Saldo Capital </t>
  </si>
  <si>
    <t>Amortizacion</t>
  </si>
  <si>
    <t>Interes</t>
  </si>
  <si>
    <t>Cuota</t>
  </si>
  <si>
    <t>Amortización Intangible</t>
  </si>
  <si>
    <t>TABLA DE IMPUESTO A LA RENTA</t>
  </si>
  <si>
    <t>AÑO 2011</t>
  </si>
  <si>
    <t>AÑO 2012</t>
  </si>
  <si>
    <t xml:space="preserve">AÑO 2013 EN ADELANTE </t>
  </si>
  <si>
    <t>Tasa de Crecimiento Promedio</t>
  </si>
  <si>
    <t>Inflacion Anual</t>
  </si>
  <si>
    <t>Tasa de crecimiento + Inflación Anual</t>
  </si>
  <si>
    <t>Tabla N.- 26:Estado de Pérdidas y Ganancias</t>
  </si>
  <si>
    <t>ESTADO DE PERDIDAS Y GANANCIAS</t>
  </si>
  <si>
    <t>(-) Costo de Venta</t>
  </si>
  <si>
    <t xml:space="preserve">Margen Bruto </t>
  </si>
  <si>
    <t>(-) Gastos Operacionales</t>
  </si>
  <si>
    <t>Amortización (de intangibles)</t>
  </si>
  <si>
    <t>Depreciación (de activos fijos)</t>
  </si>
  <si>
    <t>Gastos de Venta</t>
  </si>
  <si>
    <t>(=) Utilidad Operacional</t>
  </si>
  <si>
    <t>(-) Gastos No Operacionales</t>
  </si>
  <si>
    <t>Gastos Financieros (intereses sobre prestamos)</t>
  </si>
  <si>
    <t>(=) Utilidad antes de Part. Trab. E Impuestos</t>
  </si>
  <si>
    <t>(-) 15% Participación de Trabajadores</t>
  </si>
  <si>
    <t xml:space="preserve">(=) Utilidad antes de Impuestos y Reserva Legal </t>
  </si>
  <si>
    <t>(-) 10% Reserva Legal</t>
  </si>
  <si>
    <t>(=) Utilidad antes de Impuestos</t>
  </si>
  <si>
    <t>(-) 23% Impuesto a la Renta</t>
  </si>
  <si>
    <t>(=) UTILIDAD NETA</t>
  </si>
  <si>
    <t>Tabla N.- 27 : Flujo de Caja</t>
  </si>
  <si>
    <t xml:space="preserve">FLUJO DE CAJA </t>
  </si>
  <si>
    <t>Tabla N.- 29:Tasa Interna de Retorno</t>
  </si>
  <si>
    <t>TIR</t>
  </si>
  <si>
    <t>(+) Amortización (de Intangibles)</t>
  </si>
  <si>
    <t>(+) Depreciacion (de activos fijos)</t>
  </si>
  <si>
    <t>(-) Inversión</t>
  </si>
  <si>
    <t>(+) Préstamo</t>
  </si>
  <si>
    <t>(-) Amortización Capital del Prestamo</t>
  </si>
  <si>
    <t>(-) Capital de Trabajo</t>
  </si>
  <si>
    <t>(+) Recuperación Capital de Trabj.</t>
  </si>
  <si>
    <t>(+) Valor de Desecho</t>
  </si>
  <si>
    <t>(=) Flujo Neto Efectivo</t>
  </si>
  <si>
    <t xml:space="preserve"> Ke (TMAR)</t>
  </si>
  <si>
    <t>VAN</t>
  </si>
  <si>
    <t>Ke</t>
  </si>
  <si>
    <t>PayBack</t>
  </si>
  <si>
    <t>Flujo de Efectivo</t>
  </si>
  <si>
    <t>Flujo de Efectivo Descontado</t>
  </si>
  <si>
    <t>Flujo de Efectivo Dsctado. Acumulado</t>
  </si>
  <si>
    <t>TMAR</t>
  </si>
  <si>
    <t>ke=</t>
  </si>
  <si>
    <t>Rentabilidad exigida Capital propio</t>
  </si>
  <si>
    <t>rf=</t>
  </si>
  <si>
    <t xml:space="preserve">Tasa Libre de riesgo </t>
  </si>
  <si>
    <t>http://www.portfoliopersonal.com/Tasa_Interes/hTB_TIR.asp</t>
  </si>
  <si>
    <t>rm=</t>
  </si>
  <si>
    <t xml:space="preserve">Tasa de rentabilidad del mercado </t>
  </si>
  <si>
    <t>http://finance.yahoo.com/q/ta?s=MCD+Basic+Tech.+Analysis      (MAC DONALD`S)</t>
  </si>
  <si>
    <t>Riesgo  pais</t>
  </si>
  <si>
    <t>http://www.bce.fin.ec/resumen_ticker.php?ticker_value=riesgo_pais</t>
  </si>
  <si>
    <t>B=</t>
  </si>
  <si>
    <t xml:space="preserve">Beta </t>
  </si>
  <si>
    <t>http://finance.yahoo.com/q/ks?s=MCD+Key+Statistics</t>
  </si>
  <si>
    <t xml:space="preserve">Riesgo País </t>
  </si>
  <si>
    <t>Fecha</t>
  </si>
  <si>
    <t xml:space="preserve">Valor </t>
  </si>
  <si>
    <r>
      <t>Enero-09-2012</t>
    </r>
    <r>
      <rPr>
        <sz val="10"/>
        <color theme="1"/>
        <rFont val="Calibri"/>
        <family val="2"/>
        <scheme val="minor"/>
      </rPr>
      <t xml:space="preserve"> </t>
    </r>
  </si>
  <si>
    <t>tmar = CAPM</t>
  </si>
  <si>
    <t>Re = rf + b (rm –  rf )</t>
  </si>
  <si>
    <t>Enero-08-2012</t>
  </si>
  <si>
    <t>Re</t>
  </si>
  <si>
    <t>capm</t>
  </si>
  <si>
    <t>ESTRUCTURA DE CAPITAL</t>
  </si>
  <si>
    <t>Enero-07-2012</t>
  </si>
  <si>
    <t>Rd</t>
  </si>
  <si>
    <t xml:space="preserve">CAPITAL </t>
  </si>
  <si>
    <t>Enero-062012</t>
  </si>
  <si>
    <t>Rf</t>
  </si>
  <si>
    <t>DEUDA</t>
  </si>
  <si>
    <t>Enero-05-2012</t>
  </si>
  <si>
    <t>Rm</t>
  </si>
  <si>
    <t>Enero-04-2012</t>
  </si>
  <si>
    <t>Beta</t>
  </si>
  <si>
    <t>Enero-03-2012</t>
  </si>
  <si>
    <t>Riesgo País</t>
  </si>
  <si>
    <t>Enero-02-2012</t>
  </si>
  <si>
    <t xml:space="preserve">Tasa Fiscal </t>
  </si>
  <si>
    <t>Enero-01-2012</t>
  </si>
  <si>
    <t>Diciembre-31-2011</t>
  </si>
  <si>
    <t>WACC</t>
  </si>
  <si>
    <t>ccpp</t>
  </si>
  <si>
    <t>Diciembre-30-2011</t>
  </si>
  <si>
    <t>Diciembre-29-2011</t>
  </si>
  <si>
    <t>Diciembre-28-2011</t>
  </si>
  <si>
    <t>Diciembre-27-2011</t>
  </si>
  <si>
    <t>Diciembre-26-2011</t>
  </si>
  <si>
    <t>Diciembre-25-2011</t>
  </si>
  <si>
    <t>Diciembre-24-2011</t>
  </si>
  <si>
    <t>Diciembre-23-2011</t>
  </si>
  <si>
    <t>Diciembre-22-2011</t>
  </si>
  <si>
    <t>Diciembre-21-2011</t>
  </si>
  <si>
    <t>Diciembre-20-2011</t>
  </si>
  <si>
    <t>Diciembre-19-2011</t>
  </si>
  <si>
    <t>Diciembre-18-2011</t>
  </si>
  <si>
    <t>Diciembre-17-2011</t>
  </si>
  <si>
    <t>Diciembre-16-2011</t>
  </si>
  <si>
    <t>Diciembre-15-2011</t>
  </si>
  <si>
    <t>Diciembre-14-2011</t>
  </si>
  <si>
    <t>Diciembre-13-2011</t>
  </si>
  <si>
    <t>Diciembre-12-2011</t>
  </si>
  <si>
    <t>Diciembre-11-2011</t>
  </si>
  <si>
    <t xml:space="preserve">Maximo </t>
  </si>
  <si>
    <t xml:space="preserve">Minimo </t>
  </si>
  <si>
    <t xml:space="preserve">Promedio </t>
  </si>
  <si>
    <t xml:space="preserve">Puntos Bases </t>
  </si>
  <si>
    <t xml:space="preserve"> </t>
  </si>
  <si>
    <t>VARIACION DE LOS INGRESOS</t>
  </si>
  <si>
    <t>VARIACION DE LOS COSTOS</t>
  </si>
  <si>
    <t>Poblacion Urbana de Guayaquil</t>
  </si>
  <si>
    <t xml:space="preserve">Ingresos </t>
  </si>
  <si>
    <t>Precio</t>
  </si>
  <si>
    <t>descuento</t>
  </si>
  <si>
    <t>Descuento</t>
  </si>
  <si>
    <t>Gastos de Constitución</t>
  </si>
  <si>
    <t>Jefe de Produccion</t>
  </si>
  <si>
    <t>Jefe Financiero</t>
  </si>
  <si>
    <t>Jefe Marketing</t>
  </si>
  <si>
    <t>Auxiliar</t>
  </si>
  <si>
    <t>promotores/publicidad</t>
  </si>
  <si>
    <t>Materia Prima (mensual)</t>
  </si>
  <si>
    <t>Unidad de Medida</t>
  </si>
  <si>
    <t>($)por unidad de Medida</t>
  </si>
  <si>
    <t>Total en ($)</t>
  </si>
  <si>
    <t>%</t>
  </si>
  <si>
    <t xml:space="preserve">Té </t>
  </si>
  <si>
    <t>Total Materia Prima Mensual</t>
  </si>
  <si>
    <t>TOTAL ANUAL</t>
  </si>
  <si>
    <t xml:space="preserve">crecimiento mensual </t>
  </si>
  <si>
    <t xml:space="preserve">Proveedores </t>
  </si>
  <si>
    <t>30 dias plazo (35%)</t>
  </si>
  <si>
    <t>60 plazo (25%)</t>
  </si>
  <si>
    <t xml:space="preserve">  Precios de Materia Prima</t>
  </si>
  <si>
    <t>Producto</t>
  </si>
  <si>
    <t xml:space="preserve">Precio </t>
  </si>
  <si>
    <t xml:space="preserve">Higo fresco </t>
  </si>
  <si>
    <t>250gr</t>
  </si>
  <si>
    <t>Azucar</t>
  </si>
  <si>
    <t>240gr</t>
  </si>
  <si>
    <t>Pectina</t>
  </si>
  <si>
    <t>12g</t>
  </si>
  <si>
    <t xml:space="preserve">Acido citrico </t>
  </si>
  <si>
    <t>0,128gr</t>
  </si>
  <si>
    <t xml:space="preserve">Benzoato de sodio </t>
  </si>
  <si>
    <t>0,02 gr</t>
  </si>
  <si>
    <t>contado (100%)</t>
  </si>
  <si>
    <t>Credito (0%)</t>
  </si>
  <si>
    <t>Kg</t>
  </si>
  <si>
    <t>Equipo de Oficina</t>
  </si>
  <si>
    <t>Sistema de Seguridad</t>
  </si>
  <si>
    <t>Equipos de Comunicación</t>
  </si>
  <si>
    <t>Cortadora</t>
  </si>
  <si>
    <t>etiquetadora y selladora</t>
  </si>
  <si>
    <t>olla industrial</t>
  </si>
  <si>
    <t xml:space="preserve">desidratador de frutas </t>
  </si>
  <si>
    <t xml:space="preserve">Computador Pc Intel </t>
  </si>
  <si>
    <t>Deuda (50%)</t>
  </si>
  <si>
    <t xml:space="preserve"> años Recuperacion de Capital</t>
  </si>
  <si>
    <t xml:space="preserve">INGRESOS </t>
  </si>
  <si>
    <t xml:space="preserve">COSTO </t>
  </si>
  <si>
    <t>Análisis Sensibilidad respecto a Ingresos</t>
  </si>
  <si>
    <t>RESULTADO</t>
  </si>
  <si>
    <t>VARIACIÓN</t>
  </si>
  <si>
    <t>FACTIBLE</t>
  </si>
  <si>
    <t>Análisis Sensibilidad respecto a Costos</t>
  </si>
  <si>
    <t>Envases</t>
  </si>
  <si>
    <t>frascos</t>
  </si>
  <si>
    <t>Ingresos promedio</t>
  </si>
  <si>
    <t>Tasa de crecimiento de la industria</t>
  </si>
  <si>
    <t>LUGAR</t>
  </si>
  <si>
    <t>% Distribucion</t>
  </si>
  <si>
    <t>Cantidad de venta</t>
  </si>
  <si>
    <t>Poblacion total Guayaquil</t>
  </si>
  <si>
    <t>mercado final objetivo</t>
  </si>
  <si>
    <t>DATOS</t>
  </si>
  <si>
    <t>VALORES</t>
  </si>
  <si>
    <t>Valor $ ventas</t>
  </si>
  <si>
    <t>descuento especial</t>
  </si>
  <si>
    <t>incremento anual</t>
  </si>
  <si>
    <t>Ing despues descuento</t>
  </si>
  <si>
    <t>Ing. Despues descto</t>
  </si>
  <si>
    <t xml:space="preserve"> Utilidad antes de Impuestos</t>
  </si>
  <si>
    <t xml:space="preserve">Utilidad antes de Impuestos y Reserva Legal </t>
  </si>
  <si>
    <t>Utilidad antes de Part. Trab. E Impuestos</t>
  </si>
  <si>
    <t>Gastos No Operacionales</t>
  </si>
  <si>
    <t>Utilidad Operacional</t>
  </si>
  <si>
    <t>Gastos Operacionales</t>
  </si>
  <si>
    <t>UTILIDAD NETA</t>
  </si>
  <si>
    <t>unidades vendidas</t>
  </si>
  <si>
    <t>ingresos totales</t>
  </si>
  <si>
    <t>cotos variable</t>
  </si>
  <si>
    <t>cosot fijo</t>
  </si>
  <si>
    <t>Cantidad de equilibrio</t>
  </si>
  <si>
    <t>valor monetario del equilibrio</t>
  </si>
  <si>
    <t>NO FACTIBLE</t>
  </si>
  <si>
    <t>Maquinaria</t>
  </si>
  <si>
    <t>Bodega</t>
  </si>
  <si>
    <t>Garantia de la bodega</t>
  </si>
  <si>
    <t>Instalaciones y equipos electricos</t>
  </si>
  <si>
    <t>Equipo de oficina</t>
  </si>
  <si>
    <t>Sistema de seguridad</t>
  </si>
  <si>
    <t>Equipos de comunicación</t>
  </si>
  <si>
    <t xml:space="preserve">                                   INVERSION INICIAL</t>
  </si>
  <si>
    <t xml:space="preserve">                                               DEMANDA </t>
  </si>
  <si>
    <t>AñoS</t>
  </si>
  <si>
    <t>Poblacion objetivo</t>
  </si>
  <si>
    <t>Ventas maximas</t>
  </si>
  <si>
    <t>Ventas mensuales</t>
  </si>
  <si>
    <t xml:space="preserve">                                             Tabla de descuento</t>
  </si>
  <si>
    <t>PROYECCION INGRESOS ANUAL</t>
  </si>
  <si>
    <t>PROYECCION DE INGRESOS MENSUAL</t>
  </si>
  <si>
    <t>PROYECCION DE EGRESOS MENSUAL</t>
  </si>
  <si>
    <r>
      <t xml:space="preserve">                                                                                                                                                                                                          </t>
    </r>
    <r>
      <rPr>
        <b/>
        <sz val="11"/>
        <color theme="1"/>
        <rFont val="Calibri"/>
        <family val="2"/>
        <scheme val="minor"/>
      </rPr>
      <t xml:space="preserve"> GASTOS DE SERVICIOS BASICOS</t>
    </r>
    <r>
      <rPr>
        <sz val="11"/>
        <color theme="1"/>
        <rFont val="Calibri"/>
        <family val="2"/>
        <scheme val="minor"/>
      </rPr>
      <t xml:space="preserve"> </t>
    </r>
  </si>
  <si>
    <r>
      <t xml:space="preserve">                                                                             </t>
    </r>
    <r>
      <rPr>
        <b/>
        <sz val="11"/>
        <color theme="1"/>
        <rFont val="Calibri"/>
        <family val="2"/>
        <scheme val="minor"/>
      </rPr>
      <t xml:space="preserve"> DEPRECIACION</t>
    </r>
  </si>
  <si>
    <t>DEPRECIACION ANUAL</t>
  </si>
  <si>
    <t>www.bce.fin.ec</t>
  </si>
  <si>
    <t xml:space="preserve">       TASA DE INTERES ACTIVA </t>
  </si>
  <si>
    <r>
      <t xml:space="preserve">           </t>
    </r>
    <r>
      <rPr>
        <b/>
        <sz val="10"/>
        <color indexed="8"/>
        <rFont val="Arial"/>
        <family val="2"/>
      </rPr>
      <t xml:space="preserve"> TRAMITES LEGALES</t>
    </r>
    <r>
      <rPr>
        <sz val="10"/>
        <color indexed="8"/>
        <rFont val="Arial"/>
        <family val="2"/>
      </rPr>
      <t xml:space="preserve"> </t>
    </r>
  </si>
  <si>
    <r>
      <t>T</t>
    </r>
    <r>
      <rPr>
        <sz val="10"/>
        <rFont val="Cambria"/>
        <family val="1"/>
        <scheme val="major"/>
      </rPr>
      <t>ABLA DE IMPUESTO A LA RENTA</t>
    </r>
  </si>
  <si>
    <t>COSTO</t>
  </si>
  <si>
    <t xml:space="preserve">VALOR TOTAL </t>
  </si>
  <si>
    <t>MESES</t>
  </si>
  <si>
    <t>Mediante los estudios realizados nos hemos dado cuenta que nuestras ventas maximas podrian ser las presentadas en la tabla. Pero como sabemos tambien que el HIGO no es un producto de consumo masivo hemos decidido producir un porcentaje de estas ventas maximas este porcentaje esta representado por el nivel de aceptacion que tenemos de acuerdo a las encuestas relaizadas al final la empresa produciria 49887 frascos al año.</t>
  </si>
</sst>
</file>

<file path=xl/styles.xml><?xml version="1.0" encoding="utf-8"?>
<styleSheet xmlns="http://schemas.openxmlformats.org/spreadsheetml/2006/main">
  <numFmts count="13">
    <numFmt numFmtId="6" formatCode="&quot;$&quot;\ #,##0_);[Red]\(&quot;$&quot;\ #,##0\)"/>
    <numFmt numFmtId="8" formatCode="&quot;$&quot;\ #,##0.00_);[Red]\(&quot;$&quot;\ #,##0.00\)"/>
    <numFmt numFmtId="44" formatCode="_(&quot;$&quot;\ * #,##0.00_);_(&quot;$&quot;\ * \(#,##0.00\);_(&quot;$&quot;\ * &quot;-&quot;??_);_(@_)"/>
    <numFmt numFmtId="43" formatCode="_(* #,##0.00_);_(* \(#,##0.00\);_(* &quot;-&quot;??_);_(@_)"/>
    <numFmt numFmtId="164" formatCode="0.0%"/>
    <numFmt numFmtId="165" formatCode="[$$-300A]\ #,##0.00"/>
    <numFmt numFmtId="166" formatCode="_(* #,##0_);_(* \(#,##0\);_(* &quot;-&quot;??_);_(@_)"/>
    <numFmt numFmtId="167" formatCode="_-* #,##0.00\ _€_-;\-* #,##0.00\ _€_-;_-* &quot;-&quot;??\ _€_-;_-@_-"/>
    <numFmt numFmtId="168" formatCode="_-[$$-300A]\ * #,##0.00_ ;_-[$$-300A]\ * \-#,##0.00\ ;_-[$$-300A]\ * &quot;-&quot;??_ ;_-@_ "/>
    <numFmt numFmtId="169" formatCode="[$$-300A]\ #,##0"/>
    <numFmt numFmtId="170" formatCode="_-* #,##0\ _€_-;\-* #,##0\ _€_-;_-* &quot;-&quot;??\ _€_-;_-@_-"/>
    <numFmt numFmtId="171" formatCode="&quot;$&quot;\ #,##0.00"/>
    <numFmt numFmtId="172" formatCode="&quot;$&quot;\ #,##0;[Red]&quot;$&quot;\ \-#,##0"/>
  </numFmts>
  <fonts count="7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8"/>
      <color indexed="81"/>
      <name val="Tahoma"/>
      <family val="2"/>
    </font>
    <font>
      <sz val="8"/>
      <color indexed="81"/>
      <name val="Tahoma"/>
      <family val="2"/>
    </font>
    <font>
      <b/>
      <i/>
      <sz val="11"/>
      <color theme="1"/>
      <name val="Calibri"/>
      <family val="2"/>
      <scheme val="minor"/>
    </font>
    <font>
      <sz val="11"/>
      <color indexed="8"/>
      <name val="Calibri"/>
      <family val="2"/>
    </font>
    <font>
      <b/>
      <sz val="10"/>
      <color indexed="8"/>
      <name val="Calibri"/>
      <family val="2"/>
    </font>
    <font>
      <b/>
      <sz val="11"/>
      <color indexed="8"/>
      <name val="Calibri"/>
      <family val="2"/>
    </font>
    <font>
      <sz val="10"/>
      <name val="Arial"/>
      <family val="2"/>
    </font>
    <font>
      <b/>
      <sz val="11"/>
      <color rgb="FF000000"/>
      <name val="Calibri"/>
      <family val="2"/>
      <scheme val="minor"/>
    </font>
    <font>
      <sz val="11"/>
      <color rgb="FF000000"/>
      <name val="Calibri"/>
      <family val="2"/>
      <scheme val="minor"/>
    </font>
    <font>
      <b/>
      <sz val="11"/>
      <color rgb="FFFF0000"/>
      <name val="Calibri"/>
      <family val="2"/>
      <scheme val="minor"/>
    </font>
    <font>
      <b/>
      <i/>
      <sz val="9"/>
      <color rgb="FF548DD4"/>
      <name val="Times New Roman"/>
      <family val="1"/>
    </font>
    <font>
      <b/>
      <sz val="10"/>
      <color theme="1"/>
      <name val="Arial"/>
      <family val="2"/>
    </font>
    <font>
      <sz val="10"/>
      <color theme="1"/>
      <name val="Arial"/>
      <family val="2"/>
    </font>
    <font>
      <sz val="9"/>
      <color theme="1"/>
      <name val="Verdana"/>
      <family val="2"/>
    </font>
    <font>
      <sz val="8"/>
      <color rgb="FF000000"/>
      <name val="Verdana"/>
      <family val="2"/>
    </font>
    <font>
      <b/>
      <sz val="11"/>
      <name val="Calibri"/>
      <family val="2"/>
    </font>
    <font>
      <b/>
      <i/>
      <sz val="11"/>
      <color indexed="8"/>
      <name val="Calibri"/>
      <family val="2"/>
    </font>
    <font>
      <b/>
      <sz val="10"/>
      <name val="Arial"/>
      <family val="2"/>
    </font>
    <font>
      <b/>
      <i/>
      <sz val="11"/>
      <name val="Calibri"/>
      <family val="2"/>
    </font>
    <font>
      <b/>
      <i/>
      <sz val="10"/>
      <name val="Arial"/>
      <family val="2"/>
    </font>
    <font>
      <u/>
      <sz val="11"/>
      <color theme="10"/>
      <name val="Calibri"/>
      <family val="2"/>
    </font>
    <font>
      <sz val="11"/>
      <name val="Calibri"/>
      <family val="2"/>
      <scheme val="minor"/>
    </font>
    <font>
      <b/>
      <sz val="11"/>
      <name val="Calibri"/>
      <family val="2"/>
      <scheme val="minor"/>
    </font>
    <font>
      <sz val="11"/>
      <color rgb="FF24D20C"/>
      <name val="Calibri"/>
      <family val="2"/>
      <scheme val="minor"/>
    </font>
    <font>
      <b/>
      <sz val="11"/>
      <color rgb="FFFFC000"/>
      <name val="Calibri"/>
      <family val="2"/>
      <scheme val="minor"/>
    </font>
    <font>
      <u/>
      <sz val="11"/>
      <color theme="10"/>
      <name val="Calibri"/>
      <family val="2"/>
      <scheme val="minor"/>
    </font>
    <font>
      <sz val="10"/>
      <color indexed="8"/>
      <name val="Arial"/>
      <family val="2"/>
    </font>
    <font>
      <b/>
      <sz val="10"/>
      <color indexed="8"/>
      <name val="Arial"/>
      <family val="2"/>
    </font>
    <font>
      <b/>
      <sz val="10"/>
      <color rgb="FFFF0000"/>
      <name val="Arial"/>
      <family val="2"/>
    </font>
    <font>
      <sz val="10"/>
      <color theme="1"/>
      <name val="Cambria"/>
      <family val="1"/>
      <scheme val="major"/>
    </font>
    <font>
      <sz val="10"/>
      <name val="Cambria"/>
      <family val="1"/>
      <scheme val="major"/>
    </font>
    <font>
      <b/>
      <sz val="11"/>
      <color theme="3" tint="0.39997558519241921"/>
      <name val="Calibri"/>
      <family val="2"/>
      <scheme val="minor"/>
    </font>
    <font>
      <b/>
      <sz val="9"/>
      <color theme="0"/>
      <name val="Albertus Medium"/>
      <family val="2"/>
    </font>
    <font>
      <sz val="9"/>
      <color theme="1"/>
      <name val="Albertus Medium"/>
      <family val="2"/>
    </font>
    <font>
      <sz val="9"/>
      <color theme="1"/>
      <name val="Calibri"/>
      <family val="2"/>
      <scheme val="minor"/>
    </font>
    <font>
      <sz val="9"/>
      <color theme="0"/>
      <name val="Albertus Medium"/>
      <family val="2"/>
    </font>
    <font>
      <b/>
      <i/>
      <sz val="8"/>
      <color rgb="FF548DD4"/>
      <name val="Times New Roman"/>
      <family val="1"/>
    </font>
    <font>
      <sz val="8"/>
      <color theme="1"/>
      <name val="Calibri"/>
      <family val="2"/>
      <scheme val="minor"/>
    </font>
    <font>
      <b/>
      <i/>
      <sz val="11"/>
      <color theme="3" tint="0.39997558519241921"/>
      <name val="Calibri"/>
      <family val="2"/>
      <scheme val="minor"/>
    </font>
    <font>
      <sz val="11"/>
      <color theme="3" tint="0.39997558519241921"/>
      <name val="Calibri"/>
      <family val="2"/>
      <scheme val="minor"/>
    </font>
    <font>
      <sz val="9"/>
      <color indexed="8"/>
      <name val="Arial"/>
      <family val="2"/>
    </font>
    <font>
      <b/>
      <sz val="9"/>
      <color indexed="8"/>
      <name val="Arial"/>
      <family val="2"/>
    </font>
    <font>
      <b/>
      <i/>
      <sz val="11"/>
      <color indexed="8"/>
      <name val="Calibri"/>
      <family val="2"/>
      <scheme val="minor"/>
    </font>
    <font>
      <b/>
      <i/>
      <sz val="9"/>
      <color indexed="8"/>
      <name val="Arial"/>
      <family val="2"/>
    </font>
    <font>
      <sz val="10"/>
      <color rgb="FF820024"/>
      <name val="Verdana"/>
      <family val="2"/>
    </font>
    <font>
      <sz val="10"/>
      <color theme="1"/>
      <name val="Calibri"/>
      <family val="2"/>
      <scheme val="minor"/>
    </font>
    <font>
      <b/>
      <sz val="10"/>
      <color indexed="8"/>
      <name val="Comic Sans MS"/>
      <family val="4"/>
    </font>
    <font>
      <b/>
      <sz val="9"/>
      <color rgb="FFFF0000"/>
      <name val="Comic Sans MS"/>
      <family val="4"/>
    </font>
    <font>
      <b/>
      <sz val="10"/>
      <color rgb="FF820024"/>
      <name val="Verdana"/>
      <family val="2"/>
    </font>
    <font>
      <b/>
      <sz val="9"/>
      <color theme="0"/>
      <name val="Calibri"/>
      <family val="2"/>
      <scheme val="minor"/>
    </font>
    <font>
      <sz val="9"/>
      <color theme="0"/>
      <name val="Calibri"/>
      <family val="2"/>
      <scheme val="minor"/>
    </font>
    <font>
      <b/>
      <sz val="14"/>
      <color theme="5" tint="-0.249977111117893"/>
      <name val="Arial Rounded MT Bold"/>
      <family val="2"/>
    </font>
    <font>
      <b/>
      <sz val="12"/>
      <color rgb="FFFF0000"/>
      <name val="Calibri"/>
      <family val="2"/>
      <scheme val="minor"/>
    </font>
    <font>
      <sz val="16"/>
      <color theme="1"/>
      <name val="Calibri"/>
      <family val="2"/>
      <scheme val="minor"/>
    </font>
    <font>
      <b/>
      <i/>
      <sz val="11"/>
      <color theme="1"/>
      <name val="Calibri"/>
      <family val="2"/>
    </font>
    <font>
      <b/>
      <sz val="12"/>
      <color rgb="FF6666FF"/>
      <name val="Arial"/>
      <family val="2"/>
    </font>
    <font>
      <b/>
      <i/>
      <sz val="10"/>
      <name val="Bell MT"/>
      <family val="1"/>
    </font>
    <font>
      <b/>
      <sz val="11"/>
      <color theme="1"/>
      <name val="Bell MT"/>
      <family val="1"/>
    </font>
    <font>
      <sz val="11"/>
      <name val="Bell MT"/>
      <family val="1"/>
    </font>
    <font>
      <sz val="10"/>
      <name val="Bell MT"/>
      <family val="1"/>
    </font>
    <font>
      <b/>
      <sz val="12"/>
      <color theme="1"/>
      <name val="Calibri"/>
      <family val="2"/>
      <scheme val="minor"/>
    </font>
    <font>
      <b/>
      <i/>
      <sz val="12"/>
      <color theme="1"/>
      <name val="Calibri"/>
      <family val="2"/>
      <scheme val="minor"/>
    </font>
    <font>
      <sz val="12"/>
      <color theme="1"/>
      <name val="Calibri"/>
      <family val="2"/>
      <scheme val="minor"/>
    </font>
    <font>
      <b/>
      <sz val="14"/>
      <color theme="6" tint="0.39997558519241921"/>
      <name val="Arial Rounded MT Bold"/>
      <family val="2"/>
    </font>
    <font>
      <b/>
      <sz val="10"/>
      <color theme="1"/>
      <name val="Calibri"/>
      <family val="2"/>
      <scheme val="minor"/>
    </font>
    <font>
      <b/>
      <sz val="10"/>
      <color theme="3" tint="0.39997558519241921"/>
      <name val="Calibri"/>
      <family val="2"/>
      <scheme val="minor"/>
    </font>
    <font>
      <b/>
      <sz val="10"/>
      <name val="Cambria"/>
      <family val="1"/>
      <scheme val="major"/>
    </font>
  </fonts>
  <fills count="3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FF66"/>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6666"/>
        <bgColor indexed="64"/>
      </patternFill>
    </fill>
    <fill>
      <patternFill patternType="solid">
        <fgColor rgb="FFDDDDDD"/>
        <bgColor indexed="64"/>
      </patternFill>
    </fill>
    <fill>
      <patternFill patternType="solid">
        <fgColor rgb="FFDA212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66CC"/>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EA9416"/>
        <bgColor indexed="64"/>
      </patternFill>
    </fill>
    <fill>
      <patternFill patternType="solid">
        <fgColor rgb="FFFBF68D"/>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39997558519241921"/>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double">
        <color theme="6" tint="-0.249977111117893"/>
      </left>
      <right/>
      <top style="double">
        <color theme="6" tint="-0.249977111117893"/>
      </top>
      <bottom/>
      <diagonal/>
    </border>
    <border>
      <left style="double">
        <color theme="6" tint="-0.249977111117893"/>
      </left>
      <right style="double">
        <color theme="6" tint="-0.249977111117893"/>
      </right>
      <top style="double">
        <color theme="6" tint="-0.249977111117893"/>
      </top>
      <bottom style="double">
        <color theme="6" tint="-0.249977111117893"/>
      </bottom>
      <diagonal/>
    </border>
    <border>
      <left style="double">
        <color theme="6" tint="-0.249977111117893"/>
      </left>
      <right style="double">
        <color theme="6" tint="-0.249977111117893"/>
      </right>
      <top style="double">
        <color theme="6" tint="-0.249977111117893"/>
      </top>
      <bottom/>
      <diagonal/>
    </border>
    <border>
      <left style="double">
        <color theme="6" tint="-0.249977111117893"/>
      </left>
      <right/>
      <top/>
      <bottom/>
      <diagonal/>
    </border>
    <border>
      <left style="double">
        <color theme="6" tint="-0.249977111117893"/>
      </left>
      <right style="double">
        <color theme="6" tint="-0.249977111117893"/>
      </right>
      <top/>
      <bottom/>
      <diagonal/>
    </border>
    <border>
      <left style="double">
        <color theme="6" tint="-0.249977111117893"/>
      </left>
      <right/>
      <top/>
      <bottom style="double">
        <color theme="6" tint="-0.249977111117893"/>
      </bottom>
      <diagonal/>
    </border>
    <border>
      <left style="double">
        <color theme="6" tint="-0.249977111117893"/>
      </left>
      <right style="double">
        <color theme="6" tint="-0.249977111117893"/>
      </right>
      <top/>
      <bottom style="double">
        <color theme="6" tint="-0.249977111117893"/>
      </bottom>
      <diagonal/>
    </border>
    <border>
      <left/>
      <right style="double">
        <color theme="6" tint="-0.249977111117893"/>
      </right>
      <top/>
      <bottom style="double">
        <color theme="6" tint="-0.249977111117893"/>
      </bottom>
      <diagonal/>
    </border>
    <border>
      <left style="double">
        <color theme="6" tint="-0.249977111117893"/>
      </left>
      <right/>
      <top style="double">
        <color theme="6" tint="-0.249977111117893"/>
      </top>
      <bottom style="double">
        <color theme="6" tint="-0.249977111117893"/>
      </bottom>
      <diagonal/>
    </border>
    <border>
      <left/>
      <right/>
      <top style="double">
        <color theme="6" tint="-0.249977111117893"/>
      </top>
      <bottom style="double">
        <color theme="6" tint="-0.249977111117893"/>
      </bottom>
      <diagonal/>
    </border>
    <border>
      <left/>
      <right style="double">
        <color theme="6" tint="-0.249977111117893"/>
      </right>
      <top style="double">
        <color theme="6" tint="-0.249977111117893"/>
      </top>
      <bottom style="double">
        <color theme="6" tint="-0.249977111117893"/>
      </bottom>
      <diagonal/>
    </border>
    <border>
      <left/>
      <right style="double">
        <color theme="6" tint="-0.249977111117893"/>
      </right>
      <top/>
      <bottom/>
      <diagonal/>
    </border>
    <border>
      <left style="thin">
        <color indexed="64"/>
      </left>
      <right style="thin">
        <color indexed="64"/>
      </right>
      <top style="thin">
        <color indexed="64"/>
      </top>
      <bottom style="thin">
        <color indexed="64"/>
      </bottom>
      <diagonal/>
    </border>
    <border>
      <left/>
      <right style="double">
        <color theme="6" tint="-0.249977111117893"/>
      </right>
      <top style="double">
        <color theme="6" tint="-0.249977111117893"/>
      </top>
      <bottom/>
      <diagonal/>
    </border>
    <border>
      <left/>
      <right/>
      <top/>
      <bottom style="double">
        <color theme="6" tint="-0.249977111117893"/>
      </bottom>
      <diagonal/>
    </border>
    <border>
      <left/>
      <right/>
      <top style="double">
        <color theme="6" tint="-0.249977111117893"/>
      </top>
      <bottom/>
      <diagonal/>
    </border>
    <border>
      <left style="double">
        <color theme="6" tint="-0.249977111117893"/>
      </left>
      <right style="thin">
        <color indexed="64"/>
      </right>
      <top style="double">
        <color theme="6" tint="-0.249977111117893"/>
      </top>
      <bottom style="double">
        <color theme="6" tint="-0.249977111117893"/>
      </bottom>
      <diagonal/>
    </border>
    <border>
      <left style="thin">
        <color indexed="64"/>
      </left>
      <right style="thin">
        <color indexed="64"/>
      </right>
      <top style="double">
        <color theme="6" tint="-0.249977111117893"/>
      </top>
      <bottom style="double">
        <color theme="6" tint="-0.249977111117893"/>
      </bottom>
      <diagonal/>
    </border>
    <border>
      <left style="thin">
        <color indexed="64"/>
      </left>
      <right style="double">
        <color theme="6" tint="-0.249977111117893"/>
      </right>
      <top style="double">
        <color theme="6" tint="-0.249977111117893"/>
      </top>
      <bottom style="double">
        <color theme="6" tint="-0.249977111117893"/>
      </bottom>
      <diagonal/>
    </border>
    <border>
      <left style="double">
        <color theme="6" tint="-0.249977111117893"/>
      </left>
      <right style="double">
        <color theme="6" tint="-0.249977111117893"/>
      </right>
      <top style="double">
        <color theme="6" tint="-0.249977111117893"/>
      </top>
      <bottom style="thin">
        <color indexed="64"/>
      </bottom>
      <diagonal/>
    </border>
    <border>
      <left style="double">
        <color theme="6" tint="-0.249977111117893"/>
      </left>
      <right style="double">
        <color theme="6" tint="-0.249977111117893"/>
      </right>
      <top style="thin">
        <color indexed="64"/>
      </top>
      <bottom/>
      <diagonal/>
    </border>
    <border>
      <left style="double">
        <color theme="6" tint="-0.249977111117893"/>
      </left>
      <right style="double">
        <color theme="6" tint="-0.249977111117893"/>
      </right>
      <top style="thin">
        <color indexed="64"/>
      </top>
      <bottom style="double">
        <color theme="6" tint="-0.24997711111789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double">
        <color theme="6" tint="-0.249977111117893"/>
      </left>
      <right style="thin">
        <color indexed="64"/>
      </right>
      <top style="double">
        <color theme="6" tint="-0.249977111117893"/>
      </top>
      <bottom/>
      <diagonal/>
    </border>
    <border>
      <left style="double">
        <color theme="3" tint="0.39994506668294322"/>
      </left>
      <right style="double">
        <color theme="3" tint="0.39994506668294322"/>
      </right>
      <top style="double">
        <color theme="3" tint="0.39994506668294322"/>
      </top>
      <bottom style="double">
        <color theme="3" tint="0.39994506668294322"/>
      </bottom>
      <diagonal/>
    </border>
    <border>
      <left style="double">
        <color theme="3" tint="0.39994506668294322"/>
      </left>
      <right/>
      <top style="double">
        <color theme="3" tint="0.39994506668294322"/>
      </top>
      <bottom style="double">
        <color theme="3" tint="0.39991454817346722"/>
      </bottom>
      <diagonal/>
    </border>
    <border>
      <left/>
      <right style="double">
        <color theme="3" tint="0.39994506668294322"/>
      </right>
      <top style="double">
        <color theme="3" tint="0.39994506668294322"/>
      </top>
      <bottom style="double">
        <color theme="3" tint="0.39991454817346722"/>
      </bottom>
      <diagonal/>
    </border>
    <border>
      <left style="double">
        <color theme="3" tint="0.39994506668294322"/>
      </left>
      <right style="double">
        <color theme="3" tint="0.39994506668294322"/>
      </right>
      <top style="double">
        <color theme="3" tint="0.39991454817346722"/>
      </top>
      <bottom style="double">
        <color theme="3" tint="0.39994506668294322"/>
      </bottom>
      <diagonal/>
    </border>
    <border>
      <left style="double">
        <color theme="3" tint="0.39994506668294322"/>
      </left>
      <right/>
      <top/>
      <bottom/>
      <diagonal/>
    </border>
    <border>
      <left style="double">
        <color theme="3" tint="0.39994506668294322"/>
      </left>
      <right/>
      <top/>
      <bottom style="double">
        <color theme="3" tint="0.39994506668294322"/>
      </bottom>
      <diagonal/>
    </border>
    <border>
      <left style="double">
        <color theme="3" tint="0.39994506668294322"/>
      </left>
      <right style="double">
        <color theme="3" tint="0.39994506668294322"/>
      </right>
      <top/>
      <bottom/>
      <diagonal/>
    </border>
    <border>
      <left style="double">
        <color theme="3" tint="0.39994506668294322"/>
      </left>
      <right style="double">
        <color theme="3" tint="0.39994506668294322"/>
      </right>
      <top style="double">
        <color theme="3" tint="0.39991454817346722"/>
      </top>
      <bottom style="double">
        <color theme="3" tint="0.39991454817346722"/>
      </bottom>
      <diagonal/>
    </border>
    <border>
      <left style="double">
        <color theme="3" tint="0.39994506668294322"/>
      </left>
      <right style="double">
        <color theme="3" tint="0.39994506668294322"/>
      </right>
      <top style="double">
        <color theme="3" tint="0.39994506668294322"/>
      </top>
      <bottom/>
      <diagonal/>
    </border>
    <border>
      <left style="double">
        <color theme="3" tint="0.39994506668294322"/>
      </left>
      <right style="double">
        <color theme="3" tint="0.39994506668294322"/>
      </right>
      <top/>
      <bottom style="double">
        <color theme="3" tint="0.39994506668294322"/>
      </bottom>
      <diagonal/>
    </border>
    <border>
      <left/>
      <right/>
      <top style="thin">
        <color theme="0" tint="-0.14999847407452621"/>
      </top>
      <bottom style="thin">
        <color theme="0" tint="-0.14999847407452621"/>
      </bottom>
      <diagonal/>
    </border>
    <border>
      <left style="double">
        <color rgb="FF92D050"/>
      </left>
      <right style="double">
        <color rgb="FF92D050"/>
      </right>
      <top style="double">
        <color rgb="FF92D050"/>
      </top>
      <bottom style="double">
        <color rgb="FF92D050"/>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double">
        <color theme="6" tint="-0.249977111117893"/>
      </left>
      <right style="thin">
        <color indexed="64"/>
      </right>
      <top/>
      <bottom style="double">
        <color theme="6" tint="-0.249977111117893"/>
      </bottom>
      <diagonal/>
    </border>
    <border>
      <left style="thin">
        <color indexed="64"/>
      </left>
      <right style="double">
        <color theme="6" tint="-0.249977111117893"/>
      </right>
      <top/>
      <bottom/>
      <diagonal/>
    </border>
  </borders>
  <cellStyleXfs count="9">
    <xf numFmtId="0" fontId="0" fillId="0" borderId="0"/>
    <xf numFmtId="9"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10" fillId="0" borderId="0"/>
    <xf numFmtId="0" fontId="24" fillId="0" borderId="0" applyNumberFormat="0" applyFill="0" applyBorder="0" applyAlignment="0" applyProtection="0">
      <alignment vertical="top"/>
      <protection locked="0"/>
    </xf>
    <xf numFmtId="0" fontId="29" fillId="0" borderId="0" applyNumberFormat="0" applyFill="0" applyBorder="0" applyAlignment="0" applyProtection="0"/>
    <xf numFmtId="0" fontId="10" fillId="0" borderId="0"/>
    <xf numFmtId="43" fontId="1" fillId="0" borderId="0" applyFont="0" applyFill="0" applyBorder="0" applyAlignment="0" applyProtection="0"/>
  </cellStyleXfs>
  <cellXfs count="664">
    <xf numFmtId="0" fontId="0" fillId="0" borderId="0" xfId="0"/>
    <xf numFmtId="0" fontId="0" fillId="2" borderId="0" xfId="0" applyFill="1"/>
    <xf numFmtId="0" fontId="3" fillId="2" borderId="0" xfId="0" applyFont="1" applyFill="1"/>
    <xf numFmtId="9" fontId="0" fillId="0" borderId="0" xfId="0" applyNumberFormat="1"/>
    <xf numFmtId="0" fontId="0" fillId="2" borderId="0" xfId="0" applyFont="1" applyFill="1"/>
    <xf numFmtId="0" fontId="0" fillId="0" borderId="0" xfId="0" applyFont="1"/>
    <xf numFmtId="0" fontId="6" fillId="3" borderId="2" xfId="0" applyFont="1" applyFill="1" applyBorder="1"/>
    <xf numFmtId="0" fontId="6" fillId="3" borderId="3" xfId="0" applyFont="1" applyFill="1" applyBorder="1"/>
    <xf numFmtId="0" fontId="7" fillId="2" borderId="2" xfId="0" applyFont="1" applyFill="1" applyBorder="1" applyAlignment="1">
      <alignment horizontal="left"/>
    </xf>
    <xf numFmtId="43" fontId="7" fillId="2" borderId="5" xfId="2" applyFont="1" applyFill="1" applyBorder="1"/>
    <xf numFmtId="165" fontId="0" fillId="2" borderId="6" xfId="0" applyNumberFormat="1" applyFont="1" applyFill="1" applyBorder="1" applyAlignment="1">
      <alignment horizontal="right" vertical="top" wrapText="1"/>
    </xf>
    <xf numFmtId="8" fontId="0" fillId="2" borderId="0" xfId="0" applyNumberFormat="1" applyFont="1" applyFill="1" applyBorder="1" applyAlignment="1">
      <alignment horizontal="right" vertical="top" wrapText="1"/>
    </xf>
    <xf numFmtId="4" fontId="0" fillId="2" borderId="0" xfId="0" applyNumberFormat="1" applyFont="1" applyFill="1" applyBorder="1" applyAlignment="1">
      <alignment horizontal="right" vertical="top" wrapText="1"/>
    </xf>
    <xf numFmtId="43" fontId="7" fillId="2" borderId="7" xfId="2" applyFont="1" applyFill="1" applyBorder="1"/>
    <xf numFmtId="165" fontId="0" fillId="2" borderId="8" xfId="0" applyNumberFormat="1" applyFont="1" applyFill="1" applyBorder="1" applyAlignment="1">
      <alignment horizontal="right" vertical="top" wrapText="1"/>
    </xf>
    <xf numFmtId="0" fontId="3" fillId="3" borderId="0" xfId="0" applyFont="1" applyFill="1" applyBorder="1" applyAlignment="1">
      <alignment horizontal="right" vertical="top" wrapText="1"/>
    </xf>
    <xf numFmtId="165" fontId="3" fillId="3" borderId="8" xfId="0" applyNumberFormat="1" applyFont="1" applyFill="1" applyBorder="1" applyAlignment="1">
      <alignment horizontal="right" vertical="top" wrapText="1"/>
    </xf>
    <xf numFmtId="0" fontId="0" fillId="2" borderId="0" xfId="0" applyFont="1" applyFill="1" applyBorder="1" applyAlignment="1">
      <alignment horizontal="justify" vertical="top" wrapText="1"/>
    </xf>
    <xf numFmtId="0" fontId="0" fillId="2" borderId="0" xfId="0" applyFont="1" applyFill="1" applyBorder="1" applyAlignment="1">
      <alignment horizontal="center" vertical="top" wrapText="1"/>
    </xf>
    <xf numFmtId="0" fontId="0" fillId="2" borderId="8" xfId="0" applyFont="1" applyFill="1" applyBorder="1" applyAlignment="1">
      <alignment horizontal="justify" vertical="top" wrapText="1"/>
    </xf>
    <xf numFmtId="165" fontId="0" fillId="2" borderId="9" xfId="0" applyNumberFormat="1" applyFont="1" applyFill="1" applyBorder="1" applyAlignment="1">
      <alignment horizontal="right" vertical="top" wrapText="1"/>
    </xf>
    <xf numFmtId="0" fontId="0" fillId="2" borderId="10" xfId="0" applyFont="1" applyFill="1" applyBorder="1"/>
    <xf numFmtId="0" fontId="0" fillId="2" borderId="3" xfId="0" applyFont="1" applyFill="1" applyBorder="1"/>
    <xf numFmtId="8" fontId="0" fillId="2" borderId="0" xfId="0" applyNumberFormat="1" applyFont="1" applyFill="1"/>
    <xf numFmtId="0" fontId="6" fillId="2" borderId="0" xfId="0" applyFont="1" applyFill="1" applyBorder="1"/>
    <xf numFmtId="165" fontId="0" fillId="3" borderId="0" xfId="0" applyNumberFormat="1" applyFont="1" applyFill="1" applyBorder="1" applyAlignment="1">
      <alignment horizontal="right" vertical="top" wrapText="1"/>
    </xf>
    <xf numFmtId="0" fontId="8" fillId="2" borderId="0" xfId="0" applyFont="1" applyFill="1" applyBorder="1" applyAlignment="1">
      <alignment horizontal="right" vertical="top" wrapText="1"/>
    </xf>
    <xf numFmtId="165" fontId="8" fillId="2" borderId="0" xfId="0" applyNumberFormat="1" applyFont="1" applyFill="1" applyBorder="1" applyAlignment="1">
      <alignment horizontal="right" vertical="top" wrapText="1"/>
    </xf>
    <xf numFmtId="0" fontId="3" fillId="3" borderId="3" xfId="0" applyFont="1" applyFill="1" applyBorder="1"/>
    <xf numFmtId="0" fontId="0" fillId="2" borderId="0" xfId="0" applyFont="1" applyFill="1" applyBorder="1"/>
    <xf numFmtId="0" fontId="0" fillId="2" borderId="7" xfId="0" applyFont="1" applyFill="1" applyBorder="1"/>
    <xf numFmtId="166" fontId="0" fillId="2" borderId="8" xfId="2" applyNumberFormat="1" applyFont="1" applyFill="1" applyBorder="1" applyAlignment="1">
      <alignment horizontal="center"/>
    </xf>
    <xf numFmtId="0" fontId="3" fillId="2" borderId="0" xfId="0" applyFont="1" applyFill="1" applyBorder="1"/>
    <xf numFmtId="43" fontId="9" fillId="2" borderId="0" xfId="2" applyFont="1" applyFill="1"/>
    <xf numFmtId="43" fontId="0" fillId="2" borderId="0" xfId="2" applyFont="1" applyFill="1"/>
    <xf numFmtId="43" fontId="0" fillId="3" borderId="8" xfId="2" applyFont="1" applyFill="1" applyBorder="1"/>
    <xf numFmtId="0" fontId="0" fillId="2" borderId="0" xfId="0" applyFill="1" applyBorder="1"/>
    <xf numFmtId="1" fontId="10" fillId="2" borderId="0" xfId="0" applyNumberFormat="1" applyFont="1" applyFill="1" applyBorder="1"/>
    <xf numFmtId="1" fontId="0" fillId="2" borderId="0" xfId="0" applyNumberFormat="1" applyFill="1" applyBorder="1"/>
    <xf numFmtId="167" fontId="0" fillId="2" borderId="0" xfId="0" applyNumberFormat="1" applyFont="1" applyFill="1"/>
    <xf numFmtId="166" fontId="0" fillId="2" borderId="0" xfId="0" applyNumberFormat="1" applyFill="1" applyBorder="1"/>
    <xf numFmtId="43" fontId="0" fillId="2" borderId="0" xfId="2" applyFont="1" applyFill="1" applyBorder="1"/>
    <xf numFmtId="0" fontId="9" fillId="2" borderId="0" xfId="0" applyFont="1" applyFill="1"/>
    <xf numFmtId="165" fontId="0" fillId="2" borderId="4" xfId="0" applyNumberFormat="1" applyFill="1" applyBorder="1"/>
    <xf numFmtId="44" fontId="0" fillId="2" borderId="0" xfId="0" applyNumberFormat="1" applyFill="1"/>
    <xf numFmtId="0" fontId="0" fillId="2" borderId="4" xfId="0" applyFill="1" applyBorder="1"/>
    <xf numFmtId="0" fontId="0" fillId="2" borderId="6" xfId="0" applyFill="1" applyBorder="1"/>
    <xf numFmtId="44" fontId="1" fillId="2" borderId="13" xfId="3" applyFont="1" applyFill="1" applyBorder="1"/>
    <xf numFmtId="0" fontId="0" fillId="2" borderId="8" xfId="0" applyFill="1" applyBorder="1"/>
    <xf numFmtId="44" fontId="1" fillId="2" borderId="9" xfId="3" applyFont="1" applyFill="1" applyBorder="1"/>
    <xf numFmtId="0" fontId="0" fillId="2" borderId="13" xfId="0" applyFill="1" applyBorder="1"/>
    <xf numFmtId="0" fontId="15" fillId="2" borderId="3" xfId="0" applyFont="1" applyFill="1" applyBorder="1" applyAlignment="1">
      <alignment horizontal="center" vertical="center"/>
    </xf>
    <xf numFmtId="44" fontId="1" fillId="2" borderId="8" xfId="3" applyFont="1" applyFill="1" applyBorder="1"/>
    <xf numFmtId="165" fontId="0" fillId="2" borderId="0" xfId="0" applyNumberFormat="1" applyFill="1" applyBorder="1"/>
    <xf numFmtId="165" fontId="3" fillId="2" borderId="6" xfId="0" applyNumberFormat="1" applyFont="1" applyFill="1" applyBorder="1"/>
    <xf numFmtId="0" fontId="0" fillId="2" borderId="7" xfId="0" applyFill="1" applyBorder="1"/>
    <xf numFmtId="165" fontId="0" fillId="2" borderId="6" xfId="0" applyNumberFormat="1" applyFill="1" applyBorder="1"/>
    <xf numFmtId="44" fontId="1" fillId="2" borderId="0" xfId="3" applyFont="1" applyFill="1" applyBorder="1"/>
    <xf numFmtId="165" fontId="0" fillId="2" borderId="0" xfId="0" applyNumberFormat="1" applyFill="1"/>
    <xf numFmtId="0" fontId="10" fillId="2" borderId="0" xfId="4" applyFill="1"/>
    <xf numFmtId="0" fontId="18" fillId="2" borderId="0" xfId="0" applyFont="1" applyFill="1" applyAlignment="1">
      <alignment horizontal="left" vertical="center" indent="1"/>
    </xf>
    <xf numFmtId="0" fontId="10" fillId="2" borderId="0" xfId="4" applyFill="1" applyBorder="1"/>
    <xf numFmtId="0" fontId="21" fillId="2" borderId="0" xfId="4" applyFont="1" applyFill="1" applyBorder="1" applyAlignment="1">
      <alignment horizontal="center" vertical="center"/>
    </xf>
    <xf numFmtId="165" fontId="10" fillId="2" borderId="0" xfId="4" applyNumberFormat="1" applyFill="1" applyBorder="1"/>
    <xf numFmtId="0" fontId="0" fillId="2" borderId="22" xfId="0" applyFill="1" applyBorder="1"/>
    <xf numFmtId="169" fontId="0" fillId="2" borderId="6" xfId="0" applyNumberFormat="1" applyFont="1" applyFill="1" applyBorder="1" applyAlignment="1">
      <alignment horizontal="center"/>
    </xf>
    <xf numFmtId="169" fontId="0" fillId="2" borderId="4" xfId="0" applyNumberFormat="1" applyFont="1" applyFill="1" applyBorder="1" applyAlignment="1">
      <alignment horizontal="center" vertical="center"/>
    </xf>
    <xf numFmtId="169" fontId="0" fillId="2" borderId="6" xfId="0" applyNumberFormat="1" applyFont="1" applyFill="1" applyBorder="1" applyAlignment="1">
      <alignment horizontal="center" vertical="center"/>
    </xf>
    <xf numFmtId="169" fontId="0" fillId="2" borderId="8" xfId="0" applyNumberFormat="1" applyFont="1" applyFill="1" applyBorder="1" applyAlignment="1">
      <alignment horizontal="center"/>
    </xf>
    <xf numFmtId="169" fontId="0" fillId="2" borderId="8" xfId="0" applyNumberFormat="1" applyFont="1" applyFill="1" applyBorder="1" applyAlignment="1">
      <alignment horizontal="center" vertical="center"/>
    </xf>
    <xf numFmtId="0" fontId="20" fillId="0" borderId="10" xfId="0" applyFont="1" applyFill="1" applyBorder="1" applyAlignment="1">
      <alignment horizontal="center" vertical="center"/>
    </xf>
    <xf numFmtId="169" fontId="22" fillId="2" borderId="11" xfId="0" applyNumberFormat="1" applyFont="1" applyFill="1" applyBorder="1" applyAlignment="1">
      <alignment horizontal="center"/>
    </xf>
    <xf numFmtId="169" fontId="22" fillId="2" borderId="12" xfId="0" applyNumberFormat="1" applyFont="1" applyFill="1" applyBorder="1" applyAlignment="1">
      <alignment horizontal="center" vertical="center"/>
    </xf>
    <xf numFmtId="0" fontId="19" fillId="2" borderId="0" xfId="0" applyFont="1" applyFill="1" applyBorder="1" applyAlignment="1"/>
    <xf numFmtId="0" fontId="0" fillId="3" borderId="4" xfId="0" applyFill="1" applyBorder="1"/>
    <xf numFmtId="0" fontId="0" fillId="3" borderId="17" xfId="0" applyFill="1" applyBorder="1"/>
    <xf numFmtId="0" fontId="0" fillId="3" borderId="3" xfId="0" applyFill="1" applyBorder="1"/>
    <xf numFmtId="0" fontId="0" fillId="3" borderId="12" xfId="0" applyFill="1" applyBorder="1"/>
    <xf numFmtId="0" fontId="0" fillId="2" borderId="2" xfId="0" applyFill="1" applyBorder="1"/>
    <xf numFmtId="6" fontId="0" fillId="2" borderId="2" xfId="0" applyNumberFormat="1" applyFill="1" applyBorder="1" applyAlignment="1">
      <alignment horizontal="center"/>
    </xf>
    <xf numFmtId="0" fontId="0" fillId="2" borderId="5" xfId="0" applyFill="1" applyBorder="1"/>
    <xf numFmtId="6" fontId="0" fillId="2" borderId="5" xfId="0" applyNumberFormat="1" applyFill="1" applyBorder="1" applyAlignment="1">
      <alignment horizontal="center"/>
    </xf>
    <xf numFmtId="6" fontId="0" fillId="2" borderId="7" xfId="0" applyNumberFormat="1" applyFill="1" applyBorder="1" applyAlignment="1">
      <alignment horizontal="center"/>
    </xf>
    <xf numFmtId="0" fontId="0" fillId="3" borderId="3" xfId="0" applyFill="1" applyBorder="1" applyAlignment="1">
      <alignment horizontal="center" vertical="center"/>
    </xf>
    <xf numFmtId="0" fontId="0" fillId="3" borderId="3" xfId="0" applyFill="1" applyBorder="1" applyAlignment="1">
      <alignment horizontal="center" wrapText="1"/>
    </xf>
    <xf numFmtId="0" fontId="3" fillId="8" borderId="14" xfId="0" applyFont="1" applyFill="1" applyBorder="1" applyAlignment="1">
      <alignment horizontal="center" wrapText="1"/>
    </xf>
    <xf numFmtId="0" fontId="0" fillId="9" borderId="14" xfId="0" applyFill="1" applyBorder="1" applyAlignment="1">
      <alignment horizontal="center" wrapText="1"/>
    </xf>
    <xf numFmtId="8" fontId="3" fillId="8" borderId="14" xfId="0" applyNumberFormat="1" applyFont="1" applyFill="1" applyBorder="1" applyAlignment="1">
      <alignment horizontal="center" wrapText="1"/>
    </xf>
    <xf numFmtId="0" fontId="3" fillId="7" borderId="14" xfId="0" applyFont="1" applyFill="1" applyBorder="1" applyAlignment="1">
      <alignment horizontal="center" wrapText="1"/>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6" fillId="12" borderId="15"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2" xfId="0" applyFont="1" applyFill="1" applyBorder="1" applyAlignment="1">
      <alignment horizontal="center" vertical="center"/>
    </xf>
    <xf numFmtId="0" fontId="10" fillId="2" borderId="2" xfId="4" applyFont="1" applyFill="1" applyBorder="1"/>
    <xf numFmtId="0" fontId="10" fillId="2" borderId="5" xfId="4" applyFont="1" applyFill="1" applyBorder="1"/>
    <xf numFmtId="0" fontId="10" fillId="2" borderId="7" xfId="4" applyFont="1" applyFill="1" applyBorder="1"/>
    <xf numFmtId="0" fontId="3" fillId="13" borderId="3" xfId="0" applyFont="1" applyFill="1" applyBorder="1"/>
    <xf numFmtId="1" fontId="0" fillId="2" borderId="3" xfId="0" applyNumberFormat="1" applyFill="1" applyBorder="1"/>
    <xf numFmtId="0" fontId="23" fillId="2" borderId="0" xfId="4" applyFont="1" applyFill="1" applyBorder="1"/>
    <xf numFmtId="0" fontId="10" fillId="2" borderId="0" xfId="4" applyFont="1" applyFill="1" applyBorder="1"/>
    <xf numFmtId="0" fontId="14" fillId="0" borderId="0" xfId="0" applyFont="1" applyAlignment="1">
      <alignment horizontal="justify"/>
    </xf>
    <xf numFmtId="0" fontId="6" fillId="2" borderId="3" xfId="0" applyFont="1" applyFill="1" applyBorder="1" applyAlignment="1">
      <alignment horizontal="center" vertical="center"/>
    </xf>
    <xf numFmtId="165" fontId="0" fillId="2" borderId="15" xfId="0" applyNumberFormat="1" applyFill="1" applyBorder="1"/>
    <xf numFmtId="165" fontId="0" fillId="2" borderId="13" xfId="0" applyNumberFormat="1" applyFill="1" applyBorder="1"/>
    <xf numFmtId="165" fontId="0" fillId="2" borderId="8" xfId="0" applyNumberFormat="1" applyFill="1" applyBorder="1"/>
    <xf numFmtId="169" fontId="7" fillId="2" borderId="2" xfId="0" applyNumberFormat="1" applyFont="1" applyFill="1" applyBorder="1" applyAlignment="1">
      <alignment vertical="center"/>
    </xf>
    <xf numFmtId="169" fontId="7" fillId="2" borderId="7" xfId="0" applyNumberFormat="1" applyFont="1" applyFill="1" applyBorder="1" applyAlignment="1">
      <alignment vertical="center"/>
    </xf>
    <xf numFmtId="1" fontId="3" fillId="2" borderId="0" xfId="0" applyNumberFormat="1" applyFont="1" applyFill="1" applyBorder="1"/>
    <xf numFmtId="165" fontId="3" fillId="2" borderId="0" xfId="0" applyNumberFormat="1" applyFont="1" applyFill="1" applyBorder="1"/>
    <xf numFmtId="0" fontId="9" fillId="2" borderId="0" xfId="0" applyFont="1" applyFill="1" applyBorder="1" applyAlignment="1">
      <alignment vertical="center"/>
    </xf>
    <xf numFmtId="2" fontId="3" fillId="2" borderId="0" xfId="0" applyNumberFormat="1" applyFont="1" applyFill="1" applyBorder="1"/>
    <xf numFmtId="165" fontId="0" fillId="2" borderId="0" xfId="0" applyNumberFormat="1" applyFont="1" applyFill="1" applyBorder="1"/>
    <xf numFmtId="164" fontId="0" fillId="2" borderId="0" xfId="1" applyNumberFormat="1" applyFont="1" applyFill="1"/>
    <xf numFmtId="0" fontId="29" fillId="2" borderId="0" xfId="6" applyFill="1"/>
    <xf numFmtId="1" fontId="0" fillId="2" borderId="4" xfId="0" applyNumberFormat="1" applyFill="1" applyBorder="1" applyAlignment="1">
      <alignment horizontal="center" vertical="center"/>
    </xf>
    <xf numFmtId="165" fontId="0" fillId="2" borderId="4" xfId="0" applyNumberFormat="1" applyFill="1" applyBorder="1" applyAlignment="1">
      <alignment horizontal="center"/>
    </xf>
    <xf numFmtId="165" fontId="0" fillId="2" borderId="0" xfId="0" applyNumberFormat="1" applyFill="1" applyBorder="1" applyAlignment="1">
      <alignment horizontal="center"/>
    </xf>
    <xf numFmtId="1" fontId="0" fillId="2" borderId="6" xfId="0" applyNumberFormat="1" applyFill="1" applyBorder="1" applyAlignment="1">
      <alignment horizontal="center" vertical="center"/>
    </xf>
    <xf numFmtId="0" fontId="30" fillId="2" borderId="0" xfId="0" applyFont="1" applyFill="1"/>
    <xf numFmtId="1" fontId="30" fillId="2" borderId="8" xfId="0" applyNumberFormat="1" applyFont="1" applyFill="1" applyBorder="1" applyAlignment="1">
      <alignment horizontal="center" vertical="center"/>
    </xf>
    <xf numFmtId="165" fontId="0" fillId="2" borderId="8" xfId="0" applyNumberFormat="1" applyFill="1" applyBorder="1" applyAlignment="1">
      <alignment horizontal="center" vertical="center"/>
    </xf>
    <xf numFmtId="165" fontId="3" fillId="2" borderId="3" xfId="0" applyNumberFormat="1" applyFont="1" applyFill="1" applyBorder="1"/>
    <xf numFmtId="169" fontId="28" fillId="14" borderId="3" xfId="0" applyNumberFormat="1" applyFont="1" applyFill="1" applyBorder="1"/>
    <xf numFmtId="0" fontId="31" fillId="2" borderId="0" xfId="0" applyFont="1" applyFill="1" applyAlignment="1">
      <alignment horizontal="right"/>
    </xf>
    <xf numFmtId="0" fontId="30" fillId="2" borderId="14" xfId="0" applyFont="1" applyFill="1" applyBorder="1" applyAlignment="1">
      <alignment horizontal="center" vertical="center"/>
    </xf>
    <xf numFmtId="44" fontId="30" fillId="2" borderId="14" xfId="0" applyNumberFormat="1" applyFont="1" applyFill="1" applyBorder="1"/>
    <xf numFmtId="171" fontId="33" fillId="2" borderId="0" xfId="0" applyNumberFormat="1" applyFont="1" applyFill="1"/>
    <xf numFmtId="171" fontId="33" fillId="2" borderId="4" xfId="0" applyNumberFormat="1" applyFont="1" applyFill="1" applyBorder="1"/>
    <xf numFmtId="9" fontId="33" fillId="2" borderId="4" xfId="1" applyFont="1" applyFill="1" applyBorder="1"/>
    <xf numFmtId="171" fontId="33" fillId="2" borderId="6" xfId="0" applyNumberFormat="1" applyFont="1" applyFill="1" applyBorder="1"/>
    <xf numFmtId="9" fontId="33" fillId="2" borderId="6" xfId="1" applyFont="1" applyFill="1" applyBorder="1"/>
    <xf numFmtId="171" fontId="33" fillId="2" borderId="8" xfId="0" applyNumberFormat="1" applyFont="1" applyFill="1" applyBorder="1"/>
    <xf numFmtId="9" fontId="33" fillId="2" borderId="8" xfId="1" applyFont="1" applyFill="1" applyBorder="1"/>
    <xf numFmtId="171" fontId="34" fillId="2" borderId="2" xfId="0" applyNumberFormat="1" applyFont="1" applyFill="1" applyBorder="1" applyAlignment="1">
      <alignment horizontal="right"/>
    </xf>
    <xf numFmtId="10" fontId="34" fillId="2" borderId="15" xfId="1" applyNumberFormat="1" applyFont="1" applyFill="1" applyBorder="1"/>
    <xf numFmtId="171" fontId="34" fillId="2" borderId="5" xfId="0" applyNumberFormat="1" applyFont="1" applyFill="1" applyBorder="1" applyAlignment="1">
      <alignment horizontal="right"/>
    </xf>
    <xf numFmtId="10" fontId="34" fillId="2" borderId="13" xfId="1" applyNumberFormat="1" applyFont="1" applyFill="1" applyBorder="1"/>
    <xf numFmtId="171" fontId="34" fillId="2" borderId="7" xfId="0" applyNumberFormat="1" applyFont="1" applyFill="1" applyBorder="1" applyAlignment="1">
      <alignment horizontal="right"/>
    </xf>
    <xf numFmtId="10" fontId="34" fillId="2" borderId="9" xfId="1" applyNumberFormat="1" applyFont="1" applyFill="1" applyBorder="1"/>
    <xf numFmtId="165" fontId="0" fillId="2" borderId="16" xfId="0" applyNumberFormat="1" applyFill="1" applyBorder="1"/>
    <xf numFmtId="165" fontId="3" fillId="2" borderId="17" xfId="0" applyNumberFormat="1" applyFont="1" applyFill="1" applyBorder="1"/>
    <xf numFmtId="165" fontId="3" fillId="2" borderId="4" xfId="0" applyNumberFormat="1" applyFont="1" applyFill="1" applyBorder="1"/>
    <xf numFmtId="0" fontId="21" fillId="2" borderId="0" xfId="0" applyFont="1" applyFill="1" applyBorder="1"/>
    <xf numFmtId="0" fontId="21" fillId="2" borderId="4" xfId="0" applyFont="1" applyFill="1" applyBorder="1"/>
    <xf numFmtId="165" fontId="0" fillId="2" borderId="7" xfId="0" applyNumberFormat="1" applyFill="1" applyBorder="1"/>
    <xf numFmtId="165" fontId="3" fillId="2" borderId="2" xfId="0" applyNumberFormat="1" applyFont="1" applyFill="1" applyBorder="1"/>
    <xf numFmtId="0" fontId="21" fillId="6" borderId="3" xfId="0" applyFont="1" applyFill="1" applyBorder="1"/>
    <xf numFmtId="165" fontId="35" fillId="6" borderId="3" xfId="0" applyNumberFormat="1" applyFont="1" applyFill="1" applyBorder="1"/>
    <xf numFmtId="171" fontId="37" fillId="2" borderId="2" xfId="0" applyNumberFormat="1" applyFont="1" applyFill="1" applyBorder="1"/>
    <xf numFmtId="9" fontId="37" fillId="2" borderId="4" xfId="1" applyFont="1" applyFill="1" applyBorder="1"/>
    <xf numFmtId="171" fontId="37" fillId="2" borderId="5" xfId="0" applyNumberFormat="1" applyFont="1" applyFill="1" applyBorder="1"/>
    <xf numFmtId="9" fontId="37" fillId="2" borderId="6" xfId="1" applyFont="1" applyFill="1" applyBorder="1"/>
    <xf numFmtId="171" fontId="37" fillId="2" borderId="7" xfId="0" applyNumberFormat="1" applyFont="1" applyFill="1" applyBorder="1"/>
    <xf numFmtId="9" fontId="37" fillId="2" borderId="8" xfId="1" applyFont="1" applyFill="1" applyBorder="1"/>
    <xf numFmtId="171" fontId="38" fillId="2" borderId="0" xfId="0" applyNumberFormat="1" applyFont="1" applyFill="1"/>
    <xf numFmtId="10" fontId="39" fillId="17" borderId="0" xfId="1" applyNumberFormat="1" applyFont="1" applyFill="1"/>
    <xf numFmtId="10" fontId="39" fillId="18" borderId="0" xfId="1" applyNumberFormat="1" applyFont="1" applyFill="1"/>
    <xf numFmtId="10" fontId="37" fillId="6" borderId="0" xfId="1" applyNumberFormat="1" applyFont="1" applyFill="1"/>
    <xf numFmtId="0" fontId="0" fillId="2" borderId="3" xfId="0" applyFill="1" applyBorder="1" applyAlignment="1">
      <alignment horizontal="center"/>
    </xf>
    <xf numFmtId="0" fontId="3" fillId="0" borderId="3" xfId="0" applyFont="1" applyBorder="1" applyAlignment="1">
      <alignment horizontal="center"/>
    </xf>
    <xf numFmtId="0" fontId="3" fillId="0" borderId="12" xfId="0" applyFont="1" applyBorder="1" applyAlignment="1">
      <alignment horizontal="center"/>
    </xf>
    <xf numFmtId="0" fontId="3" fillId="0" borderId="11" xfId="0" applyFont="1" applyBorder="1" applyAlignment="1">
      <alignment horizontal="center"/>
    </xf>
    <xf numFmtId="0" fontId="3" fillId="2" borderId="6" xfId="0" applyFont="1" applyFill="1" applyBorder="1"/>
    <xf numFmtId="165" fontId="3" fillId="2" borderId="13" xfId="0" applyNumberFormat="1" applyFont="1" applyFill="1" applyBorder="1"/>
    <xf numFmtId="0" fontId="40" fillId="0" borderId="16" xfId="0" applyFont="1" applyBorder="1" applyAlignment="1"/>
    <xf numFmtId="0" fontId="41" fillId="2" borderId="0" xfId="0" applyFont="1" applyFill="1"/>
    <xf numFmtId="0" fontId="42" fillId="6" borderId="3" xfId="0" applyFont="1" applyFill="1" applyBorder="1"/>
    <xf numFmtId="10" fontId="43" fillId="6" borderId="12" xfId="0" applyNumberFormat="1" applyFont="1" applyFill="1" applyBorder="1"/>
    <xf numFmtId="0" fontId="40" fillId="0" borderId="0" xfId="0" applyFont="1" applyAlignment="1">
      <alignment horizontal="left"/>
    </xf>
    <xf numFmtId="0" fontId="41" fillId="2" borderId="0" xfId="0" applyFont="1" applyFill="1" applyAlignment="1"/>
    <xf numFmtId="165" fontId="0" fillId="2" borderId="9" xfId="0" applyNumberFormat="1" applyFill="1" applyBorder="1"/>
    <xf numFmtId="0" fontId="21" fillId="2" borderId="3" xfId="0" applyFont="1" applyFill="1" applyBorder="1"/>
    <xf numFmtId="0" fontId="21" fillId="0" borderId="6" xfId="0" applyFont="1" applyFill="1" applyBorder="1"/>
    <xf numFmtId="0" fontId="21" fillId="0" borderId="0" xfId="0" applyFont="1" applyFill="1" applyBorder="1"/>
    <xf numFmtId="165" fontId="3" fillId="0" borderId="6" xfId="0" applyNumberFormat="1" applyFont="1" applyFill="1" applyBorder="1"/>
    <xf numFmtId="165" fontId="3" fillId="0" borderId="13" xfId="0" applyNumberFormat="1" applyFont="1" applyFill="1" applyBorder="1"/>
    <xf numFmtId="165" fontId="3" fillId="0" borderId="0" xfId="0" applyNumberFormat="1" applyFont="1" applyFill="1" applyBorder="1"/>
    <xf numFmtId="165" fontId="3" fillId="2" borderId="15" xfId="0" applyNumberFormat="1" applyFont="1" applyFill="1" applyBorder="1"/>
    <xf numFmtId="0" fontId="0" fillId="2" borderId="15" xfId="0" applyFill="1" applyBorder="1"/>
    <xf numFmtId="0" fontId="44" fillId="16" borderId="6" xfId="0" applyFont="1" applyFill="1" applyBorder="1"/>
    <xf numFmtId="165" fontId="0" fillId="16" borderId="13" xfId="0" applyNumberFormat="1" applyFill="1" applyBorder="1"/>
    <xf numFmtId="165" fontId="0" fillId="16" borderId="6" xfId="0" applyNumberFormat="1" applyFill="1" applyBorder="1"/>
    <xf numFmtId="0" fontId="44" fillId="17" borderId="6" xfId="0" applyFont="1" applyFill="1" applyBorder="1"/>
    <xf numFmtId="165" fontId="0" fillId="17" borderId="13" xfId="0" applyNumberFormat="1" applyFill="1" applyBorder="1"/>
    <xf numFmtId="0" fontId="44" fillId="19" borderId="6" xfId="0" applyFont="1" applyFill="1" applyBorder="1"/>
    <xf numFmtId="165" fontId="44" fillId="19" borderId="13" xfId="0" applyNumberFormat="1" applyFont="1" applyFill="1" applyBorder="1"/>
    <xf numFmtId="0" fontId="44" fillId="20" borderId="6" xfId="0" applyFont="1" applyFill="1" applyBorder="1"/>
    <xf numFmtId="0" fontId="44" fillId="0" borderId="13" xfId="0" applyFont="1" applyFill="1" applyBorder="1"/>
    <xf numFmtId="165" fontId="0" fillId="20" borderId="6" xfId="0" applyNumberFormat="1" applyFill="1" applyBorder="1"/>
    <xf numFmtId="0" fontId="44" fillId="2" borderId="13" xfId="0" applyFont="1" applyFill="1" applyBorder="1"/>
    <xf numFmtId="0" fontId="45" fillId="21" borderId="3" xfId="0" applyFont="1" applyFill="1" applyBorder="1"/>
    <xf numFmtId="165" fontId="45" fillId="21" borderId="12" xfId="0" applyNumberFormat="1" applyFont="1" applyFill="1" applyBorder="1"/>
    <xf numFmtId="165" fontId="45" fillId="21" borderId="3" xfId="0" applyNumberFormat="1" applyFont="1" applyFill="1" applyBorder="1"/>
    <xf numFmtId="0" fontId="6" fillId="2" borderId="0" xfId="0" applyFont="1" applyFill="1"/>
    <xf numFmtId="10" fontId="0" fillId="20" borderId="8" xfId="1" applyNumberFormat="1" applyFont="1" applyFill="1" applyBorder="1"/>
    <xf numFmtId="0" fontId="0" fillId="2" borderId="0" xfId="0" applyFill="1" applyBorder="1" applyAlignment="1">
      <alignment horizontal="right"/>
    </xf>
    <xf numFmtId="10" fontId="3" fillId="2" borderId="0" xfId="0" applyNumberFormat="1" applyFont="1" applyFill="1" applyBorder="1"/>
    <xf numFmtId="0" fontId="3" fillId="2" borderId="0" xfId="0" applyFont="1" applyFill="1" applyBorder="1" applyAlignment="1">
      <alignment horizontal="center"/>
    </xf>
    <xf numFmtId="0" fontId="3" fillId="2" borderId="0" xfId="0" applyFont="1" applyFill="1" applyBorder="1" applyAlignment="1">
      <alignment horizontal="right"/>
    </xf>
    <xf numFmtId="10" fontId="3" fillId="17" borderId="1" xfId="1" applyNumberFormat="1" applyFont="1" applyFill="1" applyBorder="1"/>
    <xf numFmtId="0" fontId="20" fillId="2" borderId="0" xfId="0" applyFont="1" applyFill="1" applyAlignment="1">
      <alignment horizontal="center"/>
    </xf>
    <xf numFmtId="0" fontId="20" fillId="2" borderId="0" xfId="0" applyFont="1" applyFill="1" applyBorder="1" applyAlignment="1"/>
    <xf numFmtId="0" fontId="46" fillId="17" borderId="35" xfId="0" applyFont="1" applyFill="1" applyBorder="1" applyAlignment="1">
      <alignment horizontal="center"/>
    </xf>
    <xf numFmtId="0" fontId="9" fillId="6" borderId="36" xfId="0" applyFont="1" applyFill="1" applyBorder="1"/>
    <xf numFmtId="43" fontId="7" fillId="22" borderId="29" xfId="2" applyFont="1" applyFill="1" applyBorder="1"/>
    <xf numFmtId="0" fontId="9" fillId="6" borderId="37" xfId="0" applyFont="1" applyFill="1" applyBorder="1"/>
    <xf numFmtId="43" fontId="7" fillId="22" borderId="14" xfId="2" applyFont="1" applyFill="1" applyBorder="1"/>
    <xf numFmtId="0" fontId="20" fillId="6" borderId="38" xfId="0" applyFont="1" applyFill="1" applyBorder="1"/>
    <xf numFmtId="43" fontId="20" fillId="22" borderId="39" xfId="2" applyFont="1" applyFill="1" applyBorder="1"/>
    <xf numFmtId="43" fontId="20" fillId="22" borderId="40" xfId="2" applyFont="1" applyFill="1" applyBorder="1"/>
    <xf numFmtId="43" fontId="20" fillId="2" borderId="0" xfId="2" applyFont="1" applyFill="1" applyBorder="1"/>
    <xf numFmtId="0" fontId="47" fillId="6" borderId="41" xfId="0" applyFont="1" applyFill="1" applyBorder="1" applyAlignment="1">
      <alignment horizontal="center"/>
    </xf>
    <xf numFmtId="0" fontId="0" fillId="2" borderId="0" xfId="0" applyFont="1" applyFill="1" applyBorder="1" applyAlignment="1">
      <alignment horizontal="center"/>
    </xf>
    <xf numFmtId="4" fontId="0" fillId="2" borderId="0" xfId="0" applyNumberFormat="1" applyFont="1" applyFill="1" applyBorder="1"/>
    <xf numFmtId="166" fontId="47" fillId="2" borderId="0" xfId="0" applyNumberFormat="1" applyFont="1" applyFill="1" applyBorder="1" applyAlignment="1">
      <alignment vertical="center"/>
    </xf>
    <xf numFmtId="0" fontId="3" fillId="2" borderId="0" xfId="0" applyFont="1" applyFill="1" applyAlignment="1">
      <alignment horizontal="right"/>
    </xf>
    <xf numFmtId="9" fontId="3" fillId="2" borderId="0" xfId="0" applyNumberFormat="1" applyFont="1" applyFill="1"/>
    <xf numFmtId="0" fontId="0" fillId="2" borderId="0" xfId="0" applyFill="1" applyAlignment="1">
      <alignment horizontal="left"/>
    </xf>
    <xf numFmtId="10" fontId="0" fillId="0" borderId="0" xfId="0" applyNumberFormat="1"/>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48" fillId="2" borderId="27" xfId="0" applyFont="1" applyFill="1" applyBorder="1"/>
    <xf numFmtId="0" fontId="48" fillId="2" borderId="43" xfId="0" applyFont="1" applyFill="1" applyBorder="1"/>
    <xf numFmtId="0" fontId="8" fillId="2" borderId="0" xfId="0" applyFont="1" applyFill="1" applyAlignment="1">
      <alignment vertical="center"/>
    </xf>
    <xf numFmtId="0" fontId="48" fillId="2" borderId="28" xfId="0" applyFont="1" applyFill="1" applyBorder="1"/>
    <xf numFmtId="0" fontId="48" fillId="2" borderId="44" xfId="0" applyFont="1" applyFill="1" applyBorder="1"/>
    <xf numFmtId="0" fontId="48" fillId="2" borderId="29" xfId="0" applyFont="1" applyFill="1" applyBorder="1"/>
    <xf numFmtId="0" fontId="48" fillId="15" borderId="28" xfId="0" applyFont="1" applyFill="1" applyBorder="1"/>
    <xf numFmtId="0" fontId="48" fillId="15" borderId="14" xfId="0" applyFont="1" applyFill="1" applyBorder="1"/>
    <xf numFmtId="0" fontId="48" fillId="4" borderId="27" xfId="0" applyFont="1" applyFill="1" applyBorder="1"/>
    <xf numFmtId="0" fontId="48" fillId="4" borderId="14" xfId="0" applyFont="1" applyFill="1" applyBorder="1"/>
    <xf numFmtId="0" fontId="48" fillId="24" borderId="14" xfId="0" applyFont="1" applyFill="1" applyBorder="1"/>
    <xf numFmtId="0" fontId="52" fillId="24" borderId="29" xfId="0" applyFont="1" applyFill="1" applyBorder="1"/>
    <xf numFmtId="0" fontId="44" fillId="0" borderId="0" xfId="0" applyFont="1" applyFill="1" applyBorder="1"/>
    <xf numFmtId="0" fontId="3" fillId="0" borderId="0" xfId="0" applyFont="1"/>
    <xf numFmtId="0" fontId="0" fillId="5" borderId="0" xfId="0" applyFill="1"/>
    <xf numFmtId="0" fontId="0" fillId="2" borderId="0" xfId="0" applyFill="1" applyBorder="1" applyAlignment="1">
      <alignment horizontal="center"/>
    </xf>
    <xf numFmtId="0" fontId="0" fillId="6" borderId="3" xfId="0" applyFill="1" applyBorder="1" applyAlignment="1">
      <alignment horizontal="center" vertical="center"/>
    </xf>
    <xf numFmtId="44" fontId="1" fillId="2" borderId="6" xfId="3" applyFont="1" applyFill="1" applyBorder="1"/>
    <xf numFmtId="0" fontId="15" fillId="2" borderId="12"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3" xfId="0" applyFont="1" applyFill="1" applyBorder="1" applyAlignment="1">
      <alignment horizontal="center" vertical="center"/>
    </xf>
    <xf numFmtId="9" fontId="16" fillId="2" borderId="13" xfId="0" applyNumberFormat="1" applyFont="1" applyFill="1" applyBorder="1" applyAlignment="1">
      <alignment horizontal="center" vertical="center"/>
    </xf>
    <xf numFmtId="0" fontId="3" fillId="26" borderId="3" xfId="0" applyFont="1" applyFill="1" applyBorder="1"/>
    <xf numFmtId="44" fontId="56" fillId="2" borderId="3" xfId="0" applyNumberFormat="1" applyFont="1" applyFill="1" applyBorder="1"/>
    <xf numFmtId="0" fontId="16" fillId="2" borderId="8" xfId="0" applyFont="1" applyFill="1" applyBorder="1" applyAlignment="1">
      <alignment horizontal="left" vertical="center"/>
    </xf>
    <xf numFmtId="9" fontId="16" fillId="2" borderId="9" xfId="0" applyNumberFormat="1" applyFont="1" applyFill="1" applyBorder="1" applyAlignment="1">
      <alignment horizontal="center" vertical="center"/>
    </xf>
    <xf numFmtId="9" fontId="0" fillId="2" borderId="0" xfId="1" applyFont="1" applyFill="1" applyAlignment="1">
      <alignment horizontal="center"/>
    </xf>
    <xf numFmtId="16" fontId="0" fillId="2" borderId="0" xfId="0" applyNumberFormat="1" applyFill="1"/>
    <xf numFmtId="2" fontId="0" fillId="0" borderId="0" xfId="0" applyNumberFormat="1"/>
    <xf numFmtId="1" fontId="0" fillId="0" borderId="0" xfId="0" applyNumberFormat="1"/>
    <xf numFmtId="171" fontId="0" fillId="2" borderId="0" xfId="0" applyNumberFormat="1" applyFill="1"/>
    <xf numFmtId="0" fontId="0" fillId="0" borderId="0" xfId="0" applyFill="1"/>
    <xf numFmtId="1" fontId="12" fillId="0" borderId="13" xfId="3" applyNumberFormat="1" applyFont="1" applyFill="1" applyBorder="1" applyAlignment="1">
      <alignment horizontal="center"/>
    </xf>
    <xf numFmtId="44" fontId="12" fillId="0" borderId="4" xfId="3" applyFont="1" applyFill="1" applyBorder="1" applyAlignment="1">
      <alignment horizontal="right"/>
    </xf>
    <xf numFmtId="168" fontId="0" fillId="0" borderId="13" xfId="0" applyNumberFormat="1" applyFill="1" applyBorder="1"/>
    <xf numFmtId="44" fontId="12" fillId="0" borderId="6" xfId="3" applyFont="1" applyFill="1" applyBorder="1" applyAlignment="1">
      <alignment horizontal="right"/>
    </xf>
    <xf numFmtId="168" fontId="0" fillId="0" borderId="6" xfId="0" applyNumberFormat="1" applyFill="1" applyBorder="1"/>
    <xf numFmtId="168" fontId="0" fillId="0" borderId="0" xfId="0" applyNumberFormat="1" applyFill="1" applyBorder="1"/>
    <xf numFmtId="167" fontId="3" fillId="0" borderId="0" xfId="0" applyNumberFormat="1" applyFont="1" applyFill="1" applyBorder="1"/>
    <xf numFmtId="167" fontId="0" fillId="0" borderId="0" xfId="0" applyNumberFormat="1" applyFill="1"/>
    <xf numFmtId="44" fontId="0" fillId="0" borderId="0" xfId="0" applyNumberFormat="1" applyFill="1"/>
    <xf numFmtId="0" fontId="0" fillId="0" borderId="4" xfId="0" applyFill="1" applyBorder="1"/>
    <xf numFmtId="44" fontId="1" fillId="0" borderId="15" xfId="3" applyFont="1" applyFill="1" applyBorder="1"/>
    <xf numFmtId="0" fontId="0" fillId="0" borderId="6" xfId="0" applyFill="1" applyBorder="1"/>
    <xf numFmtId="44" fontId="1" fillId="0" borderId="13" xfId="3" applyFont="1" applyFill="1" applyBorder="1"/>
    <xf numFmtId="0" fontId="0" fillId="0" borderId="8" xfId="0" applyFill="1" applyBorder="1"/>
    <xf numFmtId="44" fontId="1" fillId="0" borderId="9" xfId="3" applyFont="1" applyFill="1" applyBorder="1"/>
    <xf numFmtId="0" fontId="0" fillId="2" borderId="14" xfId="0" applyFill="1" applyBorder="1"/>
    <xf numFmtId="44" fontId="3" fillId="2" borderId="14" xfId="0" applyNumberFormat="1" applyFont="1" applyFill="1" applyBorder="1"/>
    <xf numFmtId="165" fontId="0" fillId="2" borderId="14" xfId="0" applyNumberFormat="1" applyFill="1" applyBorder="1"/>
    <xf numFmtId="165" fontId="3" fillId="2" borderId="14" xfId="0" applyNumberFormat="1" applyFont="1" applyFill="1" applyBorder="1"/>
    <xf numFmtId="44" fontId="0" fillId="2" borderId="14" xfId="0" applyNumberFormat="1" applyFill="1" applyBorder="1"/>
    <xf numFmtId="44" fontId="1" fillId="2" borderId="14" xfId="3" applyFont="1" applyFill="1" applyBorder="1"/>
    <xf numFmtId="165" fontId="0" fillId="2" borderId="14" xfId="0" applyNumberFormat="1" applyFont="1" applyFill="1" applyBorder="1"/>
    <xf numFmtId="167" fontId="3" fillId="2" borderId="14" xfId="0" applyNumberFormat="1" applyFont="1" applyFill="1" applyBorder="1"/>
    <xf numFmtId="0" fontId="3" fillId="0" borderId="0" xfId="0" applyFont="1" applyFill="1" applyAlignment="1">
      <alignment horizontal="right"/>
    </xf>
    <xf numFmtId="10" fontId="0" fillId="0" borderId="3" xfId="1" applyNumberFormat="1" applyFont="1" applyFill="1" applyBorder="1"/>
    <xf numFmtId="171" fontId="38" fillId="0" borderId="4" xfId="0" applyNumberFormat="1" applyFont="1" applyFill="1" applyBorder="1"/>
    <xf numFmtId="9" fontId="38" fillId="0" borderId="4" xfId="1" applyFont="1" applyFill="1" applyBorder="1"/>
    <xf numFmtId="165" fontId="3" fillId="0" borderId="3" xfId="0" applyNumberFormat="1" applyFont="1" applyFill="1" applyBorder="1"/>
    <xf numFmtId="171" fontId="38" fillId="0" borderId="6" xfId="0" applyNumberFormat="1" applyFont="1" applyFill="1" applyBorder="1"/>
    <xf numFmtId="9" fontId="38" fillId="0" borderId="6" xfId="1" applyFont="1" applyFill="1" applyBorder="1"/>
    <xf numFmtId="171" fontId="38" fillId="0" borderId="8" xfId="0" applyNumberFormat="1" applyFont="1" applyFill="1" applyBorder="1"/>
    <xf numFmtId="9" fontId="38" fillId="0" borderId="8" xfId="1" applyFont="1" applyFill="1" applyBorder="1"/>
    <xf numFmtId="171" fontId="38" fillId="0" borderId="0" xfId="0" applyNumberFormat="1" applyFont="1" applyFill="1"/>
    <xf numFmtId="171" fontId="38" fillId="0" borderId="0" xfId="0" applyNumberFormat="1" applyFont="1" applyFill="1" applyAlignment="1">
      <alignment horizontal="right"/>
    </xf>
    <xf numFmtId="10" fontId="38" fillId="0" borderId="0" xfId="1" applyNumberFormat="1" applyFont="1" applyFill="1"/>
    <xf numFmtId="0" fontId="0" fillId="0" borderId="10" xfId="0" applyFill="1" applyBorder="1" applyAlignment="1">
      <alignment horizontal="center"/>
    </xf>
    <xf numFmtId="0" fontId="0" fillId="0" borderId="3" xfId="0" applyFill="1" applyBorder="1" applyAlignment="1">
      <alignment horizontal="center"/>
    </xf>
    <xf numFmtId="0" fontId="3" fillId="0" borderId="3" xfId="0" applyFont="1" applyFill="1" applyBorder="1" applyAlignment="1">
      <alignment horizontal="center"/>
    </xf>
    <xf numFmtId="0" fontId="3" fillId="0" borderId="11" xfId="0" applyFont="1" applyFill="1" applyBorder="1" applyAlignment="1">
      <alignment horizontal="center"/>
    </xf>
    <xf numFmtId="0" fontId="0" fillId="0" borderId="0" xfId="0" applyFill="1" applyBorder="1"/>
    <xf numFmtId="165" fontId="0" fillId="0" borderId="4" xfId="0" applyNumberFormat="1" applyFill="1" applyBorder="1"/>
    <xf numFmtId="165" fontId="0" fillId="0" borderId="17" xfId="0" applyNumberFormat="1" applyFill="1" applyBorder="1"/>
    <xf numFmtId="165" fontId="0" fillId="0" borderId="15" xfId="0" applyNumberFormat="1" applyFill="1" applyBorder="1"/>
    <xf numFmtId="0" fontId="3" fillId="0" borderId="6" xfId="0" applyFont="1" applyFill="1" applyBorder="1"/>
    <xf numFmtId="0" fontId="3" fillId="0" borderId="0" xfId="0" applyFont="1" applyFill="1" applyBorder="1"/>
    <xf numFmtId="165" fontId="3" fillId="0" borderId="5" xfId="0" applyNumberFormat="1" applyFont="1" applyFill="1" applyBorder="1"/>
    <xf numFmtId="165" fontId="0" fillId="0" borderId="6" xfId="0" applyNumberFormat="1" applyFill="1" applyBorder="1"/>
    <xf numFmtId="165" fontId="0" fillId="0" borderId="0" xfId="0" applyNumberFormat="1" applyFill="1" applyBorder="1"/>
    <xf numFmtId="165" fontId="0" fillId="0" borderId="5" xfId="0" applyNumberFormat="1" applyFill="1" applyBorder="1"/>
    <xf numFmtId="165" fontId="0" fillId="0" borderId="8" xfId="0" applyNumberFormat="1" applyFill="1" applyBorder="1"/>
    <xf numFmtId="165" fontId="0" fillId="0" borderId="13" xfId="0" applyNumberFormat="1" applyFill="1" applyBorder="1"/>
    <xf numFmtId="165" fontId="3" fillId="0" borderId="8" xfId="0" applyNumberFormat="1" applyFont="1" applyFill="1" applyBorder="1"/>
    <xf numFmtId="165" fontId="0" fillId="0" borderId="16" xfId="0" applyNumberFormat="1" applyFill="1" applyBorder="1"/>
    <xf numFmtId="0" fontId="21" fillId="0" borderId="3" xfId="0" applyFont="1" applyFill="1" applyBorder="1"/>
    <xf numFmtId="165" fontId="3" fillId="0" borderId="4" xfId="0" applyNumberFormat="1" applyFont="1" applyFill="1" applyBorder="1"/>
    <xf numFmtId="165" fontId="3" fillId="0" borderId="17" xfId="0" applyNumberFormat="1" applyFont="1" applyFill="1" applyBorder="1"/>
    <xf numFmtId="165" fontId="35" fillId="0" borderId="3" xfId="0" applyNumberFormat="1" applyFont="1" applyFill="1" applyBorder="1"/>
    <xf numFmtId="0" fontId="0" fillId="0" borderId="17" xfId="0" applyFill="1" applyBorder="1"/>
    <xf numFmtId="0" fontId="44" fillId="0" borderId="6" xfId="0" applyFont="1" applyFill="1" applyBorder="1"/>
    <xf numFmtId="165" fontId="0" fillId="0" borderId="0" xfId="0" applyNumberFormat="1" applyFill="1"/>
    <xf numFmtId="165" fontId="44" fillId="0" borderId="0" xfId="0" applyNumberFormat="1" applyFont="1" applyFill="1" applyBorder="1"/>
    <xf numFmtId="0" fontId="44" fillId="0" borderId="8" xfId="0" applyFont="1" applyFill="1" applyBorder="1"/>
    <xf numFmtId="165" fontId="44" fillId="0" borderId="6" xfId="0" applyNumberFormat="1" applyFont="1" applyFill="1" applyBorder="1"/>
    <xf numFmtId="0" fontId="45" fillId="0" borderId="3" xfId="0" applyFont="1" applyFill="1" applyBorder="1"/>
    <xf numFmtId="165" fontId="45" fillId="0" borderId="11" xfId="0" applyNumberFormat="1" applyFont="1" applyFill="1" applyBorder="1"/>
    <xf numFmtId="165" fontId="45" fillId="0" borderId="3" xfId="0" applyNumberFormat="1" applyFont="1" applyFill="1" applyBorder="1"/>
    <xf numFmtId="0" fontId="50" fillId="2" borderId="50" xfId="0" applyFont="1" applyFill="1" applyBorder="1" applyAlignment="1">
      <alignment horizontal="left" vertical="center"/>
    </xf>
    <xf numFmtId="0" fontId="3" fillId="2" borderId="51" xfId="0" applyFont="1" applyFill="1" applyBorder="1"/>
    <xf numFmtId="10" fontId="0" fillId="23" borderId="52" xfId="1" applyNumberFormat="1" applyFont="1" applyFill="1" applyBorder="1"/>
    <xf numFmtId="10" fontId="51" fillId="21" borderId="53" xfId="0" applyNumberFormat="1" applyFont="1" applyFill="1" applyBorder="1"/>
    <xf numFmtId="10" fontId="0" fillId="23" borderId="53" xfId="1" applyNumberFormat="1" applyFont="1" applyFill="1" applyBorder="1"/>
    <xf numFmtId="10" fontId="0" fillId="21" borderId="53" xfId="1" applyNumberFormat="1" applyFont="1" applyFill="1" applyBorder="1"/>
    <xf numFmtId="2" fontId="1" fillId="21" borderId="53" xfId="1" applyNumberFormat="1" applyFont="1" applyFill="1" applyBorder="1"/>
    <xf numFmtId="9" fontId="0" fillId="21" borderId="49" xfId="0" applyNumberFormat="1" applyFill="1" applyBorder="1"/>
    <xf numFmtId="0" fontId="0" fillId="2" borderId="46" xfId="0" applyFill="1" applyBorder="1"/>
    <xf numFmtId="9" fontId="0" fillId="2" borderId="46" xfId="0" applyNumberFormat="1" applyFill="1" applyBorder="1"/>
    <xf numFmtId="0" fontId="45" fillId="2" borderId="46" xfId="0" applyFont="1" applyFill="1" applyBorder="1"/>
    <xf numFmtId="164" fontId="3" fillId="2" borderId="46" xfId="1" applyNumberFormat="1" applyFont="1" applyFill="1" applyBorder="1"/>
    <xf numFmtId="10" fontId="0" fillId="21" borderId="54" xfId="1" applyNumberFormat="1" applyFont="1" applyFill="1" applyBorder="1"/>
    <xf numFmtId="10" fontId="0" fillId="21" borderId="52" xfId="1" applyNumberFormat="1" applyFont="1" applyFill="1" applyBorder="1"/>
    <xf numFmtId="2" fontId="1" fillId="23" borderId="55" xfId="1" applyNumberFormat="1" applyFont="1" applyFill="1" applyBorder="1"/>
    <xf numFmtId="43" fontId="58" fillId="22" borderId="40" xfId="2" applyFont="1" applyFill="1" applyBorder="1"/>
    <xf numFmtId="171" fontId="53" fillId="15" borderId="0" xfId="0" applyNumberFormat="1" applyFont="1" applyFill="1" applyAlignment="1">
      <alignment horizontal="right"/>
    </xf>
    <xf numFmtId="9" fontId="54" fillId="15" borderId="0" xfId="1" applyFont="1" applyFill="1" applyAlignment="1">
      <alignment horizontal="right"/>
    </xf>
    <xf numFmtId="0" fontId="0" fillId="15" borderId="0" xfId="0" applyFill="1"/>
    <xf numFmtId="171" fontId="38" fillId="15" borderId="0" xfId="0" applyNumberFormat="1" applyFont="1" applyFill="1"/>
    <xf numFmtId="171" fontId="54" fillId="15" borderId="0" xfId="0" applyNumberFormat="1" applyFont="1" applyFill="1" applyAlignment="1">
      <alignment horizontal="right"/>
    </xf>
    <xf numFmtId="171" fontId="53" fillId="15" borderId="0" xfId="1" applyNumberFormat="1" applyFont="1" applyFill="1"/>
    <xf numFmtId="0" fontId="44" fillId="27" borderId="6" xfId="0" applyFont="1" applyFill="1" applyBorder="1"/>
    <xf numFmtId="0" fontId="44" fillId="27" borderId="13" xfId="0" applyFont="1" applyFill="1" applyBorder="1"/>
    <xf numFmtId="165" fontId="0" fillId="27" borderId="6" xfId="0" applyNumberFormat="1" applyFill="1" applyBorder="1"/>
    <xf numFmtId="165" fontId="44" fillId="28" borderId="6" xfId="0" applyNumberFormat="1" applyFont="1" applyFill="1" applyBorder="1"/>
    <xf numFmtId="0" fontId="44" fillId="28" borderId="8" xfId="0" applyFont="1" applyFill="1" applyBorder="1"/>
    <xf numFmtId="10" fontId="0" fillId="29" borderId="3" xfId="1" applyNumberFormat="1" applyFont="1" applyFill="1" applyBorder="1"/>
    <xf numFmtId="165" fontId="3" fillId="30" borderId="3" xfId="0" applyNumberFormat="1" applyFont="1" applyFill="1" applyBorder="1"/>
    <xf numFmtId="10" fontId="54" fillId="30" borderId="0" xfId="1" applyNumberFormat="1" applyFont="1" applyFill="1"/>
    <xf numFmtId="0" fontId="59" fillId="2" borderId="0" xfId="0" applyFont="1" applyFill="1" applyBorder="1" applyAlignment="1">
      <alignment horizontal="center"/>
    </xf>
    <xf numFmtId="0" fontId="3" fillId="2" borderId="0" xfId="0" applyFont="1" applyFill="1" applyBorder="1" applyAlignment="1">
      <alignment vertical="center" textRotation="45"/>
    </xf>
    <xf numFmtId="0" fontId="60" fillId="2" borderId="18" xfId="0" applyFont="1" applyFill="1" applyBorder="1" applyAlignment="1">
      <alignment horizontal="center"/>
    </xf>
    <xf numFmtId="0" fontId="60" fillId="2" borderId="19" xfId="0" applyFont="1" applyFill="1" applyBorder="1" applyAlignment="1">
      <alignment horizontal="center"/>
    </xf>
    <xf numFmtId="0" fontId="60" fillId="2" borderId="20" xfId="0" applyFont="1" applyFill="1" applyBorder="1" applyAlignment="1">
      <alignment horizontal="center"/>
    </xf>
    <xf numFmtId="0" fontId="21" fillId="2" borderId="0" xfId="0" applyFont="1" applyFill="1" applyBorder="1" applyAlignment="1">
      <alignment horizontal="center"/>
    </xf>
    <xf numFmtId="9" fontId="62" fillId="2" borderId="4" xfId="0" applyNumberFormat="1" applyFont="1" applyFill="1" applyBorder="1"/>
    <xf numFmtId="10" fontId="62" fillId="2" borderId="4" xfId="0" applyNumberFormat="1" applyFont="1" applyFill="1" applyBorder="1" applyAlignment="1">
      <alignment horizontal="center"/>
    </xf>
    <xf numFmtId="0" fontId="63" fillId="2" borderId="15" xfId="0" applyFont="1" applyFill="1" applyBorder="1" applyAlignment="1">
      <alignment horizontal="center"/>
    </xf>
    <xf numFmtId="0" fontId="10" fillId="2" borderId="0" xfId="0" applyFont="1" applyFill="1" applyBorder="1" applyAlignment="1">
      <alignment horizontal="center"/>
    </xf>
    <xf numFmtId="170" fontId="0" fillId="2" borderId="0" xfId="8" applyNumberFormat="1" applyFont="1" applyFill="1" applyBorder="1"/>
    <xf numFmtId="10" fontId="0" fillId="2" borderId="0" xfId="1" applyNumberFormat="1" applyFont="1" applyFill="1" applyBorder="1"/>
    <xf numFmtId="9" fontId="62" fillId="2" borderId="6" xfId="0" applyNumberFormat="1" applyFont="1" applyFill="1" applyBorder="1"/>
    <xf numFmtId="165" fontId="62" fillId="2" borderId="5" xfId="0" applyNumberFormat="1" applyFont="1" applyFill="1" applyBorder="1" applyAlignment="1">
      <alignment horizontal="center"/>
    </xf>
    <xf numFmtId="10" fontId="62" fillId="2" borderId="6" xfId="0" applyNumberFormat="1" applyFont="1" applyFill="1" applyBorder="1" applyAlignment="1">
      <alignment horizontal="center"/>
    </xf>
    <xf numFmtId="0" fontId="63" fillId="2" borderId="13" xfId="0" applyFont="1" applyFill="1" applyBorder="1" applyAlignment="1">
      <alignment horizontal="center"/>
    </xf>
    <xf numFmtId="165" fontId="25" fillId="2" borderId="0" xfId="0" applyNumberFormat="1" applyFont="1" applyFill="1" applyBorder="1"/>
    <xf numFmtId="9" fontId="62" fillId="2" borderId="8" xfId="0" applyNumberFormat="1" applyFont="1" applyFill="1" applyBorder="1"/>
    <xf numFmtId="10" fontId="62" fillId="2" borderId="8" xfId="0" applyNumberFormat="1" applyFont="1" applyFill="1" applyBorder="1" applyAlignment="1">
      <alignment horizontal="center"/>
    </xf>
    <xf numFmtId="0" fontId="63" fillId="2" borderId="9" xfId="0" applyFont="1" applyFill="1" applyBorder="1" applyAlignment="1">
      <alignment horizontal="center"/>
    </xf>
    <xf numFmtId="0" fontId="10" fillId="2" borderId="0" xfId="0" applyFont="1" applyFill="1" applyBorder="1"/>
    <xf numFmtId="4" fontId="10" fillId="2" borderId="0" xfId="0" applyNumberFormat="1" applyFont="1" applyFill="1" applyBorder="1" applyAlignment="1">
      <alignment horizontal="center"/>
    </xf>
    <xf numFmtId="10" fontId="10" fillId="2" borderId="0" xfId="0" applyNumberFormat="1" applyFont="1" applyFill="1" applyBorder="1" applyAlignment="1">
      <alignment horizontal="center"/>
    </xf>
    <xf numFmtId="0" fontId="60" fillId="2" borderId="10" xfId="0" applyFont="1" applyFill="1" applyBorder="1" applyAlignment="1">
      <alignment horizontal="center"/>
    </xf>
    <xf numFmtId="0" fontId="60" fillId="2" borderId="3" xfId="0" applyFont="1" applyFill="1" applyBorder="1" applyAlignment="1">
      <alignment horizontal="center"/>
    </xf>
    <xf numFmtId="0" fontId="60" fillId="2" borderId="15" xfId="0" applyFont="1" applyFill="1" applyBorder="1" applyAlignment="1">
      <alignment horizontal="center"/>
    </xf>
    <xf numFmtId="165" fontId="62" fillId="2" borderId="6" xfId="0" applyNumberFormat="1" applyFont="1" applyFill="1" applyBorder="1" applyAlignment="1">
      <alignment horizontal="center"/>
    </xf>
    <xf numFmtId="10" fontId="62" fillId="2" borderId="5" xfId="0" applyNumberFormat="1" applyFont="1" applyFill="1" applyBorder="1" applyAlignment="1">
      <alignment horizontal="center"/>
    </xf>
    <xf numFmtId="0" fontId="63" fillId="2" borderId="4" xfId="0" applyFont="1" applyFill="1" applyBorder="1" applyAlignment="1">
      <alignment horizontal="center"/>
    </xf>
    <xf numFmtId="0" fontId="63" fillId="2" borderId="6" xfId="0" applyFont="1" applyFill="1" applyBorder="1" applyAlignment="1">
      <alignment horizontal="center"/>
    </xf>
    <xf numFmtId="165" fontId="62" fillId="2" borderId="8" xfId="0" applyNumberFormat="1" applyFont="1" applyFill="1" applyBorder="1" applyAlignment="1">
      <alignment horizontal="center"/>
    </xf>
    <xf numFmtId="0" fontId="63" fillId="2" borderId="8" xfId="0" applyFont="1" applyFill="1" applyBorder="1" applyAlignment="1">
      <alignment horizontal="center"/>
    </xf>
    <xf numFmtId="9" fontId="2" fillId="2" borderId="0" xfId="1" applyFont="1" applyFill="1" applyBorder="1" applyAlignment="1">
      <alignment horizontal="center"/>
    </xf>
    <xf numFmtId="167" fontId="0" fillId="2" borderId="0" xfId="8" applyNumberFormat="1" applyFont="1" applyFill="1" applyBorder="1" applyAlignment="1">
      <alignment horizontal="center"/>
    </xf>
    <xf numFmtId="9" fontId="0" fillId="2" borderId="0" xfId="1" applyFont="1" applyFill="1" applyBorder="1" applyAlignment="1">
      <alignment horizontal="center"/>
    </xf>
    <xf numFmtId="9" fontId="0" fillId="0" borderId="0" xfId="1" applyFont="1"/>
    <xf numFmtId="0" fontId="0" fillId="2" borderId="56" xfId="0" applyNumberFormat="1" applyFont="1" applyFill="1" applyBorder="1"/>
    <xf numFmtId="6" fontId="0" fillId="2" borderId="4" xfId="0" applyNumberFormat="1" applyFill="1" applyBorder="1"/>
    <xf numFmtId="0" fontId="0" fillId="0" borderId="14" xfId="0" applyBorder="1"/>
    <xf numFmtId="9" fontId="0" fillId="0" borderId="14" xfId="0" applyNumberFormat="1" applyBorder="1"/>
    <xf numFmtId="0" fontId="3" fillId="2" borderId="14" xfId="0" applyFont="1" applyFill="1" applyBorder="1"/>
    <xf numFmtId="1" fontId="0" fillId="0" borderId="14" xfId="0" applyNumberFormat="1" applyBorder="1"/>
    <xf numFmtId="3" fontId="0" fillId="0" borderId="14" xfId="0" applyNumberFormat="1" applyBorder="1"/>
    <xf numFmtId="10" fontId="0" fillId="2" borderId="14" xfId="1" applyNumberFormat="1" applyFont="1" applyFill="1" applyBorder="1"/>
    <xf numFmtId="1" fontId="1" fillId="2" borderId="14" xfId="1" applyNumberFormat="1" applyFont="1" applyFill="1" applyBorder="1"/>
    <xf numFmtId="2" fontId="0" fillId="0" borderId="14" xfId="0" applyNumberFormat="1" applyBorder="1"/>
    <xf numFmtId="0" fontId="3" fillId="0" borderId="27" xfId="0" applyFont="1" applyBorder="1"/>
    <xf numFmtId="9" fontId="0" fillId="0" borderId="27" xfId="0" applyNumberFormat="1" applyBorder="1"/>
    <xf numFmtId="0" fontId="6" fillId="2" borderId="12" xfId="0" applyFont="1" applyFill="1" applyBorder="1" applyAlignment="1">
      <alignment horizontal="center"/>
    </xf>
    <xf numFmtId="0" fontId="3" fillId="0" borderId="0" xfId="0" applyFont="1" applyBorder="1" applyAlignment="1"/>
    <xf numFmtId="0" fontId="66" fillId="0" borderId="14" xfId="0" applyFont="1" applyBorder="1"/>
    <xf numFmtId="9" fontId="66" fillId="0" borderId="14" xfId="0" applyNumberFormat="1" applyFont="1" applyBorder="1"/>
    <xf numFmtId="0" fontId="21" fillId="2" borderId="10" xfId="0" applyFont="1" applyFill="1" applyBorder="1"/>
    <xf numFmtId="0" fontId="49" fillId="2" borderId="4" xfId="0" applyFont="1" applyFill="1" applyBorder="1" applyAlignment="1">
      <alignment horizontal="center"/>
    </xf>
    <xf numFmtId="0" fontId="68" fillId="2" borderId="11" xfId="0" applyFont="1" applyFill="1" applyBorder="1" applyAlignment="1">
      <alignment horizontal="center"/>
    </xf>
    <xf numFmtId="0" fontId="68" fillId="2" borderId="3" xfId="0" applyFont="1" applyFill="1" applyBorder="1" applyAlignment="1">
      <alignment horizontal="center"/>
    </xf>
    <xf numFmtId="0" fontId="49" fillId="2" borderId="4" xfId="0" applyFont="1" applyFill="1" applyBorder="1"/>
    <xf numFmtId="165" fontId="49" fillId="2" borderId="17" xfId="0" applyNumberFormat="1" applyFont="1" applyFill="1" applyBorder="1"/>
    <xf numFmtId="165" fontId="49" fillId="2" borderId="4" xfId="0" applyNumberFormat="1" applyFont="1" applyFill="1" applyBorder="1"/>
    <xf numFmtId="0" fontId="49" fillId="2" borderId="8" xfId="0" applyFont="1" applyFill="1" applyBorder="1"/>
    <xf numFmtId="165" fontId="49" fillId="2" borderId="0" xfId="0" applyNumberFormat="1" applyFont="1" applyFill="1" applyBorder="1"/>
    <xf numFmtId="165" fontId="49" fillId="2" borderId="6" xfId="0" applyNumberFormat="1" applyFont="1" applyFill="1" applyBorder="1"/>
    <xf numFmtId="0" fontId="68" fillId="2" borderId="3" xfId="0" applyFont="1" applyFill="1" applyBorder="1"/>
    <xf numFmtId="165" fontId="68" fillId="2" borderId="10" xfId="0" applyNumberFormat="1" applyFont="1" applyFill="1" applyBorder="1"/>
    <xf numFmtId="165" fontId="68" fillId="2" borderId="3" xfId="0" applyNumberFormat="1" applyFont="1" applyFill="1" applyBorder="1"/>
    <xf numFmtId="165" fontId="68" fillId="2" borderId="11" xfId="0" applyNumberFormat="1" applyFont="1" applyFill="1" applyBorder="1"/>
    <xf numFmtId="0" fontId="68" fillId="2" borderId="5" xfId="0" applyFont="1" applyFill="1" applyBorder="1"/>
    <xf numFmtId="0" fontId="68" fillId="2" borderId="4" xfId="0" applyFont="1" applyFill="1" applyBorder="1"/>
    <xf numFmtId="165" fontId="68" fillId="2" borderId="4" xfId="0" applyNumberFormat="1" applyFont="1" applyFill="1" applyBorder="1"/>
    <xf numFmtId="165" fontId="68" fillId="2" borderId="15" xfId="0" applyNumberFormat="1" applyFont="1" applyFill="1" applyBorder="1"/>
    <xf numFmtId="165" fontId="68" fillId="2" borderId="17" xfId="0" applyNumberFormat="1" applyFont="1" applyFill="1" applyBorder="1"/>
    <xf numFmtId="0" fontId="49" fillId="2" borderId="6" xfId="0" applyFont="1" applyFill="1" applyBorder="1"/>
    <xf numFmtId="165" fontId="49" fillId="2" borderId="13" xfId="0" applyNumberFormat="1" applyFont="1" applyFill="1" applyBorder="1"/>
    <xf numFmtId="165" fontId="49" fillId="2" borderId="8" xfId="0" applyNumberFormat="1" applyFont="1" applyFill="1" applyBorder="1"/>
    <xf numFmtId="165" fontId="68" fillId="2" borderId="0" xfId="0" applyNumberFormat="1" applyFont="1" applyFill="1" applyBorder="1"/>
    <xf numFmtId="165" fontId="68" fillId="2" borderId="12" xfId="0" applyNumberFormat="1" applyFont="1" applyFill="1" applyBorder="1"/>
    <xf numFmtId="165" fontId="49" fillId="2" borderId="3" xfId="0" applyNumberFormat="1" applyFont="1" applyFill="1" applyBorder="1"/>
    <xf numFmtId="165" fontId="49" fillId="2" borderId="7" xfId="0" applyNumberFormat="1" applyFont="1" applyFill="1" applyBorder="1"/>
    <xf numFmtId="165" fontId="49" fillId="2" borderId="16" xfId="0" applyNumberFormat="1" applyFont="1" applyFill="1" applyBorder="1"/>
    <xf numFmtId="165" fontId="68" fillId="2" borderId="2" xfId="0" applyNumberFormat="1" applyFont="1" applyFill="1" applyBorder="1"/>
    <xf numFmtId="165" fontId="69" fillId="6" borderId="10" xfId="0" applyNumberFormat="1" applyFont="1" applyFill="1" applyBorder="1"/>
    <xf numFmtId="165" fontId="69" fillId="6" borderId="3" xfId="0" applyNumberFormat="1" applyFont="1" applyFill="1" applyBorder="1"/>
    <xf numFmtId="165" fontId="69" fillId="6" borderId="11" xfId="0" applyNumberFormat="1" applyFont="1" applyFill="1" applyBorder="1"/>
    <xf numFmtId="1" fontId="0" fillId="2" borderId="0" xfId="0" applyNumberFormat="1" applyFill="1"/>
    <xf numFmtId="0" fontId="0" fillId="2" borderId="57" xfId="0" applyFill="1" applyBorder="1"/>
    <xf numFmtId="1" fontId="0" fillId="2" borderId="57" xfId="0" applyNumberFormat="1" applyFill="1" applyBorder="1"/>
    <xf numFmtId="2" fontId="0" fillId="2" borderId="57" xfId="0" applyNumberFormat="1" applyFill="1" applyBorder="1"/>
    <xf numFmtId="172" fontId="0" fillId="2" borderId="57" xfId="0" applyNumberFormat="1" applyFill="1" applyBorder="1"/>
    <xf numFmtId="43" fontId="0" fillId="2" borderId="57" xfId="8" applyFont="1" applyFill="1" applyBorder="1"/>
    <xf numFmtId="43" fontId="0" fillId="2" borderId="57" xfId="0" applyNumberFormat="1" applyFill="1" applyBorder="1"/>
    <xf numFmtId="2" fontId="0" fillId="0" borderId="4" xfId="0" applyNumberFormat="1" applyFill="1" applyBorder="1" applyAlignment="1">
      <alignment horizontal="right"/>
    </xf>
    <xf numFmtId="2" fontId="0" fillId="0" borderId="6" xfId="0" applyNumberFormat="1" applyFill="1" applyBorder="1" applyAlignment="1">
      <alignment horizontal="right"/>
    </xf>
    <xf numFmtId="2" fontId="62" fillId="2" borderId="6" xfId="0" applyNumberFormat="1" applyFont="1" applyFill="1" applyBorder="1" applyAlignment="1">
      <alignment horizontal="right"/>
    </xf>
    <xf numFmtId="2" fontId="0" fillId="0" borderId="8" xfId="0" applyNumberFormat="1" applyFill="1" applyBorder="1" applyAlignment="1">
      <alignment horizontal="right"/>
    </xf>
    <xf numFmtId="1" fontId="0" fillId="2" borderId="6" xfId="0" applyNumberFormat="1" applyFill="1" applyBorder="1"/>
    <xf numFmtId="0" fontId="0" fillId="7" borderId="14" xfId="0" applyFill="1" applyBorder="1"/>
    <xf numFmtId="0" fontId="3" fillId="7" borderId="14" xfId="0" applyFont="1" applyFill="1" applyBorder="1"/>
    <xf numFmtId="0" fontId="3" fillId="7" borderId="29" xfId="0" applyFont="1" applyFill="1" applyBorder="1"/>
    <xf numFmtId="0" fontId="0" fillId="0" borderId="0" xfId="0" applyBorder="1"/>
    <xf numFmtId="0" fontId="0" fillId="0" borderId="43" xfId="0" applyBorder="1"/>
    <xf numFmtId="0" fontId="0" fillId="0" borderId="44" xfId="0" applyBorder="1"/>
    <xf numFmtId="0" fontId="0" fillId="0" borderId="60" xfId="0" applyBorder="1"/>
    <xf numFmtId="0" fontId="3" fillId="0" borderId="28" xfId="0" applyFont="1" applyBorder="1"/>
    <xf numFmtId="0" fontId="3" fillId="0" borderId="29" xfId="0" applyFont="1" applyBorder="1"/>
    <xf numFmtId="0" fontId="0" fillId="7" borderId="43" xfId="0" applyFill="1" applyBorder="1"/>
    <xf numFmtId="0" fontId="3" fillId="7" borderId="25" xfId="0" applyFont="1" applyFill="1" applyBorder="1"/>
    <xf numFmtId="0" fontId="0" fillId="0" borderId="59" xfId="0" applyBorder="1"/>
    <xf numFmtId="0" fontId="0" fillId="2" borderId="59" xfId="0" applyFill="1" applyBorder="1"/>
    <xf numFmtId="0" fontId="0" fillId="0" borderId="29" xfId="0" applyBorder="1"/>
    <xf numFmtId="0" fontId="0" fillId="0" borderId="26" xfId="0" applyBorder="1"/>
    <xf numFmtId="0" fontId="0" fillId="7" borderId="25" xfId="0" applyFill="1" applyBorder="1"/>
    <xf numFmtId="0" fontId="0" fillId="7" borderId="26" xfId="0" applyFill="1" applyBorder="1"/>
    <xf numFmtId="0" fontId="6" fillId="7" borderId="14" xfId="0" applyFont="1" applyFill="1" applyBorder="1"/>
    <xf numFmtId="9" fontId="0" fillId="7" borderId="14" xfId="0" applyNumberFormat="1" applyFill="1" applyBorder="1"/>
    <xf numFmtId="0" fontId="66" fillId="7" borderId="14" xfId="0" applyFont="1" applyFill="1" applyBorder="1"/>
    <xf numFmtId="0" fontId="3" fillId="33" borderId="14" xfId="0" applyFont="1" applyFill="1" applyBorder="1"/>
    <xf numFmtId="0" fontId="6" fillId="33" borderId="14" xfId="0" applyFont="1" applyFill="1" applyBorder="1" applyAlignment="1">
      <alignment horizontal="center" vertical="center"/>
    </xf>
    <xf numFmtId="0" fontId="6" fillId="33" borderId="14" xfId="0" applyFont="1" applyFill="1" applyBorder="1" applyAlignment="1">
      <alignment horizontal="center"/>
    </xf>
    <xf numFmtId="0" fontId="3" fillId="33" borderId="27" xfId="0" applyFont="1" applyFill="1" applyBorder="1"/>
    <xf numFmtId="0" fontId="0" fillId="33" borderId="14" xfId="0" applyFill="1" applyBorder="1"/>
    <xf numFmtId="2" fontId="3" fillId="33" borderId="14" xfId="0" applyNumberFormat="1" applyFont="1" applyFill="1" applyBorder="1"/>
    <xf numFmtId="0" fontId="3" fillId="24" borderId="14" xfId="0" applyFont="1" applyFill="1" applyBorder="1"/>
    <xf numFmtId="0" fontId="3" fillId="6" borderId="14" xfId="0" applyFont="1" applyFill="1" applyBorder="1"/>
    <xf numFmtId="0" fontId="6" fillId="6" borderId="14" xfId="0" applyFont="1" applyFill="1" applyBorder="1" applyAlignment="1">
      <alignment horizontal="center" vertical="center"/>
    </xf>
    <xf numFmtId="2" fontId="3" fillId="6" borderId="14" xfId="0" applyNumberFormat="1" applyFont="1" applyFill="1" applyBorder="1"/>
    <xf numFmtId="0" fontId="65" fillId="33" borderId="14" xfId="0" applyFont="1" applyFill="1" applyBorder="1"/>
    <xf numFmtId="9" fontId="64" fillId="33" borderId="14" xfId="0" applyNumberFormat="1" applyFont="1" applyFill="1" applyBorder="1"/>
    <xf numFmtId="0" fontId="64" fillId="33" borderId="14" xfId="0" applyFont="1" applyFill="1" applyBorder="1"/>
    <xf numFmtId="0" fontId="66" fillId="33" borderId="14" xfId="0" applyFont="1" applyFill="1" applyBorder="1"/>
    <xf numFmtId="0" fontId="0" fillId="24" borderId="14" xfId="0" applyFill="1" applyBorder="1"/>
    <xf numFmtId="0" fontId="0" fillId="2" borderId="25" xfId="0" applyFill="1" applyBorder="1"/>
    <xf numFmtId="0" fontId="0" fillId="2" borderId="61" xfId="0" applyFill="1" applyBorder="1"/>
    <xf numFmtId="9" fontId="0" fillId="0" borderId="26" xfId="1" applyFont="1" applyBorder="1"/>
    <xf numFmtId="0" fontId="0" fillId="0" borderId="24" xfId="0" applyBorder="1"/>
    <xf numFmtId="0" fontId="0" fillId="0" borderId="30" xfId="0" applyBorder="1"/>
    <xf numFmtId="0" fontId="0" fillId="35" borderId="25" xfId="0" applyFill="1" applyBorder="1"/>
    <xf numFmtId="0" fontId="0" fillId="35" borderId="30" xfId="0" applyFill="1" applyBorder="1"/>
    <xf numFmtId="0" fontId="0" fillId="35" borderId="26" xfId="0" applyFill="1" applyBorder="1"/>
    <xf numFmtId="0" fontId="0" fillId="33" borderId="0" xfId="0" applyFill="1"/>
    <xf numFmtId="0" fontId="0" fillId="3" borderId="0" xfId="0" applyFill="1"/>
    <xf numFmtId="0" fontId="3" fillId="33" borderId="0" xfId="0" applyFont="1" applyFill="1"/>
    <xf numFmtId="0" fontId="14" fillId="33" borderId="25" xfId="0" applyFont="1" applyFill="1" applyBorder="1" applyAlignment="1"/>
    <xf numFmtId="0" fontId="3" fillId="33" borderId="14" xfId="0" applyFont="1" applyFill="1" applyBorder="1" applyAlignment="1">
      <alignment horizontal="center" vertical="center"/>
    </xf>
    <xf numFmtId="165" fontId="0" fillId="33" borderId="14" xfId="0" applyNumberFormat="1" applyFill="1" applyBorder="1"/>
    <xf numFmtId="165" fontId="3" fillId="33" borderId="14" xfId="0" applyNumberFormat="1" applyFont="1" applyFill="1" applyBorder="1"/>
    <xf numFmtId="0" fontId="0" fillId="34" borderId="3" xfId="0" applyFont="1" applyFill="1" applyBorder="1" applyAlignment="1">
      <alignment horizontal="center" vertical="center"/>
    </xf>
    <xf numFmtId="0" fontId="0" fillId="34" borderId="8" xfId="0" applyFont="1" applyFill="1" applyBorder="1" applyAlignment="1">
      <alignment horizontal="center" vertical="center"/>
    </xf>
    <xf numFmtId="165" fontId="2" fillId="34" borderId="10" xfId="0" applyNumberFormat="1" applyFont="1" applyFill="1" applyBorder="1"/>
    <xf numFmtId="165" fontId="25" fillId="34" borderId="10" xfId="0" applyNumberFormat="1" applyFont="1" applyFill="1" applyBorder="1"/>
    <xf numFmtId="165" fontId="25" fillId="34" borderId="3" xfId="0" applyNumberFormat="1" applyFont="1" applyFill="1" applyBorder="1"/>
    <xf numFmtId="165" fontId="0" fillId="34" borderId="3" xfId="0" applyNumberFormat="1" applyFill="1" applyBorder="1"/>
    <xf numFmtId="165" fontId="0" fillId="34" borderId="11" xfId="0" applyNumberFormat="1" applyFill="1" applyBorder="1"/>
    <xf numFmtId="0" fontId="9" fillId="34" borderId="3" xfId="0" applyFont="1" applyFill="1" applyBorder="1" applyAlignment="1">
      <alignment horizontal="center" vertical="center"/>
    </xf>
    <xf numFmtId="0" fontId="9" fillId="34" borderId="11" xfId="0" applyFont="1" applyFill="1" applyBorder="1" applyAlignment="1">
      <alignment horizontal="center" vertical="center"/>
    </xf>
    <xf numFmtId="0" fontId="9" fillId="34" borderId="10" xfId="0" applyFont="1" applyFill="1" applyBorder="1" applyAlignment="1">
      <alignment horizontal="center" vertical="center"/>
    </xf>
    <xf numFmtId="0" fontId="9" fillId="34" borderId="12" xfId="0" applyFont="1" applyFill="1" applyBorder="1" applyAlignment="1">
      <alignment horizontal="center" vertical="center"/>
    </xf>
    <xf numFmtId="169" fontId="7" fillId="2" borderId="45" xfId="0" applyNumberFormat="1" applyFont="1" applyFill="1" applyBorder="1" applyAlignment="1">
      <alignment vertical="center"/>
    </xf>
    <xf numFmtId="169" fontId="7" fillId="2" borderId="62" xfId="0" applyNumberFormat="1" applyFont="1" applyFill="1" applyBorder="1" applyAlignment="1">
      <alignment vertical="center"/>
    </xf>
    <xf numFmtId="0" fontId="26" fillId="34" borderId="3" xfId="0" applyFont="1" applyFill="1" applyBorder="1"/>
    <xf numFmtId="165" fontId="27" fillId="34" borderId="3" xfId="0" applyNumberFormat="1" applyFont="1" applyFill="1" applyBorder="1"/>
    <xf numFmtId="0" fontId="0" fillId="34" borderId="25" xfId="0" applyFill="1" applyBorder="1"/>
    <xf numFmtId="0" fontId="0" fillId="34" borderId="30" xfId="0" applyFont="1" applyFill="1" applyBorder="1"/>
    <xf numFmtId="0" fontId="0" fillId="34" borderId="30" xfId="0" applyFill="1" applyBorder="1"/>
    <xf numFmtId="0" fontId="0" fillId="34" borderId="26" xfId="0" applyFill="1" applyBorder="1"/>
    <xf numFmtId="0" fontId="11" fillId="34" borderId="5" xfId="0" applyFont="1" applyFill="1" applyBorder="1"/>
    <xf numFmtId="0" fontId="11" fillId="34" borderId="8" xfId="0" applyFont="1" applyFill="1" applyBorder="1"/>
    <xf numFmtId="0" fontId="11" fillId="34" borderId="7" xfId="0" applyFont="1" applyFill="1" applyBorder="1"/>
    <xf numFmtId="0" fontId="11" fillId="34" borderId="8" xfId="0" applyFont="1" applyFill="1" applyBorder="1" applyAlignment="1">
      <alignment horizontal="center" vertical="center"/>
    </xf>
    <xf numFmtId="0" fontId="11" fillId="34" borderId="16" xfId="0" applyFont="1" applyFill="1" applyBorder="1" applyAlignment="1">
      <alignment horizontal="center" vertical="center"/>
    </xf>
    <xf numFmtId="0" fontId="11" fillId="34" borderId="9" xfId="0" applyFont="1" applyFill="1" applyBorder="1" applyAlignment="1">
      <alignment horizontal="center" vertical="center"/>
    </xf>
    <xf numFmtId="0" fontId="12" fillId="34" borderId="4" xfId="0" applyFont="1" applyFill="1" applyBorder="1"/>
    <xf numFmtId="0" fontId="12" fillId="34" borderId="6" xfId="0" applyFont="1" applyFill="1" applyBorder="1"/>
    <xf numFmtId="0" fontId="11" fillId="34" borderId="3" xfId="0" applyFont="1" applyFill="1" applyBorder="1"/>
    <xf numFmtId="1" fontId="12" fillId="34" borderId="3" xfId="0" applyNumberFormat="1" applyFont="1" applyFill="1" applyBorder="1" applyAlignment="1">
      <alignment horizontal="center"/>
    </xf>
    <xf numFmtId="44" fontId="13" fillId="34" borderId="3" xfId="3" applyFont="1" applyFill="1" applyBorder="1" applyAlignment="1">
      <alignment horizontal="right"/>
    </xf>
    <xf numFmtId="44" fontId="13" fillId="34" borderId="12" xfId="3" applyFont="1" applyFill="1" applyBorder="1" applyAlignment="1">
      <alignment horizontal="right"/>
    </xf>
    <xf numFmtId="44" fontId="13" fillId="34" borderId="11" xfId="3" applyFont="1" applyFill="1" applyBorder="1" applyAlignment="1">
      <alignment horizontal="right"/>
    </xf>
    <xf numFmtId="44" fontId="13" fillId="34" borderId="14" xfId="3" applyFont="1" applyFill="1" applyBorder="1" applyAlignment="1">
      <alignment horizontal="right"/>
    </xf>
    <xf numFmtId="168" fontId="0" fillId="2" borderId="13" xfId="0" applyNumberFormat="1" applyFill="1" applyBorder="1"/>
    <xf numFmtId="168" fontId="0" fillId="2" borderId="4" xfId="0" applyNumberFormat="1" applyFill="1" applyBorder="1"/>
    <xf numFmtId="0" fontId="3" fillId="34" borderId="4" xfId="0" applyFont="1" applyFill="1" applyBorder="1"/>
    <xf numFmtId="0" fontId="3" fillId="34" borderId="8" xfId="0" applyFont="1" applyFill="1" applyBorder="1"/>
    <xf numFmtId="44" fontId="13" fillId="34" borderId="8" xfId="3" applyFont="1" applyFill="1" applyBorder="1"/>
    <xf numFmtId="167" fontId="0" fillId="34" borderId="3" xfId="0" applyNumberFormat="1" applyFill="1" applyBorder="1"/>
    <xf numFmtId="0" fontId="0" fillId="34" borderId="4" xfId="0" applyFill="1" applyBorder="1"/>
    <xf numFmtId="0" fontId="0" fillId="34" borderId="6" xfId="0" applyFill="1" applyBorder="1"/>
    <xf numFmtId="0" fontId="0" fillId="34" borderId="8" xfId="0" applyFill="1" applyBorder="1"/>
    <xf numFmtId="0" fontId="0" fillId="3" borderId="14" xfId="0" applyFill="1" applyBorder="1"/>
    <xf numFmtId="0" fontId="17" fillId="3" borderId="14" xfId="0" applyFont="1" applyFill="1" applyBorder="1" applyAlignment="1">
      <alignment vertical="center"/>
    </xf>
    <xf numFmtId="0" fontId="6" fillId="3" borderId="58" xfId="0" applyFont="1" applyFill="1" applyBorder="1"/>
    <xf numFmtId="0" fontId="6" fillId="3" borderId="61" xfId="0" applyFont="1" applyFill="1" applyBorder="1"/>
    <xf numFmtId="0" fontId="6" fillId="3" borderId="43" xfId="0" applyFont="1" applyFill="1" applyBorder="1"/>
    <xf numFmtId="0" fontId="6" fillId="27" borderId="0" xfId="0" applyFont="1" applyFill="1" applyBorder="1"/>
    <xf numFmtId="0" fontId="0" fillId="27" borderId="0" xfId="0" applyFill="1" applyBorder="1"/>
    <xf numFmtId="0" fontId="3" fillId="27" borderId="14" xfId="0" applyFont="1" applyFill="1" applyBorder="1" applyAlignment="1">
      <alignment horizontal="center" vertical="center"/>
    </xf>
    <xf numFmtId="0" fontId="0" fillId="27" borderId="14" xfId="0" applyFill="1" applyBorder="1" applyAlignment="1">
      <alignment horizontal="center" vertical="center"/>
    </xf>
    <xf numFmtId="0" fontId="0" fillId="27" borderId="14" xfId="0" applyFill="1" applyBorder="1"/>
    <xf numFmtId="44" fontId="2" fillId="27" borderId="14" xfId="0" applyNumberFormat="1" applyFont="1" applyFill="1" applyBorder="1"/>
    <xf numFmtId="44" fontId="0" fillId="27" borderId="14" xfId="0" applyNumberFormat="1" applyFill="1" applyBorder="1"/>
    <xf numFmtId="165" fontId="3" fillId="27" borderId="0" xfId="0" applyNumberFormat="1" applyFont="1" applyFill="1"/>
    <xf numFmtId="0" fontId="0" fillId="3" borderId="25" xfId="0" applyFill="1" applyBorder="1"/>
    <xf numFmtId="0" fontId="3" fillId="3" borderId="27" xfId="0" applyFont="1" applyFill="1" applyBorder="1" applyAlignment="1">
      <alignment horizontal="center" vertical="center"/>
    </xf>
    <xf numFmtId="0" fontId="0" fillId="3" borderId="27" xfId="0" applyFill="1" applyBorder="1" applyAlignment="1">
      <alignment horizontal="center" vertical="center"/>
    </xf>
    <xf numFmtId="0" fontId="0" fillId="3" borderId="29" xfId="0" applyFill="1" applyBorder="1"/>
    <xf numFmtId="44" fontId="2" fillId="3" borderId="29" xfId="0" applyNumberFormat="1" applyFont="1" applyFill="1" applyBorder="1"/>
    <xf numFmtId="44" fontId="0" fillId="3" borderId="29" xfId="0" applyNumberFormat="1" applyFill="1" applyBorder="1"/>
    <xf numFmtId="165" fontId="0" fillId="3" borderId="29" xfId="0" applyNumberFormat="1" applyFill="1" applyBorder="1"/>
    <xf numFmtId="165" fontId="2" fillId="3" borderId="29" xfId="0" applyNumberFormat="1" applyFont="1" applyFill="1" applyBorder="1"/>
    <xf numFmtId="165" fontId="25" fillId="3" borderId="29" xfId="0" applyNumberFormat="1" applyFont="1" applyFill="1" applyBorder="1"/>
    <xf numFmtId="0" fontId="0" fillId="6" borderId="0" xfId="0" applyFill="1" applyBorder="1"/>
    <xf numFmtId="0" fontId="0" fillId="6" borderId="14" xfId="0" applyFont="1" applyFill="1" applyBorder="1" applyAlignment="1">
      <alignment horizontal="center"/>
    </xf>
    <xf numFmtId="44" fontId="0" fillId="6" borderId="14" xfId="0" applyNumberFormat="1" applyFill="1" applyBorder="1"/>
    <xf numFmtId="0" fontId="0" fillId="6" borderId="14" xfId="0" applyFill="1" applyBorder="1"/>
    <xf numFmtId="0" fontId="3" fillId="6" borderId="0" xfId="0" applyFont="1" applyFill="1" applyBorder="1"/>
    <xf numFmtId="0" fontId="3" fillId="6" borderId="3" xfId="0" applyFont="1" applyFill="1" applyBorder="1"/>
    <xf numFmtId="1" fontId="0" fillId="2" borderId="17" xfId="0" applyNumberFormat="1" applyFill="1" applyBorder="1"/>
    <xf numFmtId="170" fontId="28" fillId="14" borderId="12" xfId="0" applyNumberFormat="1" applyFont="1" applyFill="1" applyBorder="1"/>
    <xf numFmtId="44" fontId="3" fillId="2" borderId="9" xfId="0" applyNumberFormat="1" applyFont="1" applyFill="1" applyBorder="1"/>
    <xf numFmtId="9" fontId="0" fillId="2" borderId="14" xfId="1" applyFont="1" applyFill="1" applyBorder="1"/>
    <xf numFmtId="0" fontId="3" fillId="24" borderId="7" xfId="0" applyFont="1" applyFill="1" applyBorder="1" applyAlignment="1">
      <alignment horizontal="center" vertical="center"/>
    </xf>
    <xf numFmtId="0" fontId="3" fillId="24" borderId="16" xfId="0" applyFont="1" applyFill="1" applyBorder="1" applyAlignment="1">
      <alignment horizontal="center" vertical="center"/>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0" fillId="24" borderId="2" xfId="0" applyFill="1" applyBorder="1"/>
    <xf numFmtId="44" fontId="0" fillId="24" borderId="14" xfId="0" applyNumberFormat="1" applyFill="1" applyBorder="1"/>
    <xf numFmtId="170" fontId="28" fillId="24" borderId="12" xfId="0" applyNumberFormat="1" applyFont="1" applyFill="1" applyBorder="1"/>
    <xf numFmtId="0" fontId="31" fillId="2" borderId="14" xfId="0" applyFont="1" applyFill="1" applyBorder="1" applyAlignment="1">
      <alignment horizontal="center" vertical="center"/>
    </xf>
    <xf numFmtId="171" fontId="70" fillId="24" borderId="3" xfId="0" applyNumberFormat="1" applyFont="1" applyFill="1" applyBorder="1" applyAlignment="1">
      <alignment horizontal="center"/>
    </xf>
    <xf numFmtId="0" fontId="0" fillId="6" borderId="20" xfId="0" applyFill="1" applyBorder="1" applyAlignment="1">
      <alignment horizontal="center" vertical="center"/>
    </xf>
    <xf numFmtId="44" fontId="13" fillId="2" borderId="63" xfId="3" applyFont="1" applyFill="1" applyBorder="1"/>
    <xf numFmtId="0" fontId="0" fillId="2" borderId="63" xfId="0" applyFill="1" applyBorder="1"/>
    <xf numFmtId="167" fontId="0" fillId="2" borderId="14" xfId="0" applyNumberFormat="1" applyFill="1" applyBorder="1"/>
    <xf numFmtId="1" fontId="16" fillId="24" borderId="14" xfId="0" applyNumberFormat="1" applyFont="1" applyFill="1" applyBorder="1" applyAlignment="1">
      <alignment horizontal="center" vertical="center"/>
    </xf>
    <xf numFmtId="44" fontId="3" fillId="24" borderId="14" xfId="3" applyFont="1" applyFill="1" applyBorder="1"/>
    <xf numFmtId="44" fontId="3" fillId="24" borderId="14" xfId="0" applyNumberFormat="1" applyFont="1" applyFill="1" applyBorder="1"/>
    <xf numFmtId="167" fontId="3" fillId="24" borderId="0" xfId="0" applyNumberFormat="1" applyFont="1" applyFill="1"/>
    <xf numFmtId="166" fontId="3" fillId="2" borderId="14" xfId="8" applyNumberFormat="1" applyFont="1" applyFill="1" applyBorder="1"/>
    <xf numFmtId="9" fontId="0" fillId="0" borderId="0" xfId="0" applyNumberFormat="1" applyBorder="1"/>
    <xf numFmtId="3" fontId="0" fillId="0" borderId="0" xfId="0" applyNumberFormat="1" applyFont="1" applyBorder="1"/>
    <xf numFmtId="1" fontId="3" fillId="2" borderId="0" xfId="1" applyNumberFormat="1" applyFont="1" applyFill="1" applyBorder="1"/>
    <xf numFmtId="43" fontId="0" fillId="2" borderId="0" xfId="0" applyNumberFormat="1" applyFill="1"/>
    <xf numFmtId="0" fontId="66" fillId="32" borderId="0" xfId="0" applyFont="1" applyFill="1" applyAlignment="1">
      <alignment horizontal="left" vertical="top" wrapText="1"/>
    </xf>
    <xf numFmtId="0" fontId="0" fillId="32" borderId="0" xfId="0" applyFill="1" applyAlignment="1">
      <alignment horizontal="left" vertical="top" wrapText="1"/>
    </xf>
    <xf numFmtId="0" fontId="3" fillId="7" borderId="14" xfId="0" applyFont="1" applyFill="1" applyBorder="1" applyAlignment="1">
      <alignment horizontal="center"/>
    </xf>
    <xf numFmtId="0" fontId="3" fillId="6" borderId="14" xfId="0" applyFont="1" applyFill="1" applyBorder="1" applyAlignment="1">
      <alignment horizontal="center"/>
    </xf>
    <xf numFmtId="0" fontId="3" fillId="33" borderId="26" xfId="0" applyFont="1" applyFill="1" applyBorder="1" applyAlignment="1">
      <alignment horizontal="center"/>
    </xf>
    <xf numFmtId="0" fontId="0" fillId="33" borderId="14" xfId="0" applyFill="1" applyBorder="1" applyAlignment="1">
      <alignment horizontal="center"/>
    </xf>
    <xf numFmtId="0" fontId="14" fillId="2" borderId="0" xfId="0" applyFont="1" applyFill="1" applyAlignment="1">
      <alignment horizontal="left"/>
    </xf>
    <xf numFmtId="0" fontId="0" fillId="9" borderId="14" xfId="0" applyFill="1" applyBorder="1" applyAlignment="1">
      <alignment horizontal="center" wrapText="1"/>
    </xf>
    <xf numFmtId="0" fontId="3" fillId="7" borderId="25" xfId="0" applyFont="1" applyFill="1" applyBorder="1" applyAlignment="1">
      <alignment horizontal="center" wrapText="1"/>
    </xf>
    <xf numFmtId="0" fontId="3" fillId="7" borderId="30" xfId="0" applyFont="1" applyFill="1" applyBorder="1" applyAlignment="1">
      <alignment horizontal="center" wrapText="1"/>
    </xf>
    <xf numFmtId="0" fontId="3" fillId="7" borderId="26" xfId="0" applyFont="1" applyFill="1" applyBorder="1" applyAlignment="1">
      <alignment horizontal="center" wrapText="1"/>
    </xf>
    <xf numFmtId="0" fontId="3" fillId="10" borderId="25" xfId="0" applyFont="1" applyFill="1" applyBorder="1" applyAlignment="1">
      <alignment horizontal="center" wrapText="1"/>
    </xf>
    <xf numFmtId="0" fontId="3" fillId="10" borderId="30" xfId="0" applyFont="1" applyFill="1" applyBorder="1" applyAlignment="1">
      <alignment horizontal="center" wrapText="1"/>
    </xf>
    <xf numFmtId="0" fontId="3" fillId="10" borderId="26" xfId="0" applyFont="1" applyFill="1" applyBorder="1" applyAlignment="1">
      <alignment horizontal="center" wrapText="1"/>
    </xf>
    <xf numFmtId="0" fontId="3" fillId="9" borderId="14" xfId="0" applyFont="1" applyFill="1" applyBorder="1" applyAlignment="1">
      <alignment horizontal="center" wrapText="1"/>
    </xf>
    <xf numFmtId="0" fontId="3" fillId="8" borderId="14" xfId="0" applyFont="1" applyFill="1" applyBorder="1" applyAlignment="1">
      <alignment horizontal="center" wrapText="1"/>
    </xf>
    <xf numFmtId="0" fontId="0" fillId="8" borderId="14" xfId="0" applyFill="1" applyBorder="1" applyAlignment="1">
      <alignment horizontal="center" wrapText="1"/>
    </xf>
    <xf numFmtId="0" fontId="0" fillId="7" borderId="14" xfId="0" applyFill="1" applyBorder="1" applyAlignment="1">
      <alignment horizontal="center" wrapText="1"/>
    </xf>
    <xf numFmtId="8" fontId="3" fillId="8" borderId="14" xfId="0" applyNumberFormat="1" applyFont="1" applyFill="1" applyBorder="1" applyAlignment="1">
      <alignment horizontal="center" wrapText="1"/>
    </xf>
    <xf numFmtId="0" fontId="3" fillId="9" borderId="27"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19" fillId="0" borderId="18" xfId="0" applyFont="1" applyFill="1" applyBorder="1" applyAlignment="1">
      <alignment horizontal="center"/>
    </xf>
    <xf numFmtId="0" fontId="19" fillId="0" borderId="19" xfId="0" applyFont="1" applyFill="1" applyBorder="1" applyAlignment="1">
      <alignment horizontal="center"/>
    </xf>
    <xf numFmtId="0" fontId="19" fillId="0" borderId="20" xfId="0" applyFont="1" applyFill="1" applyBorder="1" applyAlignment="1">
      <alignment horizontal="center"/>
    </xf>
    <xf numFmtId="0" fontId="20" fillId="6"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3" fillId="7" borderId="0" xfId="0" applyFont="1" applyFill="1" applyAlignment="1">
      <alignment horizontal="center" wrapText="1"/>
    </xf>
    <xf numFmtId="0" fontId="3" fillId="7" borderId="24" xfId="0" applyFont="1" applyFill="1" applyBorder="1" applyAlignment="1">
      <alignment horizontal="center" wrapText="1"/>
    </xf>
    <xf numFmtId="0" fontId="3" fillId="8" borderId="25" xfId="0" applyFont="1" applyFill="1" applyBorder="1" applyAlignment="1">
      <alignment horizontal="center" wrapText="1"/>
    </xf>
    <xf numFmtId="0" fontId="3" fillId="8" borderId="26" xfId="0" applyFont="1" applyFill="1" applyBorder="1" applyAlignment="1">
      <alignment horizontal="center" wrapText="1"/>
    </xf>
    <xf numFmtId="0" fontId="6" fillId="11" borderId="10" xfId="0" applyFont="1" applyFill="1" applyBorder="1" applyAlignment="1">
      <alignment horizontal="center"/>
    </xf>
    <xf numFmtId="0" fontId="6" fillId="11" borderId="11" xfId="0" applyFont="1" applyFill="1" applyBorder="1" applyAlignment="1">
      <alignment horizontal="center"/>
    </xf>
    <xf numFmtId="0" fontId="6" fillId="11" borderId="12" xfId="0" applyFont="1" applyFill="1" applyBorder="1" applyAlignment="1">
      <alignment horizontal="center"/>
    </xf>
    <xf numFmtId="0" fontId="6" fillId="12" borderId="10" xfId="0" applyFont="1" applyFill="1" applyBorder="1" applyAlignment="1">
      <alignment horizontal="center"/>
    </xf>
    <xf numFmtId="0" fontId="6" fillId="12" borderId="11" xfId="0" applyFont="1" applyFill="1" applyBorder="1" applyAlignment="1">
      <alignment horizontal="center"/>
    </xf>
    <xf numFmtId="0" fontId="6" fillId="12" borderId="12" xfId="0" applyFont="1" applyFill="1" applyBorder="1" applyAlignment="1">
      <alignment horizontal="center"/>
    </xf>
    <xf numFmtId="0" fontId="32" fillId="4" borderId="27" xfId="0" applyFont="1" applyFill="1" applyBorder="1" applyAlignment="1">
      <alignment horizontal="center" vertical="center" textRotation="90"/>
    </xf>
    <xf numFmtId="0" fontId="32" fillId="4" borderId="28" xfId="0" applyFont="1" applyFill="1" applyBorder="1" applyAlignment="1">
      <alignment horizontal="center" vertical="center" textRotation="90"/>
    </xf>
    <xf numFmtId="0" fontId="32" fillId="4" borderId="29" xfId="0" applyFont="1" applyFill="1" applyBorder="1" applyAlignment="1">
      <alignment horizontal="center" vertical="center" textRotation="90"/>
    </xf>
    <xf numFmtId="0" fontId="67" fillId="31" borderId="0" xfId="0" applyFont="1" applyFill="1" applyAlignment="1">
      <alignment horizontal="center"/>
    </xf>
    <xf numFmtId="171" fontId="36" fillId="16" borderId="10" xfId="0" applyNumberFormat="1" applyFont="1" applyFill="1" applyBorder="1" applyAlignment="1">
      <alignment horizontal="center"/>
    </xf>
    <xf numFmtId="171" fontId="36" fillId="16" borderId="12" xfId="0" applyNumberFormat="1" applyFont="1" applyFill="1" applyBorder="1" applyAlignment="1">
      <alignment horizontal="center"/>
    </xf>
    <xf numFmtId="171" fontId="39" fillId="17" borderId="0" xfId="0" applyNumberFormat="1" applyFont="1" applyFill="1" applyAlignment="1">
      <alignment horizontal="left"/>
    </xf>
    <xf numFmtId="171" fontId="39" fillId="18" borderId="0" xfId="0" applyNumberFormat="1" applyFont="1" applyFill="1" applyAlignment="1">
      <alignment horizontal="left"/>
    </xf>
    <xf numFmtId="171" fontId="37" fillId="6" borderId="0" xfId="0" applyNumberFormat="1" applyFont="1" applyFill="1" applyAlignment="1">
      <alignment horizontal="left"/>
    </xf>
    <xf numFmtId="0" fontId="55" fillId="14" borderId="0" xfId="0" applyFont="1" applyFill="1" applyAlignment="1">
      <alignment horizontal="center"/>
    </xf>
    <xf numFmtId="171" fontId="53" fillId="0" borderId="10" xfId="0" applyNumberFormat="1" applyFont="1" applyFill="1" applyBorder="1" applyAlignment="1">
      <alignment horizontal="center"/>
    </xf>
    <xf numFmtId="171" fontId="53" fillId="0" borderId="12" xfId="0" applyNumberFormat="1" applyFont="1" applyFill="1" applyBorder="1" applyAlignment="1">
      <alignment horizontal="center"/>
    </xf>
    <xf numFmtId="171" fontId="54" fillId="30" borderId="0" xfId="0" applyNumberFormat="1" applyFont="1" applyFill="1" applyAlignment="1">
      <alignment horizontal="left"/>
    </xf>
    <xf numFmtId="0" fontId="55" fillId="0" borderId="0" xfId="0" applyFont="1" applyFill="1" applyAlignment="1">
      <alignment horizontal="center"/>
    </xf>
    <xf numFmtId="0" fontId="3" fillId="2" borderId="0" xfId="0" applyFont="1" applyFill="1" applyBorder="1" applyAlignment="1">
      <alignment horizontal="center" vertical="center" textRotation="45"/>
    </xf>
    <xf numFmtId="0" fontId="59" fillId="2" borderId="0" xfId="0" applyFont="1" applyFill="1" applyBorder="1" applyAlignment="1">
      <alignment horizontal="center"/>
    </xf>
    <xf numFmtId="0" fontId="61" fillId="4" borderId="4" xfId="0" applyFont="1" applyFill="1" applyBorder="1" applyAlignment="1">
      <alignment horizontal="center" vertical="center" textRotation="45"/>
    </xf>
    <xf numFmtId="0" fontId="61" fillId="4" borderId="6" xfId="0" applyFont="1" applyFill="1" applyBorder="1" applyAlignment="1">
      <alignment horizontal="center" vertical="center" textRotation="45"/>
    </xf>
    <xf numFmtId="0" fontId="61" fillId="4" borderId="8" xfId="0" applyFont="1" applyFill="1" applyBorder="1" applyAlignment="1">
      <alignment horizontal="center" vertical="center" textRotation="45"/>
    </xf>
    <xf numFmtId="0" fontId="59" fillId="2" borderId="0" xfId="0" applyFont="1" applyFill="1" applyBorder="1" applyAlignment="1">
      <alignment horizontal="left"/>
    </xf>
    <xf numFmtId="0" fontId="20" fillId="17" borderId="31" xfId="0" applyFont="1" applyFill="1" applyBorder="1" applyAlignment="1">
      <alignment horizontal="center"/>
    </xf>
    <xf numFmtId="0" fontId="20" fillId="17" borderId="32" xfId="0" applyFont="1" applyFill="1" applyBorder="1" applyAlignment="1">
      <alignment horizontal="center"/>
    </xf>
    <xf numFmtId="0" fontId="20" fillId="17" borderId="33" xfId="0" applyFont="1" applyFill="1" applyBorder="1" applyAlignment="1">
      <alignment horizontal="center"/>
    </xf>
    <xf numFmtId="0" fontId="20" fillId="17" borderId="34" xfId="0" applyFont="1" applyFill="1" applyBorder="1" applyAlignment="1">
      <alignment horizontal="center"/>
    </xf>
    <xf numFmtId="166" fontId="47" fillId="22" borderId="42" xfId="0" applyNumberFormat="1" applyFont="1" applyFill="1" applyBorder="1" applyAlignment="1">
      <alignment horizontal="center" vertical="center"/>
    </xf>
    <xf numFmtId="166" fontId="47" fillId="22" borderId="33" xfId="0" applyNumberFormat="1" applyFont="1" applyFill="1" applyBorder="1" applyAlignment="1">
      <alignment horizontal="center" vertical="center"/>
    </xf>
    <xf numFmtId="166" fontId="47" fillId="22" borderId="34" xfId="0" applyNumberFormat="1" applyFont="1" applyFill="1" applyBorder="1" applyAlignment="1">
      <alignment horizontal="center" vertical="center"/>
    </xf>
    <xf numFmtId="0" fontId="50" fillId="2" borderId="47" xfId="0" applyFont="1" applyFill="1" applyBorder="1" applyAlignment="1">
      <alignment horizontal="center" vertical="center"/>
    </xf>
    <xf numFmtId="0" fontId="50" fillId="2" borderId="48" xfId="0" applyFont="1" applyFill="1" applyBorder="1" applyAlignment="1">
      <alignment horizontal="center" vertical="center"/>
    </xf>
    <xf numFmtId="0" fontId="0" fillId="2" borderId="46" xfId="0" applyFill="1" applyBorder="1" applyAlignment="1">
      <alignment horizontal="center"/>
    </xf>
    <xf numFmtId="0" fontId="0" fillId="2" borderId="0" xfId="0" applyFill="1" applyBorder="1" applyAlignment="1">
      <alignment horizontal="center"/>
    </xf>
    <xf numFmtId="0" fontId="3" fillId="2" borderId="0" xfId="0" applyFont="1" applyFill="1" applyAlignment="1">
      <alignment horizontal="center"/>
    </xf>
    <xf numFmtId="0" fontId="0" fillId="2" borderId="0" xfId="0" applyFill="1" applyAlignment="1">
      <alignment horizontal="left"/>
    </xf>
    <xf numFmtId="0" fontId="3" fillId="25" borderId="27" xfId="0" applyFont="1" applyFill="1" applyBorder="1" applyAlignment="1">
      <alignment horizontal="center"/>
    </xf>
    <xf numFmtId="0" fontId="57" fillId="24" borderId="14" xfId="0" applyFont="1" applyFill="1" applyBorder="1" applyAlignment="1">
      <alignment horizontal="center" vertical="center" textRotation="180" wrapText="1"/>
    </xf>
  </cellXfs>
  <cellStyles count="9">
    <cellStyle name="Hipervínculo" xfId="6" builtinId="8"/>
    <cellStyle name="Hipervínculo 2" xfId="5"/>
    <cellStyle name="Millares" xfId="8" builtinId="3"/>
    <cellStyle name="Millares 2" xfId="2"/>
    <cellStyle name="Moneda 2" xfId="3"/>
    <cellStyle name="Normal" xfId="0" builtinId="0"/>
    <cellStyle name="Normal 2" xfId="4"/>
    <cellStyle name="Normal 3" xfId="7"/>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s-EC"/>
  <c:chart>
    <c:autoTitleDeleted val="1"/>
    <c:plotArea>
      <c:layout>
        <c:manualLayout>
          <c:layoutTarget val="inner"/>
          <c:xMode val="edge"/>
          <c:yMode val="edge"/>
          <c:x val="0.19981820287170002"/>
          <c:y val="0.11197648778763988"/>
          <c:w val="0.77077003242241915"/>
          <c:h val="0.82228329301974512"/>
        </c:manualLayout>
      </c:layout>
      <c:lineChart>
        <c:grouping val="stacked"/>
        <c:ser>
          <c:idx val="0"/>
          <c:order val="0"/>
          <c:cat>
            <c:numRef>
              <c:f>graficos!$D$6:$D$9</c:f>
              <c:numCache>
                <c:formatCode>0.00%</c:formatCode>
                <c:ptCount val="4"/>
                <c:pt idx="0">
                  <c:v>0.29944260888300639</c:v>
                </c:pt>
                <c:pt idx="1">
                  <c:v>0.25530531226592834</c:v>
                </c:pt>
                <c:pt idx="2">
                  <c:v>0.21229306929214509</c:v>
                </c:pt>
                <c:pt idx="3">
                  <c:v>0.16996129664608672</c:v>
                </c:pt>
              </c:numCache>
            </c:numRef>
          </c:cat>
          <c:val>
            <c:numRef>
              <c:f>graficos!$C$6:$C$9</c:f>
              <c:numCache>
                <c:formatCode>0.00</c:formatCode>
                <c:ptCount val="4"/>
                <c:pt idx="0">
                  <c:v>68390.41775068648</c:v>
                </c:pt>
                <c:pt idx="1">
                  <c:v>45265.599667933537</c:v>
                </c:pt>
                <c:pt idx="2">
                  <c:v>22141.028315828327</c:v>
                </c:pt>
                <c:pt idx="3">
                  <c:v>-984.03649757243329</c:v>
                </c:pt>
              </c:numCache>
            </c:numRef>
          </c:val>
        </c:ser>
        <c:ser>
          <c:idx val="1"/>
          <c:order val="1"/>
          <c:cat>
            <c:numRef>
              <c:f>graficos!$D$6:$D$9</c:f>
              <c:numCache>
                <c:formatCode>0.00%</c:formatCode>
                <c:ptCount val="4"/>
                <c:pt idx="0">
                  <c:v>0.29944260888300639</c:v>
                </c:pt>
                <c:pt idx="1">
                  <c:v>0.25530531226592834</c:v>
                </c:pt>
                <c:pt idx="2">
                  <c:v>0.21229306929214509</c:v>
                </c:pt>
                <c:pt idx="3">
                  <c:v>0.16996129664608672</c:v>
                </c:pt>
              </c:numCache>
            </c:numRef>
          </c:cat>
          <c:val>
            <c:numRef>
              <c:f>graficos!$D$6:$D$9</c:f>
              <c:numCache>
                <c:formatCode>0.00%</c:formatCode>
                <c:ptCount val="4"/>
                <c:pt idx="0">
                  <c:v>0.29944260888300639</c:v>
                </c:pt>
                <c:pt idx="1">
                  <c:v>0.25530531226592834</c:v>
                </c:pt>
                <c:pt idx="2">
                  <c:v>0.21229306929214509</c:v>
                </c:pt>
                <c:pt idx="3">
                  <c:v>0.16996129664608672</c:v>
                </c:pt>
              </c:numCache>
            </c:numRef>
          </c:val>
        </c:ser>
        <c:dropLines/>
        <c:marker val="1"/>
        <c:axId val="99508608"/>
        <c:axId val="99510912"/>
      </c:lineChart>
      <c:catAx>
        <c:axId val="99508608"/>
        <c:scaling>
          <c:orientation val="minMax"/>
        </c:scaling>
        <c:axPos val="b"/>
        <c:title>
          <c:tx>
            <c:rich>
              <a:bodyPr/>
              <a:lstStyle/>
              <a:p>
                <a:pPr>
                  <a:defRPr lang="es-ES"/>
                </a:pPr>
                <a:r>
                  <a:rPr lang="es-EC" sz="1400"/>
                  <a:t>Análisis</a:t>
                </a:r>
                <a:r>
                  <a:rPr lang="es-EC" sz="1400" baseline="0"/>
                  <a:t> de Sensibilidad con respesto a Ingresos</a:t>
                </a:r>
                <a:endParaRPr lang="es-EC" sz="1400"/>
              </a:p>
            </c:rich>
          </c:tx>
          <c:layout>
            <c:manualLayout>
              <c:xMode val="edge"/>
              <c:yMode val="edge"/>
              <c:x val="0.18916666666666671"/>
              <c:y val="5.6425299778704082E-3"/>
            </c:manualLayout>
          </c:layout>
        </c:title>
        <c:numFmt formatCode="0.00%" sourceLinked="1"/>
        <c:majorTickMark val="none"/>
        <c:tickLblPos val="nextTo"/>
        <c:txPr>
          <a:bodyPr/>
          <a:lstStyle/>
          <a:p>
            <a:pPr>
              <a:defRPr lang="es-ES"/>
            </a:pPr>
            <a:endParaRPr lang="es-EC"/>
          </a:p>
        </c:txPr>
        <c:crossAx val="99510912"/>
        <c:crosses val="autoZero"/>
        <c:auto val="1"/>
        <c:lblAlgn val="ctr"/>
        <c:lblOffset val="100"/>
      </c:catAx>
      <c:valAx>
        <c:axId val="99510912"/>
        <c:scaling>
          <c:orientation val="minMax"/>
        </c:scaling>
        <c:axPos val="l"/>
        <c:majorGridlines/>
        <c:numFmt formatCode="0.00" sourceLinked="1"/>
        <c:tickLblPos val="nextTo"/>
        <c:txPr>
          <a:bodyPr/>
          <a:lstStyle/>
          <a:p>
            <a:pPr>
              <a:defRPr lang="es-ES"/>
            </a:pPr>
            <a:endParaRPr lang="es-EC"/>
          </a:p>
        </c:txPr>
        <c:crossAx val="99508608"/>
        <c:crosses val="autoZero"/>
        <c:crossBetween val="between"/>
      </c:valAx>
      <c:spPr>
        <a:gradFill>
          <a:gsLst>
            <a:gs pos="32000">
              <a:srgbClr val="8064A2">
                <a:lumMod val="75000"/>
              </a:srgbClr>
            </a:gs>
            <a:gs pos="50000">
              <a:srgbClr val="4F81BD">
                <a:tint val="44500"/>
                <a:satMod val="160000"/>
              </a:srgbClr>
            </a:gs>
            <a:gs pos="100000">
              <a:srgbClr val="4F81BD">
                <a:tint val="23500"/>
                <a:satMod val="160000"/>
              </a:srgbClr>
            </a:gs>
          </a:gsLst>
          <a:lin ang="5400000" scaled="0"/>
        </a:gradFill>
      </c:spPr>
    </c:plotArea>
    <c:plotVisOnly val="1"/>
  </c:chart>
  <c:spPr>
    <a:solidFill>
      <a:schemeClr val="accent3">
        <a:lumMod val="60000"/>
        <a:lumOff val="40000"/>
      </a:schemeClr>
    </a:solidFill>
  </c:spPr>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EC"/>
  <c:chart>
    <c:title>
      <c:tx>
        <c:rich>
          <a:bodyPr/>
          <a:lstStyle/>
          <a:p>
            <a:pPr>
              <a:defRPr lang="es-ES"/>
            </a:pPr>
            <a:r>
              <a:rPr lang="es-EC"/>
              <a:t>Análisis Sensibilidad respecto a Costos</a:t>
            </a:r>
          </a:p>
        </c:rich>
      </c:tx>
      <c:layout/>
    </c:title>
    <c:plotArea>
      <c:layout>
        <c:manualLayout>
          <c:layoutTarget val="inner"/>
          <c:xMode val="edge"/>
          <c:yMode val="edge"/>
          <c:x val="0.18195102200246774"/>
          <c:y val="0.17867328685825101"/>
          <c:w val="0.78023381452318541"/>
          <c:h val="0.68340371466305561"/>
        </c:manualLayout>
      </c:layout>
      <c:lineChart>
        <c:grouping val="stacked"/>
        <c:ser>
          <c:idx val="0"/>
          <c:order val="0"/>
          <c:tx>
            <c:strRef>
              <c:f>graficos!$C$15</c:f>
              <c:strCache>
                <c:ptCount val="1"/>
                <c:pt idx="0">
                  <c:v>VAN</c:v>
                </c:pt>
              </c:strCache>
            </c:strRef>
          </c:tx>
          <c:cat>
            <c:numRef>
              <c:f>graficos!$D$16:$D$19</c:f>
              <c:numCache>
                <c:formatCode>0.00%</c:formatCode>
                <c:ptCount val="4"/>
                <c:pt idx="0">
                  <c:v>0.17839555863012874</c:v>
                </c:pt>
                <c:pt idx="1">
                  <c:v>0.19530454754266877</c:v>
                </c:pt>
                <c:pt idx="2">
                  <c:v>0.21229306929214509</c:v>
                </c:pt>
                <c:pt idx="3">
                  <c:v>0.22939085307227527</c:v>
                </c:pt>
              </c:numCache>
            </c:numRef>
          </c:cat>
          <c:val>
            <c:numRef>
              <c:f>graficos!$C$16:$C$19</c:f>
              <c:numCache>
                <c:formatCode>[$$-300A]\ #,##0.00</c:formatCode>
                <c:ptCount val="4"/>
                <c:pt idx="0">
                  <c:v>3640.9271189781357</c:v>
                </c:pt>
                <c:pt idx="1">
                  <c:v>12890.854352079346</c:v>
                </c:pt>
                <c:pt idx="2">
                  <c:v>22140.781585180521</c:v>
                </c:pt>
                <c:pt idx="3">
                  <c:v>31390.708818281746</c:v>
                </c:pt>
              </c:numCache>
            </c:numRef>
          </c:val>
        </c:ser>
        <c:ser>
          <c:idx val="1"/>
          <c:order val="1"/>
          <c:tx>
            <c:strRef>
              <c:f>graficos!$D$15</c:f>
              <c:strCache>
                <c:ptCount val="1"/>
                <c:pt idx="0">
                  <c:v>TIR</c:v>
                </c:pt>
              </c:strCache>
            </c:strRef>
          </c:tx>
          <c:cat>
            <c:numRef>
              <c:f>graficos!$D$16:$D$19</c:f>
              <c:numCache>
                <c:formatCode>0.00%</c:formatCode>
                <c:ptCount val="4"/>
                <c:pt idx="0">
                  <c:v>0.17839555863012874</c:v>
                </c:pt>
                <c:pt idx="1">
                  <c:v>0.19530454754266877</c:v>
                </c:pt>
                <c:pt idx="2">
                  <c:v>0.21229306929214509</c:v>
                </c:pt>
                <c:pt idx="3">
                  <c:v>0.22939085307227527</c:v>
                </c:pt>
              </c:numCache>
            </c:numRef>
          </c:cat>
          <c:val>
            <c:numRef>
              <c:f>graficos!$D$16:$D$19</c:f>
              <c:numCache>
                <c:formatCode>0.00%</c:formatCode>
                <c:ptCount val="4"/>
                <c:pt idx="0">
                  <c:v>0.17839555863012874</c:v>
                </c:pt>
                <c:pt idx="1">
                  <c:v>0.19530454754266877</c:v>
                </c:pt>
                <c:pt idx="2">
                  <c:v>0.21229306929214509</c:v>
                </c:pt>
                <c:pt idx="3">
                  <c:v>0.22939085307227527</c:v>
                </c:pt>
              </c:numCache>
            </c:numRef>
          </c:val>
        </c:ser>
        <c:marker val="1"/>
        <c:axId val="99547776"/>
        <c:axId val="99090816"/>
      </c:lineChart>
      <c:catAx>
        <c:axId val="99547776"/>
        <c:scaling>
          <c:orientation val="minMax"/>
        </c:scaling>
        <c:axPos val="b"/>
        <c:numFmt formatCode="0.00%" sourceLinked="1"/>
        <c:majorTickMark val="none"/>
        <c:tickLblPos val="nextTo"/>
        <c:txPr>
          <a:bodyPr/>
          <a:lstStyle/>
          <a:p>
            <a:pPr>
              <a:defRPr lang="es-ES"/>
            </a:pPr>
            <a:endParaRPr lang="es-EC"/>
          </a:p>
        </c:txPr>
        <c:crossAx val="99090816"/>
        <c:crosses val="autoZero"/>
        <c:auto val="1"/>
        <c:lblAlgn val="ctr"/>
        <c:lblOffset val="100"/>
      </c:catAx>
      <c:valAx>
        <c:axId val="99090816"/>
        <c:scaling>
          <c:orientation val="minMax"/>
        </c:scaling>
        <c:axPos val="l"/>
        <c:majorGridlines/>
        <c:numFmt formatCode="[$$-300A]\ #,##0.00" sourceLinked="1"/>
        <c:majorTickMark val="none"/>
        <c:tickLblPos val="nextTo"/>
        <c:spPr>
          <a:ln w="9525">
            <a:noFill/>
          </a:ln>
        </c:spPr>
        <c:txPr>
          <a:bodyPr/>
          <a:lstStyle/>
          <a:p>
            <a:pPr>
              <a:defRPr lang="es-ES"/>
            </a:pPr>
            <a:endParaRPr lang="es-EC"/>
          </a:p>
        </c:txPr>
        <c:crossAx val="99547776"/>
        <c:crosses val="autoZero"/>
        <c:crossBetween val="between"/>
      </c:valAx>
      <c:spPr>
        <a:gradFill>
          <a:gsLst>
            <a:gs pos="32000">
              <a:srgbClr val="8064A2">
                <a:lumMod val="75000"/>
              </a:srgbClr>
            </a:gs>
            <a:gs pos="50000">
              <a:srgbClr val="4F81BD">
                <a:tint val="44500"/>
                <a:satMod val="160000"/>
              </a:srgbClr>
            </a:gs>
            <a:gs pos="100000">
              <a:srgbClr val="4F81BD">
                <a:tint val="23500"/>
                <a:satMod val="160000"/>
              </a:srgbClr>
            </a:gs>
          </a:gsLst>
          <a:lin ang="5400000" scaled="0"/>
        </a:gradFill>
      </c:spPr>
    </c:plotArea>
    <c:plotVisOnly val="1"/>
  </c:chart>
  <c:spPr>
    <a:solidFill>
      <a:schemeClr val="accent3">
        <a:lumMod val="60000"/>
        <a:lumOff val="40000"/>
      </a:schemeClr>
    </a:solidFill>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3</xdr:row>
      <xdr:rowOff>161924</xdr:rowOff>
    </xdr:from>
    <xdr:to>
      <xdr:col>12</xdr:col>
      <xdr:colOff>381000</xdr:colOff>
      <xdr:row>20</xdr:row>
      <xdr:rowOff>47625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133349</xdr:colOff>
      <xdr:row>22</xdr:row>
      <xdr:rowOff>95250</xdr:rowOff>
    </xdr:from>
    <xdr:to>
      <xdr:col>12</xdr:col>
      <xdr:colOff>533399</xdr:colOff>
      <xdr:row>38</xdr:row>
      <xdr:rowOff>28575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0.02114</cdr:x>
      <cdr:y>0.41589</cdr:y>
    </cdr:from>
    <cdr:to>
      <cdr:x>0.0671</cdr:x>
      <cdr:y>0.55919</cdr:y>
    </cdr:to>
    <cdr:sp macro="" textlink="">
      <cdr:nvSpPr>
        <cdr:cNvPr id="2" name="1 CuadroTexto"/>
        <cdr:cNvSpPr txBox="1"/>
      </cdr:nvSpPr>
      <cdr:spPr>
        <a:xfrm xmlns:a="http://schemas.openxmlformats.org/drawingml/2006/main" rot="16200000">
          <a:off x="9525" y="1371601"/>
          <a:ext cx="438150" cy="23812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C" sz="1100" b="1"/>
            <a:t>VAN</a:t>
          </a:r>
        </a:p>
      </cdr:txBody>
    </cdr:sp>
  </cdr:relSizeAnchor>
  <cdr:relSizeAnchor xmlns:cdr="http://schemas.openxmlformats.org/drawingml/2006/chartDrawing">
    <cdr:from>
      <cdr:x>0.50184</cdr:x>
      <cdr:y>0.93084</cdr:y>
    </cdr:from>
    <cdr:to>
      <cdr:x>0.56801</cdr:x>
      <cdr:y>0.99712</cdr:y>
    </cdr:to>
    <cdr:sp macro="" textlink="">
      <cdr:nvSpPr>
        <cdr:cNvPr id="3" name="2 CuadroTexto"/>
        <cdr:cNvSpPr txBox="1"/>
      </cdr:nvSpPr>
      <cdr:spPr>
        <a:xfrm xmlns:a="http://schemas.openxmlformats.org/drawingml/2006/main">
          <a:off x="2600325" y="3076576"/>
          <a:ext cx="342900" cy="21907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EC" sz="1100" b="1"/>
            <a:t>TIR</a:t>
          </a:r>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247650</xdr:colOff>
      <xdr:row>1</xdr:row>
      <xdr:rowOff>23812</xdr:rowOff>
    </xdr:from>
    <xdr:ext cx="3067050" cy="347663"/>
    <xdr:sp macro="" textlink="">
      <xdr:nvSpPr>
        <xdr:cNvPr id="2" name="1 CuadroTexto"/>
        <xdr:cNvSpPr txBox="1"/>
      </xdr:nvSpPr>
      <xdr:spPr>
        <a:xfrm>
          <a:off x="1009650" y="214312"/>
          <a:ext cx="3067050" cy="347663"/>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wrap="square" rtlCol="0" anchor="t">
          <a:noAutofit/>
        </a:bodyPr>
        <a:lstStyle/>
        <a:p>
          <a:r>
            <a:rPr lang="es-ES" sz="1400" b="1" i="0">
              <a:latin typeface="Cambria Math"/>
            </a:rPr>
            <a:t>𝒓𝒆=𝒓𝒇+𝑩(𝒓𝒎−𝒓𝒇)+𝒓𝒇𝒆𝒄𝒖.</a:t>
          </a:r>
          <a:endParaRPr lang="es-ES" sz="1400" b="1" i="1"/>
        </a:p>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tros.JONSTMEN/Mis%20documentos/Descargas/tesis-higo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vers. Inicial"/>
      <sheetName val="desglose"/>
      <sheetName val="DEMANDA"/>
      <sheetName val="Proyección de Ingresos "/>
      <sheetName val="Proyección de Egresos "/>
      <sheetName val="Capital de trabajo "/>
      <sheetName val="Sueldos y salarios"/>
      <sheetName val="Gastos Administrativos"/>
      <sheetName val="Sumin. de Of. y Limp."/>
      <sheetName val="Gasto de publicidad"/>
      <sheetName val="Materia Prima"/>
      <sheetName val="Depreciacion"/>
      <sheetName val="Amortizacion"/>
      <sheetName val="P&amp;G"/>
      <sheetName val="Flujo de Caja "/>
      <sheetName val="TMAR"/>
      <sheetName val="PAYBACK"/>
      <sheetName val="Analisis Escenarios "/>
      <sheetName val="Gráficos "/>
      <sheetName val="Punto de Equilibrio "/>
      <sheetName val="Hoja1"/>
      <sheetName val="Hoja2"/>
      <sheetName val="Hoja3"/>
      <sheetName val="Hoja4"/>
    </sheetNames>
    <sheetDataSet>
      <sheetData sheetId="0">
        <row r="17">
          <cell r="D17">
            <v>2143488.83</v>
          </cell>
        </row>
      </sheetData>
      <sheetData sheetId="1"/>
      <sheetData sheetId="2"/>
      <sheetData sheetId="3">
        <row r="24">
          <cell r="O24">
            <v>102317.99779032708</v>
          </cell>
        </row>
      </sheetData>
      <sheetData sheetId="4"/>
      <sheetData sheetId="5">
        <row r="6">
          <cell r="C6">
            <v>-16939.931177760991</v>
          </cell>
        </row>
      </sheetData>
      <sheetData sheetId="6">
        <row r="16">
          <cell r="K16">
            <v>17702.3</v>
          </cell>
        </row>
      </sheetData>
      <sheetData sheetId="7">
        <row r="6">
          <cell r="C6">
            <v>1000</v>
          </cell>
        </row>
      </sheetData>
      <sheetData sheetId="8">
        <row r="16">
          <cell r="K16">
            <v>2376.3399999999997</v>
          </cell>
        </row>
      </sheetData>
      <sheetData sheetId="9">
        <row r="13">
          <cell r="D13">
            <v>655</v>
          </cell>
        </row>
      </sheetData>
      <sheetData sheetId="10">
        <row r="67">
          <cell r="G67">
            <v>21977.269999999997</v>
          </cell>
        </row>
      </sheetData>
      <sheetData sheetId="11">
        <row r="48">
          <cell r="H48">
            <v>13423.92</v>
          </cell>
        </row>
      </sheetData>
      <sheetData sheetId="12">
        <row r="12">
          <cell r="G12">
            <v>648128.62835332844</v>
          </cell>
        </row>
        <row r="13">
          <cell r="F13">
            <v>8.1699999999999995E-2</v>
          </cell>
        </row>
        <row r="28">
          <cell r="D28">
            <v>150</v>
          </cell>
        </row>
        <row r="29">
          <cell r="D29">
            <v>150</v>
          </cell>
        </row>
        <row r="30">
          <cell r="D30">
            <v>150</v>
          </cell>
        </row>
        <row r="31">
          <cell r="D31">
            <v>150</v>
          </cell>
        </row>
        <row r="32">
          <cell r="D32">
            <v>150</v>
          </cell>
        </row>
        <row r="33">
          <cell r="D33">
            <v>150</v>
          </cell>
        </row>
        <row r="34">
          <cell r="D34">
            <v>150</v>
          </cell>
        </row>
        <row r="35">
          <cell r="D35">
            <v>150</v>
          </cell>
        </row>
        <row r="36">
          <cell r="D36">
            <v>150</v>
          </cell>
        </row>
        <row r="37">
          <cell r="D37">
            <v>150</v>
          </cell>
        </row>
      </sheetData>
      <sheetData sheetId="13">
        <row r="15">
          <cell r="D15">
            <v>817110.45520821621</v>
          </cell>
        </row>
      </sheetData>
      <sheetData sheetId="14"/>
      <sheetData sheetId="15">
        <row r="15">
          <cell r="H15">
            <v>0.13874</v>
          </cell>
        </row>
      </sheetData>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hyperlink" Target="http://www.bce.fin.ec/"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hyperlink" Target="http://www.bce.fin.ec/resumen_ticker.php?ticker_value=riesgo_pais" TargetMode="External"/><Relationship Id="rId2" Type="http://schemas.openxmlformats.org/officeDocument/2006/relationships/hyperlink" Target="http://finance.yahoo.com/q/ta?s=MCD+Basic+Tech.+Analysis%20%20%20%20%20%20(MAC%20DONALD%60S)" TargetMode="External"/><Relationship Id="rId1" Type="http://schemas.openxmlformats.org/officeDocument/2006/relationships/hyperlink" Target="http://www.portfoliopersonal.com/Tasa_Interes/hTB_TIR.asp"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B6:D19"/>
  <sheetViews>
    <sheetView topLeftCell="A3" workbookViewId="0">
      <selection activeCell="C22" sqref="C22"/>
    </sheetView>
  </sheetViews>
  <sheetFormatPr baseColWidth="10" defaultRowHeight="15"/>
  <cols>
    <col min="2" max="2" width="32.42578125" customWidth="1"/>
  </cols>
  <sheetData>
    <row r="6" spans="2:3">
      <c r="B6" s="455" t="s">
        <v>469</v>
      </c>
      <c r="C6" s="454"/>
    </row>
    <row r="7" spans="2:3">
      <c r="B7" s="396" t="s">
        <v>462</v>
      </c>
      <c r="C7" s="449">
        <v>1850</v>
      </c>
    </row>
    <row r="8" spans="2:3">
      <c r="B8" s="452" t="s">
        <v>463</v>
      </c>
      <c r="C8" s="450">
        <v>1000</v>
      </c>
    </row>
    <row r="9" spans="2:3">
      <c r="B9" s="452" t="s">
        <v>464</v>
      </c>
      <c r="C9" s="450">
        <v>1000</v>
      </c>
    </row>
    <row r="10" spans="2:3">
      <c r="B10" s="452" t="s">
        <v>465</v>
      </c>
      <c r="C10" s="450">
        <v>5000</v>
      </c>
    </row>
    <row r="11" spans="2:3">
      <c r="B11" s="452" t="s">
        <v>466</v>
      </c>
      <c r="C11" s="450">
        <v>1920</v>
      </c>
    </row>
    <row r="12" spans="2:3">
      <c r="B12" s="452" t="s">
        <v>467</v>
      </c>
      <c r="C12" s="450">
        <v>1000</v>
      </c>
    </row>
    <row r="13" spans="2:3">
      <c r="B13" s="452" t="s">
        <v>468</v>
      </c>
      <c r="C13" s="450">
        <v>800</v>
      </c>
    </row>
    <row r="14" spans="2:3">
      <c r="B14" s="453" t="s">
        <v>381</v>
      </c>
      <c r="C14" s="451">
        <v>315</v>
      </c>
    </row>
    <row r="15" spans="2:3">
      <c r="B15" s="447" t="s">
        <v>35</v>
      </c>
      <c r="C15" s="447">
        <f>SUM(C7:C14)</f>
        <v>12885</v>
      </c>
    </row>
    <row r="19" spans="4:4">
      <c r="D19" s="44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Q26"/>
  <sheetViews>
    <sheetView workbookViewId="0">
      <selection activeCell="C5" sqref="C5"/>
    </sheetView>
  </sheetViews>
  <sheetFormatPr baseColWidth="10" defaultRowHeight="15"/>
  <cols>
    <col min="1" max="1" width="31.85546875" customWidth="1"/>
    <col min="2" max="2" width="17.28515625" customWidth="1"/>
    <col min="3" max="3" width="17.140625" customWidth="1"/>
    <col min="4" max="4" width="20.42578125" customWidth="1"/>
    <col min="5" max="5" width="12.5703125" customWidth="1"/>
    <col min="6" max="6" width="13.85546875" customWidth="1"/>
    <col min="7" max="7" width="12.7109375" customWidth="1"/>
    <col min="8" max="8" width="12.85546875" customWidth="1"/>
    <col min="17" max="17" width="13.5703125" customWidth="1"/>
  </cols>
  <sheetData>
    <row r="1" spans="1:17">
      <c r="A1" s="460" t="s">
        <v>470</v>
      </c>
      <c r="B1" s="461"/>
      <c r="C1" s="448"/>
    </row>
    <row r="2" spans="1:17">
      <c r="A2" s="269" t="s">
        <v>0</v>
      </c>
      <c r="B2" s="458">
        <v>2382519</v>
      </c>
      <c r="C2" s="456"/>
    </row>
    <row r="3" spans="1:17">
      <c r="A3" s="388" t="s">
        <v>376</v>
      </c>
      <c r="B3" s="390">
        <v>2382519</v>
      </c>
      <c r="C3" s="456"/>
      <c r="D3" s="448"/>
    </row>
    <row r="4" spans="1:17">
      <c r="A4" s="269" t="s">
        <v>472</v>
      </c>
      <c r="B4" s="586">
        <v>194709</v>
      </c>
      <c r="C4" s="456"/>
    </row>
    <row r="5" spans="1:17">
      <c r="A5" s="36"/>
      <c r="B5" s="589"/>
      <c r="D5" s="448"/>
    </row>
    <row r="6" spans="1:17">
      <c r="A6" s="36"/>
      <c r="B6" s="587"/>
    </row>
    <row r="7" spans="1:17">
      <c r="A7" s="36"/>
      <c r="B7" s="448"/>
      <c r="E7" s="593" t="s">
        <v>471</v>
      </c>
      <c r="F7" s="593"/>
      <c r="G7" s="593"/>
      <c r="H7" s="593"/>
      <c r="I7" s="593"/>
      <c r="J7" s="593"/>
      <c r="K7" s="593"/>
      <c r="L7" s="593"/>
      <c r="M7" s="593"/>
      <c r="N7" s="593"/>
    </row>
    <row r="8" spans="1:17">
      <c r="A8" s="36"/>
      <c r="B8" s="587"/>
      <c r="D8" s="451"/>
      <c r="E8" s="445">
        <v>1</v>
      </c>
      <c r="F8" s="445">
        <v>2</v>
      </c>
      <c r="G8" s="445">
        <v>3</v>
      </c>
      <c r="H8" s="445">
        <v>4</v>
      </c>
      <c r="I8" s="445">
        <v>5</v>
      </c>
      <c r="J8" s="445">
        <v>6</v>
      </c>
      <c r="K8" s="445">
        <v>7</v>
      </c>
      <c r="L8" s="445">
        <v>8</v>
      </c>
      <c r="M8" s="445">
        <v>9</v>
      </c>
      <c r="N8" s="445">
        <v>10</v>
      </c>
    </row>
    <row r="9" spans="1:17" ht="15.75">
      <c r="A9" s="36"/>
      <c r="B9" s="448"/>
      <c r="D9" s="464" t="s">
        <v>472</v>
      </c>
      <c r="E9" s="391">
        <f>B4</f>
        <v>194709</v>
      </c>
      <c r="F9" s="391">
        <f t="shared" ref="F9:N9" si="0">E9*(1+$B$14)</f>
        <v>216185.40270000001</v>
      </c>
      <c r="G9" s="391">
        <f t="shared" si="0"/>
        <v>240030.65261781003</v>
      </c>
      <c r="H9" s="391">
        <f t="shared" si="0"/>
        <v>266506.03360155452</v>
      </c>
      <c r="I9" s="391">
        <f t="shared" si="0"/>
        <v>295901.64910780598</v>
      </c>
      <c r="J9" s="391">
        <f t="shared" si="0"/>
        <v>328539.60100439697</v>
      </c>
      <c r="K9" s="391">
        <f t="shared" si="0"/>
        <v>364777.51899518201</v>
      </c>
      <c r="L9" s="391">
        <f t="shared" si="0"/>
        <v>405012.4793403506</v>
      </c>
      <c r="M9" s="391">
        <f t="shared" si="0"/>
        <v>449685.35581159132</v>
      </c>
      <c r="N9" s="391">
        <f t="shared" si="0"/>
        <v>499285.65055760986</v>
      </c>
      <c r="O9" s="251"/>
      <c r="P9" s="251"/>
    </row>
    <row r="10" spans="1:17" ht="15.75">
      <c r="A10" s="448"/>
      <c r="B10" s="588"/>
      <c r="D10" s="464" t="s">
        <v>473</v>
      </c>
      <c r="E10" s="391">
        <f t="shared" ref="E10:N10" si="1">E9*$B$15</f>
        <v>58412.7</v>
      </c>
      <c r="F10" s="391">
        <f>F9*$B$15</f>
        <v>64855.62081</v>
      </c>
      <c r="G10" s="391">
        <f t="shared" si="1"/>
        <v>72009.195785343007</v>
      </c>
      <c r="H10" s="391">
        <f t="shared" si="1"/>
        <v>79951.810080466355</v>
      </c>
      <c r="I10" s="391">
        <f t="shared" si="1"/>
        <v>88770.494732341787</v>
      </c>
      <c r="J10" s="391">
        <f t="shared" si="1"/>
        <v>98561.880301319092</v>
      </c>
      <c r="K10" s="391">
        <f t="shared" si="1"/>
        <v>109433.2556985546</v>
      </c>
      <c r="L10" s="391">
        <f t="shared" si="1"/>
        <v>121503.74380210518</v>
      </c>
      <c r="M10" s="391">
        <f t="shared" si="1"/>
        <v>134905.6067434774</v>
      </c>
      <c r="N10" s="391">
        <f t="shared" si="1"/>
        <v>149785.69516728295</v>
      </c>
      <c r="O10" s="251"/>
      <c r="P10" s="251"/>
    </row>
    <row r="11" spans="1:17" ht="15.75">
      <c r="A11" s="446" t="s">
        <v>441</v>
      </c>
      <c r="B11" s="446" t="s">
        <v>442</v>
      </c>
      <c r="D11" s="464" t="s">
        <v>474</v>
      </c>
      <c r="E11" s="391">
        <f>E10/12</f>
        <v>4867.7249999999995</v>
      </c>
      <c r="F11" s="391">
        <f t="shared" ref="F11:N11" si="2">F10/12</f>
        <v>5404.6350675000003</v>
      </c>
      <c r="G11" s="391">
        <f t="shared" si="2"/>
        <v>6000.7663154452503</v>
      </c>
      <c r="H11" s="391">
        <f t="shared" si="2"/>
        <v>6662.650840038863</v>
      </c>
      <c r="I11" s="391">
        <f t="shared" si="2"/>
        <v>7397.5412276951492</v>
      </c>
      <c r="J11" s="391">
        <f t="shared" si="2"/>
        <v>8213.4900251099243</v>
      </c>
      <c r="K11" s="391">
        <f t="shared" si="2"/>
        <v>9119.4379748795491</v>
      </c>
      <c r="L11" s="391">
        <f t="shared" si="2"/>
        <v>10125.311983508765</v>
      </c>
      <c r="M11" s="391">
        <f t="shared" si="2"/>
        <v>11242.133895289784</v>
      </c>
      <c r="N11" s="391">
        <f t="shared" si="2"/>
        <v>12482.141263940246</v>
      </c>
      <c r="O11" s="251"/>
      <c r="P11" s="251"/>
    </row>
    <row r="12" spans="1:17">
      <c r="A12" s="269" t="s">
        <v>439</v>
      </c>
      <c r="B12" s="394">
        <f>B2</f>
        <v>2382519</v>
      </c>
      <c r="E12" s="251"/>
      <c r="Q12" s="251">
        <f>SUM(E12:P12)</f>
        <v>0</v>
      </c>
    </row>
    <row r="13" spans="1:17">
      <c r="A13" s="269" t="s">
        <v>440</v>
      </c>
      <c r="B13" s="392">
        <f>B10</f>
        <v>0</v>
      </c>
      <c r="E13" s="251"/>
      <c r="F13" s="251"/>
      <c r="G13" s="251"/>
      <c r="H13" s="251"/>
      <c r="I13" s="251"/>
      <c r="J13" s="251"/>
      <c r="K13" s="251"/>
      <c r="L13" s="251"/>
      <c r="M13" s="251"/>
    </row>
    <row r="14" spans="1:17" ht="15" customHeight="1">
      <c r="A14" s="269" t="s">
        <v>435</v>
      </c>
      <c r="B14" s="393">
        <v>0.1103</v>
      </c>
      <c r="E14" s="219"/>
      <c r="F14" s="591" t="s">
        <v>489</v>
      </c>
      <c r="G14" s="592"/>
      <c r="H14" s="592"/>
      <c r="I14" s="592"/>
      <c r="J14" s="592"/>
      <c r="K14" s="592"/>
    </row>
    <row r="15" spans="1:17">
      <c r="A15" s="269" t="s">
        <v>7</v>
      </c>
      <c r="B15" s="389">
        <v>0.3</v>
      </c>
      <c r="F15" s="592"/>
      <c r="G15" s="592"/>
      <c r="H15" s="592"/>
      <c r="I15" s="592"/>
      <c r="J15" s="592"/>
      <c r="K15" s="592"/>
    </row>
    <row r="16" spans="1:17">
      <c r="A16" s="1"/>
      <c r="D16" s="448"/>
      <c r="F16" s="592"/>
      <c r="G16" s="592"/>
      <c r="H16" s="592"/>
      <c r="I16" s="592"/>
      <c r="J16" s="592"/>
      <c r="K16" s="592"/>
    </row>
    <row r="17" spans="1:11">
      <c r="A17" s="462" t="s">
        <v>436</v>
      </c>
      <c r="B17" s="462" t="s">
        <v>437</v>
      </c>
      <c r="C17" s="462" t="s">
        <v>438</v>
      </c>
      <c r="F17" s="592"/>
      <c r="G17" s="592"/>
      <c r="H17" s="592"/>
      <c r="I17" s="592"/>
      <c r="J17" s="592"/>
      <c r="K17" s="592"/>
    </row>
    <row r="18" spans="1:11">
      <c r="A18" s="388" t="s">
        <v>1</v>
      </c>
      <c r="B18" s="389">
        <v>0.35</v>
      </c>
      <c r="C18" s="391">
        <f>B18*$E$11</f>
        <v>1703.7037499999997</v>
      </c>
      <c r="F18" s="592"/>
      <c r="G18" s="592"/>
      <c r="H18" s="592"/>
      <c r="I18" s="592"/>
      <c r="J18" s="592"/>
      <c r="K18" s="592"/>
    </row>
    <row r="19" spans="1:11">
      <c r="A19" s="388" t="s">
        <v>2</v>
      </c>
      <c r="B19" s="389">
        <v>0.35</v>
      </c>
      <c r="C19" s="391">
        <f>B19*$E$11</f>
        <v>1703.7037499999997</v>
      </c>
      <c r="F19" s="592"/>
      <c r="G19" s="592"/>
      <c r="H19" s="592"/>
      <c r="I19" s="592"/>
      <c r="J19" s="592"/>
      <c r="K19" s="592"/>
    </row>
    <row r="20" spans="1:11">
      <c r="A20" s="388" t="s">
        <v>3</v>
      </c>
      <c r="B20" s="389">
        <v>0.2</v>
      </c>
      <c r="C20" s="391">
        <f>B20*$E$11</f>
        <v>973.54499999999996</v>
      </c>
    </row>
    <row r="21" spans="1:11">
      <c r="A21" s="388" t="s">
        <v>4</v>
      </c>
      <c r="B21" s="389">
        <v>0.1</v>
      </c>
      <c r="C21" s="391">
        <f>B21*$E$11</f>
        <v>486.77249999999998</v>
      </c>
    </row>
    <row r="22" spans="1:11">
      <c r="A22" s="463" t="s">
        <v>8</v>
      </c>
      <c r="B22" s="463">
        <f>SUM(B18:B21)</f>
        <v>0.99999999999999989</v>
      </c>
    </row>
    <row r="24" spans="1:11">
      <c r="D24" s="386"/>
      <c r="E24" s="385"/>
      <c r="F24" s="385"/>
    </row>
    <row r="25" spans="1:11">
      <c r="E25" s="385"/>
      <c r="F25" s="3"/>
    </row>
    <row r="26" spans="1:11">
      <c r="C26" s="236"/>
      <c r="E26" s="385"/>
    </row>
  </sheetData>
  <mergeCells count="2">
    <mergeCell ref="F14:K19"/>
    <mergeCell ref="E7:N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2:Q30"/>
  <sheetViews>
    <sheetView workbookViewId="0">
      <selection activeCell="B14" sqref="B14"/>
    </sheetView>
  </sheetViews>
  <sheetFormatPr baseColWidth="10" defaultRowHeight="15"/>
  <cols>
    <col min="1" max="1" width="18.5703125" customWidth="1"/>
    <col min="2" max="2" width="15.85546875" customWidth="1"/>
    <col min="3" max="3" width="17.140625" customWidth="1"/>
    <col min="4" max="4" width="18.140625" customWidth="1"/>
    <col min="5" max="14" width="11.5703125" customWidth="1"/>
  </cols>
  <sheetData>
    <row r="2" spans="1:17">
      <c r="D2" s="465" t="s">
        <v>9</v>
      </c>
      <c r="E2" s="388">
        <v>1.25</v>
      </c>
    </row>
    <row r="3" spans="1:17">
      <c r="D3" s="465" t="s">
        <v>445</v>
      </c>
      <c r="E3" s="389">
        <v>0.2</v>
      </c>
    </row>
    <row r="4" spans="1:17">
      <c r="A4" s="490" t="s">
        <v>477</v>
      </c>
      <c r="B4" s="488"/>
      <c r="C4" s="488"/>
      <c r="D4" s="468" t="s">
        <v>444</v>
      </c>
      <c r="E4" s="397">
        <v>0.05</v>
      </c>
    </row>
    <row r="5" spans="1:17">
      <c r="A5" s="465" t="s">
        <v>11</v>
      </c>
      <c r="B5" s="466" t="s">
        <v>240</v>
      </c>
      <c r="C5" s="466" t="s">
        <v>245</v>
      </c>
      <c r="D5" s="466" t="s">
        <v>47</v>
      </c>
      <c r="E5" s="466" t="s">
        <v>48</v>
      </c>
      <c r="F5" s="466" t="s">
        <v>49</v>
      </c>
      <c r="G5" s="466" t="s">
        <v>50</v>
      </c>
      <c r="H5" s="466" t="s">
        <v>51</v>
      </c>
      <c r="I5" s="466" t="s">
        <v>52</v>
      </c>
      <c r="J5" s="466" t="s">
        <v>53</v>
      </c>
      <c r="K5" s="466" t="s">
        <v>54</v>
      </c>
      <c r="L5" s="466" t="s">
        <v>55</v>
      </c>
      <c r="M5" s="466" t="s">
        <v>56</v>
      </c>
      <c r="N5" s="467" t="s">
        <v>18</v>
      </c>
    </row>
    <row r="6" spans="1:17">
      <c r="A6" s="469" t="s">
        <v>5</v>
      </c>
      <c r="B6" s="391">
        <f>Demanda!$E$11</f>
        <v>4867.7249999999995</v>
      </c>
      <c r="C6" s="391">
        <f>Demanda!$E$11</f>
        <v>4867.7249999999995</v>
      </c>
      <c r="D6" s="391">
        <f>Demanda!$E$11</f>
        <v>4867.7249999999995</v>
      </c>
      <c r="E6" s="391">
        <f>Demanda!$E$11</f>
        <v>4867.7249999999995</v>
      </c>
      <c r="F6" s="391">
        <f>Demanda!$E$11</f>
        <v>4867.7249999999995</v>
      </c>
      <c r="G6" s="391">
        <f>Demanda!$E$11</f>
        <v>4867.7249999999995</v>
      </c>
      <c r="H6" s="391">
        <f>Demanda!$E$11</f>
        <v>4867.7249999999995</v>
      </c>
      <c r="I6" s="391">
        <f>Demanda!$E$11</f>
        <v>4867.7249999999995</v>
      </c>
      <c r="J6" s="391">
        <f>Demanda!$E$11</f>
        <v>4867.7249999999995</v>
      </c>
      <c r="K6" s="391">
        <f>Demanda!$E$11</f>
        <v>4867.7249999999995</v>
      </c>
      <c r="L6" s="391">
        <f>Demanda!$E$11</f>
        <v>4867.7249999999995</v>
      </c>
      <c r="M6" s="391">
        <f>Demanda!$E$11</f>
        <v>4867.7249999999995</v>
      </c>
      <c r="N6" s="388">
        <f>SUM(B6:M6)</f>
        <v>58412.69999999999</v>
      </c>
    </row>
    <row r="7" spans="1:17">
      <c r="A7" s="469" t="s">
        <v>6</v>
      </c>
      <c r="B7" s="388">
        <f>$E$2</f>
        <v>1.25</v>
      </c>
      <c r="C7" s="388">
        <f t="shared" ref="C7:M7" si="0">$E$2</f>
        <v>1.25</v>
      </c>
      <c r="D7" s="388">
        <f t="shared" si="0"/>
        <v>1.25</v>
      </c>
      <c r="E7" s="388">
        <f t="shared" si="0"/>
        <v>1.25</v>
      </c>
      <c r="F7" s="388">
        <f t="shared" si="0"/>
        <v>1.25</v>
      </c>
      <c r="G7" s="388">
        <f t="shared" si="0"/>
        <v>1.25</v>
      </c>
      <c r="H7" s="388">
        <f t="shared" si="0"/>
        <v>1.25</v>
      </c>
      <c r="I7" s="388">
        <f t="shared" si="0"/>
        <v>1.25</v>
      </c>
      <c r="J7" s="388">
        <f t="shared" si="0"/>
        <v>1.25</v>
      </c>
      <c r="K7" s="388">
        <f t="shared" si="0"/>
        <v>1.25</v>
      </c>
      <c r="L7" s="388">
        <f t="shared" si="0"/>
        <v>1.25</v>
      </c>
      <c r="M7" s="388">
        <f t="shared" si="0"/>
        <v>1.25</v>
      </c>
      <c r="N7" s="388">
        <f t="shared" ref="N7" si="1">$E$2</f>
        <v>1.25</v>
      </c>
      <c r="Q7" s="235" t="s">
        <v>434</v>
      </c>
    </row>
    <row r="8" spans="1:17">
      <c r="A8" s="469" t="s">
        <v>377</v>
      </c>
      <c r="B8" s="395">
        <f>B6*B7</f>
        <v>6084.6562499999991</v>
      </c>
      <c r="C8" s="395">
        <f t="shared" ref="C8:M8" si="2">C6*C7</f>
        <v>6084.6562499999991</v>
      </c>
      <c r="D8" s="395">
        <f t="shared" si="2"/>
        <v>6084.6562499999991</v>
      </c>
      <c r="E8" s="395">
        <f t="shared" si="2"/>
        <v>6084.6562499999991</v>
      </c>
      <c r="F8" s="395">
        <f t="shared" si="2"/>
        <v>6084.6562499999991</v>
      </c>
      <c r="G8" s="395">
        <f t="shared" si="2"/>
        <v>6084.6562499999991</v>
      </c>
      <c r="H8" s="395">
        <f t="shared" si="2"/>
        <v>6084.6562499999991</v>
      </c>
      <c r="I8" s="395">
        <f t="shared" si="2"/>
        <v>6084.6562499999991</v>
      </c>
      <c r="J8" s="395">
        <f t="shared" si="2"/>
        <v>6084.6562499999991</v>
      </c>
      <c r="K8" s="395">
        <f t="shared" si="2"/>
        <v>6084.6562499999991</v>
      </c>
      <c r="L8" s="395">
        <f t="shared" si="2"/>
        <v>6084.6562499999991</v>
      </c>
      <c r="M8" s="395">
        <f t="shared" si="2"/>
        <v>6084.6562499999991</v>
      </c>
      <c r="N8" s="395">
        <f>SUM(B8:M8)</f>
        <v>73015.874999999985</v>
      </c>
      <c r="Q8" s="250">
        <f>AVERAGE(B10:N10)</f>
        <v>11196.235550480766</v>
      </c>
    </row>
    <row r="9" spans="1:17">
      <c r="A9" s="469" t="s">
        <v>379</v>
      </c>
      <c r="B9" s="388">
        <f t="shared" ref="B9:M9" si="3">$E$29/12</f>
        <v>20.028660156249998</v>
      </c>
      <c r="C9" s="395">
        <f t="shared" si="3"/>
        <v>20.028660156249998</v>
      </c>
      <c r="D9" s="395">
        <f t="shared" si="3"/>
        <v>20.028660156249998</v>
      </c>
      <c r="E9" s="395">
        <f t="shared" si="3"/>
        <v>20.028660156249998</v>
      </c>
      <c r="F9" s="395">
        <f t="shared" si="3"/>
        <v>20.028660156249998</v>
      </c>
      <c r="G9" s="395">
        <f t="shared" si="3"/>
        <v>20.028660156249998</v>
      </c>
      <c r="H9" s="395">
        <f t="shared" si="3"/>
        <v>20.028660156249998</v>
      </c>
      <c r="I9" s="395">
        <f t="shared" si="3"/>
        <v>20.028660156249998</v>
      </c>
      <c r="J9" s="395">
        <f t="shared" si="3"/>
        <v>20.028660156249998</v>
      </c>
      <c r="K9" s="395">
        <f t="shared" si="3"/>
        <v>20.028660156249998</v>
      </c>
      <c r="L9" s="395">
        <f t="shared" si="3"/>
        <v>20.028660156249998</v>
      </c>
      <c r="M9" s="395">
        <f t="shared" si="3"/>
        <v>20.028660156249998</v>
      </c>
      <c r="N9" s="395">
        <f>SUM(B9:M9)</f>
        <v>240.34392187499998</v>
      </c>
    </row>
    <row r="10" spans="1:17">
      <c r="A10" s="465" t="s">
        <v>446</v>
      </c>
      <c r="B10" s="470">
        <f>B8-B9</f>
        <v>6064.6275898437489</v>
      </c>
      <c r="C10" s="470">
        <f t="shared" ref="C10:M10" si="4">C8-C9</f>
        <v>6064.6275898437489</v>
      </c>
      <c r="D10" s="470">
        <f t="shared" si="4"/>
        <v>6064.6275898437489</v>
      </c>
      <c r="E10" s="470">
        <f t="shared" si="4"/>
        <v>6064.6275898437489</v>
      </c>
      <c r="F10" s="470">
        <f t="shared" si="4"/>
        <v>6064.6275898437489</v>
      </c>
      <c r="G10" s="470">
        <f t="shared" si="4"/>
        <v>6064.6275898437489</v>
      </c>
      <c r="H10" s="470">
        <f t="shared" si="4"/>
        <v>6064.6275898437489</v>
      </c>
      <c r="I10" s="470">
        <f t="shared" si="4"/>
        <v>6064.6275898437489</v>
      </c>
      <c r="J10" s="470">
        <f t="shared" si="4"/>
        <v>6064.6275898437489</v>
      </c>
      <c r="K10" s="470">
        <f t="shared" si="4"/>
        <v>6064.6275898437489</v>
      </c>
      <c r="L10" s="470">
        <f t="shared" si="4"/>
        <v>6064.6275898437489</v>
      </c>
      <c r="M10" s="470">
        <f t="shared" si="4"/>
        <v>6064.6275898437489</v>
      </c>
      <c r="N10" s="470">
        <f>N8-N9</f>
        <v>72775.531078124986</v>
      </c>
    </row>
    <row r="11" spans="1:17">
      <c r="A11" s="235"/>
      <c r="B11" s="235"/>
      <c r="C11" s="235"/>
      <c r="D11" s="235"/>
      <c r="E11" s="235"/>
      <c r="F11" s="235"/>
      <c r="G11" s="235"/>
      <c r="H11" s="235"/>
      <c r="I11" s="235"/>
      <c r="J11" s="235"/>
      <c r="K11" s="235"/>
      <c r="L11" s="235"/>
      <c r="M11" s="235"/>
      <c r="N11" s="235"/>
    </row>
    <row r="12" spans="1:17" ht="15.75" thickBot="1">
      <c r="B12" s="594" t="s">
        <v>476</v>
      </c>
      <c r="C12" s="594"/>
      <c r="D12" s="594"/>
      <c r="E12" s="594"/>
      <c r="F12" s="594"/>
      <c r="G12" s="594"/>
      <c r="H12" s="594"/>
      <c r="I12" s="594"/>
      <c r="J12" s="594"/>
      <c r="K12" s="594"/>
      <c r="L12" s="399"/>
      <c r="M12" s="399"/>
      <c r="N12" s="399"/>
    </row>
    <row r="13" spans="1:17" ht="16.5" thickTop="1" thickBot="1">
      <c r="A13" s="472" t="s">
        <v>11</v>
      </c>
      <c r="B13" s="473">
        <v>2012</v>
      </c>
      <c r="C13" s="473">
        <v>2013</v>
      </c>
      <c r="D13" s="473">
        <v>2014</v>
      </c>
      <c r="E13" s="473">
        <v>2015</v>
      </c>
      <c r="F13" s="473">
        <v>2016</v>
      </c>
      <c r="G13" s="473">
        <v>2017</v>
      </c>
      <c r="H13" s="473">
        <v>2018</v>
      </c>
      <c r="I13" s="473">
        <v>2019</v>
      </c>
      <c r="J13" s="473">
        <v>2020</v>
      </c>
      <c r="K13" s="473">
        <v>2021</v>
      </c>
      <c r="L13" s="398"/>
      <c r="M13" s="102"/>
    </row>
    <row r="14" spans="1:17" ht="15.75" thickTop="1">
      <c r="A14" s="479" t="s">
        <v>5</v>
      </c>
      <c r="B14" s="391">
        <f>Demanda!E10</f>
        <v>58412.7</v>
      </c>
      <c r="C14" s="388">
        <f>Demanda!F10</f>
        <v>64855.62081</v>
      </c>
      <c r="D14" s="388">
        <f>Demanda!G10</f>
        <v>72009.195785343007</v>
      </c>
      <c r="E14" s="388">
        <f>Demanda!H10</f>
        <v>79951.810080466355</v>
      </c>
      <c r="F14" s="388">
        <f>Demanda!I10</f>
        <v>88770.494732341787</v>
      </c>
      <c r="G14" s="388">
        <f>Demanda!J10</f>
        <v>98561.880301319092</v>
      </c>
      <c r="H14" s="388">
        <f>Demanda!K10</f>
        <v>109433.2556985546</v>
      </c>
      <c r="I14" s="388">
        <f>Demanda!L10</f>
        <v>121503.74380210518</v>
      </c>
      <c r="J14" s="388">
        <f>Demanda!M10</f>
        <v>134905.6067434774</v>
      </c>
      <c r="K14" s="388">
        <f>Demanda!N10</f>
        <v>149785.69516728295</v>
      </c>
      <c r="L14" s="251"/>
    </row>
    <row r="15" spans="1:17">
      <c r="A15" s="479" t="s">
        <v>6</v>
      </c>
      <c r="B15" s="388">
        <f>$E$2</f>
        <v>1.25</v>
      </c>
      <c r="C15" s="395">
        <f>B15*(1+$E$3)</f>
        <v>1.5</v>
      </c>
      <c r="D15" s="395">
        <f t="shared" ref="D15:I15" si="5">C15*(1+$E$3)</f>
        <v>1.7999999999999998</v>
      </c>
      <c r="E15" s="395">
        <f t="shared" si="5"/>
        <v>2.1599999999999997</v>
      </c>
      <c r="F15" s="395">
        <f t="shared" si="5"/>
        <v>2.5919999999999996</v>
      </c>
      <c r="G15" s="395">
        <f t="shared" si="5"/>
        <v>3.1103999999999994</v>
      </c>
      <c r="H15" s="395">
        <f t="shared" si="5"/>
        <v>3.7324799999999989</v>
      </c>
      <c r="I15" s="395">
        <f t="shared" si="5"/>
        <v>4.4789759999999985</v>
      </c>
      <c r="J15" s="395">
        <f t="shared" ref="J15" si="6">I15*(1+$E$3)</f>
        <v>5.3747711999999979</v>
      </c>
      <c r="K15" s="395">
        <f t="shared" ref="K15" si="7">J15*(1+$E$3)</f>
        <v>6.4497254399999973</v>
      </c>
      <c r="L15" s="251"/>
    </row>
    <row r="16" spans="1:17">
      <c r="A16" s="479" t="s">
        <v>377</v>
      </c>
      <c r="B16" s="395">
        <f>B14*B15</f>
        <v>73015.875</v>
      </c>
      <c r="C16" s="395">
        <f t="shared" ref="C16:K16" si="8">C14*C15</f>
        <v>97283.431215000004</v>
      </c>
      <c r="D16" s="395">
        <f t="shared" si="8"/>
        <v>129616.55241361741</v>
      </c>
      <c r="E16" s="395">
        <f t="shared" si="8"/>
        <v>172695.9097738073</v>
      </c>
      <c r="F16" s="395">
        <f t="shared" si="8"/>
        <v>230093.12234622988</v>
      </c>
      <c r="G16" s="395">
        <f t="shared" si="8"/>
        <v>306566.87248922285</v>
      </c>
      <c r="H16" s="395">
        <f t="shared" si="8"/>
        <v>408457.43822974095</v>
      </c>
      <c r="I16" s="395">
        <f t="shared" si="8"/>
        <v>544212.35239977762</v>
      </c>
      <c r="J16" s="395">
        <f t="shared" si="8"/>
        <v>725086.76984336786</v>
      </c>
      <c r="K16" s="395">
        <f t="shared" si="8"/>
        <v>966076.60866850941</v>
      </c>
    </row>
    <row r="17" spans="1:13">
      <c r="A17" s="479" t="s">
        <v>379</v>
      </c>
      <c r="B17" s="395">
        <f t="shared" ref="B17:K17" si="9">$E$29</f>
        <v>240.34392187499998</v>
      </c>
      <c r="C17" s="395">
        <f t="shared" si="9"/>
        <v>240.34392187499998</v>
      </c>
      <c r="D17" s="395">
        <f t="shared" si="9"/>
        <v>240.34392187499998</v>
      </c>
      <c r="E17" s="395">
        <f t="shared" si="9"/>
        <v>240.34392187499998</v>
      </c>
      <c r="F17" s="395">
        <f t="shared" si="9"/>
        <v>240.34392187499998</v>
      </c>
      <c r="G17" s="395">
        <f t="shared" si="9"/>
        <v>240.34392187499998</v>
      </c>
      <c r="H17" s="395">
        <f t="shared" si="9"/>
        <v>240.34392187499998</v>
      </c>
      <c r="I17" s="395">
        <f t="shared" si="9"/>
        <v>240.34392187499998</v>
      </c>
      <c r="J17" s="395">
        <f t="shared" si="9"/>
        <v>240.34392187499998</v>
      </c>
      <c r="K17" s="395">
        <f t="shared" si="9"/>
        <v>240.34392187499998</v>
      </c>
    </row>
    <row r="18" spans="1:13">
      <c r="A18" s="472" t="s">
        <v>447</v>
      </c>
      <c r="B18" s="474">
        <f>B16-B17</f>
        <v>72775.531078125001</v>
      </c>
      <c r="C18" s="474">
        <f t="shared" ref="C18:K18" si="10">C16-C17</f>
        <v>97043.087293125005</v>
      </c>
      <c r="D18" s="474">
        <f t="shared" si="10"/>
        <v>129376.20849174241</v>
      </c>
      <c r="E18" s="474">
        <f t="shared" si="10"/>
        <v>172455.5658519323</v>
      </c>
      <c r="F18" s="474">
        <f t="shared" si="10"/>
        <v>229852.77842435488</v>
      </c>
      <c r="G18" s="474">
        <f t="shared" si="10"/>
        <v>306326.52856734785</v>
      </c>
      <c r="H18" s="474">
        <f t="shared" si="10"/>
        <v>408217.09430786595</v>
      </c>
      <c r="I18" s="474">
        <f t="shared" si="10"/>
        <v>543972.00847790262</v>
      </c>
      <c r="J18" s="474">
        <f t="shared" si="10"/>
        <v>724846.42592149286</v>
      </c>
      <c r="K18" s="474">
        <f t="shared" si="10"/>
        <v>965836.26474663441</v>
      </c>
      <c r="L18" s="235"/>
      <c r="M18" s="235"/>
    </row>
    <row r="19" spans="1:13">
      <c r="B19" s="1"/>
      <c r="C19" s="1"/>
      <c r="D19" s="1"/>
    </row>
    <row r="20" spans="1:13">
      <c r="A20" s="485" t="s">
        <v>475</v>
      </c>
      <c r="B20" s="486"/>
      <c r="C20" s="487"/>
      <c r="D20" s="1"/>
      <c r="G20" t="s">
        <v>486</v>
      </c>
      <c r="H20" s="3">
        <v>0.4</v>
      </c>
      <c r="I20">
        <f>$H$20*$N$10</f>
        <v>29110.212431249995</v>
      </c>
    </row>
    <row r="21" spans="1:13">
      <c r="A21" s="485" t="s">
        <v>378</v>
      </c>
      <c r="B21" s="484"/>
      <c r="C21" s="459">
        <v>1.25</v>
      </c>
      <c r="D21" s="457"/>
      <c r="E21" s="448"/>
    </row>
    <row r="22" spans="1:13">
      <c r="A22" s="485" t="s">
        <v>379</v>
      </c>
      <c r="B22" s="483"/>
      <c r="C22" s="482">
        <v>0.05</v>
      </c>
      <c r="D22" s="456"/>
    </row>
    <row r="23" spans="1:13">
      <c r="A23" s="1"/>
    </row>
    <row r="24" spans="1:13" ht="15.75">
      <c r="A24" s="475" t="s">
        <v>436</v>
      </c>
      <c r="B24" s="475" t="s">
        <v>437</v>
      </c>
      <c r="C24" s="475" t="s">
        <v>438</v>
      </c>
      <c r="D24" s="475" t="s">
        <v>443</v>
      </c>
      <c r="E24" s="475" t="s">
        <v>380</v>
      </c>
    </row>
    <row r="25" spans="1:13" ht="15.75">
      <c r="A25" s="478" t="s">
        <v>1</v>
      </c>
      <c r="B25" s="401">
        <v>0.35</v>
      </c>
      <c r="C25" s="400">
        <f>Demanda!E11*B25</f>
        <v>1703.7037499999997</v>
      </c>
      <c r="D25" s="400">
        <f>C25*$E$2</f>
        <v>2129.6296874999998</v>
      </c>
      <c r="E25" s="400">
        <f>D25*C22</f>
        <v>106.48148437499999</v>
      </c>
    </row>
    <row r="26" spans="1:13" ht="15.75">
      <c r="A26" s="478" t="s">
        <v>2</v>
      </c>
      <c r="B26" s="401">
        <v>0.35</v>
      </c>
      <c r="C26" s="400">
        <f>Demanda!$E$11*B26</f>
        <v>1703.7037499999997</v>
      </c>
      <c r="D26" s="400">
        <f t="shared" ref="D26:D27" si="11">C26*$E$2</f>
        <v>2129.6296874999998</v>
      </c>
      <c r="E26" s="400">
        <f>C26*C22</f>
        <v>85.185187499999984</v>
      </c>
    </row>
    <row r="27" spans="1:13" ht="15.75">
      <c r="A27" s="478" t="s">
        <v>3</v>
      </c>
      <c r="B27" s="401">
        <v>0.2</v>
      </c>
      <c r="C27" s="400">
        <f>Demanda!$E$11*B27</f>
        <v>973.54499999999996</v>
      </c>
      <c r="D27" s="400">
        <f t="shared" si="11"/>
        <v>1216.9312499999999</v>
      </c>
      <c r="E27" s="400">
        <f>C27*C22</f>
        <v>48.677250000000001</v>
      </c>
      <c r="G27" s="253"/>
    </row>
    <row r="28" spans="1:13" ht="15.75">
      <c r="A28" s="478" t="s">
        <v>4</v>
      </c>
      <c r="B28" s="401">
        <v>0.1</v>
      </c>
      <c r="C28" s="400">
        <f>Demanda!$E$11*B28</f>
        <v>486.77249999999998</v>
      </c>
      <c r="D28" s="400"/>
      <c r="E28" s="400"/>
    </row>
    <row r="29" spans="1:13" ht="15.75">
      <c r="A29" s="476" t="s">
        <v>58</v>
      </c>
      <c r="B29" s="476">
        <f>SUM(B25:B28)</f>
        <v>0.99999999999999989</v>
      </c>
      <c r="C29" s="477"/>
      <c r="D29" s="477"/>
      <c r="E29" s="477">
        <f>SUM(E25:E28)</f>
        <v>240.34392187499998</v>
      </c>
    </row>
    <row r="30" spans="1:13">
      <c r="A30" s="1"/>
      <c r="B30" s="1"/>
      <c r="C30" s="1"/>
      <c r="D30" s="1"/>
    </row>
  </sheetData>
  <mergeCells count="1">
    <mergeCell ref="B12:K12"/>
  </mergeCells>
  <pageMargins left="0.7" right="0.7" top="0.75" bottom="0.75" header="0.3" footer="0.3"/>
  <ignoredErrors>
    <ignoredError sqref="N7" formula="1"/>
  </ignoredErrors>
</worksheet>
</file>

<file path=xl/worksheets/sheet4.xml><?xml version="1.0" encoding="utf-8"?>
<worksheet xmlns="http://schemas.openxmlformats.org/spreadsheetml/2006/main" xmlns:r="http://schemas.openxmlformats.org/officeDocument/2006/relationships">
  <dimension ref="A2:CE10"/>
  <sheetViews>
    <sheetView workbookViewId="0">
      <selection activeCell="C10" sqref="C10"/>
    </sheetView>
  </sheetViews>
  <sheetFormatPr baseColWidth="10" defaultRowHeight="15"/>
  <cols>
    <col min="1" max="1" width="11.42578125" style="1"/>
    <col min="2" max="2" width="36" style="1" customWidth="1"/>
    <col min="3" max="14" width="12" style="1" customWidth="1"/>
    <col min="15" max="15" width="13.28515625" style="1" customWidth="1"/>
    <col min="16" max="83" width="11.42578125" style="1"/>
  </cols>
  <sheetData>
    <row r="2" spans="2:15">
      <c r="B2" s="491"/>
      <c r="C2" s="595" t="s">
        <v>478</v>
      </c>
      <c r="D2" s="596"/>
      <c r="E2" s="596"/>
      <c r="F2" s="596"/>
      <c r="G2" s="596"/>
      <c r="H2" s="596"/>
      <c r="I2" s="596"/>
      <c r="J2" s="596"/>
      <c r="K2" s="596"/>
      <c r="L2" s="596"/>
      <c r="M2" s="596"/>
      <c r="N2" s="596"/>
      <c r="O2" s="596"/>
    </row>
    <row r="3" spans="2:15">
      <c r="B3" s="492" t="s">
        <v>239</v>
      </c>
      <c r="C3" s="466" t="s">
        <v>240</v>
      </c>
      <c r="D3" s="466" t="s">
        <v>46</v>
      </c>
      <c r="E3" s="466" t="s">
        <v>47</v>
      </c>
      <c r="F3" s="466" t="s">
        <v>48</v>
      </c>
      <c r="G3" s="466" t="s">
        <v>49</v>
      </c>
      <c r="H3" s="466" t="s">
        <v>50</v>
      </c>
      <c r="I3" s="466" t="s">
        <v>51</v>
      </c>
      <c r="J3" s="466" t="s">
        <v>52</v>
      </c>
      <c r="K3" s="466" t="s">
        <v>53</v>
      </c>
      <c r="L3" s="466" t="s">
        <v>54</v>
      </c>
      <c r="M3" s="466" t="s">
        <v>55</v>
      </c>
      <c r="N3" s="466" t="s">
        <v>56</v>
      </c>
      <c r="O3" s="467" t="s">
        <v>18</v>
      </c>
    </row>
    <row r="4" spans="2:15">
      <c r="B4" s="469" t="s">
        <v>12</v>
      </c>
      <c r="C4" s="271">
        <f>'gastos administrativos'!C7</f>
        <v>3032.1466666666665</v>
      </c>
      <c r="D4" s="271">
        <f t="shared" ref="D4:N5" si="0">C4</f>
        <v>3032.1466666666665</v>
      </c>
      <c r="E4" s="271">
        <f t="shared" si="0"/>
        <v>3032.1466666666665</v>
      </c>
      <c r="F4" s="271">
        <f t="shared" si="0"/>
        <v>3032.1466666666665</v>
      </c>
      <c r="G4" s="271">
        <f t="shared" si="0"/>
        <v>3032.1466666666665</v>
      </c>
      <c r="H4" s="271">
        <f t="shared" si="0"/>
        <v>3032.1466666666665</v>
      </c>
      <c r="I4" s="271">
        <f t="shared" si="0"/>
        <v>3032.1466666666665</v>
      </c>
      <c r="J4" s="271">
        <f t="shared" si="0"/>
        <v>3032.1466666666665</v>
      </c>
      <c r="K4" s="271">
        <f t="shared" si="0"/>
        <v>3032.1466666666665</v>
      </c>
      <c r="L4" s="271">
        <f t="shared" si="0"/>
        <v>3032.1466666666665</v>
      </c>
      <c r="M4" s="271">
        <f t="shared" si="0"/>
        <v>3032.1466666666665</v>
      </c>
      <c r="N4" s="271">
        <f t="shared" si="0"/>
        <v>3032.1466666666665</v>
      </c>
      <c r="O4" s="271">
        <f>+SUM(C4:N4)</f>
        <v>36385.760000000002</v>
      </c>
    </row>
    <row r="5" spans="2:15">
      <c r="B5" s="469" t="s">
        <v>241</v>
      </c>
      <c r="C5" s="271">
        <f>'sueldos y salario'!B17</f>
        <v>310</v>
      </c>
      <c r="D5" s="271">
        <f>C5</f>
        <v>310</v>
      </c>
      <c r="E5" s="271">
        <f t="shared" si="0"/>
        <v>310</v>
      </c>
      <c r="F5" s="271">
        <f t="shared" si="0"/>
        <v>310</v>
      </c>
      <c r="G5" s="271">
        <f t="shared" si="0"/>
        <v>310</v>
      </c>
      <c r="H5" s="271">
        <f t="shared" si="0"/>
        <v>310</v>
      </c>
      <c r="I5" s="271">
        <f t="shared" si="0"/>
        <v>310</v>
      </c>
      <c r="J5" s="271">
        <f t="shared" si="0"/>
        <v>310</v>
      </c>
      <c r="K5" s="271">
        <f t="shared" si="0"/>
        <v>310</v>
      </c>
      <c r="L5" s="271">
        <f t="shared" si="0"/>
        <v>310</v>
      </c>
      <c r="M5" s="271">
        <f t="shared" si="0"/>
        <v>310</v>
      </c>
      <c r="N5" s="271">
        <f t="shared" si="0"/>
        <v>310</v>
      </c>
      <c r="O5" s="271">
        <f t="shared" ref="O5:O8" si="1">+SUM(C5:N5)</f>
        <v>3720</v>
      </c>
    </row>
    <row r="6" spans="2:15">
      <c r="B6" s="469" t="s">
        <v>242</v>
      </c>
      <c r="C6" s="271">
        <f>'gastos administrativos'!C13</f>
        <v>3660</v>
      </c>
      <c r="D6" s="271">
        <f t="shared" ref="D6:N6" si="2">C6</f>
        <v>3660</v>
      </c>
      <c r="E6" s="271">
        <f t="shared" si="2"/>
        <v>3660</v>
      </c>
      <c r="F6" s="271">
        <f t="shared" si="2"/>
        <v>3660</v>
      </c>
      <c r="G6" s="271">
        <f t="shared" si="2"/>
        <v>3660</v>
      </c>
      <c r="H6" s="271">
        <f t="shared" si="2"/>
        <v>3660</v>
      </c>
      <c r="I6" s="271">
        <f t="shared" si="2"/>
        <v>3660</v>
      </c>
      <c r="J6" s="271">
        <f t="shared" si="2"/>
        <v>3660</v>
      </c>
      <c r="K6" s="271">
        <f t="shared" si="2"/>
        <v>3660</v>
      </c>
      <c r="L6" s="271">
        <f t="shared" si="2"/>
        <v>3660</v>
      </c>
      <c r="M6" s="271">
        <f t="shared" si="2"/>
        <v>3660</v>
      </c>
      <c r="N6" s="271">
        <f t="shared" si="2"/>
        <v>3660</v>
      </c>
      <c r="O6" s="271">
        <f t="shared" si="1"/>
        <v>43920</v>
      </c>
    </row>
    <row r="7" spans="2:15">
      <c r="B7" s="469" t="s">
        <v>243</v>
      </c>
      <c r="C7" s="271">
        <f>'Materia Prima'!D29</f>
        <v>3204</v>
      </c>
      <c r="D7" s="271">
        <f>'Materia Prima'!E29</f>
        <v>3204</v>
      </c>
      <c r="E7" s="271">
        <f>'Materia Prima'!F29</f>
        <v>3204</v>
      </c>
      <c r="F7" s="271">
        <f>'Materia Prima'!G29</f>
        <v>3204</v>
      </c>
      <c r="G7" s="271">
        <f>'Materia Prima'!H29</f>
        <v>3204</v>
      </c>
      <c r="H7" s="271">
        <f>'Materia Prima'!I29</f>
        <v>3204</v>
      </c>
      <c r="I7" s="271">
        <f>'Materia Prima'!J29</f>
        <v>3204</v>
      </c>
      <c r="J7" s="271">
        <f>'Materia Prima'!K29</f>
        <v>3204</v>
      </c>
      <c r="K7" s="271">
        <f>'Materia Prima'!L29</f>
        <v>3204</v>
      </c>
      <c r="L7" s="271">
        <f>'Materia Prima'!M29</f>
        <v>3204</v>
      </c>
      <c r="M7" s="271">
        <f>'Materia Prima'!N29</f>
        <v>3204</v>
      </c>
      <c r="N7" s="271">
        <f>'Materia Prima'!O29</f>
        <v>3204</v>
      </c>
      <c r="O7" s="271">
        <f t="shared" si="1"/>
        <v>38448</v>
      </c>
    </row>
    <row r="8" spans="2:15">
      <c r="B8" s="469" t="s">
        <v>22</v>
      </c>
      <c r="C8" s="271">
        <f>'gastos administrativos'!C18</f>
        <v>200</v>
      </c>
      <c r="D8" s="271">
        <f t="shared" ref="D8:N8" si="3">C8</f>
        <v>200</v>
      </c>
      <c r="E8" s="271">
        <f t="shared" si="3"/>
        <v>200</v>
      </c>
      <c r="F8" s="271">
        <f t="shared" si="3"/>
        <v>200</v>
      </c>
      <c r="G8" s="271">
        <f t="shared" si="3"/>
        <v>200</v>
      </c>
      <c r="H8" s="271">
        <f t="shared" si="3"/>
        <v>200</v>
      </c>
      <c r="I8" s="271">
        <f t="shared" si="3"/>
        <v>200</v>
      </c>
      <c r="J8" s="271">
        <f t="shared" si="3"/>
        <v>200</v>
      </c>
      <c r="K8" s="271">
        <f t="shared" si="3"/>
        <v>200</v>
      </c>
      <c r="L8" s="271">
        <f t="shared" si="3"/>
        <v>200</v>
      </c>
      <c r="M8" s="271">
        <f t="shared" si="3"/>
        <v>200</v>
      </c>
      <c r="N8" s="271">
        <f t="shared" si="3"/>
        <v>200</v>
      </c>
      <c r="O8" s="271">
        <f t="shared" si="1"/>
        <v>2400</v>
      </c>
    </row>
    <row r="9" spans="2:15">
      <c r="B9" s="465" t="s">
        <v>244</v>
      </c>
      <c r="C9" s="493">
        <f>SUM(C4:C8)</f>
        <v>10406.146666666667</v>
      </c>
      <c r="D9" s="493">
        <f t="shared" ref="D9:O9" si="4">SUM(D4:D8)</f>
        <v>10406.146666666667</v>
      </c>
      <c r="E9" s="493">
        <f t="shared" si="4"/>
        <v>10406.146666666667</v>
      </c>
      <c r="F9" s="493">
        <f t="shared" si="4"/>
        <v>10406.146666666667</v>
      </c>
      <c r="G9" s="493">
        <f t="shared" si="4"/>
        <v>10406.146666666667</v>
      </c>
      <c r="H9" s="493">
        <f t="shared" si="4"/>
        <v>10406.146666666667</v>
      </c>
      <c r="I9" s="493">
        <f t="shared" si="4"/>
        <v>10406.146666666667</v>
      </c>
      <c r="J9" s="493">
        <f t="shared" si="4"/>
        <v>10406.146666666667</v>
      </c>
      <c r="K9" s="493">
        <f t="shared" si="4"/>
        <v>10406.146666666667</v>
      </c>
      <c r="L9" s="493">
        <f t="shared" si="4"/>
        <v>10406.146666666667</v>
      </c>
      <c r="M9" s="493">
        <f t="shared" si="4"/>
        <v>10406.146666666667</v>
      </c>
      <c r="N9" s="493">
        <f t="shared" si="4"/>
        <v>10406.146666666667</v>
      </c>
      <c r="O9" s="494">
        <f t="shared" si="4"/>
        <v>124873.76000000001</v>
      </c>
    </row>
    <row r="10" spans="2:15">
      <c r="B10" s="101"/>
      <c r="O10" s="58"/>
    </row>
  </sheetData>
  <mergeCells count="1">
    <mergeCell ref="C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Q33"/>
  <sheetViews>
    <sheetView workbookViewId="0">
      <selection activeCell="A2" sqref="A2"/>
    </sheetView>
  </sheetViews>
  <sheetFormatPr baseColWidth="10" defaultRowHeight="15"/>
  <cols>
    <col min="1" max="1" width="6.42578125" style="1" customWidth="1"/>
    <col min="2" max="2" width="31.85546875" style="1" customWidth="1"/>
    <col min="3" max="3" width="14.7109375" style="1" customWidth="1"/>
    <col min="4" max="7" width="13.85546875" style="1" customWidth="1"/>
    <col min="8" max="12" width="13.140625" style="1" customWidth="1"/>
    <col min="13" max="14" width="13.85546875" style="1" customWidth="1"/>
    <col min="15" max="15" width="13.140625" style="1" customWidth="1"/>
    <col min="16" max="69" width="11.42578125" style="1"/>
  </cols>
  <sheetData>
    <row r="1" spans="2:15" ht="15.75" thickBot="1">
      <c r="B1" s="597"/>
      <c r="C1" s="597"/>
      <c r="D1" s="597"/>
      <c r="E1" s="597"/>
    </row>
    <row r="2" spans="2:15" ht="16.5" thickTop="1" thickBot="1">
      <c r="C2" s="502" t="s">
        <v>240</v>
      </c>
      <c r="D2" s="503" t="s">
        <v>245</v>
      </c>
      <c r="E2" s="502" t="s">
        <v>47</v>
      </c>
      <c r="F2" s="503" t="s">
        <v>48</v>
      </c>
      <c r="G2" s="502" t="s">
        <v>49</v>
      </c>
      <c r="H2" s="503" t="s">
        <v>50</v>
      </c>
      <c r="I2" s="504" t="s">
        <v>51</v>
      </c>
      <c r="J2" s="502" t="s">
        <v>52</v>
      </c>
      <c r="K2" s="505" t="s">
        <v>53</v>
      </c>
      <c r="L2" s="503" t="s">
        <v>54</v>
      </c>
      <c r="M2" s="502" t="s">
        <v>55</v>
      </c>
      <c r="N2" s="505" t="s">
        <v>56</v>
      </c>
    </row>
    <row r="3" spans="2:15" ht="16.5" thickTop="1" thickBot="1">
      <c r="B3" s="495" t="s">
        <v>10</v>
      </c>
      <c r="C3" s="106">
        <f>'proyeccion de ingresos'!B10</f>
        <v>6064.6275898437489</v>
      </c>
      <c r="D3" s="106">
        <f>'proyeccion de ingresos'!C10</f>
        <v>6064.6275898437489</v>
      </c>
      <c r="E3" s="106">
        <f>'proyeccion de ingresos'!D10</f>
        <v>6064.6275898437489</v>
      </c>
      <c r="F3" s="106">
        <f>'proyeccion de ingresos'!E10</f>
        <v>6064.6275898437489</v>
      </c>
      <c r="G3" s="106">
        <f>'proyeccion de ingresos'!F10</f>
        <v>6064.6275898437489</v>
      </c>
      <c r="H3" s="106">
        <f>'proyeccion de ingresos'!G10</f>
        <v>6064.6275898437489</v>
      </c>
      <c r="I3" s="106">
        <f>'proyeccion de ingresos'!H10</f>
        <v>6064.6275898437489</v>
      </c>
      <c r="J3" s="106">
        <f>'proyeccion de ingresos'!I10</f>
        <v>6064.6275898437489</v>
      </c>
      <c r="K3" s="106">
        <f>'proyeccion de ingresos'!J10</f>
        <v>6064.6275898437489</v>
      </c>
      <c r="L3" s="106">
        <f>'proyeccion de ingresos'!K10</f>
        <v>6064.6275898437489</v>
      </c>
      <c r="M3" s="106">
        <f>'proyeccion de ingresos'!L10</f>
        <v>6064.6275898437489</v>
      </c>
      <c r="N3" s="506">
        <f>'proyeccion de ingresos'!M10</f>
        <v>6064.6275898437489</v>
      </c>
      <c r="O3" s="38">
        <f>SUM(C3:N3)</f>
        <v>72775.531078124972</v>
      </c>
    </row>
    <row r="4" spans="2:15" ht="16.5" thickTop="1" thickBot="1">
      <c r="B4" s="496" t="s">
        <v>246</v>
      </c>
      <c r="C4" s="107">
        <f>'proyeccion de egresos'!C9</f>
        <v>10406.146666666667</v>
      </c>
      <c r="D4" s="107">
        <f>'proyeccion de egresos'!D9</f>
        <v>10406.146666666667</v>
      </c>
      <c r="E4" s="107">
        <f>'proyeccion de egresos'!E9</f>
        <v>10406.146666666667</v>
      </c>
      <c r="F4" s="107">
        <f>'proyeccion de egresos'!F9</f>
        <v>10406.146666666667</v>
      </c>
      <c r="G4" s="107">
        <f>'proyeccion de egresos'!G9</f>
        <v>10406.146666666667</v>
      </c>
      <c r="H4" s="107">
        <f>'proyeccion de egresos'!H9</f>
        <v>10406.146666666667</v>
      </c>
      <c r="I4" s="107">
        <f>'proyeccion de egresos'!I9</f>
        <v>10406.146666666667</v>
      </c>
      <c r="J4" s="107">
        <f>'proyeccion de egresos'!J9</f>
        <v>10406.146666666667</v>
      </c>
      <c r="K4" s="107">
        <f>'proyeccion de egresos'!K9</f>
        <v>10406.146666666667</v>
      </c>
      <c r="L4" s="107">
        <f>'proyeccion de egresos'!L9</f>
        <v>10406.146666666667</v>
      </c>
      <c r="M4" s="107">
        <f>'proyeccion de egresos'!M9</f>
        <v>10406.146666666667</v>
      </c>
      <c r="N4" s="507">
        <f>'proyeccion de egresos'!N9</f>
        <v>10406.146666666667</v>
      </c>
      <c r="O4" s="108">
        <f>SUM(C4:N4)</f>
        <v>124873.76000000001</v>
      </c>
    </row>
    <row r="5" spans="2:15" ht="16.5" thickTop="1" thickBot="1">
      <c r="B5" s="495" t="s">
        <v>247</v>
      </c>
      <c r="C5" s="53">
        <f>C3-C4</f>
        <v>-4341.5190768229186</v>
      </c>
      <c r="D5" s="105">
        <f t="shared" ref="D5:N5" si="0">D3-D4</f>
        <v>-4341.5190768229186</v>
      </c>
      <c r="E5" s="53">
        <f t="shared" si="0"/>
        <v>-4341.5190768229186</v>
      </c>
      <c r="F5" s="105">
        <f>F3-F4</f>
        <v>-4341.5190768229186</v>
      </c>
      <c r="G5" s="53">
        <f t="shared" si="0"/>
        <v>-4341.5190768229186</v>
      </c>
      <c r="H5" s="56">
        <f t="shared" si="0"/>
        <v>-4341.5190768229186</v>
      </c>
      <c r="I5" s="53">
        <f t="shared" si="0"/>
        <v>-4341.5190768229186</v>
      </c>
      <c r="J5" s="105">
        <f t="shared" si="0"/>
        <v>-4341.5190768229186</v>
      </c>
      <c r="K5" s="53">
        <f t="shared" si="0"/>
        <v>-4341.5190768229186</v>
      </c>
      <c r="L5" s="105">
        <f t="shared" si="0"/>
        <v>-4341.5190768229186</v>
      </c>
      <c r="M5" s="53">
        <f t="shared" si="0"/>
        <v>-4341.5190768229186</v>
      </c>
      <c r="N5" s="105">
        <f t="shared" si="0"/>
        <v>-4341.5190768229186</v>
      </c>
      <c r="O5" s="36"/>
    </row>
    <row r="6" spans="2:15" ht="16.5" thickTop="1" thickBot="1">
      <c r="B6" s="495" t="s">
        <v>248</v>
      </c>
      <c r="C6" s="497">
        <f>C5</f>
        <v>-4341.5190768229186</v>
      </c>
      <c r="D6" s="498">
        <f>C6+D5</f>
        <v>-8683.0381536458372</v>
      </c>
      <c r="E6" s="499">
        <f t="shared" ref="E6:N6" si="1">D6+E5</f>
        <v>-13024.557230468756</v>
      </c>
      <c r="F6" s="498">
        <f>E6+F5</f>
        <v>-17366.076307291674</v>
      </c>
      <c r="G6" s="498">
        <f>F6+G5</f>
        <v>-21707.595384114593</v>
      </c>
      <c r="H6" s="498">
        <f t="shared" si="1"/>
        <v>-26049.114460937511</v>
      </c>
      <c r="I6" s="500">
        <f t="shared" si="1"/>
        <v>-30390.63353776043</v>
      </c>
      <c r="J6" s="501">
        <f t="shared" si="1"/>
        <v>-34732.152614583349</v>
      </c>
      <c r="K6" s="500">
        <f t="shared" si="1"/>
        <v>-39073.671691406271</v>
      </c>
      <c r="L6" s="501">
        <f t="shared" si="1"/>
        <v>-43415.190768229193</v>
      </c>
      <c r="M6" s="500">
        <f t="shared" si="1"/>
        <v>-47756.709845052115</v>
      </c>
      <c r="N6" s="500">
        <f t="shared" si="1"/>
        <v>-52098.228921875037</v>
      </c>
      <c r="O6" s="109"/>
    </row>
    <row r="7" spans="2:15" ht="16.5" thickTop="1" thickBot="1">
      <c r="B7" s="110"/>
      <c r="C7" s="36"/>
      <c r="D7" s="36"/>
      <c r="E7" s="36"/>
      <c r="F7" s="36"/>
      <c r="G7" s="36"/>
      <c r="H7" s="36"/>
      <c r="I7" s="36"/>
      <c r="J7" s="36"/>
      <c r="K7" s="36"/>
      <c r="L7" s="36"/>
      <c r="M7" s="36"/>
      <c r="N7" s="36"/>
      <c r="O7" s="111"/>
    </row>
    <row r="8" spans="2:15" ht="16.5" thickTop="1" thickBot="1">
      <c r="B8" s="508" t="s">
        <v>249</v>
      </c>
      <c r="C8" s="509">
        <f>N6</f>
        <v>-52098.228921875037</v>
      </c>
      <c r="D8" s="38"/>
      <c r="E8" s="38"/>
      <c r="F8" s="38"/>
      <c r="G8" s="38"/>
      <c r="H8" s="38"/>
      <c r="I8" s="38"/>
      <c r="J8" s="38"/>
      <c r="K8" s="38"/>
      <c r="L8" s="38"/>
      <c r="M8" s="38"/>
      <c r="N8" s="38"/>
      <c r="O8" s="38"/>
    </row>
    <row r="9" spans="2:15" ht="15.75" thickTop="1">
      <c r="B9" s="101"/>
      <c r="C9" s="53"/>
      <c r="D9" s="36"/>
      <c r="E9" s="53"/>
      <c r="F9" s="36"/>
      <c r="G9" s="36"/>
      <c r="H9" s="36"/>
      <c r="I9" s="36"/>
      <c r="J9" s="36"/>
      <c r="K9" s="36"/>
      <c r="L9" s="36"/>
      <c r="M9" s="36"/>
      <c r="N9" s="36"/>
      <c r="O9" s="108"/>
    </row>
    <row r="10" spans="2:15">
      <c r="D10" s="53"/>
      <c r="E10" s="53"/>
      <c r="F10" s="53"/>
      <c r="G10" s="53"/>
      <c r="H10" s="53"/>
      <c r="I10" s="53"/>
      <c r="J10" s="53"/>
      <c r="K10" s="53"/>
      <c r="L10" s="53"/>
      <c r="M10" s="53"/>
      <c r="N10" s="53"/>
      <c r="O10" s="36"/>
    </row>
    <row r="11" spans="2:15">
      <c r="D11" s="53"/>
      <c r="E11" s="53"/>
      <c r="F11" s="53"/>
      <c r="G11" s="53"/>
      <c r="H11" s="53"/>
      <c r="I11" s="53"/>
      <c r="J11" s="53"/>
      <c r="K11" s="53"/>
      <c r="L11" s="53"/>
      <c r="M11" s="53"/>
      <c r="N11" s="53"/>
      <c r="O11" s="109"/>
    </row>
    <row r="12" spans="2:15">
      <c r="B12" s="36"/>
      <c r="C12" s="36"/>
      <c r="D12" s="36"/>
      <c r="E12" s="36"/>
      <c r="F12" s="36"/>
      <c r="G12" s="36"/>
      <c r="H12" s="36"/>
      <c r="I12" s="36"/>
      <c r="J12" s="36"/>
      <c r="K12" s="36"/>
      <c r="L12" s="36"/>
      <c r="M12" s="36"/>
      <c r="N12" s="36"/>
      <c r="O12" s="32"/>
    </row>
    <row r="13" spans="2:15">
      <c r="B13" s="32"/>
      <c r="C13" s="53"/>
      <c r="D13" s="53"/>
      <c r="E13" s="53"/>
      <c r="F13" s="53"/>
      <c r="G13" s="53"/>
      <c r="H13" s="53"/>
      <c r="I13" s="53"/>
      <c r="J13" s="53"/>
      <c r="K13" s="53"/>
      <c r="L13" s="53"/>
      <c r="M13" s="53"/>
      <c r="N13" s="53"/>
      <c r="O13" s="109"/>
    </row>
    <row r="30" spans="2:14">
      <c r="B30" s="36"/>
      <c r="C30" s="53"/>
      <c r="D30" s="53"/>
      <c r="E30" s="53"/>
      <c r="F30" s="53"/>
      <c r="G30" s="53"/>
      <c r="H30" s="53"/>
      <c r="I30" s="53"/>
      <c r="J30" s="53"/>
      <c r="K30" s="53"/>
      <c r="L30" s="53"/>
      <c r="M30" s="112"/>
      <c r="N30" s="53"/>
    </row>
    <row r="31" spans="2:14">
      <c r="B31" s="36"/>
      <c r="C31" s="53"/>
      <c r="D31" s="53"/>
      <c r="E31" s="53"/>
      <c r="F31" s="53"/>
      <c r="G31" s="53"/>
      <c r="H31" s="53"/>
      <c r="I31" s="53"/>
      <c r="J31" s="53"/>
      <c r="K31" s="53"/>
      <c r="L31" s="53"/>
      <c r="M31" s="112"/>
      <c r="N31" s="53"/>
    </row>
    <row r="32" spans="2:14">
      <c r="B32" s="36"/>
      <c r="C32" s="53"/>
      <c r="D32" s="53"/>
      <c r="E32" s="53"/>
      <c r="F32" s="53"/>
      <c r="G32" s="53"/>
      <c r="H32" s="53"/>
      <c r="I32" s="53"/>
      <c r="J32" s="53"/>
      <c r="K32" s="53"/>
      <c r="L32" s="53"/>
      <c r="M32" s="112"/>
      <c r="N32" s="53"/>
    </row>
    <row r="33" spans="2:14">
      <c r="B33" s="36"/>
      <c r="C33" s="53"/>
      <c r="D33" s="53"/>
      <c r="E33" s="53"/>
      <c r="F33" s="53"/>
      <c r="G33" s="53"/>
      <c r="H33" s="53"/>
      <c r="I33" s="53"/>
      <c r="J33" s="53"/>
      <c r="K33" s="53"/>
      <c r="L33" s="53"/>
      <c r="M33" s="112"/>
      <c r="N33" s="53"/>
    </row>
  </sheetData>
  <mergeCells count="1">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P28"/>
  <sheetViews>
    <sheetView workbookViewId="0">
      <selection activeCell="G9" sqref="G9"/>
    </sheetView>
  </sheetViews>
  <sheetFormatPr baseColWidth="10" defaultColWidth="9.140625" defaultRowHeight="15"/>
  <cols>
    <col min="1" max="1" width="9.140625" style="4" customWidth="1"/>
    <col min="2" max="2" width="49.5703125" style="4" customWidth="1"/>
    <col min="3" max="3" width="15" style="4" customWidth="1"/>
    <col min="4" max="4" width="22.42578125" style="4" customWidth="1"/>
    <col min="5" max="5" width="11.28515625" style="4" customWidth="1"/>
    <col min="6" max="6" width="12.42578125" style="4" customWidth="1"/>
    <col min="7" max="7" width="9.140625" style="4" customWidth="1"/>
    <col min="8" max="8" width="11.28515625" style="4" customWidth="1"/>
    <col min="9" max="9" width="9.140625" style="4" customWidth="1"/>
    <col min="10" max="10" width="9.5703125" style="4" customWidth="1"/>
    <col min="11" max="11" width="9.140625" style="4" customWidth="1"/>
    <col min="12" max="42" width="9.140625" style="4"/>
    <col min="43" max="16384" width="9.140625" style="5"/>
  </cols>
  <sheetData>
    <row r="1" spans="2:8" ht="15.75" thickBot="1"/>
    <row r="2" spans="2:8" ht="16.5" thickTop="1" thickBot="1">
      <c r="B2" s="6" t="s">
        <v>12</v>
      </c>
      <c r="C2" s="7" t="s">
        <v>13</v>
      </c>
      <c r="D2" s="1"/>
    </row>
    <row r="3" spans="2:8" ht="15.75" thickTop="1">
      <c r="B3" s="8" t="s">
        <v>14</v>
      </c>
      <c r="C3" s="43">
        <f>'sueldos y salario'!K9</f>
        <v>2612.1466666666665</v>
      </c>
    </row>
    <row r="4" spans="2:8" ht="17.25" customHeight="1">
      <c r="B4" s="9" t="s">
        <v>15</v>
      </c>
      <c r="C4" s="10">
        <v>120</v>
      </c>
      <c r="D4" s="11"/>
      <c r="E4" s="11"/>
      <c r="F4" s="11"/>
    </row>
    <row r="5" spans="2:8" ht="17.25" customHeight="1">
      <c r="B5" s="9" t="s">
        <v>16</v>
      </c>
      <c r="C5" s="10">
        <v>60</v>
      </c>
      <c r="D5" s="11"/>
      <c r="E5" s="11"/>
      <c r="F5" s="12"/>
    </row>
    <row r="6" spans="2:8" ht="17.25" customHeight="1" thickBot="1">
      <c r="B6" s="13" t="s">
        <v>17</v>
      </c>
      <c r="C6" s="14">
        <v>240</v>
      </c>
      <c r="D6" s="11"/>
      <c r="E6" s="11"/>
      <c r="F6" s="12"/>
    </row>
    <row r="7" spans="2:8" ht="17.25" customHeight="1" thickTop="1" thickBot="1">
      <c r="B7" s="15" t="s">
        <v>18</v>
      </c>
      <c r="C7" s="16">
        <f>SUM(C3:C6)</f>
        <v>3032.1466666666665</v>
      </c>
      <c r="D7" s="11">
        <f>C7*12</f>
        <v>36385.759999999995</v>
      </c>
      <c r="E7" s="11"/>
      <c r="F7" s="12"/>
    </row>
    <row r="8" spans="2:8" ht="17.25" customHeight="1" thickTop="1">
      <c r="D8" s="11"/>
      <c r="E8" s="11"/>
      <c r="F8" s="12"/>
    </row>
    <row r="9" spans="2:8" ht="17.25" customHeight="1" thickBot="1">
      <c r="B9" s="17"/>
      <c r="C9" s="18"/>
      <c r="D9" s="11"/>
      <c r="E9" s="11"/>
      <c r="F9" s="12"/>
    </row>
    <row r="10" spans="2:8" ht="17.25" customHeight="1" thickTop="1" thickBot="1">
      <c r="B10" s="7" t="s">
        <v>19</v>
      </c>
      <c r="C10" s="7" t="s">
        <v>13</v>
      </c>
      <c r="D10" s="11"/>
      <c r="E10" s="11"/>
      <c r="F10" s="12"/>
    </row>
    <row r="11" spans="2:8" ht="17.25" customHeight="1" thickTop="1" thickBot="1">
      <c r="B11" s="19" t="s">
        <v>20</v>
      </c>
      <c r="C11" s="20">
        <f>publicidad!D13</f>
        <v>3660</v>
      </c>
      <c r="D11" s="11"/>
      <c r="E11" s="11"/>
      <c r="F11" s="12"/>
    </row>
    <row r="12" spans="2:8" ht="17.25" customHeight="1" thickTop="1" thickBot="1">
      <c r="B12" s="21" t="s">
        <v>21</v>
      </c>
      <c r="C12" s="22"/>
      <c r="D12" s="11"/>
      <c r="E12" s="11"/>
      <c r="F12" s="12"/>
      <c r="H12" s="23"/>
    </row>
    <row r="13" spans="2:8" ht="17.25" customHeight="1" thickTop="1">
      <c r="B13" s="24"/>
      <c r="C13" s="25">
        <f>C11+C12</f>
        <v>3660</v>
      </c>
      <c r="D13" s="11">
        <f>C13*12</f>
        <v>43920</v>
      </c>
      <c r="E13" s="11"/>
      <c r="F13" s="12"/>
    </row>
    <row r="14" spans="2:8" ht="15.75" thickBot="1">
      <c r="B14" s="26"/>
      <c r="C14" s="27"/>
      <c r="D14" s="26"/>
      <c r="E14" s="26"/>
      <c r="F14" s="11"/>
    </row>
    <row r="15" spans="2:8" ht="16.5" thickTop="1" thickBot="1">
      <c r="B15" s="28" t="s">
        <v>22</v>
      </c>
      <c r="C15" s="7" t="s">
        <v>13</v>
      </c>
      <c r="F15" s="23"/>
    </row>
    <row r="16" spans="2:8" ht="16.5" thickTop="1" thickBot="1">
      <c r="B16" s="21" t="s">
        <v>23</v>
      </c>
      <c r="C16" s="22">
        <v>150</v>
      </c>
      <c r="D16" s="29"/>
    </row>
    <row r="17" spans="2:10" ht="16.5" thickTop="1" thickBot="1">
      <c r="B17" s="30" t="s">
        <v>24</v>
      </c>
      <c r="C17" s="31">
        <v>50</v>
      </c>
      <c r="D17" s="32"/>
      <c r="E17" s="32"/>
      <c r="F17" s="32"/>
      <c r="G17" s="33"/>
      <c r="H17" s="34"/>
      <c r="I17" s="34"/>
      <c r="J17" s="34"/>
    </row>
    <row r="18" spans="2:10" ht="16.5" thickTop="1" thickBot="1">
      <c r="C18" s="35">
        <f>+C16+C17</f>
        <v>200</v>
      </c>
      <c r="D18" s="36"/>
      <c r="E18" s="37"/>
      <c r="F18" s="38"/>
      <c r="G18" s="34"/>
      <c r="H18" s="34"/>
      <c r="I18" s="34"/>
      <c r="J18" s="34"/>
    </row>
    <row r="19" spans="2:10" ht="15.75" thickTop="1">
      <c r="C19" s="39"/>
      <c r="D19" s="36"/>
      <c r="E19" s="36"/>
      <c r="F19" s="38"/>
      <c r="G19" s="33"/>
      <c r="H19" s="34"/>
      <c r="I19" s="34"/>
      <c r="J19" s="34"/>
    </row>
    <row r="20" spans="2:10">
      <c r="D20" s="36"/>
      <c r="E20" s="36"/>
      <c r="F20" s="38"/>
      <c r="G20" s="33"/>
      <c r="H20" s="34"/>
      <c r="I20" s="34"/>
      <c r="J20" s="34"/>
    </row>
    <row r="21" spans="2:10">
      <c r="D21" s="36"/>
      <c r="E21" s="36"/>
      <c r="F21" s="36"/>
      <c r="G21" s="34"/>
      <c r="H21" s="34"/>
      <c r="I21" s="34"/>
      <c r="J21" s="34"/>
    </row>
    <row r="22" spans="2:10">
      <c r="D22" s="40"/>
      <c r="E22" s="36"/>
      <c r="F22" s="36"/>
      <c r="G22" s="34"/>
      <c r="H22" s="34"/>
      <c r="I22" s="34"/>
      <c r="J22" s="34"/>
    </row>
    <row r="23" spans="2:10">
      <c r="D23" s="36"/>
      <c r="E23" s="36"/>
      <c r="F23" s="36"/>
      <c r="G23" s="34"/>
      <c r="H23" s="34"/>
      <c r="I23" s="34"/>
      <c r="J23" s="34"/>
    </row>
    <row r="24" spans="2:10">
      <c r="D24" s="34"/>
      <c r="E24" s="34"/>
      <c r="F24" s="34"/>
      <c r="G24" s="34"/>
      <c r="H24" s="34"/>
      <c r="I24" s="34"/>
      <c r="J24" s="34"/>
    </row>
    <row r="25" spans="2:10">
      <c r="D25" s="41"/>
      <c r="E25" s="34"/>
      <c r="F25" s="34"/>
      <c r="G25" s="34"/>
      <c r="H25" s="34"/>
      <c r="I25" s="34"/>
      <c r="J25" s="34"/>
    </row>
    <row r="26" spans="2:10">
      <c r="D26" s="34"/>
      <c r="E26" s="34"/>
      <c r="F26" s="34"/>
      <c r="G26" s="34"/>
      <c r="H26" s="34"/>
      <c r="I26" s="34"/>
      <c r="J26" s="34"/>
    </row>
    <row r="27" spans="2:10">
      <c r="C27" s="34"/>
      <c r="D27" s="41"/>
      <c r="E27" s="34"/>
      <c r="F27" s="34"/>
      <c r="G27" s="34"/>
      <c r="H27" s="34"/>
      <c r="I27" s="34"/>
      <c r="J27" s="34"/>
    </row>
    <row r="28" spans="2:10">
      <c r="B28" s="4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18"/>
  <sheetViews>
    <sheetView workbookViewId="0">
      <selection activeCell="D14" sqref="D14"/>
    </sheetView>
  </sheetViews>
  <sheetFormatPr baseColWidth="10" defaultRowHeight="15"/>
  <cols>
    <col min="1" max="1" width="25" style="253" customWidth="1"/>
    <col min="2" max="2" width="19" style="253" customWidth="1"/>
    <col min="3" max="3" width="25" style="253" customWidth="1"/>
    <col min="4" max="4" width="19.85546875" style="253" customWidth="1"/>
    <col min="5" max="5" width="21.85546875" style="253" customWidth="1"/>
    <col min="6" max="6" width="17.7109375" style="253" customWidth="1"/>
    <col min="7" max="7" width="14.42578125" style="253" customWidth="1"/>
    <col min="8" max="8" width="11.42578125" style="253"/>
    <col min="9" max="10" width="13" style="253" customWidth="1"/>
    <col min="11" max="11" width="13.85546875" style="253" customWidth="1"/>
    <col min="12" max="12" width="13" style="253" customWidth="1"/>
    <col min="13" max="258" width="11.42578125" style="253"/>
    <col min="259" max="259" width="25" style="253" customWidth="1"/>
    <col min="260" max="260" width="19" style="253" customWidth="1"/>
    <col min="261" max="261" width="25.140625" style="253" customWidth="1"/>
    <col min="262" max="262" width="19.5703125" style="253" customWidth="1"/>
    <col min="263" max="514" width="11.42578125" style="253"/>
    <col min="515" max="515" width="25" style="253" customWidth="1"/>
    <col min="516" max="516" width="19" style="253" customWidth="1"/>
    <col min="517" max="517" width="25.140625" style="253" customWidth="1"/>
    <col min="518" max="518" width="19.5703125" style="253" customWidth="1"/>
    <col min="519" max="770" width="11.42578125" style="253"/>
    <col min="771" max="771" width="25" style="253" customWidth="1"/>
    <col min="772" max="772" width="19" style="253" customWidth="1"/>
    <col min="773" max="773" width="25.140625" style="253" customWidth="1"/>
    <col min="774" max="774" width="19.5703125" style="253" customWidth="1"/>
    <col min="775" max="1026" width="11.42578125" style="253"/>
    <col min="1027" max="1027" width="25" style="253" customWidth="1"/>
    <col min="1028" max="1028" width="19" style="253" customWidth="1"/>
    <col min="1029" max="1029" width="25.140625" style="253" customWidth="1"/>
    <col min="1030" max="1030" width="19.5703125" style="253" customWidth="1"/>
    <col min="1031" max="1282" width="11.42578125" style="253"/>
    <col min="1283" max="1283" width="25" style="253" customWidth="1"/>
    <col min="1284" max="1284" width="19" style="253" customWidth="1"/>
    <col min="1285" max="1285" width="25.140625" style="253" customWidth="1"/>
    <col min="1286" max="1286" width="19.5703125" style="253" customWidth="1"/>
    <col min="1287" max="1538" width="11.42578125" style="253"/>
    <col min="1539" max="1539" width="25" style="253" customWidth="1"/>
    <col min="1540" max="1540" width="19" style="253" customWidth="1"/>
    <col min="1541" max="1541" width="25.140625" style="253" customWidth="1"/>
    <col min="1542" max="1542" width="19.5703125" style="253" customWidth="1"/>
    <col min="1543" max="1794" width="11.42578125" style="253"/>
    <col min="1795" max="1795" width="25" style="253" customWidth="1"/>
    <col min="1796" max="1796" width="19" style="253" customWidth="1"/>
    <col min="1797" max="1797" width="25.140625" style="253" customWidth="1"/>
    <col min="1798" max="1798" width="19.5703125" style="253" customWidth="1"/>
    <col min="1799" max="2050" width="11.42578125" style="253"/>
    <col min="2051" max="2051" width="25" style="253" customWidth="1"/>
    <col min="2052" max="2052" width="19" style="253" customWidth="1"/>
    <col min="2053" max="2053" width="25.140625" style="253" customWidth="1"/>
    <col min="2054" max="2054" width="19.5703125" style="253" customWidth="1"/>
    <col min="2055" max="2306" width="11.42578125" style="253"/>
    <col min="2307" max="2307" width="25" style="253" customWidth="1"/>
    <col min="2308" max="2308" width="19" style="253" customWidth="1"/>
    <col min="2309" max="2309" width="25.140625" style="253" customWidth="1"/>
    <col min="2310" max="2310" width="19.5703125" style="253" customWidth="1"/>
    <col min="2311" max="2562" width="11.42578125" style="253"/>
    <col min="2563" max="2563" width="25" style="253" customWidth="1"/>
    <col min="2564" max="2564" width="19" style="253" customWidth="1"/>
    <col min="2565" max="2565" width="25.140625" style="253" customWidth="1"/>
    <col min="2566" max="2566" width="19.5703125" style="253" customWidth="1"/>
    <col min="2567" max="2818" width="11.42578125" style="253"/>
    <col min="2819" max="2819" width="25" style="253" customWidth="1"/>
    <col min="2820" max="2820" width="19" style="253" customWidth="1"/>
    <col min="2821" max="2821" width="25.140625" style="253" customWidth="1"/>
    <col min="2822" max="2822" width="19.5703125" style="253" customWidth="1"/>
    <col min="2823" max="3074" width="11.42578125" style="253"/>
    <col min="3075" max="3075" width="25" style="253" customWidth="1"/>
    <col min="3076" max="3076" width="19" style="253" customWidth="1"/>
    <col min="3077" max="3077" width="25.140625" style="253" customWidth="1"/>
    <col min="3078" max="3078" width="19.5703125" style="253" customWidth="1"/>
    <col min="3079" max="3330" width="11.42578125" style="253"/>
    <col min="3331" max="3331" width="25" style="253" customWidth="1"/>
    <col min="3332" max="3332" width="19" style="253" customWidth="1"/>
    <col min="3333" max="3333" width="25.140625" style="253" customWidth="1"/>
    <col min="3334" max="3334" width="19.5703125" style="253" customWidth="1"/>
    <col min="3335" max="3586" width="11.42578125" style="253"/>
    <col min="3587" max="3587" width="25" style="253" customWidth="1"/>
    <col min="3588" max="3588" width="19" style="253" customWidth="1"/>
    <col min="3589" max="3589" width="25.140625" style="253" customWidth="1"/>
    <col min="3590" max="3590" width="19.5703125" style="253" customWidth="1"/>
    <col min="3591" max="3842" width="11.42578125" style="253"/>
    <col min="3843" max="3843" width="25" style="253" customWidth="1"/>
    <col min="3844" max="3844" width="19" style="253" customWidth="1"/>
    <col min="3845" max="3845" width="25.140625" style="253" customWidth="1"/>
    <col min="3846" max="3846" width="19.5703125" style="253" customWidth="1"/>
    <col min="3847" max="4098" width="11.42578125" style="253"/>
    <col min="4099" max="4099" width="25" style="253" customWidth="1"/>
    <col min="4100" max="4100" width="19" style="253" customWidth="1"/>
    <col min="4101" max="4101" width="25.140625" style="253" customWidth="1"/>
    <col min="4102" max="4102" width="19.5703125" style="253" customWidth="1"/>
    <col min="4103" max="4354" width="11.42578125" style="253"/>
    <col min="4355" max="4355" width="25" style="253" customWidth="1"/>
    <col min="4356" max="4356" width="19" style="253" customWidth="1"/>
    <col min="4357" max="4357" width="25.140625" style="253" customWidth="1"/>
    <col min="4358" max="4358" width="19.5703125" style="253" customWidth="1"/>
    <col min="4359" max="4610" width="11.42578125" style="253"/>
    <col min="4611" max="4611" width="25" style="253" customWidth="1"/>
    <col min="4612" max="4612" width="19" style="253" customWidth="1"/>
    <col min="4613" max="4613" width="25.140625" style="253" customWidth="1"/>
    <col min="4614" max="4614" width="19.5703125" style="253" customWidth="1"/>
    <col min="4615" max="4866" width="11.42578125" style="253"/>
    <col min="4867" max="4867" width="25" style="253" customWidth="1"/>
    <col min="4868" max="4868" width="19" style="253" customWidth="1"/>
    <col min="4869" max="4869" width="25.140625" style="253" customWidth="1"/>
    <col min="4870" max="4870" width="19.5703125" style="253" customWidth="1"/>
    <col min="4871" max="5122" width="11.42578125" style="253"/>
    <col min="5123" max="5123" width="25" style="253" customWidth="1"/>
    <col min="5124" max="5124" width="19" style="253" customWidth="1"/>
    <col min="5125" max="5125" width="25.140625" style="253" customWidth="1"/>
    <col min="5126" max="5126" width="19.5703125" style="253" customWidth="1"/>
    <col min="5127" max="5378" width="11.42578125" style="253"/>
    <col min="5379" max="5379" width="25" style="253" customWidth="1"/>
    <col min="5380" max="5380" width="19" style="253" customWidth="1"/>
    <col min="5381" max="5381" width="25.140625" style="253" customWidth="1"/>
    <col min="5382" max="5382" width="19.5703125" style="253" customWidth="1"/>
    <col min="5383" max="5634" width="11.42578125" style="253"/>
    <col min="5635" max="5635" width="25" style="253" customWidth="1"/>
    <col min="5636" max="5636" width="19" style="253" customWidth="1"/>
    <col min="5637" max="5637" width="25.140625" style="253" customWidth="1"/>
    <col min="5638" max="5638" width="19.5703125" style="253" customWidth="1"/>
    <col min="5639" max="5890" width="11.42578125" style="253"/>
    <col min="5891" max="5891" width="25" style="253" customWidth="1"/>
    <col min="5892" max="5892" width="19" style="253" customWidth="1"/>
    <col min="5893" max="5893" width="25.140625" style="253" customWidth="1"/>
    <col min="5894" max="5894" width="19.5703125" style="253" customWidth="1"/>
    <col min="5895" max="6146" width="11.42578125" style="253"/>
    <col min="6147" max="6147" width="25" style="253" customWidth="1"/>
    <col min="6148" max="6148" width="19" style="253" customWidth="1"/>
    <col min="6149" max="6149" width="25.140625" style="253" customWidth="1"/>
    <col min="6150" max="6150" width="19.5703125" style="253" customWidth="1"/>
    <col min="6151" max="6402" width="11.42578125" style="253"/>
    <col min="6403" max="6403" width="25" style="253" customWidth="1"/>
    <col min="6404" max="6404" width="19" style="253" customWidth="1"/>
    <col min="6405" max="6405" width="25.140625" style="253" customWidth="1"/>
    <col min="6406" max="6406" width="19.5703125" style="253" customWidth="1"/>
    <col min="6407" max="6658" width="11.42578125" style="253"/>
    <col min="6659" max="6659" width="25" style="253" customWidth="1"/>
    <col min="6660" max="6660" width="19" style="253" customWidth="1"/>
    <col min="6661" max="6661" width="25.140625" style="253" customWidth="1"/>
    <col min="6662" max="6662" width="19.5703125" style="253" customWidth="1"/>
    <col min="6663" max="6914" width="11.42578125" style="253"/>
    <col min="6915" max="6915" width="25" style="253" customWidth="1"/>
    <col min="6916" max="6916" width="19" style="253" customWidth="1"/>
    <col min="6917" max="6917" width="25.140625" style="253" customWidth="1"/>
    <col min="6918" max="6918" width="19.5703125" style="253" customWidth="1"/>
    <col min="6919" max="7170" width="11.42578125" style="253"/>
    <col min="7171" max="7171" width="25" style="253" customWidth="1"/>
    <col min="7172" max="7172" width="19" style="253" customWidth="1"/>
    <col min="7173" max="7173" width="25.140625" style="253" customWidth="1"/>
    <col min="7174" max="7174" width="19.5703125" style="253" customWidth="1"/>
    <col min="7175" max="7426" width="11.42578125" style="253"/>
    <col min="7427" max="7427" width="25" style="253" customWidth="1"/>
    <col min="7428" max="7428" width="19" style="253" customWidth="1"/>
    <col min="7429" max="7429" width="25.140625" style="253" customWidth="1"/>
    <col min="7430" max="7430" width="19.5703125" style="253" customWidth="1"/>
    <col min="7431" max="7682" width="11.42578125" style="253"/>
    <col min="7683" max="7683" width="25" style="253" customWidth="1"/>
    <col min="7684" max="7684" width="19" style="253" customWidth="1"/>
    <col min="7685" max="7685" width="25.140625" style="253" customWidth="1"/>
    <col min="7686" max="7686" width="19.5703125" style="253" customWidth="1"/>
    <col min="7687" max="7938" width="11.42578125" style="253"/>
    <col min="7939" max="7939" width="25" style="253" customWidth="1"/>
    <col min="7940" max="7940" width="19" style="253" customWidth="1"/>
    <col min="7941" max="7941" width="25.140625" style="253" customWidth="1"/>
    <col min="7942" max="7942" width="19.5703125" style="253" customWidth="1"/>
    <col min="7943" max="8194" width="11.42578125" style="253"/>
    <col min="8195" max="8195" width="25" style="253" customWidth="1"/>
    <col min="8196" max="8196" width="19" style="253" customWidth="1"/>
    <col min="8197" max="8197" width="25.140625" style="253" customWidth="1"/>
    <col min="8198" max="8198" width="19.5703125" style="253" customWidth="1"/>
    <col min="8199" max="8450" width="11.42578125" style="253"/>
    <col min="8451" max="8451" width="25" style="253" customWidth="1"/>
    <col min="8452" max="8452" width="19" style="253" customWidth="1"/>
    <col min="8453" max="8453" width="25.140625" style="253" customWidth="1"/>
    <col min="8454" max="8454" width="19.5703125" style="253" customWidth="1"/>
    <col min="8455" max="8706" width="11.42578125" style="253"/>
    <col min="8707" max="8707" width="25" style="253" customWidth="1"/>
    <col min="8708" max="8708" width="19" style="253" customWidth="1"/>
    <col min="8709" max="8709" width="25.140625" style="253" customWidth="1"/>
    <col min="8710" max="8710" width="19.5703125" style="253" customWidth="1"/>
    <col min="8711" max="8962" width="11.42578125" style="253"/>
    <col min="8963" max="8963" width="25" style="253" customWidth="1"/>
    <col min="8964" max="8964" width="19" style="253" customWidth="1"/>
    <col min="8965" max="8965" width="25.140625" style="253" customWidth="1"/>
    <col min="8966" max="8966" width="19.5703125" style="253" customWidth="1"/>
    <col min="8967" max="9218" width="11.42578125" style="253"/>
    <col min="9219" max="9219" width="25" style="253" customWidth="1"/>
    <col min="9220" max="9220" width="19" style="253" customWidth="1"/>
    <col min="9221" max="9221" width="25.140625" style="253" customWidth="1"/>
    <col min="9222" max="9222" width="19.5703125" style="253" customWidth="1"/>
    <col min="9223" max="9474" width="11.42578125" style="253"/>
    <col min="9475" max="9475" width="25" style="253" customWidth="1"/>
    <col min="9476" max="9476" width="19" style="253" customWidth="1"/>
    <col min="9477" max="9477" width="25.140625" style="253" customWidth="1"/>
    <col min="9478" max="9478" width="19.5703125" style="253" customWidth="1"/>
    <col min="9479" max="9730" width="11.42578125" style="253"/>
    <col min="9731" max="9731" width="25" style="253" customWidth="1"/>
    <col min="9732" max="9732" width="19" style="253" customWidth="1"/>
    <col min="9733" max="9733" width="25.140625" style="253" customWidth="1"/>
    <col min="9734" max="9734" width="19.5703125" style="253" customWidth="1"/>
    <col min="9735" max="9986" width="11.42578125" style="253"/>
    <col min="9987" max="9987" width="25" style="253" customWidth="1"/>
    <col min="9988" max="9988" width="19" style="253" customWidth="1"/>
    <col min="9989" max="9989" width="25.140625" style="253" customWidth="1"/>
    <col min="9990" max="9990" width="19.5703125" style="253" customWidth="1"/>
    <col min="9991" max="10242" width="11.42578125" style="253"/>
    <col min="10243" max="10243" width="25" style="253" customWidth="1"/>
    <col min="10244" max="10244" width="19" style="253" customWidth="1"/>
    <col min="10245" max="10245" width="25.140625" style="253" customWidth="1"/>
    <col min="10246" max="10246" width="19.5703125" style="253" customWidth="1"/>
    <col min="10247" max="10498" width="11.42578125" style="253"/>
    <col min="10499" max="10499" width="25" style="253" customWidth="1"/>
    <col min="10500" max="10500" width="19" style="253" customWidth="1"/>
    <col min="10501" max="10501" width="25.140625" style="253" customWidth="1"/>
    <col min="10502" max="10502" width="19.5703125" style="253" customWidth="1"/>
    <col min="10503" max="10754" width="11.42578125" style="253"/>
    <col min="10755" max="10755" width="25" style="253" customWidth="1"/>
    <col min="10756" max="10756" width="19" style="253" customWidth="1"/>
    <col min="10757" max="10757" width="25.140625" style="253" customWidth="1"/>
    <col min="10758" max="10758" width="19.5703125" style="253" customWidth="1"/>
    <col min="10759" max="11010" width="11.42578125" style="253"/>
    <col min="11011" max="11011" width="25" style="253" customWidth="1"/>
    <col min="11012" max="11012" width="19" style="253" customWidth="1"/>
    <col min="11013" max="11013" width="25.140625" style="253" customWidth="1"/>
    <col min="11014" max="11014" width="19.5703125" style="253" customWidth="1"/>
    <col min="11015" max="11266" width="11.42578125" style="253"/>
    <col min="11267" max="11267" width="25" style="253" customWidth="1"/>
    <col min="11268" max="11268" width="19" style="253" customWidth="1"/>
    <col min="11269" max="11269" width="25.140625" style="253" customWidth="1"/>
    <col min="11270" max="11270" width="19.5703125" style="253" customWidth="1"/>
    <col min="11271" max="11522" width="11.42578125" style="253"/>
    <col min="11523" max="11523" width="25" style="253" customWidth="1"/>
    <col min="11524" max="11524" width="19" style="253" customWidth="1"/>
    <col min="11525" max="11525" width="25.140625" style="253" customWidth="1"/>
    <col min="11526" max="11526" width="19.5703125" style="253" customWidth="1"/>
    <col min="11527" max="11778" width="11.42578125" style="253"/>
    <col min="11779" max="11779" width="25" style="253" customWidth="1"/>
    <col min="11780" max="11780" width="19" style="253" customWidth="1"/>
    <col min="11781" max="11781" width="25.140625" style="253" customWidth="1"/>
    <col min="11782" max="11782" width="19.5703125" style="253" customWidth="1"/>
    <col min="11783" max="12034" width="11.42578125" style="253"/>
    <col min="12035" max="12035" width="25" style="253" customWidth="1"/>
    <col min="12036" max="12036" width="19" style="253" customWidth="1"/>
    <col min="12037" max="12037" width="25.140625" style="253" customWidth="1"/>
    <col min="12038" max="12038" width="19.5703125" style="253" customWidth="1"/>
    <col min="12039" max="12290" width="11.42578125" style="253"/>
    <col min="12291" max="12291" width="25" style="253" customWidth="1"/>
    <col min="12292" max="12292" width="19" style="253" customWidth="1"/>
    <col min="12293" max="12293" width="25.140625" style="253" customWidth="1"/>
    <col min="12294" max="12294" width="19.5703125" style="253" customWidth="1"/>
    <col min="12295" max="12546" width="11.42578125" style="253"/>
    <col min="12547" max="12547" width="25" style="253" customWidth="1"/>
    <col min="12548" max="12548" width="19" style="253" customWidth="1"/>
    <col min="12549" max="12549" width="25.140625" style="253" customWidth="1"/>
    <col min="12550" max="12550" width="19.5703125" style="253" customWidth="1"/>
    <col min="12551" max="12802" width="11.42578125" style="253"/>
    <col min="12803" max="12803" width="25" style="253" customWidth="1"/>
    <col min="12804" max="12804" width="19" style="253" customWidth="1"/>
    <col min="12805" max="12805" width="25.140625" style="253" customWidth="1"/>
    <col min="12806" max="12806" width="19.5703125" style="253" customWidth="1"/>
    <col min="12807" max="13058" width="11.42578125" style="253"/>
    <col min="13059" max="13059" width="25" style="253" customWidth="1"/>
    <col min="13060" max="13060" width="19" style="253" customWidth="1"/>
    <col min="13061" max="13061" width="25.140625" style="253" customWidth="1"/>
    <col min="13062" max="13062" width="19.5703125" style="253" customWidth="1"/>
    <col min="13063" max="13314" width="11.42578125" style="253"/>
    <col min="13315" max="13315" width="25" style="253" customWidth="1"/>
    <col min="13316" max="13316" width="19" style="253" customWidth="1"/>
    <col min="13317" max="13317" width="25.140625" style="253" customWidth="1"/>
    <col min="13318" max="13318" width="19.5703125" style="253" customWidth="1"/>
    <col min="13319" max="13570" width="11.42578125" style="253"/>
    <col min="13571" max="13571" width="25" style="253" customWidth="1"/>
    <col min="13572" max="13572" width="19" style="253" customWidth="1"/>
    <col min="13573" max="13573" width="25.140625" style="253" customWidth="1"/>
    <col min="13574" max="13574" width="19.5703125" style="253" customWidth="1"/>
    <col min="13575" max="13826" width="11.42578125" style="253"/>
    <col min="13827" max="13827" width="25" style="253" customWidth="1"/>
    <col min="13828" max="13828" width="19" style="253" customWidth="1"/>
    <col min="13829" max="13829" width="25.140625" style="253" customWidth="1"/>
    <col min="13830" max="13830" width="19.5703125" style="253" customWidth="1"/>
    <col min="13831" max="14082" width="11.42578125" style="253"/>
    <col min="14083" max="14083" width="25" style="253" customWidth="1"/>
    <col min="14084" max="14084" width="19" style="253" customWidth="1"/>
    <col min="14085" max="14085" width="25.140625" style="253" customWidth="1"/>
    <col min="14086" max="14086" width="19.5703125" style="253" customWidth="1"/>
    <col min="14087" max="14338" width="11.42578125" style="253"/>
    <col min="14339" max="14339" width="25" style="253" customWidth="1"/>
    <col min="14340" max="14340" width="19" style="253" customWidth="1"/>
    <col min="14341" max="14341" width="25.140625" style="253" customWidth="1"/>
    <col min="14342" max="14342" width="19.5703125" style="253" customWidth="1"/>
    <col min="14343" max="14594" width="11.42578125" style="253"/>
    <col min="14595" max="14595" width="25" style="253" customWidth="1"/>
    <col min="14596" max="14596" width="19" style="253" customWidth="1"/>
    <col min="14597" max="14597" width="25.140625" style="253" customWidth="1"/>
    <col min="14598" max="14598" width="19.5703125" style="253" customWidth="1"/>
    <col min="14599" max="14850" width="11.42578125" style="253"/>
    <col min="14851" max="14851" width="25" style="253" customWidth="1"/>
    <col min="14852" max="14852" width="19" style="253" customWidth="1"/>
    <col min="14853" max="14853" width="25.140625" style="253" customWidth="1"/>
    <col min="14854" max="14854" width="19.5703125" style="253" customWidth="1"/>
    <col min="14855" max="15106" width="11.42578125" style="253"/>
    <col min="15107" max="15107" width="25" style="253" customWidth="1"/>
    <col min="15108" max="15108" width="19" style="253" customWidth="1"/>
    <col min="15109" max="15109" width="25.140625" style="253" customWidth="1"/>
    <col min="15110" max="15110" width="19.5703125" style="253" customWidth="1"/>
    <col min="15111" max="15362" width="11.42578125" style="253"/>
    <col min="15363" max="15363" width="25" style="253" customWidth="1"/>
    <col min="15364" max="15364" width="19" style="253" customWidth="1"/>
    <col min="15365" max="15365" width="25.140625" style="253" customWidth="1"/>
    <col min="15366" max="15366" width="19.5703125" style="253" customWidth="1"/>
    <col min="15367" max="15618" width="11.42578125" style="253"/>
    <col min="15619" max="15619" width="25" style="253" customWidth="1"/>
    <col min="15620" max="15620" width="19" style="253" customWidth="1"/>
    <col min="15621" max="15621" width="25.140625" style="253" customWidth="1"/>
    <col min="15622" max="15622" width="19.5703125" style="253" customWidth="1"/>
    <col min="15623" max="15874" width="11.42578125" style="253"/>
    <col min="15875" max="15875" width="25" style="253" customWidth="1"/>
    <col min="15876" max="15876" width="19" style="253" customWidth="1"/>
    <col min="15877" max="15877" width="25.140625" style="253" customWidth="1"/>
    <col min="15878" max="15878" width="19.5703125" style="253" customWidth="1"/>
    <col min="15879" max="16130" width="11.42578125" style="253"/>
    <col min="16131" max="16131" width="25" style="253" customWidth="1"/>
    <col min="16132" max="16132" width="19" style="253" customWidth="1"/>
    <col min="16133" max="16133" width="25.140625" style="253" customWidth="1"/>
    <col min="16134" max="16134" width="19.5703125" style="253" customWidth="1"/>
    <col min="16135" max="16384" width="11.42578125" style="253"/>
  </cols>
  <sheetData>
    <row r="1" spans="1:12">
      <c r="E1" s="1"/>
      <c r="F1" s="1"/>
      <c r="G1" s="1"/>
    </row>
    <row r="2" spans="1:12">
      <c r="A2" s="510" t="s">
        <v>479</v>
      </c>
      <c r="B2" s="511"/>
      <c r="C2" s="511"/>
      <c r="D2" s="511"/>
      <c r="E2" s="511"/>
      <c r="F2" s="511"/>
      <c r="G2" s="512"/>
      <c r="H2" s="512"/>
      <c r="I2" s="512"/>
      <c r="J2" s="512"/>
      <c r="K2" s="513"/>
    </row>
    <row r="3" spans="1:12" ht="15.75" thickBot="1">
      <c r="A3" s="514" t="s">
        <v>25</v>
      </c>
      <c r="B3" s="515" t="s">
        <v>26</v>
      </c>
      <c r="C3" s="515" t="s">
        <v>27</v>
      </c>
      <c r="D3" s="516" t="s">
        <v>28</v>
      </c>
      <c r="E3" s="517" t="s">
        <v>29</v>
      </c>
      <c r="F3" s="517" t="s">
        <v>30</v>
      </c>
      <c r="G3" s="517" t="s">
        <v>31</v>
      </c>
      <c r="H3" s="518" t="s">
        <v>32</v>
      </c>
      <c r="I3" s="517" t="s">
        <v>33</v>
      </c>
      <c r="J3" s="519" t="s">
        <v>34</v>
      </c>
      <c r="K3" s="519" t="s">
        <v>35</v>
      </c>
    </row>
    <row r="4" spans="1:12" ht="15.75" thickTop="1">
      <c r="A4" s="520" t="s">
        <v>382</v>
      </c>
      <c r="B4" s="254">
        <v>1</v>
      </c>
      <c r="C4" s="255">
        <v>480</v>
      </c>
      <c r="D4" s="255">
        <f>B4*C4</f>
        <v>480</v>
      </c>
      <c r="E4" s="528">
        <f>D4*11.15%</f>
        <v>53.52</v>
      </c>
      <c r="F4" s="529">
        <f>D4/12</f>
        <v>40</v>
      </c>
      <c r="G4" s="529">
        <f>292/12</f>
        <v>24.333333333333332</v>
      </c>
      <c r="H4" s="256">
        <f>D4/24</f>
        <v>20</v>
      </c>
      <c r="I4" s="256">
        <f>D4*1%</f>
        <v>4.8</v>
      </c>
      <c r="J4" s="256">
        <f>D4*9.35%</f>
        <v>44.88</v>
      </c>
      <c r="K4" s="256">
        <f t="shared" ref="K4:K8" si="0">SUM(D4:I4)-J4</f>
        <v>577.77333333333331</v>
      </c>
    </row>
    <row r="5" spans="1:12">
      <c r="A5" s="521" t="s">
        <v>383</v>
      </c>
      <c r="B5" s="254">
        <v>1</v>
      </c>
      <c r="C5" s="257">
        <v>480</v>
      </c>
      <c r="D5" s="257">
        <f>B5*C5</f>
        <v>480</v>
      </c>
      <c r="E5" s="256">
        <f t="shared" ref="E5:E8" si="1">D5*11.15%</f>
        <v>53.52</v>
      </c>
      <c r="F5" s="258">
        <f t="shared" ref="F5:F8" si="2">D5/12</f>
        <v>40</v>
      </c>
      <c r="G5" s="258">
        <f t="shared" ref="G5:G7" si="3">292/12</f>
        <v>24.333333333333332</v>
      </c>
      <c r="H5" s="256">
        <f t="shared" ref="H5:H8" si="4">D5/24</f>
        <v>20</v>
      </c>
      <c r="I5" s="256">
        <f t="shared" ref="I5:I8" si="5">D5*1%</f>
        <v>4.8</v>
      </c>
      <c r="J5" s="256">
        <f t="shared" ref="J5:J8" si="6">D5*9.35%</f>
        <v>44.88</v>
      </c>
      <c r="K5" s="256">
        <f t="shared" si="0"/>
        <v>577.77333333333331</v>
      </c>
    </row>
    <row r="6" spans="1:12">
      <c r="A6" s="521" t="s">
        <v>384</v>
      </c>
      <c r="B6" s="254">
        <v>1</v>
      </c>
      <c r="C6" s="257">
        <v>480</v>
      </c>
      <c r="D6" s="257">
        <f t="shared" ref="D6:D8" si="7">B6*C6</f>
        <v>480</v>
      </c>
      <c r="E6" s="256">
        <f t="shared" si="1"/>
        <v>53.52</v>
      </c>
      <c r="F6" s="258">
        <f t="shared" si="2"/>
        <v>40</v>
      </c>
      <c r="G6" s="258">
        <f t="shared" si="3"/>
        <v>24.333333333333332</v>
      </c>
      <c r="H6" s="256">
        <f t="shared" si="4"/>
        <v>20</v>
      </c>
      <c r="I6" s="256">
        <f t="shared" si="5"/>
        <v>4.8</v>
      </c>
      <c r="J6" s="256">
        <f t="shared" si="6"/>
        <v>44.88</v>
      </c>
      <c r="K6" s="256">
        <f t="shared" si="0"/>
        <v>577.77333333333331</v>
      </c>
    </row>
    <row r="7" spans="1:12">
      <c r="A7" s="521" t="s">
        <v>385</v>
      </c>
      <c r="B7" s="254">
        <v>2</v>
      </c>
      <c r="C7" s="257">
        <v>180</v>
      </c>
      <c r="D7" s="257">
        <f t="shared" si="7"/>
        <v>360</v>
      </c>
      <c r="E7" s="256">
        <f t="shared" si="1"/>
        <v>40.14</v>
      </c>
      <c r="F7" s="258">
        <f t="shared" si="2"/>
        <v>30</v>
      </c>
      <c r="G7" s="258">
        <f t="shared" si="3"/>
        <v>24.333333333333332</v>
      </c>
      <c r="H7" s="256">
        <f t="shared" si="4"/>
        <v>15</v>
      </c>
      <c r="I7" s="256">
        <f t="shared" si="5"/>
        <v>3.6</v>
      </c>
      <c r="J7" s="256">
        <f t="shared" si="6"/>
        <v>33.659999999999997</v>
      </c>
      <c r="K7" s="256">
        <f t="shared" si="0"/>
        <v>439.4133333333333</v>
      </c>
    </row>
    <row r="8" spans="1:12" ht="15.75" thickBot="1">
      <c r="A8" s="521" t="s">
        <v>386</v>
      </c>
      <c r="B8" s="254">
        <v>2</v>
      </c>
      <c r="C8" s="257">
        <v>180</v>
      </c>
      <c r="D8" s="257">
        <f t="shared" si="7"/>
        <v>360</v>
      </c>
      <c r="E8" s="256">
        <f t="shared" si="1"/>
        <v>40.14</v>
      </c>
      <c r="F8" s="258">
        <f t="shared" si="2"/>
        <v>30</v>
      </c>
      <c r="G8" s="258">
        <f>292/12</f>
        <v>24.333333333333332</v>
      </c>
      <c r="H8" s="256">
        <f t="shared" si="4"/>
        <v>15</v>
      </c>
      <c r="I8" s="256">
        <f t="shared" si="5"/>
        <v>3.6</v>
      </c>
      <c r="J8" s="259">
        <f t="shared" si="6"/>
        <v>33.659999999999997</v>
      </c>
      <c r="K8" s="256">
        <f t="shared" si="0"/>
        <v>439.4133333333333</v>
      </c>
    </row>
    <row r="9" spans="1:12" ht="16.5" thickTop="1" thickBot="1">
      <c r="A9" s="522" t="s">
        <v>36</v>
      </c>
      <c r="B9" s="523">
        <f t="shared" ref="B9:K9" si="8">SUM(B4:B8)</f>
        <v>7</v>
      </c>
      <c r="C9" s="524">
        <f t="shared" si="8"/>
        <v>1800</v>
      </c>
      <c r="D9" s="524">
        <f t="shared" si="8"/>
        <v>2160</v>
      </c>
      <c r="E9" s="524">
        <f t="shared" si="8"/>
        <v>240.83999999999997</v>
      </c>
      <c r="F9" s="524">
        <f t="shared" si="8"/>
        <v>180</v>
      </c>
      <c r="G9" s="524">
        <f t="shared" si="8"/>
        <v>121.66666666666666</v>
      </c>
      <c r="H9" s="524">
        <f t="shared" si="8"/>
        <v>90</v>
      </c>
      <c r="I9" s="525">
        <f t="shared" si="8"/>
        <v>21.6</v>
      </c>
      <c r="J9" s="526">
        <f t="shared" si="8"/>
        <v>201.96</v>
      </c>
      <c r="K9" s="527">
        <f t="shared" si="8"/>
        <v>2612.1466666666665</v>
      </c>
      <c r="L9" s="260"/>
    </row>
    <row r="10" spans="1:12" ht="15.75" thickTop="1">
      <c r="D10" s="261"/>
      <c r="F10" s="262"/>
    </row>
    <row r="11" spans="1:12" ht="15.75" thickBot="1">
      <c r="A11" s="1"/>
    </row>
    <row r="12" spans="1:12" ht="16.5" thickTop="1" thickBot="1">
      <c r="A12" s="530" t="s">
        <v>37</v>
      </c>
      <c r="B12" s="530" t="s">
        <v>38</v>
      </c>
    </row>
    <row r="13" spans="1:12" ht="15.75" thickTop="1">
      <c r="A13" s="534" t="s">
        <v>39</v>
      </c>
      <c r="B13" s="264">
        <v>80</v>
      </c>
    </row>
    <row r="14" spans="1:12">
      <c r="A14" s="535" t="s">
        <v>40</v>
      </c>
      <c r="B14" s="266">
        <v>120</v>
      </c>
    </row>
    <row r="15" spans="1:12">
      <c r="A15" s="535" t="s">
        <v>41</v>
      </c>
      <c r="B15" s="266">
        <v>70</v>
      </c>
    </row>
    <row r="16" spans="1:12" ht="15.75" thickBot="1">
      <c r="A16" s="536" t="s">
        <v>42</v>
      </c>
      <c r="B16" s="268">
        <v>40</v>
      </c>
    </row>
    <row r="17" spans="1:3" ht="16.5" thickTop="1" thickBot="1">
      <c r="A17" s="531" t="s">
        <v>43</v>
      </c>
      <c r="B17" s="532">
        <f>SUM(B13:B16)</f>
        <v>310</v>
      </c>
      <c r="C17" s="533">
        <f>B17*12</f>
        <v>3720</v>
      </c>
    </row>
    <row r="18" spans="1:3" ht="15.75" thickTop="1"/>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BS55"/>
  <sheetViews>
    <sheetView topLeftCell="D29" zoomScale="90" zoomScaleNormal="90" workbookViewId="0">
      <selection activeCell="M48" sqref="M48"/>
    </sheetView>
  </sheetViews>
  <sheetFormatPr baseColWidth="10" defaultRowHeight="15"/>
  <cols>
    <col min="1" max="1" width="11.42578125" style="1"/>
    <col min="2" max="2" width="27.5703125" style="1" customWidth="1"/>
    <col min="3" max="3" width="12.7109375" style="1" customWidth="1"/>
    <col min="4" max="4" width="14.42578125" style="1" customWidth="1"/>
    <col min="5" max="5" width="13.42578125" style="1" customWidth="1"/>
    <col min="6" max="6" width="13.140625" style="1" customWidth="1"/>
    <col min="7" max="8" width="12.42578125" style="1" customWidth="1"/>
    <col min="9" max="10" width="13.7109375" style="1" customWidth="1"/>
    <col min="11" max="13" width="12.7109375" style="1" customWidth="1"/>
    <col min="14" max="14" width="13.7109375" style="1" customWidth="1"/>
    <col min="15" max="15" width="17.42578125" style="1" customWidth="1"/>
    <col min="16" max="16" width="12.42578125" style="1" customWidth="1"/>
    <col min="17" max="71" width="11.42578125" style="1"/>
  </cols>
  <sheetData>
    <row r="1" spans="2:16">
      <c r="B1" s="489" t="s">
        <v>480</v>
      </c>
      <c r="C1" s="489"/>
      <c r="D1" s="489"/>
      <c r="E1" s="489"/>
      <c r="F1" s="489"/>
    </row>
    <row r="2" spans="2:16">
      <c r="B2" s="539" t="s">
        <v>60</v>
      </c>
      <c r="C2" s="540" t="s">
        <v>44</v>
      </c>
      <c r="D2" s="540" t="s">
        <v>61</v>
      </c>
      <c r="E2" s="540" t="s">
        <v>62</v>
      </c>
      <c r="F2" s="541" t="s">
        <v>63</v>
      </c>
    </row>
    <row r="3" spans="2:16">
      <c r="B3" s="537" t="s">
        <v>422</v>
      </c>
      <c r="C3" s="269">
        <v>2</v>
      </c>
      <c r="D3" s="274">
        <v>500</v>
      </c>
      <c r="E3" s="274">
        <f t="shared" ref="E3" si="0">+C3*D3</f>
        <v>1000</v>
      </c>
      <c r="F3" s="269">
        <v>3</v>
      </c>
    </row>
    <row r="4" spans="2:16">
      <c r="B4" s="538" t="s">
        <v>417</v>
      </c>
      <c r="C4" s="269">
        <v>1</v>
      </c>
      <c r="D4" s="274">
        <v>800</v>
      </c>
      <c r="E4" s="274">
        <f>+C4*D4</f>
        <v>800</v>
      </c>
      <c r="F4" s="269">
        <v>3</v>
      </c>
      <c r="I4" s="1">
        <f>5000+50000+2420+800+1000</f>
        <v>59220</v>
      </c>
    </row>
    <row r="5" spans="2:16">
      <c r="B5" s="537" t="s">
        <v>416</v>
      </c>
      <c r="C5" s="269">
        <v>1</v>
      </c>
      <c r="D5" s="274">
        <v>1000</v>
      </c>
      <c r="E5" s="274">
        <f>+C5*D5</f>
        <v>1000</v>
      </c>
      <c r="F5" s="269">
        <v>5</v>
      </c>
    </row>
    <row r="6" spans="2:16">
      <c r="B6" s="537" t="s">
        <v>420</v>
      </c>
      <c r="C6" s="269">
        <v>1</v>
      </c>
      <c r="D6" s="274">
        <v>100</v>
      </c>
      <c r="E6" s="274">
        <f>+C6*D6</f>
        <v>100</v>
      </c>
      <c r="F6" s="269">
        <v>5</v>
      </c>
    </row>
    <row r="7" spans="2:16">
      <c r="B7" s="537" t="s">
        <v>415</v>
      </c>
      <c r="C7" s="269">
        <v>1</v>
      </c>
      <c r="D7" s="274">
        <v>1290</v>
      </c>
      <c r="E7" s="274">
        <f>+C7*D7</f>
        <v>1290</v>
      </c>
      <c r="F7" s="269">
        <v>10</v>
      </c>
    </row>
    <row r="8" spans="2:16">
      <c r="B8" s="537" t="s">
        <v>418</v>
      </c>
      <c r="C8" s="269">
        <v>1</v>
      </c>
      <c r="D8" s="274">
        <v>500</v>
      </c>
      <c r="E8" s="274">
        <f t="shared" ref="E8:E10" si="1">+C8*D8</f>
        <v>500</v>
      </c>
      <c r="F8" s="269">
        <v>10</v>
      </c>
    </row>
    <row r="9" spans="2:16">
      <c r="B9" s="537" t="s">
        <v>419</v>
      </c>
      <c r="C9" s="269">
        <v>1</v>
      </c>
      <c r="D9" s="274">
        <v>450</v>
      </c>
      <c r="E9" s="274">
        <f t="shared" si="1"/>
        <v>450</v>
      </c>
      <c r="F9" s="269">
        <v>10</v>
      </c>
    </row>
    <row r="10" spans="2:16">
      <c r="B10" s="537" t="s">
        <v>421</v>
      </c>
      <c r="C10" s="269">
        <v>1</v>
      </c>
      <c r="D10" s="274">
        <v>700</v>
      </c>
      <c r="E10" s="274">
        <f t="shared" si="1"/>
        <v>700</v>
      </c>
      <c r="F10" s="269">
        <v>10</v>
      </c>
    </row>
    <row r="11" spans="2:16">
      <c r="B11" s="36"/>
      <c r="C11" s="36"/>
      <c r="D11" s="57"/>
      <c r="E11" s="57"/>
      <c r="F11" s="36"/>
    </row>
    <row r="12" spans="2:16">
      <c r="C12" s="551" t="s">
        <v>64</v>
      </c>
      <c r="D12" s="551" t="s">
        <v>35</v>
      </c>
      <c r="E12" s="552">
        <v>1</v>
      </c>
      <c r="F12" s="552">
        <v>2</v>
      </c>
      <c r="G12" s="552">
        <v>3</v>
      </c>
      <c r="H12" s="552">
        <v>4</v>
      </c>
      <c r="I12" s="552">
        <v>5</v>
      </c>
      <c r="J12" s="552">
        <v>6</v>
      </c>
      <c r="K12" s="552">
        <v>7</v>
      </c>
      <c r="L12" s="552">
        <v>8</v>
      </c>
      <c r="M12" s="552">
        <v>9</v>
      </c>
      <c r="N12" s="552">
        <v>10</v>
      </c>
      <c r="O12" s="551" t="s">
        <v>65</v>
      </c>
      <c r="P12" s="551" t="s">
        <v>66</v>
      </c>
    </row>
    <row r="13" spans="2:16">
      <c r="B13" s="550" t="str">
        <f>B3</f>
        <v xml:space="preserve">Computador Pc Intel </v>
      </c>
      <c r="C13" s="269">
        <f>F3</f>
        <v>3</v>
      </c>
      <c r="D13" s="270">
        <f>E3</f>
        <v>1000</v>
      </c>
      <c r="E13" s="271">
        <f>+D13/C13</f>
        <v>333.33333333333331</v>
      </c>
      <c r="F13" s="271">
        <f>+E13</f>
        <v>333.33333333333331</v>
      </c>
      <c r="G13" s="271">
        <f>+F13</f>
        <v>333.33333333333331</v>
      </c>
      <c r="H13" s="271"/>
      <c r="I13" s="271"/>
      <c r="J13" s="271"/>
      <c r="K13" s="271"/>
      <c r="L13" s="271"/>
      <c r="M13" s="271"/>
      <c r="N13" s="271"/>
      <c r="O13" s="272">
        <f t="shared" ref="O13:O15" si="2">+SUM(E13:N13)</f>
        <v>1000</v>
      </c>
      <c r="P13" s="271">
        <f>+D13-O13</f>
        <v>0</v>
      </c>
    </row>
    <row r="14" spans="2:16">
      <c r="B14" s="550" t="str">
        <f t="shared" ref="B14:B19" si="3">B4</f>
        <v>Equipos de Comunicación</v>
      </c>
      <c r="C14" s="269">
        <f t="shared" ref="C14:C20" si="4">F4</f>
        <v>3</v>
      </c>
      <c r="D14" s="270">
        <f t="shared" ref="D14:D20" si="5">E4</f>
        <v>800</v>
      </c>
      <c r="E14" s="271">
        <f t="shared" ref="E14:E20" si="6">+D14/C14</f>
        <v>266.66666666666669</v>
      </c>
      <c r="F14" s="271">
        <f t="shared" ref="F14:I16" si="7">+E14</f>
        <v>266.66666666666669</v>
      </c>
      <c r="G14" s="271">
        <f t="shared" si="7"/>
        <v>266.66666666666669</v>
      </c>
      <c r="H14" s="271"/>
      <c r="I14" s="271"/>
      <c r="J14" s="271"/>
      <c r="K14" s="271"/>
      <c r="L14" s="271"/>
      <c r="M14" s="271"/>
      <c r="N14" s="271"/>
      <c r="O14" s="272">
        <f t="shared" si="2"/>
        <v>800</v>
      </c>
      <c r="P14" s="271">
        <f t="shared" ref="P14:P20" si="8">+D14-O14</f>
        <v>0</v>
      </c>
    </row>
    <row r="15" spans="2:16">
      <c r="B15" s="550" t="str">
        <f t="shared" si="3"/>
        <v>Sistema de Seguridad</v>
      </c>
      <c r="C15" s="269">
        <f t="shared" si="4"/>
        <v>5</v>
      </c>
      <c r="D15" s="270">
        <f t="shared" si="5"/>
        <v>1000</v>
      </c>
      <c r="E15" s="271">
        <f t="shared" si="6"/>
        <v>200</v>
      </c>
      <c r="F15" s="271">
        <f t="shared" si="7"/>
        <v>200</v>
      </c>
      <c r="G15" s="271">
        <f t="shared" si="7"/>
        <v>200</v>
      </c>
      <c r="H15" s="271">
        <f t="shared" si="7"/>
        <v>200</v>
      </c>
      <c r="I15" s="271">
        <f t="shared" si="7"/>
        <v>200</v>
      </c>
      <c r="J15" s="271"/>
      <c r="K15" s="271"/>
      <c r="L15" s="271"/>
      <c r="M15" s="271"/>
      <c r="N15" s="271"/>
      <c r="O15" s="272">
        <f t="shared" si="2"/>
        <v>1000</v>
      </c>
      <c r="P15" s="271">
        <f t="shared" si="8"/>
        <v>0</v>
      </c>
    </row>
    <row r="16" spans="2:16">
      <c r="B16" s="550" t="str">
        <f t="shared" si="3"/>
        <v>olla industrial</v>
      </c>
      <c r="C16" s="269">
        <f t="shared" si="4"/>
        <v>5</v>
      </c>
      <c r="D16" s="270">
        <f t="shared" si="5"/>
        <v>100</v>
      </c>
      <c r="E16" s="271">
        <f t="shared" si="6"/>
        <v>20</v>
      </c>
      <c r="F16" s="271">
        <f>+E16</f>
        <v>20</v>
      </c>
      <c r="G16" s="271">
        <f t="shared" si="7"/>
        <v>20</v>
      </c>
      <c r="H16" s="271">
        <f t="shared" si="7"/>
        <v>20</v>
      </c>
      <c r="I16" s="271">
        <f t="shared" si="7"/>
        <v>20</v>
      </c>
      <c r="J16" s="271"/>
      <c r="K16" s="271"/>
      <c r="L16" s="271"/>
      <c r="M16" s="271"/>
      <c r="N16" s="271"/>
      <c r="O16" s="272">
        <f>+SUM(E16:N16)</f>
        <v>100</v>
      </c>
      <c r="P16" s="271">
        <f t="shared" si="8"/>
        <v>0</v>
      </c>
    </row>
    <row r="17" spans="2:16">
      <c r="B17" s="550" t="str">
        <f t="shared" si="3"/>
        <v>Equipo de Oficina</v>
      </c>
      <c r="C17" s="269">
        <f t="shared" si="4"/>
        <v>10</v>
      </c>
      <c r="D17" s="270">
        <f t="shared" si="5"/>
        <v>1290</v>
      </c>
      <c r="E17" s="271">
        <f t="shared" si="6"/>
        <v>129</v>
      </c>
      <c r="F17" s="271">
        <f t="shared" ref="F17:N20" si="9">+E17</f>
        <v>129</v>
      </c>
      <c r="G17" s="271">
        <f t="shared" si="9"/>
        <v>129</v>
      </c>
      <c r="H17" s="271">
        <f t="shared" si="9"/>
        <v>129</v>
      </c>
      <c r="I17" s="271">
        <f t="shared" si="9"/>
        <v>129</v>
      </c>
      <c r="J17" s="271">
        <f t="shared" si="9"/>
        <v>129</v>
      </c>
      <c r="K17" s="271">
        <f t="shared" si="9"/>
        <v>129</v>
      </c>
      <c r="L17" s="271">
        <f t="shared" si="9"/>
        <v>129</v>
      </c>
      <c r="M17" s="271">
        <f t="shared" si="9"/>
        <v>129</v>
      </c>
      <c r="N17" s="271">
        <f t="shared" si="9"/>
        <v>129</v>
      </c>
      <c r="O17" s="272">
        <f t="shared" ref="O17:O20" si="10">+SUM(E17:N17)</f>
        <v>1290</v>
      </c>
      <c r="P17" s="271">
        <f t="shared" si="8"/>
        <v>0</v>
      </c>
    </row>
    <row r="18" spans="2:16">
      <c r="B18" s="550" t="str">
        <f t="shared" si="3"/>
        <v>Cortadora</v>
      </c>
      <c r="C18" s="269">
        <f t="shared" si="4"/>
        <v>10</v>
      </c>
      <c r="D18" s="270">
        <f t="shared" si="5"/>
        <v>500</v>
      </c>
      <c r="E18" s="271">
        <f t="shared" si="6"/>
        <v>50</v>
      </c>
      <c r="F18" s="271">
        <f t="shared" si="9"/>
        <v>50</v>
      </c>
      <c r="G18" s="271">
        <f t="shared" si="9"/>
        <v>50</v>
      </c>
      <c r="H18" s="271">
        <f t="shared" si="9"/>
        <v>50</v>
      </c>
      <c r="I18" s="271">
        <f t="shared" si="9"/>
        <v>50</v>
      </c>
      <c r="J18" s="271">
        <f t="shared" si="9"/>
        <v>50</v>
      </c>
      <c r="K18" s="271">
        <f t="shared" si="9"/>
        <v>50</v>
      </c>
      <c r="L18" s="271">
        <f t="shared" si="9"/>
        <v>50</v>
      </c>
      <c r="M18" s="271">
        <f t="shared" si="9"/>
        <v>50</v>
      </c>
      <c r="N18" s="271">
        <f t="shared" si="9"/>
        <v>50</v>
      </c>
      <c r="O18" s="272">
        <f t="shared" si="10"/>
        <v>500</v>
      </c>
      <c r="P18" s="271">
        <f t="shared" si="8"/>
        <v>0</v>
      </c>
    </row>
    <row r="19" spans="2:16">
      <c r="B19" s="550" t="str">
        <f t="shared" si="3"/>
        <v>etiquetadora y selladora</v>
      </c>
      <c r="C19" s="269">
        <f t="shared" si="4"/>
        <v>10</v>
      </c>
      <c r="D19" s="270">
        <f t="shared" si="5"/>
        <v>450</v>
      </c>
      <c r="E19" s="271">
        <f t="shared" si="6"/>
        <v>45</v>
      </c>
      <c r="F19" s="271">
        <f t="shared" si="9"/>
        <v>45</v>
      </c>
      <c r="G19" s="271">
        <f t="shared" si="9"/>
        <v>45</v>
      </c>
      <c r="H19" s="271">
        <f t="shared" si="9"/>
        <v>45</v>
      </c>
      <c r="I19" s="271">
        <f t="shared" si="9"/>
        <v>45</v>
      </c>
      <c r="J19" s="271">
        <f t="shared" si="9"/>
        <v>45</v>
      </c>
      <c r="K19" s="271">
        <f t="shared" si="9"/>
        <v>45</v>
      </c>
      <c r="L19" s="271">
        <f t="shared" si="9"/>
        <v>45</v>
      </c>
      <c r="M19" s="271">
        <f t="shared" si="9"/>
        <v>45</v>
      </c>
      <c r="N19" s="271">
        <f t="shared" si="9"/>
        <v>45</v>
      </c>
      <c r="O19" s="272">
        <f t="shared" si="10"/>
        <v>450</v>
      </c>
      <c r="P19" s="271">
        <f t="shared" si="8"/>
        <v>0</v>
      </c>
    </row>
    <row r="20" spans="2:16">
      <c r="B20" s="550" t="str">
        <f>B10</f>
        <v xml:space="preserve">desidratador de frutas </v>
      </c>
      <c r="C20" s="269">
        <f t="shared" si="4"/>
        <v>10</v>
      </c>
      <c r="D20" s="270">
        <f t="shared" si="5"/>
        <v>700</v>
      </c>
      <c r="E20" s="271">
        <f t="shared" si="6"/>
        <v>70</v>
      </c>
      <c r="F20" s="271">
        <f t="shared" si="9"/>
        <v>70</v>
      </c>
      <c r="G20" s="271">
        <f t="shared" si="9"/>
        <v>70</v>
      </c>
      <c r="H20" s="271">
        <f t="shared" si="9"/>
        <v>70</v>
      </c>
      <c r="I20" s="271">
        <f t="shared" si="9"/>
        <v>70</v>
      </c>
      <c r="J20" s="271">
        <f t="shared" si="9"/>
        <v>70</v>
      </c>
      <c r="K20" s="271">
        <f t="shared" si="9"/>
        <v>70</v>
      </c>
      <c r="L20" s="271">
        <f t="shared" si="9"/>
        <v>70</v>
      </c>
      <c r="M20" s="271">
        <f t="shared" si="9"/>
        <v>70</v>
      </c>
      <c r="N20" s="271">
        <f t="shared" si="9"/>
        <v>70</v>
      </c>
      <c r="O20" s="272">
        <f t="shared" si="10"/>
        <v>700</v>
      </c>
      <c r="P20" s="271">
        <f t="shared" si="8"/>
        <v>0</v>
      </c>
    </row>
    <row r="21" spans="2:16">
      <c r="B21" s="537" t="s">
        <v>35</v>
      </c>
      <c r="C21" s="553"/>
      <c r="D21" s="554">
        <f>SUM(D13:D16)</f>
        <v>2900</v>
      </c>
      <c r="E21" s="555">
        <f>SUM(E13:E16)</f>
        <v>820</v>
      </c>
      <c r="F21" s="556">
        <f>SUM(F13:F20)</f>
        <v>1114</v>
      </c>
      <c r="G21" s="556">
        <f t="shared" ref="G21:N21" si="11">SUM(G13:G20)</f>
        <v>1114</v>
      </c>
      <c r="H21" s="556">
        <f t="shared" si="11"/>
        <v>514</v>
      </c>
      <c r="I21" s="556">
        <f t="shared" si="11"/>
        <v>514</v>
      </c>
      <c r="J21" s="556">
        <f t="shared" si="11"/>
        <v>294</v>
      </c>
      <c r="K21" s="556">
        <f t="shared" si="11"/>
        <v>294</v>
      </c>
      <c r="L21" s="556">
        <f t="shared" si="11"/>
        <v>294</v>
      </c>
      <c r="M21" s="556">
        <f t="shared" si="11"/>
        <v>294</v>
      </c>
      <c r="N21" s="556">
        <f t="shared" si="11"/>
        <v>294</v>
      </c>
      <c r="O21" s="557">
        <f>SUM(O13:O20)</f>
        <v>5840</v>
      </c>
      <c r="P21" s="558">
        <f>SUM(P13:P16)</f>
        <v>0</v>
      </c>
    </row>
    <row r="23" spans="2:16">
      <c r="B23" s="36"/>
      <c r="C23" s="36"/>
      <c r="D23" s="36"/>
      <c r="E23" s="36"/>
      <c r="F23" s="36"/>
      <c r="G23" s="36"/>
      <c r="H23" s="36"/>
      <c r="I23" s="36"/>
      <c r="J23" s="36"/>
      <c r="K23" s="36"/>
      <c r="L23" s="36"/>
      <c r="M23" s="36"/>
      <c r="N23" s="36"/>
      <c r="O23" s="36"/>
    </row>
    <row r="24" spans="2:16">
      <c r="B24" s="542" t="s">
        <v>67</v>
      </c>
      <c r="C24" s="543"/>
      <c r="D24" s="36"/>
      <c r="E24" s="36"/>
      <c r="F24" s="36"/>
      <c r="G24" s="36"/>
      <c r="H24" s="36"/>
      <c r="I24" s="36"/>
      <c r="J24" s="36"/>
      <c r="K24" s="36"/>
      <c r="L24" s="36"/>
      <c r="M24" s="36"/>
      <c r="N24" s="36"/>
      <c r="O24" s="36"/>
    </row>
    <row r="25" spans="2:16">
      <c r="B25" s="36"/>
      <c r="C25" s="36"/>
      <c r="D25" s="36"/>
      <c r="E25" s="36"/>
      <c r="F25" s="36"/>
      <c r="G25" s="36"/>
      <c r="H25" s="36"/>
      <c r="I25" s="36"/>
      <c r="J25" s="36"/>
      <c r="K25" s="36"/>
      <c r="L25" s="36"/>
      <c r="M25" s="36"/>
      <c r="N25" s="36"/>
      <c r="O25" s="36"/>
    </row>
    <row r="26" spans="2:16">
      <c r="B26" s="36"/>
      <c r="C26" s="544" t="s">
        <v>68</v>
      </c>
      <c r="D26" s="544" t="s">
        <v>35</v>
      </c>
      <c r="E26" s="545">
        <v>1</v>
      </c>
      <c r="F26" s="545">
        <v>2</v>
      </c>
      <c r="G26" s="545">
        <v>3</v>
      </c>
      <c r="H26" s="545">
        <v>4</v>
      </c>
      <c r="I26" s="545">
        <v>5</v>
      </c>
      <c r="J26" s="545">
        <v>6</v>
      </c>
      <c r="K26" s="545">
        <v>7</v>
      </c>
      <c r="L26" s="545">
        <v>8</v>
      </c>
      <c r="M26" s="545">
        <v>9</v>
      </c>
      <c r="N26" s="545">
        <v>10</v>
      </c>
      <c r="O26" s="544" t="s">
        <v>69</v>
      </c>
    </row>
    <row r="27" spans="2:16">
      <c r="B27" s="546" t="str">
        <f>B13</f>
        <v xml:space="preserve">Computador Pc Intel </v>
      </c>
      <c r="C27" s="269">
        <f>C13</f>
        <v>3</v>
      </c>
      <c r="D27" s="274">
        <f>E3</f>
        <v>1000</v>
      </c>
      <c r="E27" s="271"/>
      <c r="F27" s="271"/>
      <c r="G27" s="274"/>
      <c r="H27" s="274">
        <f>D27</f>
        <v>1000</v>
      </c>
      <c r="I27" s="271"/>
      <c r="J27" s="274"/>
      <c r="K27" s="274">
        <f>D27</f>
        <v>1000</v>
      </c>
      <c r="L27" s="271"/>
      <c r="M27" s="269"/>
      <c r="N27" s="274">
        <f>D27</f>
        <v>1000</v>
      </c>
      <c r="O27" s="275">
        <f>+SUM(E27:N27)</f>
        <v>3000</v>
      </c>
    </row>
    <row r="28" spans="2:16">
      <c r="B28" s="546" t="str">
        <f t="shared" ref="B28:C34" si="12">B14</f>
        <v>Equipos de Comunicación</v>
      </c>
      <c r="C28" s="269">
        <f t="shared" si="12"/>
        <v>3</v>
      </c>
      <c r="D28" s="274">
        <f t="shared" ref="D28:D34" si="13">E4</f>
        <v>800</v>
      </c>
      <c r="E28" s="271"/>
      <c r="F28" s="271"/>
      <c r="G28" s="274"/>
      <c r="H28" s="274">
        <f>D28</f>
        <v>800</v>
      </c>
      <c r="I28" s="271"/>
      <c r="J28" s="274"/>
      <c r="K28" s="274">
        <f>D28</f>
        <v>800</v>
      </c>
      <c r="L28" s="271"/>
      <c r="M28" s="269"/>
      <c r="N28" s="274">
        <f>D28</f>
        <v>800</v>
      </c>
      <c r="O28" s="275">
        <f t="shared" ref="O28:O29" si="14">+SUM(E28:N28)</f>
        <v>2400</v>
      </c>
    </row>
    <row r="29" spans="2:16">
      <c r="B29" s="546" t="str">
        <f t="shared" si="12"/>
        <v>Sistema de Seguridad</v>
      </c>
      <c r="C29" s="269">
        <f t="shared" si="12"/>
        <v>5</v>
      </c>
      <c r="D29" s="274">
        <f t="shared" si="13"/>
        <v>1000</v>
      </c>
      <c r="E29" s="271"/>
      <c r="F29" s="271"/>
      <c r="G29" s="274"/>
      <c r="H29" s="274"/>
      <c r="I29" s="271"/>
      <c r="J29" s="274">
        <f>D29</f>
        <v>1000</v>
      </c>
      <c r="K29" s="274"/>
      <c r="L29" s="271"/>
      <c r="M29" s="269"/>
      <c r="N29" s="274"/>
      <c r="O29" s="275">
        <f t="shared" si="14"/>
        <v>1000</v>
      </c>
    </row>
    <row r="30" spans="2:16">
      <c r="B30" s="546" t="str">
        <f t="shared" si="12"/>
        <v>olla industrial</v>
      </c>
      <c r="C30" s="269">
        <f t="shared" si="12"/>
        <v>5</v>
      </c>
      <c r="D30" s="274">
        <f t="shared" si="13"/>
        <v>100</v>
      </c>
      <c r="E30" s="271"/>
      <c r="F30" s="271"/>
      <c r="G30" s="274"/>
      <c r="H30" s="274"/>
      <c r="I30" s="271"/>
      <c r="J30" s="274">
        <f>D30</f>
        <v>100</v>
      </c>
      <c r="K30" s="274"/>
      <c r="L30" s="271"/>
      <c r="M30" s="269"/>
      <c r="N30" s="274"/>
      <c r="O30" s="275"/>
    </row>
    <row r="31" spans="2:16">
      <c r="B31" s="546" t="str">
        <f t="shared" si="12"/>
        <v>Equipo de Oficina</v>
      </c>
      <c r="C31" s="269">
        <f t="shared" si="12"/>
        <v>10</v>
      </c>
      <c r="D31" s="274">
        <f t="shared" si="13"/>
        <v>1290</v>
      </c>
      <c r="E31" s="271"/>
      <c r="F31" s="271"/>
      <c r="G31" s="274"/>
      <c r="H31" s="274"/>
      <c r="I31" s="271"/>
      <c r="J31" s="274"/>
      <c r="K31" s="274"/>
      <c r="L31" s="271"/>
      <c r="M31" s="269"/>
      <c r="N31" s="274"/>
      <c r="O31" s="275"/>
    </row>
    <row r="32" spans="2:16">
      <c r="B32" s="546" t="str">
        <f t="shared" si="12"/>
        <v>Cortadora</v>
      </c>
      <c r="C32" s="269">
        <f t="shared" si="12"/>
        <v>10</v>
      </c>
      <c r="D32" s="274">
        <f t="shared" si="13"/>
        <v>500</v>
      </c>
      <c r="E32" s="271"/>
      <c r="F32" s="271"/>
      <c r="G32" s="274"/>
      <c r="H32" s="274"/>
      <c r="I32" s="271"/>
      <c r="J32" s="274"/>
      <c r="K32" s="274"/>
      <c r="L32" s="271"/>
      <c r="M32" s="269"/>
      <c r="N32" s="274"/>
      <c r="O32" s="275"/>
    </row>
    <row r="33" spans="2:16">
      <c r="B33" s="546" t="str">
        <f t="shared" si="12"/>
        <v>etiquetadora y selladora</v>
      </c>
      <c r="C33" s="269">
        <f t="shared" si="12"/>
        <v>10</v>
      </c>
      <c r="D33" s="274">
        <f t="shared" si="13"/>
        <v>450</v>
      </c>
      <c r="E33" s="271"/>
      <c r="F33" s="271"/>
      <c r="G33" s="271"/>
      <c r="H33" s="271"/>
      <c r="I33" s="269"/>
      <c r="J33" s="274"/>
      <c r="K33" s="271"/>
      <c r="L33" s="271"/>
      <c r="M33" s="271"/>
      <c r="N33" s="274"/>
      <c r="O33" s="275"/>
    </row>
    <row r="34" spans="2:16">
      <c r="B34" s="546" t="str">
        <f t="shared" si="12"/>
        <v xml:space="preserve">desidratador de frutas </v>
      </c>
      <c r="C34" s="269">
        <f t="shared" si="12"/>
        <v>10</v>
      </c>
      <c r="D34" s="274">
        <f t="shared" si="13"/>
        <v>700</v>
      </c>
      <c r="E34" s="271"/>
      <c r="F34" s="271"/>
      <c r="G34" s="271"/>
      <c r="H34" s="271"/>
      <c r="I34" s="271"/>
      <c r="J34" s="271"/>
      <c r="K34" s="271"/>
      <c r="L34" s="269"/>
      <c r="M34" s="274"/>
      <c r="N34" s="271"/>
      <c r="O34" s="275"/>
    </row>
    <row r="35" spans="2:16">
      <c r="B35" s="546" t="s">
        <v>35</v>
      </c>
      <c r="C35" s="546"/>
      <c r="D35" s="547">
        <f t="shared" ref="D35:N35" si="15">SUM(D27:D34)</f>
        <v>5840</v>
      </c>
      <c r="E35" s="548">
        <f t="shared" si="15"/>
        <v>0</v>
      </c>
      <c r="F35" s="548">
        <f t="shared" si="15"/>
        <v>0</v>
      </c>
      <c r="G35" s="548">
        <f t="shared" si="15"/>
        <v>0</v>
      </c>
      <c r="H35" s="548">
        <f t="shared" si="15"/>
        <v>1800</v>
      </c>
      <c r="I35" s="548">
        <f t="shared" si="15"/>
        <v>0</v>
      </c>
      <c r="J35" s="548">
        <f t="shared" si="15"/>
        <v>1100</v>
      </c>
      <c r="K35" s="548">
        <f t="shared" si="15"/>
        <v>1800</v>
      </c>
      <c r="L35" s="548">
        <f t="shared" si="15"/>
        <v>0</v>
      </c>
      <c r="M35" s="548">
        <f t="shared" si="15"/>
        <v>0</v>
      </c>
      <c r="N35" s="548">
        <f t="shared" si="15"/>
        <v>1800</v>
      </c>
      <c r="O35" s="547">
        <f>SUM(E35:N35)</f>
        <v>6500</v>
      </c>
      <c r="P35" s="549">
        <f>SUM(O27:O34)</f>
        <v>6400</v>
      </c>
    </row>
    <row r="36" spans="2:16">
      <c r="B36" s="36"/>
      <c r="C36" s="36"/>
      <c r="D36" s="36"/>
      <c r="E36" s="36"/>
      <c r="F36" s="36"/>
      <c r="G36" s="36"/>
      <c r="H36" s="36"/>
      <c r="I36" s="36"/>
      <c r="J36" s="36"/>
      <c r="K36" s="36"/>
      <c r="L36" s="36"/>
      <c r="M36" s="36"/>
      <c r="N36" s="36"/>
      <c r="O36" s="36"/>
    </row>
    <row r="37" spans="2:16">
      <c r="B37" s="36"/>
      <c r="C37" s="36"/>
      <c r="D37" s="36"/>
      <c r="E37" s="36"/>
      <c r="F37" s="36"/>
      <c r="G37" s="36"/>
      <c r="H37" s="36"/>
      <c r="I37" s="36"/>
      <c r="J37" s="36"/>
      <c r="K37" s="36"/>
      <c r="L37" s="36"/>
      <c r="M37" s="36"/>
      <c r="N37" s="36"/>
      <c r="O37" s="36"/>
    </row>
    <row r="38" spans="2:16">
      <c r="B38" s="36"/>
      <c r="C38" s="544" t="s">
        <v>68</v>
      </c>
      <c r="D38" s="544" t="s">
        <v>35</v>
      </c>
      <c r="E38" s="545">
        <v>1</v>
      </c>
      <c r="F38" s="545">
        <v>2</v>
      </c>
      <c r="G38" s="545">
        <v>3</v>
      </c>
      <c r="H38" s="545">
        <v>4</v>
      </c>
      <c r="I38" s="545">
        <v>5</v>
      </c>
      <c r="J38" s="545">
        <v>6</v>
      </c>
      <c r="K38" s="545">
        <v>7</v>
      </c>
      <c r="L38" s="545">
        <v>8</v>
      </c>
      <c r="M38" s="545">
        <v>9</v>
      </c>
      <c r="N38" s="545">
        <v>10</v>
      </c>
      <c r="O38" s="544" t="s">
        <v>70</v>
      </c>
    </row>
    <row r="39" spans="2:16">
      <c r="B39" s="546" t="str">
        <f>B27</f>
        <v xml:space="preserve">Computador Pc Intel </v>
      </c>
      <c r="C39" s="269">
        <f>C27</f>
        <v>3</v>
      </c>
      <c r="D39" s="269">
        <f>D27</f>
        <v>1000</v>
      </c>
      <c r="E39" s="271"/>
      <c r="F39" s="271"/>
      <c r="G39" s="274"/>
      <c r="H39" s="271">
        <f>D39/C39</f>
        <v>333.33333333333331</v>
      </c>
      <c r="I39" s="271">
        <f t="shared" ref="I39:N42" si="16">H39</f>
        <v>333.33333333333331</v>
      </c>
      <c r="J39" s="271">
        <f t="shared" si="16"/>
        <v>333.33333333333331</v>
      </c>
      <c r="K39" s="271">
        <f t="shared" si="16"/>
        <v>333.33333333333331</v>
      </c>
      <c r="L39" s="271">
        <f t="shared" si="16"/>
        <v>333.33333333333331</v>
      </c>
      <c r="M39" s="271">
        <f t="shared" si="16"/>
        <v>333.33333333333331</v>
      </c>
      <c r="N39" s="271">
        <f t="shared" si="16"/>
        <v>333.33333333333331</v>
      </c>
      <c r="O39" s="275">
        <f>D39-N39</f>
        <v>666.66666666666674</v>
      </c>
    </row>
    <row r="40" spans="2:16">
      <c r="B40" s="546" t="str">
        <f t="shared" ref="B40:D46" si="17">B28</f>
        <v>Equipos de Comunicación</v>
      </c>
      <c r="C40" s="269">
        <f t="shared" si="17"/>
        <v>3</v>
      </c>
      <c r="D40" s="269">
        <f t="shared" si="17"/>
        <v>800</v>
      </c>
      <c r="E40" s="271"/>
      <c r="F40" s="271"/>
      <c r="G40" s="274"/>
      <c r="H40" s="271">
        <f t="shared" ref="H40:H41" si="18">D40/C40</f>
        <v>266.66666666666669</v>
      </c>
      <c r="I40" s="271">
        <f t="shared" si="16"/>
        <v>266.66666666666669</v>
      </c>
      <c r="J40" s="271">
        <f t="shared" si="16"/>
        <v>266.66666666666669</v>
      </c>
      <c r="K40" s="271">
        <f t="shared" si="16"/>
        <v>266.66666666666669</v>
      </c>
      <c r="L40" s="271">
        <f t="shared" si="16"/>
        <v>266.66666666666669</v>
      </c>
      <c r="M40" s="271">
        <f t="shared" si="16"/>
        <v>266.66666666666669</v>
      </c>
      <c r="N40" s="271">
        <f t="shared" si="16"/>
        <v>266.66666666666669</v>
      </c>
      <c r="O40" s="275">
        <f>D40-N40</f>
        <v>533.33333333333326</v>
      </c>
    </row>
    <row r="41" spans="2:16">
      <c r="B41" s="546" t="str">
        <f t="shared" si="17"/>
        <v>Sistema de Seguridad</v>
      </c>
      <c r="C41" s="269">
        <f t="shared" si="17"/>
        <v>5</v>
      </c>
      <c r="D41" s="269">
        <f t="shared" si="17"/>
        <v>1000</v>
      </c>
      <c r="E41" s="271"/>
      <c r="F41" s="271"/>
      <c r="G41" s="274"/>
      <c r="H41" s="271">
        <f t="shared" si="18"/>
        <v>200</v>
      </c>
      <c r="I41" s="271">
        <f t="shared" si="16"/>
        <v>200</v>
      </c>
      <c r="J41" s="271">
        <f t="shared" si="16"/>
        <v>200</v>
      </c>
      <c r="K41" s="271">
        <f t="shared" si="16"/>
        <v>200</v>
      </c>
      <c r="L41" s="271">
        <f t="shared" si="16"/>
        <v>200</v>
      </c>
      <c r="M41" s="271">
        <f t="shared" si="16"/>
        <v>200</v>
      </c>
      <c r="N41" s="271">
        <f>M41</f>
        <v>200</v>
      </c>
      <c r="O41" s="275">
        <f>D41-N41</f>
        <v>800</v>
      </c>
    </row>
    <row r="42" spans="2:16">
      <c r="B42" s="546" t="str">
        <f t="shared" si="17"/>
        <v>olla industrial</v>
      </c>
      <c r="C42" s="269">
        <f t="shared" si="17"/>
        <v>5</v>
      </c>
      <c r="D42" s="269">
        <f t="shared" si="17"/>
        <v>100</v>
      </c>
      <c r="E42" s="271"/>
      <c r="F42" s="271"/>
      <c r="G42" s="274"/>
      <c r="H42" s="271">
        <f>D42/C42</f>
        <v>20</v>
      </c>
      <c r="I42" s="271">
        <f t="shared" si="16"/>
        <v>20</v>
      </c>
      <c r="J42" s="271">
        <f t="shared" si="16"/>
        <v>20</v>
      </c>
      <c r="K42" s="271">
        <f t="shared" si="16"/>
        <v>20</v>
      </c>
      <c r="L42" s="271">
        <f t="shared" si="16"/>
        <v>20</v>
      </c>
      <c r="M42" s="271">
        <f t="shared" si="16"/>
        <v>20</v>
      </c>
      <c r="N42" s="271">
        <f t="shared" si="16"/>
        <v>20</v>
      </c>
      <c r="O42" s="275">
        <f>D42-N42</f>
        <v>80</v>
      </c>
    </row>
    <row r="43" spans="2:16">
      <c r="B43" s="546" t="str">
        <f t="shared" si="17"/>
        <v>Equipo de Oficina</v>
      </c>
      <c r="C43" s="269">
        <f t="shared" si="17"/>
        <v>10</v>
      </c>
      <c r="D43" s="269">
        <f t="shared" si="17"/>
        <v>1290</v>
      </c>
      <c r="E43" s="271"/>
      <c r="F43" s="271"/>
      <c r="G43" s="271"/>
      <c r="H43" s="271"/>
      <c r="I43" s="274"/>
      <c r="J43" s="271"/>
      <c r="K43" s="271"/>
      <c r="L43" s="271"/>
      <c r="M43" s="271"/>
      <c r="N43" s="274"/>
      <c r="O43" s="275"/>
    </row>
    <row r="44" spans="2:16">
      <c r="B44" s="546" t="str">
        <f t="shared" si="17"/>
        <v>Cortadora</v>
      </c>
      <c r="C44" s="269">
        <f t="shared" si="17"/>
        <v>10</v>
      </c>
      <c r="D44" s="269">
        <f t="shared" si="17"/>
        <v>500</v>
      </c>
      <c r="E44" s="271"/>
      <c r="F44" s="271"/>
      <c r="G44" s="271"/>
      <c r="H44" s="271"/>
      <c r="I44" s="271"/>
      <c r="J44" s="271"/>
      <c r="K44" s="271"/>
      <c r="L44" s="274"/>
      <c r="M44" s="271"/>
      <c r="N44" s="271"/>
      <c r="O44" s="275"/>
    </row>
    <row r="45" spans="2:16">
      <c r="B45" s="546" t="str">
        <f t="shared" si="17"/>
        <v>etiquetadora y selladora</v>
      </c>
      <c r="C45" s="269">
        <f t="shared" si="17"/>
        <v>10</v>
      </c>
      <c r="D45" s="269">
        <f t="shared" si="17"/>
        <v>450</v>
      </c>
      <c r="E45" s="271"/>
      <c r="F45" s="271"/>
      <c r="G45" s="271"/>
      <c r="H45" s="271"/>
      <c r="I45" s="271"/>
      <c r="J45" s="271"/>
      <c r="K45" s="271"/>
      <c r="L45" s="274"/>
      <c r="M45" s="271"/>
      <c r="N45" s="271"/>
      <c r="O45" s="275"/>
    </row>
    <row r="46" spans="2:16">
      <c r="B46" s="546" t="str">
        <f t="shared" si="17"/>
        <v xml:space="preserve">desidratador de frutas </v>
      </c>
      <c r="C46" s="269">
        <f t="shared" si="17"/>
        <v>10</v>
      </c>
      <c r="D46" s="269">
        <f t="shared" si="17"/>
        <v>700</v>
      </c>
      <c r="E46" s="271"/>
      <c r="F46" s="271"/>
      <c r="G46" s="271"/>
      <c r="H46" s="271"/>
      <c r="I46" s="271"/>
      <c r="J46" s="271"/>
      <c r="K46" s="271"/>
      <c r="L46" s="274"/>
      <c r="M46" s="271"/>
      <c r="N46" s="271"/>
      <c r="O46" s="275"/>
    </row>
    <row r="47" spans="2:16">
      <c r="B47" s="546" t="s">
        <v>35</v>
      </c>
      <c r="C47" s="546"/>
      <c r="D47" s="547">
        <f t="shared" ref="D47:O47" si="19">SUM(D39:D44)</f>
        <v>4690</v>
      </c>
      <c r="E47" s="548">
        <f t="shared" si="19"/>
        <v>0</v>
      </c>
      <c r="F47" s="548">
        <f t="shared" si="19"/>
        <v>0</v>
      </c>
      <c r="G47" s="548">
        <f t="shared" si="19"/>
        <v>0</v>
      </c>
      <c r="H47" s="548">
        <f t="shared" si="19"/>
        <v>820</v>
      </c>
      <c r="I47" s="548">
        <f t="shared" si="19"/>
        <v>820</v>
      </c>
      <c r="J47" s="548">
        <f t="shared" si="19"/>
        <v>820</v>
      </c>
      <c r="K47" s="548">
        <f t="shared" si="19"/>
        <v>820</v>
      </c>
      <c r="L47" s="548">
        <f t="shared" si="19"/>
        <v>820</v>
      </c>
      <c r="M47" s="548">
        <f t="shared" si="19"/>
        <v>820</v>
      </c>
      <c r="N47" s="548">
        <f t="shared" si="19"/>
        <v>820</v>
      </c>
      <c r="O47" s="547">
        <f t="shared" si="19"/>
        <v>2080</v>
      </c>
      <c r="P47" s="58"/>
    </row>
    <row r="48" spans="2:16">
      <c r="B48" s="36"/>
      <c r="C48" s="36"/>
      <c r="D48" s="36"/>
      <c r="E48" s="36"/>
      <c r="F48" s="36"/>
      <c r="G48" s="36"/>
      <c r="H48" s="36"/>
      <c r="I48" s="36"/>
      <c r="J48" s="36"/>
      <c r="K48" s="36"/>
      <c r="L48" s="36"/>
      <c r="M48" s="36"/>
      <c r="N48" s="36"/>
      <c r="O48" s="481"/>
    </row>
    <row r="49" spans="2:15">
      <c r="B49" s="36"/>
      <c r="C49" s="36"/>
      <c r="D49" s="36"/>
      <c r="E49" s="36"/>
      <c r="F49" s="36"/>
      <c r="G49" s="36"/>
      <c r="H49" s="36"/>
      <c r="I49" s="36"/>
      <c r="J49" s="36"/>
      <c r="K49" s="36"/>
      <c r="L49" s="36"/>
      <c r="M49" s="36"/>
      <c r="N49" s="36" t="s">
        <v>487</v>
      </c>
      <c r="O49" s="547">
        <f>SUM(O39:O42)</f>
        <v>2080</v>
      </c>
    </row>
    <row r="50" spans="2:15">
      <c r="B50" s="563" t="s">
        <v>481</v>
      </c>
      <c r="C50" s="36"/>
      <c r="D50" s="36"/>
      <c r="E50" s="36"/>
      <c r="F50" s="36"/>
      <c r="G50" s="36"/>
      <c r="H50" s="36"/>
      <c r="I50" s="36"/>
      <c r="J50" s="36"/>
      <c r="K50" s="36"/>
      <c r="L50" s="36"/>
      <c r="M50" s="36"/>
      <c r="N50" s="36"/>
      <c r="O50" s="36"/>
    </row>
    <row r="51" spans="2:15">
      <c r="B51" s="559"/>
      <c r="C51" s="560">
        <v>1</v>
      </c>
      <c r="D51" s="560">
        <v>2</v>
      </c>
      <c r="E51" s="560">
        <v>3</v>
      </c>
      <c r="F51" s="560">
        <v>4</v>
      </c>
      <c r="G51" s="560">
        <v>5</v>
      </c>
      <c r="H51" s="560">
        <v>6</v>
      </c>
      <c r="I51" s="560">
        <v>7</v>
      </c>
      <c r="J51" s="560">
        <v>8</v>
      </c>
      <c r="K51" s="560">
        <v>9</v>
      </c>
      <c r="L51" s="560">
        <v>10</v>
      </c>
      <c r="M51" s="36"/>
      <c r="N51" s="36"/>
      <c r="O51" s="36"/>
    </row>
    <row r="52" spans="2:15">
      <c r="B52" s="562" t="s">
        <v>71</v>
      </c>
      <c r="C52" s="273">
        <f>+E21</f>
        <v>820</v>
      </c>
      <c r="D52" s="273">
        <f t="shared" ref="D52:L52" si="20">+F21</f>
        <v>1114</v>
      </c>
      <c r="E52" s="273">
        <f t="shared" si="20"/>
        <v>1114</v>
      </c>
      <c r="F52" s="273">
        <f t="shared" si="20"/>
        <v>514</v>
      </c>
      <c r="G52" s="273">
        <f t="shared" si="20"/>
        <v>514</v>
      </c>
      <c r="H52" s="273">
        <f t="shared" si="20"/>
        <v>294</v>
      </c>
      <c r="I52" s="273">
        <f t="shared" si="20"/>
        <v>294</v>
      </c>
      <c r="J52" s="273">
        <f t="shared" si="20"/>
        <v>294</v>
      </c>
      <c r="K52" s="273">
        <f t="shared" si="20"/>
        <v>294</v>
      </c>
      <c r="L52" s="273">
        <f t="shared" si="20"/>
        <v>294</v>
      </c>
      <c r="M52" s="36"/>
      <c r="N52" s="36"/>
      <c r="O52" s="36"/>
    </row>
    <row r="53" spans="2:15">
      <c r="B53" s="562" t="s">
        <v>72</v>
      </c>
      <c r="C53" s="273">
        <f t="shared" ref="C53:L53" si="21">+E47</f>
        <v>0</v>
      </c>
      <c r="D53" s="273">
        <f t="shared" si="21"/>
        <v>0</v>
      </c>
      <c r="E53" s="273">
        <f t="shared" si="21"/>
        <v>0</v>
      </c>
      <c r="F53" s="273">
        <f t="shared" si="21"/>
        <v>820</v>
      </c>
      <c r="G53" s="273">
        <f t="shared" si="21"/>
        <v>820</v>
      </c>
      <c r="H53" s="273">
        <f t="shared" si="21"/>
        <v>820</v>
      </c>
      <c r="I53" s="273">
        <f t="shared" si="21"/>
        <v>820</v>
      </c>
      <c r="J53" s="273">
        <f t="shared" si="21"/>
        <v>820</v>
      </c>
      <c r="K53" s="273">
        <f t="shared" si="21"/>
        <v>820</v>
      </c>
      <c r="L53" s="273">
        <f t="shared" si="21"/>
        <v>820</v>
      </c>
      <c r="M53" s="36"/>
      <c r="N53" s="36"/>
      <c r="O53" s="36"/>
    </row>
    <row r="54" spans="2:15">
      <c r="B54" s="562" t="s">
        <v>73</v>
      </c>
      <c r="C54" s="561">
        <f>+SUM(C52:C53)</f>
        <v>820</v>
      </c>
      <c r="D54" s="561">
        <f t="shared" ref="D54:L54" si="22">+SUM(D52:D53)</f>
        <v>1114</v>
      </c>
      <c r="E54" s="561">
        <f t="shared" si="22"/>
        <v>1114</v>
      </c>
      <c r="F54" s="561">
        <f t="shared" si="22"/>
        <v>1334</v>
      </c>
      <c r="G54" s="561">
        <f t="shared" si="22"/>
        <v>1334</v>
      </c>
      <c r="H54" s="561">
        <f t="shared" si="22"/>
        <v>1114</v>
      </c>
      <c r="I54" s="561">
        <f t="shared" si="22"/>
        <v>1114</v>
      </c>
      <c r="J54" s="561">
        <f t="shared" si="22"/>
        <v>1114</v>
      </c>
      <c r="K54" s="561">
        <f t="shared" si="22"/>
        <v>1114</v>
      </c>
      <c r="L54" s="561">
        <f t="shared" si="22"/>
        <v>1114</v>
      </c>
      <c r="M54" s="36"/>
      <c r="N54" s="36"/>
      <c r="O54" s="36"/>
    </row>
    <row r="55" spans="2:15">
      <c r="B55" s="36"/>
      <c r="C55" s="36"/>
      <c r="D55" s="36"/>
      <c r="E55" s="36"/>
      <c r="F55" s="36"/>
      <c r="G55" s="36"/>
      <c r="H55" s="36"/>
      <c r="I55" s="36"/>
      <c r="J55" s="36"/>
      <c r="K55" s="36"/>
      <c r="L55" s="36"/>
      <c r="M55" s="36"/>
      <c r="N55" s="36"/>
      <c r="O55" s="3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Z271"/>
  <sheetViews>
    <sheetView topLeftCell="C79" workbookViewId="0">
      <selection activeCell="L98" sqref="L98"/>
    </sheetView>
  </sheetViews>
  <sheetFormatPr baseColWidth="10" defaultRowHeight="15"/>
  <cols>
    <col min="2" max="2" width="29.28515625" customWidth="1"/>
    <col min="3" max="3" width="19.85546875" customWidth="1"/>
    <col min="4" max="4" width="37.28515625" customWidth="1"/>
    <col min="7" max="7" width="15.85546875" customWidth="1"/>
  </cols>
  <sheetData>
    <row r="1" spans="1:4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5.75" thickBot="1">
      <c r="A3" s="1"/>
      <c r="B3" s="1"/>
      <c r="C3" s="59"/>
      <c r="D3" s="59"/>
      <c r="E3" s="60"/>
      <c r="F3" s="59"/>
      <c r="G3" s="59"/>
      <c r="H3" s="5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16.5" thickTop="1" thickBot="1">
      <c r="A4" s="1"/>
      <c r="B4" s="1"/>
      <c r="C4" s="613" t="s">
        <v>74</v>
      </c>
      <c r="D4" s="614"/>
      <c r="E4" s="615"/>
      <c r="F4" s="61"/>
      <c r="G4" s="61"/>
      <c r="H4" s="59"/>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6" ht="15.75" thickTop="1">
      <c r="A5" s="1"/>
      <c r="B5" s="1"/>
      <c r="C5" s="616" t="s">
        <v>75</v>
      </c>
      <c r="D5" s="616" t="s">
        <v>76</v>
      </c>
      <c r="E5" s="616" t="s">
        <v>77</v>
      </c>
      <c r="F5" s="62"/>
      <c r="G5" s="62"/>
      <c r="H5" s="5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6" ht="15.75" thickBot="1">
      <c r="A6" s="1"/>
      <c r="B6" s="1"/>
      <c r="C6" s="617"/>
      <c r="D6" s="618"/>
      <c r="E6" s="618"/>
      <c r="F6" s="63"/>
      <c r="G6" s="63"/>
      <c r="H6" s="59"/>
      <c r="I6" s="58"/>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6" ht="15.75" thickTop="1">
      <c r="A7" s="1"/>
      <c r="B7" s="1"/>
      <c r="C7" s="64" t="s">
        <v>78</v>
      </c>
      <c r="D7" s="65">
        <v>0</v>
      </c>
      <c r="E7" s="66">
        <f>D7*12</f>
        <v>0</v>
      </c>
      <c r="F7" s="63"/>
      <c r="G7" s="63"/>
      <c r="H7" s="5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spans="1:46">
      <c r="A8" s="1"/>
      <c r="B8" s="1"/>
      <c r="C8" s="46" t="s">
        <v>79</v>
      </c>
      <c r="D8" s="65">
        <v>70</v>
      </c>
      <c r="E8" s="67">
        <f>D8*12</f>
        <v>840</v>
      </c>
      <c r="F8" s="63"/>
      <c r="G8" s="63"/>
      <c r="H8" s="5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spans="1:46">
      <c r="A9" s="1"/>
      <c r="B9" s="1"/>
      <c r="C9" s="46" t="s">
        <v>80</v>
      </c>
      <c r="D9" s="65">
        <f>E30</f>
        <v>90</v>
      </c>
      <c r="E9" s="67">
        <f>D9*12</f>
        <v>1080</v>
      </c>
      <c r="F9" s="63"/>
      <c r="G9" s="63"/>
      <c r="H9" s="5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spans="1:46">
      <c r="A10" s="1"/>
      <c r="B10" s="1"/>
      <c r="C10" s="46" t="s">
        <v>81</v>
      </c>
      <c r="D10" s="65">
        <v>3500</v>
      </c>
      <c r="E10" s="67">
        <f>D10*12</f>
        <v>42000</v>
      </c>
      <c r="F10" s="63"/>
      <c r="G10" s="63"/>
      <c r="H10" s="5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6">
      <c r="A11" s="1"/>
      <c r="B11" s="1"/>
      <c r="C11" s="46" t="s">
        <v>82</v>
      </c>
      <c r="D11" s="65">
        <v>0</v>
      </c>
      <c r="E11" s="67">
        <v>0</v>
      </c>
      <c r="F11" s="63"/>
      <c r="G11" s="63"/>
      <c r="H11" s="59"/>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6" ht="15.75" thickBot="1">
      <c r="A12" s="1"/>
      <c r="B12" s="1"/>
      <c r="C12" s="46" t="s">
        <v>83</v>
      </c>
      <c r="D12" s="68">
        <v>0</v>
      </c>
      <c r="E12" s="69">
        <f>+D12*12</f>
        <v>0</v>
      </c>
      <c r="F12" s="63"/>
      <c r="G12" s="63"/>
      <c r="H12" s="5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1:46" ht="16.5" thickTop="1" thickBot="1">
      <c r="A13" s="1"/>
      <c r="B13" s="1"/>
      <c r="C13" s="70" t="s">
        <v>35</v>
      </c>
      <c r="D13" s="71">
        <f>SUM(D7:D12)</f>
        <v>3660</v>
      </c>
      <c r="E13" s="72">
        <f>SUM(E7:E12)</f>
        <v>43920</v>
      </c>
      <c r="F13" s="63"/>
      <c r="G13" s="63"/>
      <c r="H13" s="59"/>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6" ht="15.75" thickTop="1">
      <c r="A14" s="1"/>
      <c r="B14" s="1"/>
      <c r="C14" s="61"/>
      <c r="D14" s="61"/>
      <c r="E14" s="61"/>
      <c r="F14" s="61"/>
      <c r="G14" s="63"/>
      <c r="H14" s="5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6">
      <c r="A15" s="1"/>
      <c r="B15" s="1"/>
      <c r="C15" s="59"/>
      <c r="D15" s="59"/>
      <c r="E15" s="59"/>
      <c r="F15" s="59"/>
      <c r="G15" s="59"/>
      <c r="H15" s="5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6">
      <c r="A16" s="1"/>
      <c r="B16" s="1"/>
      <c r="C16" s="59"/>
      <c r="D16" s="59"/>
      <c r="E16" s="59"/>
      <c r="F16" s="59"/>
      <c r="G16" s="59"/>
      <c r="H16" s="5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15.75" thickBot="1">
      <c r="B18" s="1"/>
      <c r="C18" s="73"/>
      <c r="D18" s="73"/>
      <c r="E18" s="73"/>
      <c r="F18" s="1"/>
      <c r="G18" s="36"/>
      <c r="H18" s="36"/>
      <c r="I18" s="36"/>
      <c r="J18" s="36"/>
      <c r="K18" s="36"/>
      <c r="L18" s="36"/>
      <c r="M18" s="36"/>
      <c r="N18" s="36"/>
      <c r="O18" s="36"/>
      <c r="P18" s="36"/>
      <c r="Q18" s="36"/>
      <c r="R18" s="36"/>
      <c r="S18" s="36"/>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16.5" thickTop="1" thickBot="1">
      <c r="A19" s="1"/>
      <c r="B19" s="74" t="s">
        <v>84</v>
      </c>
      <c r="C19" s="75" t="s">
        <v>85</v>
      </c>
      <c r="D19" s="74" t="s">
        <v>86</v>
      </c>
      <c r="E19" s="76" t="s">
        <v>44</v>
      </c>
      <c r="F19" s="77" t="s">
        <v>87</v>
      </c>
      <c r="G19" s="36"/>
      <c r="H19" s="36"/>
      <c r="I19" s="36"/>
      <c r="J19" s="36"/>
      <c r="K19" s="36"/>
      <c r="L19" s="36"/>
      <c r="M19" s="36"/>
      <c r="N19" s="36"/>
      <c r="O19" s="36"/>
      <c r="P19" s="36"/>
      <c r="Q19" s="36"/>
      <c r="R19" s="36"/>
      <c r="S19" s="36"/>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15.75" thickTop="1">
      <c r="A20" s="1"/>
      <c r="B20" s="78" t="s">
        <v>88</v>
      </c>
      <c r="C20" s="79">
        <v>90</v>
      </c>
      <c r="D20" s="45" t="s">
        <v>89</v>
      </c>
      <c r="E20" s="45"/>
      <c r="F20" s="387">
        <f>C20*E20</f>
        <v>0</v>
      </c>
      <c r="G20" s="36"/>
      <c r="H20" s="36"/>
      <c r="I20" s="36"/>
      <c r="J20" s="36"/>
      <c r="K20" s="36"/>
      <c r="L20" s="36"/>
      <c r="M20" s="36"/>
      <c r="N20" s="36"/>
      <c r="O20" s="36"/>
      <c r="P20" s="36"/>
      <c r="Q20" s="36"/>
      <c r="R20" s="36"/>
      <c r="S20" s="36"/>
      <c r="T20" s="1"/>
      <c r="U20" s="1"/>
      <c r="V20" s="1"/>
      <c r="W20" s="1"/>
      <c r="X20" s="1"/>
      <c r="Y20" s="1"/>
      <c r="Z20" s="1"/>
      <c r="AA20" s="1"/>
      <c r="AB20" s="1"/>
      <c r="AC20" s="1"/>
      <c r="AD20" s="1"/>
      <c r="AE20" s="1"/>
      <c r="AF20" s="1"/>
      <c r="AG20" s="1"/>
      <c r="AH20" s="1"/>
      <c r="AI20" s="1"/>
      <c r="AJ20" s="1"/>
      <c r="AK20" s="1"/>
      <c r="AL20" s="1"/>
      <c r="AM20" s="1"/>
      <c r="AN20" s="1"/>
      <c r="AO20" s="1"/>
      <c r="AP20" s="1"/>
      <c r="AQ20" s="1"/>
    </row>
    <row r="21" spans="1:43">
      <c r="A21" s="1"/>
      <c r="B21" s="80" t="s">
        <v>90</v>
      </c>
      <c r="C21" s="81">
        <v>60</v>
      </c>
      <c r="D21" s="46" t="s">
        <v>91</v>
      </c>
      <c r="E21" s="46"/>
      <c r="F21" s="46">
        <f t="shared" ref="F21:F23" si="0">C21*E21</f>
        <v>0</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43">
      <c r="A22" s="1"/>
      <c r="B22" s="80" t="s">
        <v>92</v>
      </c>
      <c r="C22" s="81">
        <v>65</v>
      </c>
      <c r="D22" s="46" t="s">
        <v>89</v>
      </c>
      <c r="E22" s="46"/>
      <c r="F22" s="46">
        <f t="shared" si="0"/>
        <v>0</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43" ht="15.75" thickBot="1">
      <c r="A23" s="1"/>
      <c r="B23" s="55" t="s">
        <v>93</v>
      </c>
      <c r="C23" s="82">
        <v>80</v>
      </c>
      <c r="D23" s="48" t="s">
        <v>94</v>
      </c>
      <c r="E23" s="48">
        <v>0</v>
      </c>
      <c r="F23" s="48">
        <f t="shared" si="0"/>
        <v>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43" ht="15.75" thickTop="1">
      <c r="A24" s="1"/>
      <c r="B24" s="1"/>
      <c r="C24" s="1"/>
      <c r="D24" s="1"/>
      <c r="E24" s="1"/>
      <c r="F24" s="1">
        <f>SUM(F20:F23)</f>
        <v>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43" ht="15.75" thickBot="1">
      <c r="A25" s="1"/>
      <c r="B25" s="1"/>
      <c r="C25" s="1"/>
      <c r="D25" s="1"/>
      <c r="E25" s="1"/>
      <c r="F25" s="1"/>
      <c r="G25" s="1"/>
      <c r="H25" s="1"/>
      <c r="I25" s="1"/>
      <c r="J25" s="1"/>
      <c r="K25" s="1"/>
      <c r="L25" s="1"/>
      <c r="M25" s="1"/>
      <c r="N25" s="1"/>
      <c r="O25" s="1"/>
      <c r="P25" s="1"/>
      <c r="Q25" s="1"/>
      <c r="R25" s="1"/>
      <c r="S25" s="1"/>
      <c r="T25" s="1"/>
      <c r="U25" s="1"/>
      <c r="V25" s="1"/>
      <c r="W25" s="1"/>
      <c r="X25" s="1"/>
      <c r="Y25" s="1"/>
    </row>
    <row r="26" spans="1:43" ht="31.5" thickTop="1" thickBot="1">
      <c r="A26" s="1"/>
      <c r="B26" s="83" t="s">
        <v>95</v>
      </c>
      <c r="C26" s="84" t="s">
        <v>96</v>
      </c>
      <c r="D26" s="83" t="s">
        <v>44</v>
      </c>
      <c r="E26" s="83" t="s">
        <v>87</v>
      </c>
      <c r="F26" s="1"/>
      <c r="G26" s="1"/>
      <c r="H26" s="1"/>
      <c r="I26" s="1"/>
      <c r="J26" s="1"/>
      <c r="K26" s="1"/>
      <c r="L26" s="1"/>
      <c r="M26" s="1"/>
      <c r="N26" s="1"/>
      <c r="O26" s="1"/>
      <c r="P26" s="1"/>
      <c r="Q26" s="1"/>
      <c r="R26" s="1"/>
      <c r="S26" s="1"/>
      <c r="T26" s="1"/>
      <c r="U26" s="1"/>
      <c r="V26" s="1"/>
      <c r="W26" s="1"/>
      <c r="X26" s="1"/>
      <c r="Y26" s="1"/>
      <c r="Z26" s="1"/>
      <c r="AA26" s="1"/>
      <c r="AB26" s="1"/>
      <c r="AC26" s="1"/>
    </row>
    <row r="27" spans="1:43" ht="15.75" thickTop="1">
      <c r="A27" s="1"/>
      <c r="B27" s="45" t="s">
        <v>97</v>
      </c>
      <c r="C27" s="45">
        <v>50</v>
      </c>
      <c r="D27" s="45">
        <v>1</v>
      </c>
      <c r="E27" s="45">
        <f>C27*D27</f>
        <v>50</v>
      </c>
      <c r="F27" s="1"/>
      <c r="G27" s="1"/>
      <c r="H27" s="1"/>
      <c r="I27" s="1"/>
      <c r="J27" s="1"/>
      <c r="K27" s="1"/>
      <c r="L27" s="1"/>
      <c r="M27" s="1"/>
      <c r="N27" s="1"/>
      <c r="O27" s="1"/>
      <c r="P27" s="1"/>
      <c r="Q27" s="1"/>
      <c r="R27" s="1"/>
      <c r="S27" s="1"/>
      <c r="T27" s="1"/>
      <c r="U27" s="1"/>
      <c r="V27" s="1"/>
      <c r="W27" s="1"/>
      <c r="X27" s="1"/>
      <c r="Y27" s="1"/>
      <c r="Z27" s="1"/>
      <c r="AA27" s="1"/>
      <c r="AB27" s="1"/>
      <c r="AC27" s="1"/>
    </row>
    <row r="28" spans="1:43">
      <c r="A28" s="1"/>
      <c r="B28" s="46" t="s">
        <v>98</v>
      </c>
      <c r="C28" s="46">
        <v>35</v>
      </c>
      <c r="D28" s="46">
        <v>0</v>
      </c>
      <c r="E28" s="46">
        <f t="shared" ref="E28:E29" si="1">C28*D28</f>
        <v>0</v>
      </c>
      <c r="F28" s="1"/>
      <c r="G28" s="1"/>
      <c r="H28" s="1"/>
      <c r="I28" s="1"/>
      <c r="J28" s="1"/>
      <c r="K28" s="1"/>
      <c r="L28" s="1"/>
      <c r="M28" s="1"/>
      <c r="N28" s="1"/>
      <c r="O28" s="1"/>
      <c r="P28" s="1"/>
      <c r="Q28" s="1"/>
      <c r="R28" s="1"/>
      <c r="S28" s="1"/>
      <c r="T28" s="1"/>
      <c r="U28" s="1"/>
      <c r="V28" s="1"/>
      <c r="W28" s="1"/>
      <c r="X28" s="1"/>
      <c r="Y28" s="1"/>
      <c r="Z28" s="1"/>
      <c r="AA28" s="1"/>
      <c r="AB28" s="1"/>
      <c r="AC28" s="1"/>
    </row>
    <row r="29" spans="1:43" ht="15.75" thickBot="1">
      <c r="A29" s="1"/>
      <c r="B29" s="48" t="s">
        <v>99</v>
      </c>
      <c r="C29" s="48">
        <v>40</v>
      </c>
      <c r="D29" s="48">
        <v>1</v>
      </c>
      <c r="E29" s="48">
        <f t="shared" si="1"/>
        <v>40</v>
      </c>
      <c r="F29" s="1"/>
      <c r="G29" s="1"/>
      <c r="H29" s="1"/>
      <c r="I29" s="1"/>
      <c r="J29" s="1"/>
      <c r="K29" s="1"/>
      <c r="L29" s="1"/>
      <c r="M29" s="1"/>
      <c r="N29" s="1"/>
      <c r="O29" s="1"/>
      <c r="P29" s="1"/>
      <c r="Q29" s="1"/>
      <c r="R29" s="1"/>
      <c r="S29" s="1"/>
      <c r="T29" s="1"/>
      <c r="U29" s="1"/>
      <c r="V29" s="1"/>
      <c r="W29" s="1"/>
      <c r="X29" s="1"/>
      <c r="Y29" s="1"/>
      <c r="Z29" s="1"/>
      <c r="AA29" s="1"/>
      <c r="AB29" s="1"/>
      <c r="AC29" s="1"/>
    </row>
    <row r="30" spans="1:43" ht="15.75" thickTop="1">
      <c r="A30" s="1"/>
      <c r="B30" s="1"/>
      <c r="C30" s="1"/>
      <c r="D30" s="1"/>
      <c r="E30" s="1">
        <f>SUM(E27:E29)</f>
        <v>90</v>
      </c>
      <c r="F30" s="1"/>
      <c r="G30" s="1"/>
      <c r="H30" s="1"/>
      <c r="I30" s="1"/>
      <c r="J30" s="1"/>
      <c r="K30" s="1"/>
      <c r="L30" s="1"/>
      <c r="M30" s="1"/>
      <c r="N30" s="1"/>
      <c r="O30" s="1"/>
      <c r="P30" s="1"/>
      <c r="Q30" s="1"/>
      <c r="R30" s="1"/>
      <c r="S30" s="1"/>
      <c r="T30" s="1"/>
      <c r="U30" s="1"/>
      <c r="V30" s="1"/>
      <c r="W30" s="1"/>
      <c r="X30" s="1"/>
    </row>
    <row r="31" spans="1:43">
      <c r="A31" s="1"/>
      <c r="B31" s="1"/>
      <c r="C31" s="1"/>
      <c r="D31" s="1"/>
      <c r="E31" s="1"/>
      <c r="F31" s="1"/>
      <c r="G31" s="1"/>
      <c r="H31" s="1"/>
      <c r="I31" s="1"/>
      <c r="J31" s="1"/>
      <c r="K31" s="1"/>
      <c r="L31" s="1"/>
      <c r="M31" s="1"/>
      <c r="N31" s="1"/>
      <c r="O31" s="1"/>
      <c r="P31" s="1"/>
      <c r="Q31" s="1"/>
      <c r="R31" s="1"/>
      <c r="S31" s="1"/>
      <c r="T31" s="1"/>
      <c r="U31" s="1"/>
      <c r="V31" s="1"/>
      <c r="W31" s="1"/>
      <c r="X31" s="1"/>
    </row>
    <row r="32" spans="1:43">
      <c r="A32" s="1"/>
      <c r="B32" s="1"/>
      <c r="C32" s="1"/>
      <c r="D32" s="1"/>
      <c r="E32" s="1"/>
      <c r="F32" s="1"/>
      <c r="G32" s="1"/>
      <c r="H32" s="1"/>
      <c r="I32" s="1"/>
      <c r="J32" s="1"/>
      <c r="K32" s="1"/>
      <c r="L32" s="1"/>
      <c r="M32" s="1"/>
      <c r="N32" s="1"/>
      <c r="O32" s="1"/>
      <c r="P32" s="1"/>
      <c r="Q32" s="1"/>
      <c r="R32" s="1"/>
      <c r="S32" s="1"/>
      <c r="T32" s="1"/>
      <c r="U32" s="1"/>
      <c r="V32" s="1"/>
      <c r="W32" s="1"/>
      <c r="X32" s="1"/>
    </row>
    <row r="33" spans="1:52">
      <c r="A33" s="1"/>
      <c r="B33" s="1"/>
      <c r="C33" s="1"/>
      <c r="D33" s="1"/>
      <c r="E33" s="1"/>
      <c r="F33" s="1"/>
      <c r="G33" s="1"/>
      <c r="H33" s="1"/>
      <c r="I33" s="1"/>
      <c r="J33" s="1"/>
      <c r="K33" s="1"/>
      <c r="L33" s="1"/>
      <c r="M33" s="1"/>
      <c r="N33" s="1"/>
      <c r="O33" s="1"/>
      <c r="P33" s="1"/>
      <c r="Q33" s="1"/>
      <c r="R33" s="1"/>
      <c r="S33" s="1"/>
      <c r="T33" s="1"/>
      <c r="U33" s="1"/>
      <c r="V33" s="1"/>
      <c r="W33" s="1"/>
      <c r="X33" s="1"/>
    </row>
    <row r="34" spans="1: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52">
      <c r="A35" s="1"/>
      <c r="B35" s="619" t="s">
        <v>100</v>
      </c>
      <c r="C35" s="619"/>
      <c r="D35" s="619"/>
      <c r="E35" s="619"/>
      <c r="F35" s="619"/>
      <c r="G35" s="619"/>
      <c r="H35" s="619"/>
      <c r="I35" s="619"/>
      <c r="J35" s="619"/>
      <c r="K35" s="619"/>
      <c r="L35" s="619"/>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c r="A36" s="1"/>
      <c r="B36" s="620" t="s">
        <v>101</v>
      </c>
      <c r="C36" s="620"/>
      <c r="D36" s="620"/>
      <c r="E36" s="620"/>
      <c r="F36" s="620"/>
      <c r="G36" s="620"/>
      <c r="H36" s="620"/>
      <c r="I36" s="620"/>
      <c r="J36" s="620"/>
      <c r="K36" s="620"/>
      <c r="L36" s="620"/>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c r="A37" s="1"/>
      <c r="B37" s="606" t="s">
        <v>102</v>
      </c>
      <c r="C37" s="85" t="s">
        <v>103</v>
      </c>
      <c r="D37" s="85" t="s">
        <v>104</v>
      </c>
      <c r="E37" s="85" t="s">
        <v>105</v>
      </c>
      <c r="F37" s="85" t="s">
        <v>106</v>
      </c>
      <c r="G37" s="606" t="s">
        <v>107</v>
      </c>
      <c r="H37" s="606"/>
      <c r="I37" s="606"/>
      <c r="J37" s="606"/>
      <c r="K37" s="606"/>
      <c r="L37" s="606"/>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c r="A38" s="1"/>
      <c r="B38" s="606"/>
      <c r="C38" s="85" t="s">
        <v>108</v>
      </c>
      <c r="D38" s="85" t="s">
        <v>109</v>
      </c>
      <c r="E38" s="85" t="s">
        <v>110</v>
      </c>
      <c r="F38" s="85" t="s">
        <v>111</v>
      </c>
      <c r="G38" s="621" t="s">
        <v>112</v>
      </c>
      <c r="H38" s="622"/>
      <c r="I38" s="621" t="s">
        <v>113</v>
      </c>
      <c r="J38" s="622"/>
      <c r="K38" s="85" t="s">
        <v>114</v>
      </c>
      <c r="L38" s="85" t="s">
        <v>115</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t="60">
      <c r="A39" s="1"/>
      <c r="B39" s="610" t="s">
        <v>116</v>
      </c>
      <c r="C39" s="86" t="s">
        <v>117</v>
      </c>
      <c r="D39" s="86" t="s">
        <v>117</v>
      </c>
      <c r="E39" s="86" t="s">
        <v>118</v>
      </c>
      <c r="F39" s="86" t="s">
        <v>119</v>
      </c>
      <c r="G39" s="598" t="s">
        <v>120</v>
      </c>
      <c r="H39" s="598"/>
      <c r="I39" s="598" t="s">
        <v>121</v>
      </c>
      <c r="J39" s="598"/>
      <c r="K39" s="598" t="s">
        <v>122</v>
      </c>
      <c r="L39" s="598" t="s">
        <v>123</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t="30">
      <c r="A40" s="1"/>
      <c r="B40" s="611"/>
      <c r="C40" s="598" t="s">
        <v>124</v>
      </c>
      <c r="D40" s="86" t="s">
        <v>125</v>
      </c>
      <c r="E40" s="86" t="s">
        <v>119</v>
      </c>
      <c r="F40" s="598" t="s">
        <v>126</v>
      </c>
      <c r="G40" s="598"/>
      <c r="H40" s="598"/>
      <c r="I40" s="598"/>
      <c r="J40" s="598"/>
      <c r="K40" s="598"/>
      <c r="L40" s="598"/>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t="30">
      <c r="A41" s="1"/>
      <c r="B41" s="612"/>
      <c r="C41" s="598"/>
      <c r="D41" s="86" t="s">
        <v>127</v>
      </c>
      <c r="E41" s="86" t="s">
        <v>128</v>
      </c>
      <c r="F41" s="598"/>
      <c r="G41" s="608" t="s">
        <v>129</v>
      </c>
      <c r="H41" s="608"/>
      <c r="I41" s="608"/>
      <c r="J41" s="608"/>
      <c r="K41" s="608"/>
      <c r="L41" s="608"/>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c r="A44" s="1"/>
      <c r="B44" s="599" t="s">
        <v>130</v>
      </c>
      <c r="C44" s="600"/>
      <c r="D44" s="600"/>
      <c r="E44" s="600"/>
      <c r="F44" s="600"/>
      <c r="G44" s="600"/>
      <c r="H44" s="600"/>
      <c r="I44" s="600"/>
      <c r="J44" s="600"/>
      <c r="K44" s="600"/>
      <c r="L44" s="60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c r="A45" s="1"/>
      <c r="B45" s="599" t="s">
        <v>131</v>
      </c>
      <c r="C45" s="600"/>
      <c r="D45" s="600"/>
      <c r="E45" s="600"/>
      <c r="F45" s="600"/>
      <c r="G45" s="600"/>
      <c r="H45" s="600"/>
      <c r="I45" s="600"/>
      <c r="J45" s="600"/>
      <c r="K45" s="600"/>
      <c r="L45" s="60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c r="A46" s="1"/>
      <c r="B46" s="606" t="s">
        <v>102</v>
      </c>
      <c r="C46" s="85" t="s">
        <v>132</v>
      </c>
      <c r="D46" s="85" t="s">
        <v>133</v>
      </c>
      <c r="E46" s="606" t="s">
        <v>134</v>
      </c>
      <c r="F46" s="606"/>
      <c r="G46" s="606" t="s">
        <v>135</v>
      </c>
      <c r="H46" s="606"/>
      <c r="I46" s="606" t="s">
        <v>136</v>
      </c>
      <c r="J46" s="606"/>
      <c r="K46" s="85" t="s">
        <v>137</v>
      </c>
      <c r="L46" s="85" t="s">
        <v>138</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c r="A47" s="1"/>
      <c r="B47" s="606"/>
      <c r="C47" s="85" t="s">
        <v>139</v>
      </c>
      <c r="D47" s="85" t="s">
        <v>140</v>
      </c>
      <c r="E47" s="606" t="s">
        <v>141</v>
      </c>
      <c r="F47" s="606"/>
      <c r="G47" s="609">
        <v>2.5</v>
      </c>
      <c r="H47" s="609"/>
      <c r="I47" s="609">
        <v>1.6</v>
      </c>
      <c r="J47" s="609"/>
      <c r="K47" s="85" t="s">
        <v>114</v>
      </c>
      <c r="L47" s="85" t="s">
        <v>114</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t="30">
      <c r="A48" s="1"/>
      <c r="B48" s="605" t="s">
        <v>116</v>
      </c>
      <c r="C48" s="86" t="s">
        <v>117</v>
      </c>
      <c r="D48" s="86" t="s">
        <v>142</v>
      </c>
      <c r="E48" s="598" t="s">
        <v>143</v>
      </c>
      <c r="F48" s="598"/>
      <c r="G48" s="598" t="s">
        <v>144</v>
      </c>
      <c r="H48" s="598"/>
      <c r="I48" s="598" t="s">
        <v>144</v>
      </c>
      <c r="J48" s="598"/>
      <c r="K48" s="598" t="s">
        <v>145</v>
      </c>
      <c r="L48" s="598" t="s">
        <v>146</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c r="A49" s="1"/>
      <c r="B49" s="605"/>
      <c r="C49" s="86" t="s">
        <v>142</v>
      </c>
      <c r="D49" s="86" t="s">
        <v>147</v>
      </c>
      <c r="E49" s="598" t="s">
        <v>148</v>
      </c>
      <c r="F49" s="598"/>
      <c r="G49" s="598" t="s">
        <v>149</v>
      </c>
      <c r="H49" s="598"/>
      <c r="I49" s="598"/>
      <c r="J49" s="598"/>
      <c r="K49" s="598"/>
      <c r="L49" s="598"/>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c r="A50" s="1"/>
      <c r="B50" s="605"/>
      <c r="C50" s="86" t="s">
        <v>150</v>
      </c>
      <c r="D50" s="86" t="s">
        <v>151</v>
      </c>
      <c r="E50" s="598" t="s">
        <v>147</v>
      </c>
      <c r="F50" s="598"/>
      <c r="G50" s="598" t="s">
        <v>152</v>
      </c>
      <c r="H50" s="598"/>
      <c r="I50" s="598" t="s">
        <v>149</v>
      </c>
      <c r="J50" s="598"/>
      <c r="K50" s="598"/>
      <c r="L50" s="598"/>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c r="A51" s="1"/>
      <c r="B51" s="605"/>
      <c r="C51" s="86" t="s">
        <v>151</v>
      </c>
      <c r="D51" s="598" t="s">
        <v>153</v>
      </c>
      <c r="E51" s="598" t="s">
        <v>154</v>
      </c>
      <c r="F51" s="598"/>
      <c r="G51" s="598" t="s">
        <v>155</v>
      </c>
      <c r="H51" s="598"/>
      <c r="I51" s="598" t="s">
        <v>156</v>
      </c>
      <c r="J51" s="598"/>
      <c r="K51" s="608" t="s">
        <v>129</v>
      </c>
      <c r="L51" s="608"/>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c r="A52" s="1"/>
      <c r="B52" s="605"/>
      <c r="C52" s="86" t="s">
        <v>153</v>
      </c>
      <c r="D52" s="598"/>
      <c r="E52" s="598"/>
      <c r="F52" s="598"/>
      <c r="G52" s="598"/>
      <c r="H52" s="598"/>
      <c r="I52" s="598"/>
      <c r="J52" s="598"/>
      <c r="K52" s="608"/>
      <c r="L52" s="608"/>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c r="A55" s="1"/>
      <c r="B55" s="599" t="s">
        <v>157</v>
      </c>
      <c r="C55" s="600"/>
      <c r="D55" s="600"/>
      <c r="E55" s="600"/>
      <c r="F55" s="600"/>
      <c r="G55" s="600"/>
      <c r="H55" s="600"/>
      <c r="I55" s="600"/>
      <c r="J55" s="600"/>
      <c r="K55" s="600"/>
      <c r="L55" s="60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c r="A56" s="1"/>
      <c r="B56" s="599" t="s">
        <v>158</v>
      </c>
      <c r="C56" s="600"/>
      <c r="D56" s="600"/>
      <c r="E56" s="600"/>
      <c r="F56" s="600"/>
      <c r="G56" s="600"/>
      <c r="H56" s="600"/>
      <c r="I56" s="600"/>
      <c r="J56" s="600"/>
      <c r="K56" s="600"/>
      <c r="L56" s="60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t="30">
      <c r="A57" s="1"/>
      <c r="B57" s="606" t="s">
        <v>102</v>
      </c>
      <c r="C57" s="85" t="s">
        <v>132</v>
      </c>
      <c r="D57" s="85" t="s">
        <v>133</v>
      </c>
      <c r="E57" s="85" t="s">
        <v>159</v>
      </c>
      <c r="F57" s="606" t="s">
        <v>160</v>
      </c>
      <c r="G57" s="606"/>
      <c r="H57" s="606" t="s">
        <v>135</v>
      </c>
      <c r="I57" s="606"/>
      <c r="J57" s="85" t="s">
        <v>136</v>
      </c>
      <c r="K57" s="85" t="s">
        <v>137</v>
      </c>
      <c r="L57" s="85" t="s">
        <v>138</v>
      </c>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c r="A58" s="1"/>
      <c r="B58" s="606"/>
      <c r="C58" s="85" t="s">
        <v>161</v>
      </c>
      <c r="D58" s="85" t="s">
        <v>162</v>
      </c>
      <c r="E58" s="85" t="s">
        <v>163</v>
      </c>
      <c r="F58" s="606" t="s">
        <v>141</v>
      </c>
      <c r="G58" s="606"/>
      <c r="H58" s="609">
        <v>2.9</v>
      </c>
      <c r="I58" s="609"/>
      <c r="J58" s="87">
        <v>2</v>
      </c>
      <c r="K58" s="85" t="s">
        <v>114</v>
      </c>
      <c r="L58" s="85" t="s">
        <v>114</v>
      </c>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t="30">
      <c r="A59" s="1"/>
      <c r="B59" s="605" t="s">
        <v>116</v>
      </c>
      <c r="C59" s="86" t="s">
        <v>117</v>
      </c>
      <c r="D59" s="598" t="s">
        <v>147</v>
      </c>
      <c r="E59" s="598" t="s">
        <v>147</v>
      </c>
      <c r="F59" s="598" t="s">
        <v>143</v>
      </c>
      <c r="G59" s="598"/>
      <c r="H59" s="598" t="s">
        <v>144</v>
      </c>
      <c r="I59" s="598"/>
      <c r="J59" s="598" t="s">
        <v>144</v>
      </c>
      <c r="K59" s="598" t="s">
        <v>164</v>
      </c>
      <c r="L59" s="598" t="s">
        <v>165</v>
      </c>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c r="A60" s="1"/>
      <c r="B60" s="605"/>
      <c r="C60" s="86" t="s">
        <v>142</v>
      </c>
      <c r="D60" s="598"/>
      <c r="E60" s="598"/>
      <c r="F60" s="598" t="s">
        <v>148</v>
      </c>
      <c r="G60" s="598"/>
      <c r="H60" s="598" t="s">
        <v>166</v>
      </c>
      <c r="I60" s="598"/>
      <c r="J60" s="598"/>
      <c r="K60" s="598"/>
      <c r="L60" s="598"/>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c r="A61" s="1"/>
      <c r="B61" s="605"/>
      <c r="C61" s="86" t="s">
        <v>150</v>
      </c>
      <c r="D61" s="86" t="s">
        <v>167</v>
      </c>
      <c r="E61" s="598" t="s">
        <v>168</v>
      </c>
      <c r="F61" s="598" t="s">
        <v>147</v>
      </c>
      <c r="G61" s="598"/>
      <c r="H61" s="598" t="s">
        <v>169</v>
      </c>
      <c r="I61" s="598"/>
      <c r="J61" s="598" t="s">
        <v>170</v>
      </c>
      <c r="K61" s="598"/>
      <c r="L61" s="598"/>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t="30">
      <c r="A62" s="1"/>
      <c r="B62" s="605"/>
      <c r="C62" s="86" t="s">
        <v>167</v>
      </c>
      <c r="D62" s="598" t="s">
        <v>153</v>
      </c>
      <c r="E62" s="598"/>
      <c r="F62" s="598" t="s">
        <v>154</v>
      </c>
      <c r="G62" s="598"/>
      <c r="H62" s="598" t="s">
        <v>171</v>
      </c>
      <c r="I62" s="598"/>
      <c r="J62" s="598"/>
      <c r="K62" s="608" t="s">
        <v>129</v>
      </c>
      <c r="L62" s="608"/>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c r="A63" s="1"/>
      <c r="B63" s="605"/>
      <c r="C63" s="86" t="s">
        <v>153</v>
      </c>
      <c r="D63" s="598"/>
      <c r="E63" s="598"/>
      <c r="F63" s="598"/>
      <c r="G63" s="598"/>
      <c r="H63" s="598"/>
      <c r="I63" s="598"/>
      <c r="J63" s="598"/>
      <c r="K63" s="608"/>
      <c r="L63" s="608"/>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c r="A66" s="1"/>
      <c r="B66" s="599" t="s">
        <v>172</v>
      </c>
      <c r="C66" s="600"/>
      <c r="D66" s="600"/>
      <c r="E66" s="600"/>
      <c r="F66" s="600"/>
      <c r="G66" s="600"/>
      <c r="H66" s="600"/>
      <c r="I66" s="600"/>
      <c r="J66" s="600"/>
      <c r="K66" s="600"/>
      <c r="L66" s="60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c r="A67" s="1"/>
      <c r="B67" s="599" t="s">
        <v>173</v>
      </c>
      <c r="C67" s="600"/>
      <c r="D67" s="600"/>
      <c r="E67" s="600"/>
      <c r="F67" s="600"/>
      <c r="G67" s="600"/>
      <c r="H67" s="600"/>
      <c r="I67" s="600"/>
      <c r="J67" s="600"/>
      <c r="K67" s="600"/>
      <c r="L67" s="60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c r="A68" s="1"/>
      <c r="B68" s="606" t="s">
        <v>102</v>
      </c>
      <c r="C68" s="606" t="s">
        <v>174</v>
      </c>
      <c r="D68" s="606"/>
      <c r="E68" s="606"/>
      <c r="F68" s="606" t="s">
        <v>175</v>
      </c>
      <c r="G68" s="606"/>
      <c r="H68" s="606"/>
      <c r="I68" s="606" t="s">
        <v>176</v>
      </c>
      <c r="J68" s="606"/>
      <c r="K68" s="606"/>
      <c r="L68" s="606"/>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c r="A69" s="1"/>
      <c r="B69" s="606"/>
      <c r="C69" s="607" t="s">
        <v>177</v>
      </c>
      <c r="D69" s="607"/>
      <c r="E69" s="607"/>
      <c r="F69" s="607" t="s">
        <v>178</v>
      </c>
      <c r="G69" s="607"/>
      <c r="H69" s="607"/>
      <c r="I69" s="607"/>
      <c r="J69" s="607"/>
      <c r="K69" s="607"/>
      <c r="L69" s="607"/>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c r="A70" s="1"/>
      <c r="B70" s="605" t="s">
        <v>116</v>
      </c>
      <c r="C70" s="598" t="s">
        <v>179</v>
      </c>
      <c r="D70" s="598"/>
      <c r="E70" s="598"/>
      <c r="F70" s="598" t="s">
        <v>180</v>
      </c>
      <c r="G70" s="598"/>
      <c r="H70" s="598"/>
      <c r="I70" s="598" t="s">
        <v>119</v>
      </c>
      <c r="J70" s="598"/>
      <c r="K70" s="598"/>
      <c r="L70" s="598"/>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c r="A71" s="1"/>
      <c r="B71" s="605"/>
      <c r="C71" s="598" t="s">
        <v>181</v>
      </c>
      <c r="D71" s="598"/>
      <c r="E71" s="598"/>
      <c r="F71" s="598" t="s">
        <v>182</v>
      </c>
      <c r="G71" s="598"/>
      <c r="H71" s="598"/>
      <c r="I71" s="598" t="s">
        <v>183</v>
      </c>
      <c r="J71" s="598"/>
      <c r="K71" s="598"/>
      <c r="L71" s="598"/>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c r="A72" s="1"/>
      <c r="B72" s="605"/>
      <c r="C72" s="598" t="s">
        <v>184</v>
      </c>
      <c r="D72" s="598"/>
      <c r="E72" s="598"/>
      <c r="F72" s="598"/>
      <c r="G72" s="598"/>
      <c r="H72" s="598"/>
      <c r="I72" s="598" t="s">
        <v>185</v>
      </c>
      <c r="J72" s="598"/>
      <c r="K72" s="598"/>
      <c r="L72" s="598"/>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c r="A73" s="1"/>
      <c r="B73" s="605"/>
      <c r="C73" s="598" t="s">
        <v>186</v>
      </c>
      <c r="D73" s="598"/>
      <c r="E73" s="598"/>
      <c r="F73" s="598" t="s">
        <v>187</v>
      </c>
      <c r="G73" s="598"/>
      <c r="H73" s="598"/>
      <c r="I73" s="598" t="s">
        <v>188</v>
      </c>
      <c r="J73" s="598"/>
      <c r="K73" s="598"/>
      <c r="L73" s="598"/>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c r="A74" s="1"/>
      <c r="B74" s="605"/>
      <c r="C74" s="598" t="s">
        <v>189</v>
      </c>
      <c r="D74" s="598"/>
      <c r="E74" s="598"/>
      <c r="F74" s="598" t="s">
        <v>190</v>
      </c>
      <c r="G74" s="598"/>
      <c r="H74" s="598"/>
      <c r="I74" s="598" t="s">
        <v>191</v>
      </c>
      <c r="J74" s="598"/>
      <c r="K74" s="598"/>
      <c r="L74" s="598"/>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c r="A75" s="1"/>
      <c r="B75" s="605"/>
      <c r="C75" s="598"/>
      <c r="D75" s="598"/>
      <c r="E75" s="598"/>
      <c r="F75" s="598"/>
      <c r="G75" s="598"/>
      <c r="H75" s="598"/>
      <c r="I75" s="598" t="s">
        <v>192</v>
      </c>
      <c r="J75" s="598"/>
      <c r="K75" s="598"/>
      <c r="L75" s="598"/>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c r="A78" s="1"/>
      <c r="B78" s="599" t="s">
        <v>193</v>
      </c>
      <c r="C78" s="600"/>
      <c r="D78" s="600"/>
      <c r="E78" s="600"/>
      <c r="F78" s="600"/>
      <c r="G78" s="600"/>
      <c r="H78" s="600"/>
      <c r="I78" s="600"/>
      <c r="J78" s="600"/>
      <c r="K78" s="600"/>
      <c r="L78" s="60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c r="A79" s="1"/>
      <c r="B79" s="602" t="s">
        <v>194</v>
      </c>
      <c r="C79" s="603"/>
      <c r="D79" s="603"/>
      <c r="E79" s="603"/>
      <c r="F79" s="603"/>
      <c r="G79" s="603"/>
      <c r="H79" s="603"/>
      <c r="I79" s="603"/>
      <c r="J79" s="603"/>
      <c r="K79" s="603"/>
      <c r="L79" s="604"/>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c r="A80" s="1"/>
      <c r="B80" s="88" t="s">
        <v>195</v>
      </c>
      <c r="C80" s="605" t="s">
        <v>112</v>
      </c>
      <c r="D80" s="605"/>
      <c r="E80" s="605" t="s">
        <v>113</v>
      </c>
      <c r="F80" s="605"/>
      <c r="G80" s="605" t="s">
        <v>114</v>
      </c>
      <c r="H80" s="605"/>
      <c r="I80" s="605" t="s">
        <v>115</v>
      </c>
      <c r="J80" s="605"/>
      <c r="K80" s="605" t="s">
        <v>196</v>
      </c>
      <c r="L80" s="605"/>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c r="A81" s="1"/>
      <c r="B81" s="88" t="s">
        <v>9</v>
      </c>
      <c r="C81" s="598" t="s">
        <v>197</v>
      </c>
      <c r="D81" s="598"/>
      <c r="E81" s="598" t="s">
        <v>198</v>
      </c>
      <c r="F81" s="598"/>
      <c r="G81" s="598" t="s">
        <v>199</v>
      </c>
      <c r="H81" s="598"/>
      <c r="I81" s="598" t="s">
        <v>200</v>
      </c>
      <c r="J81" s="598"/>
      <c r="K81" s="598" t="s">
        <v>201</v>
      </c>
      <c r="L81" s="598"/>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2:5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2:5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2:5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2:5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2:5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2:5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2:5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2:5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2:5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2:5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2:5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2:5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2:5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2:5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2:5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2:5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2:5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2:5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2:5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2:5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2:5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2:5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2:5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2:5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2:5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2:5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2:5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2:5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2:5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2:5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2:5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2:5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2:5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2:5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2:5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2:5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2:5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2:5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2:5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2:5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2:5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2:5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2:5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2:5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2:5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2:5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2:5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2:5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2:5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2:5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2:5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2:5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2:5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2:5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2:5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2:5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2:5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2:5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2:5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2:5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2:5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2:5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2:5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2:5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2:5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2:5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2:5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2:5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2:5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2:5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2:5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2:5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2:5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2:5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2:5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2:5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2:5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2:5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2:5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2:5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2:5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2:5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2:5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2:5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2:5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2:5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2:5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2:5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2:5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2:5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2:5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2:5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2:5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2:5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2:5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2:5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2:5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2:5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2:5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2:5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2:5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2:5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2:5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2:5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2:5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2:5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2:5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2:5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2:5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2:5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2:5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2:5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2:5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2:5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2:5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2:52">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2:52">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2:52">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2:52">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2:52">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2:52">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2:52">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2:52">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2:52">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2:52">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2:52">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2:52">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2:52">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3:52">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3:52">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3:52">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3:52">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3:52">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3:52">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3:52">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3:52">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3:52">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3:52">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3:52">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3:52">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3:52">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3:52">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3:52">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3:52">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3:52">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3:52">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3:52">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3:52">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3:52">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3:52">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3:52">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3:52">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3:52">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3:52">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3:52">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3:52">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3:52">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3:52">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3:52">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3:52">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3:52">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3:52">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3:52">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3:52">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3:52">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3:52">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3:52">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3:52">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3:52">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3:52">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3:52">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3:52">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3:52">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3:52">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3:52">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sheetData>
  <mergeCells count="105">
    <mergeCell ref="C4:E4"/>
    <mergeCell ref="C5:C6"/>
    <mergeCell ref="D5:D6"/>
    <mergeCell ref="E5:E6"/>
    <mergeCell ref="B35:L35"/>
    <mergeCell ref="B36:L36"/>
    <mergeCell ref="B37:B38"/>
    <mergeCell ref="G37:L37"/>
    <mergeCell ref="G38:H38"/>
    <mergeCell ref="I38:J38"/>
    <mergeCell ref="B39:B41"/>
    <mergeCell ref="G39:H40"/>
    <mergeCell ref="I39:J40"/>
    <mergeCell ref="K39:K40"/>
    <mergeCell ref="L39:L40"/>
    <mergeCell ref="C40:C41"/>
    <mergeCell ref="F40:F41"/>
    <mergeCell ref="G41:L41"/>
    <mergeCell ref="B44:L44"/>
    <mergeCell ref="B45:L45"/>
    <mergeCell ref="B46:B47"/>
    <mergeCell ref="E46:F46"/>
    <mergeCell ref="G46:H46"/>
    <mergeCell ref="I46:J46"/>
    <mergeCell ref="E47:F47"/>
    <mergeCell ref="G47:H47"/>
    <mergeCell ref="I47:J47"/>
    <mergeCell ref="B48:B52"/>
    <mergeCell ref="E48:F48"/>
    <mergeCell ref="G48:H48"/>
    <mergeCell ref="I48:J49"/>
    <mergeCell ref="K48:K50"/>
    <mergeCell ref="D51:D52"/>
    <mergeCell ref="E51:F52"/>
    <mergeCell ref="G51:H52"/>
    <mergeCell ref="I51:J52"/>
    <mergeCell ref="K51:L52"/>
    <mergeCell ref="B55:L55"/>
    <mergeCell ref="B56:L56"/>
    <mergeCell ref="B57:B58"/>
    <mergeCell ref="F57:G57"/>
    <mergeCell ref="H57:I57"/>
    <mergeCell ref="F58:G58"/>
    <mergeCell ref="H58:I58"/>
    <mergeCell ref="L48:L50"/>
    <mergeCell ref="E49:F49"/>
    <mergeCell ref="G49:H49"/>
    <mergeCell ref="E50:F50"/>
    <mergeCell ref="G50:H50"/>
    <mergeCell ref="I50:J50"/>
    <mergeCell ref="I68:L68"/>
    <mergeCell ref="C69:E69"/>
    <mergeCell ref="F69:H69"/>
    <mergeCell ref="I69:L69"/>
    <mergeCell ref="K59:K61"/>
    <mergeCell ref="L59:L61"/>
    <mergeCell ref="F60:G60"/>
    <mergeCell ref="H60:I60"/>
    <mergeCell ref="E61:E63"/>
    <mergeCell ref="F61:G61"/>
    <mergeCell ref="H61:I61"/>
    <mergeCell ref="J61:J63"/>
    <mergeCell ref="F62:G63"/>
    <mergeCell ref="H62:I63"/>
    <mergeCell ref="E59:E60"/>
    <mergeCell ref="F59:G59"/>
    <mergeCell ref="H59:I59"/>
    <mergeCell ref="J59:J60"/>
    <mergeCell ref="K62:L63"/>
    <mergeCell ref="B59:B63"/>
    <mergeCell ref="D59:D60"/>
    <mergeCell ref="D62:D63"/>
    <mergeCell ref="F73:H73"/>
    <mergeCell ref="I73:L73"/>
    <mergeCell ref="C74:E75"/>
    <mergeCell ref="F74:H75"/>
    <mergeCell ref="I74:L74"/>
    <mergeCell ref="I75:L75"/>
    <mergeCell ref="B70:B75"/>
    <mergeCell ref="C70:E70"/>
    <mergeCell ref="F70:H70"/>
    <mergeCell ref="I70:L70"/>
    <mergeCell ref="C71:E71"/>
    <mergeCell ref="F71:H72"/>
    <mergeCell ref="I71:L71"/>
    <mergeCell ref="C72:E72"/>
    <mergeCell ref="I72:L72"/>
    <mergeCell ref="C73:E73"/>
    <mergeCell ref="B66:L66"/>
    <mergeCell ref="B67:L67"/>
    <mergeCell ref="B68:B69"/>
    <mergeCell ref="C68:E68"/>
    <mergeCell ref="F68:H68"/>
    <mergeCell ref="C81:D81"/>
    <mergeCell ref="E81:F81"/>
    <mergeCell ref="G81:H81"/>
    <mergeCell ref="I81:J81"/>
    <mergeCell ref="K81:L81"/>
    <mergeCell ref="B78:L78"/>
    <mergeCell ref="B79:L79"/>
    <mergeCell ref="C80:D80"/>
    <mergeCell ref="E80:F80"/>
    <mergeCell ref="G80:H80"/>
    <mergeCell ref="I80:J80"/>
    <mergeCell ref="K80:L80"/>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F33"/>
  <sheetViews>
    <sheetView topLeftCell="C1" workbookViewId="0">
      <selection activeCell="F7" sqref="F7"/>
    </sheetView>
  </sheetViews>
  <sheetFormatPr baseColWidth="10" defaultRowHeight="15"/>
  <cols>
    <col min="1" max="1" width="11.42578125" style="1"/>
    <col min="2" max="2" width="33.140625" style="1" customWidth="1"/>
    <col min="3" max="7" width="11.42578125" style="1"/>
    <col min="8" max="8" width="33.5703125" style="1" customWidth="1"/>
    <col min="9" max="58" width="11.42578125" style="1"/>
  </cols>
  <sheetData>
    <row r="1" spans="2:11" ht="15.75" thickBot="1"/>
    <row r="2" spans="2:11" ht="15.75" customHeight="1" thickTop="1" thickBot="1">
      <c r="B2" s="623" t="s">
        <v>202</v>
      </c>
      <c r="C2" s="624"/>
      <c r="D2" s="624"/>
      <c r="E2" s="625"/>
      <c r="H2" s="626" t="s">
        <v>203</v>
      </c>
      <c r="I2" s="627"/>
      <c r="J2" s="627"/>
      <c r="K2" s="628"/>
    </row>
    <row r="3" spans="2:11" ht="16.5" thickTop="1" thickBot="1">
      <c r="B3" s="89" t="s">
        <v>75</v>
      </c>
      <c r="C3" s="90" t="s">
        <v>44</v>
      </c>
      <c r="D3" s="90" t="s">
        <v>6</v>
      </c>
      <c r="E3" s="91" t="s">
        <v>204</v>
      </c>
      <c r="H3" s="92" t="s">
        <v>75</v>
      </c>
      <c r="I3" s="92" t="s">
        <v>44</v>
      </c>
      <c r="J3" s="93" t="s">
        <v>6</v>
      </c>
      <c r="K3" s="92" t="s">
        <v>204</v>
      </c>
    </row>
    <row r="4" spans="2:11" ht="15.75" thickTop="1">
      <c r="B4" s="94" t="s">
        <v>205</v>
      </c>
      <c r="C4" s="45">
        <v>15</v>
      </c>
      <c r="D4" s="78">
        <v>1.83</v>
      </c>
      <c r="E4" s="45">
        <f>C4*D4</f>
        <v>27.450000000000003</v>
      </c>
      <c r="H4" s="94" t="s">
        <v>206</v>
      </c>
      <c r="I4" s="45">
        <v>8</v>
      </c>
      <c r="J4" s="78">
        <v>1.5</v>
      </c>
      <c r="K4" s="45">
        <f>I4*J4</f>
        <v>12</v>
      </c>
    </row>
    <row r="5" spans="2:11">
      <c r="B5" s="95" t="s">
        <v>207</v>
      </c>
      <c r="C5" s="46">
        <v>25</v>
      </c>
      <c r="D5" s="80">
        <v>0.66</v>
      </c>
      <c r="E5" s="46">
        <f t="shared" ref="E5:E24" si="0">C5*D5</f>
        <v>16.5</v>
      </c>
      <c r="H5" s="95" t="s">
        <v>208</v>
      </c>
      <c r="I5" s="46">
        <v>5</v>
      </c>
      <c r="J5" s="80">
        <v>10</v>
      </c>
      <c r="K5" s="46">
        <f t="shared" ref="K5:K14" si="1">I5*J5</f>
        <v>50</v>
      </c>
    </row>
    <row r="6" spans="2:11">
      <c r="B6" s="95" t="s">
        <v>209</v>
      </c>
      <c r="C6" s="46">
        <v>10</v>
      </c>
      <c r="D6" s="80">
        <v>0.23</v>
      </c>
      <c r="E6" s="46">
        <f t="shared" si="0"/>
        <v>2.3000000000000003</v>
      </c>
      <c r="H6" s="95" t="s">
        <v>210</v>
      </c>
      <c r="I6" s="46">
        <v>5</v>
      </c>
      <c r="J6" s="80">
        <v>2.7</v>
      </c>
      <c r="K6" s="46">
        <f t="shared" si="1"/>
        <v>13.5</v>
      </c>
    </row>
    <row r="7" spans="2:11">
      <c r="B7" s="95" t="s">
        <v>211</v>
      </c>
      <c r="C7" s="46">
        <v>20</v>
      </c>
      <c r="D7" s="80">
        <v>3.55</v>
      </c>
      <c r="E7" s="46">
        <f t="shared" si="0"/>
        <v>71</v>
      </c>
      <c r="H7" s="95" t="s">
        <v>212</v>
      </c>
      <c r="I7" s="46">
        <v>10</v>
      </c>
      <c r="J7" s="80">
        <v>5.77</v>
      </c>
      <c r="K7" s="46">
        <f t="shared" si="1"/>
        <v>57.699999999999996</v>
      </c>
    </row>
    <row r="8" spans="2:11">
      <c r="B8" s="95" t="s">
        <v>213</v>
      </c>
      <c r="C8" s="46">
        <v>5</v>
      </c>
      <c r="D8" s="80">
        <v>3.5</v>
      </c>
      <c r="E8" s="46">
        <f t="shared" si="0"/>
        <v>17.5</v>
      </c>
      <c r="H8" s="95" t="s">
        <v>214</v>
      </c>
      <c r="I8" s="46">
        <v>5</v>
      </c>
      <c r="J8" s="80">
        <v>1.5</v>
      </c>
      <c r="K8" s="46">
        <f t="shared" si="1"/>
        <v>7.5</v>
      </c>
    </row>
    <row r="9" spans="2:11">
      <c r="B9" s="95" t="s">
        <v>215</v>
      </c>
      <c r="C9" s="46">
        <v>5</v>
      </c>
      <c r="D9" s="80">
        <v>2.2000000000000002</v>
      </c>
      <c r="E9" s="46">
        <f t="shared" si="0"/>
        <v>11</v>
      </c>
      <c r="H9" s="95" t="s">
        <v>216</v>
      </c>
      <c r="I9" s="46">
        <v>2</v>
      </c>
      <c r="J9" s="80">
        <v>3.22</v>
      </c>
      <c r="K9" s="46">
        <f t="shared" si="1"/>
        <v>6.44</v>
      </c>
    </row>
    <row r="10" spans="2:11">
      <c r="B10" s="95" t="s">
        <v>217</v>
      </c>
      <c r="C10" s="46">
        <v>6</v>
      </c>
      <c r="D10" s="80">
        <v>1.17</v>
      </c>
      <c r="E10" s="46">
        <f t="shared" si="0"/>
        <v>7.02</v>
      </c>
      <c r="H10" s="95" t="s">
        <v>218</v>
      </c>
      <c r="I10" s="46">
        <v>20</v>
      </c>
      <c r="J10" s="80">
        <v>1.8</v>
      </c>
      <c r="K10" s="46">
        <f t="shared" si="1"/>
        <v>36</v>
      </c>
    </row>
    <row r="11" spans="2:11">
      <c r="B11" s="95" t="s">
        <v>219</v>
      </c>
      <c r="C11" s="46">
        <v>50</v>
      </c>
      <c r="D11" s="80">
        <v>25</v>
      </c>
      <c r="E11" s="46">
        <f t="shared" si="0"/>
        <v>1250</v>
      </c>
      <c r="H11" s="95" t="s">
        <v>220</v>
      </c>
      <c r="I11" s="46">
        <v>10</v>
      </c>
      <c r="J11" s="80">
        <v>1.2</v>
      </c>
      <c r="K11" s="46">
        <f t="shared" si="1"/>
        <v>12</v>
      </c>
    </row>
    <row r="12" spans="2:11">
      <c r="B12" s="95" t="s">
        <v>221</v>
      </c>
      <c r="C12" s="46">
        <v>2</v>
      </c>
      <c r="D12" s="80">
        <v>150</v>
      </c>
      <c r="E12" s="46">
        <f t="shared" si="0"/>
        <v>300</v>
      </c>
      <c r="H12" s="95" t="s">
        <v>222</v>
      </c>
      <c r="I12" s="46">
        <v>300</v>
      </c>
      <c r="J12" s="80">
        <v>0.93</v>
      </c>
      <c r="K12" s="46">
        <f t="shared" si="1"/>
        <v>279</v>
      </c>
    </row>
    <row r="13" spans="2:11">
      <c r="B13" s="95" t="s">
        <v>223</v>
      </c>
      <c r="C13" s="46">
        <v>10</v>
      </c>
      <c r="D13" s="80">
        <v>0.75</v>
      </c>
      <c r="E13" s="46">
        <f t="shared" si="0"/>
        <v>7.5</v>
      </c>
      <c r="H13" s="80" t="s">
        <v>224</v>
      </c>
      <c r="I13" s="46">
        <v>35</v>
      </c>
      <c r="J13" s="80">
        <v>50</v>
      </c>
      <c r="K13" s="46">
        <f t="shared" si="1"/>
        <v>1750</v>
      </c>
    </row>
    <row r="14" spans="2:11">
      <c r="B14" s="95" t="s">
        <v>225</v>
      </c>
      <c r="C14" s="46">
        <v>5</v>
      </c>
      <c r="D14" s="80">
        <v>6.4</v>
      </c>
      <c r="E14" s="46">
        <f t="shared" si="0"/>
        <v>32</v>
      </c>
      <c r="H14" s="95" t="s">
        <v>226</v>
      </c>
      <c r="I14" s="46">
        <v>40</v>
      </c>
      <c r="J14" s="80">
        <v>3.6</v>
      </c>
      <c r="K14" s="46">
        <f t="shared" si="1"/>
        <v>144</v>
      </c>
    </row>
    <row r="15" spans="2:11" ht="15.75" thickBot="1">
      <c r="B15" s="95" t="s">
        <v>227</v>
      </c>
      <c r="C15" s="46">
        <v>5</v>
      </c>
      <c r="D15" s="80">
        <v>0.5</v>
      </c>
      <c r="E15" s="46">
        <f t="shared" si="0"/>
        <v>2.5</v>
      </c>
      <c r="H15" s="96" t="s">
        <v>228</v>
      </c>
      <c r="I15" s="48">
        <v>20</v>
      </c>
      <c r="J15" s="55">
        <v>0.41</v>
      </c>
      <c r="K15" s="48">
        <f>I15*J15</f>
        <v>8.1999999999999993</v>
      </c>
    </row>
    <row r="16" spans="2:11" ht="16.5" thickTop="1" thickBot="1">
      <c r="B16" s="95" t="s">
        <v>229</v>
      </c>
      <c r="C16" s="46">
        <v>15</v>
      </c>
      <c r="D16" s="80">
        <v>0.05</v>
      </c>
      <c r="E16" s="46">
        <f t="shared" si="0"/>
        <v>0.75</v>
      </c>
      <c r="K16" s="564">
        <f>SUM(K4:K15)</f>
        <v>2376.3399999999997</v>
      </c>
    </row>
    <row r="17" spans="2:12" ht="15.75" thickTop="1">
      <c r="B17" s="95" t="s">
        <v>230</v>
      </c>
      <c r="C17" s="46">
        <v>300</v>
      </c>
      <c r="D17" s="80">
        <v>0.05</v>
      </c>
      <c r="E17" s="46">
        <f t="shared" si="0"/>
        <v>15</v>
      </c>
      <c r="K17" s="565"/>
      <c r="L17" s="36"/>
    </row>
    <row r="18" spans="2:12">
      <c r="B18" s="95" t="s">
        <v>231</v>
      </c>
      <c r="C18" s="46">
        <v>24</v>
      </c>
      <c r="D18" s="80">
        <v>0.14000000000000001</v>
      </c>
      <c r="E18" s="46">
        <f t="shared" si="0"/>
        <v>3.3600000000000003</v>
      </c>
      <c r="K18" s="36"/>
    </row>
    <row r="19" spans="2:12">
      <c r="B19" s="95" t="s">
        <v>232</v>
      </c>
      <c r="C19" s="46">
        <v>50</v>
      </c>
      <c r="D19" s="80">
        <v>0.35</v>
      </c>
      <c r="E19" s="46">
        <f t="shared" si="0"/>
        <v>17.5</v>
      </c>
    </row>
    <row r="20" spans="2:12">
      <c r="B20" s="95" t="s">
        <v>233</v>
      </c>
      <c r="C20" s="46">
        <v>10</v>
      </c>
      <c r="D20" s="80">
        <v>0.57999999999999996</v>
      </c>
      <c r="E20" s="46">
        <f t="shared" si="0"/>
        <v>5.8</v>
      </c>
    </row>
    <row r="21" spans="2:12">
      <c r="B21" s="95" t="s">
        <v>234</v>
      </c>
      <c r="C21" s="46">
        <v>5</v>
      </c>
      <c r="D21" s="80">
        <v>1.5</v>
      </c>
      <c r="E21" s="46">
        <f t="shared" si="0"/>
        <v>7.5</v>
      </c>
      <c r="H21" s="99"/>
    </row>
    <row r="22" spans="2:12">
      <c r="B22" s="95" t="s">
        <v>235</v>
      </c>
      <c r="C22" s="46">
        <v>5</v>
      </c>
      <c r="D22" s="80">
        <v>0.8</v>
      </c>
      <c r="E22" s="46">
        <f t="shared" si="0"/>
        <v>4</v>
      </c>
    </row>
    <row r="23" spans="2:12">
      <c r="B23" s="95" t="s">
        <v>236</v>
      </c>
      <c r="C23" s="46">
        <v>120</v>
      </c>
      <c r="D23" s="80">
        <v>1.8</v>
      </c>
      <c r="E23" s="46">
        <f t="shared" si="0"/>
        <v>216</v>
      </c>
      <c r="H23" s="95"/>
    </row>
    <row r="24" spans="2:12" ht="15.75" thickBot="1">
      <c r="B24" s="96" t="s">
        <v>237</v>
      </c>
      <c r="C24" s="48">
        <v>84</v>
      </c>
      <c r="D24" s="55">
        <v>6.5</v>
      </c>
      <c r="E24" s="48">
        <f t="shared" si="0"/>
        <v>546</v>
      </c>
    </row>
    <row r="25" spans="2:12" ht="16.5" thickTop="1" thickBot="1">
      <c r="E25" s="97">
        <f>SUM(E4:E24)</f>
        <v>2560.6799999999998</v>
      </c>
    </row>
    <row r="26" spans="2:12" ht="16.5" thickTop="1" thickBot="1">
      <c r="E26" s="98"/>
    </row>
    <row r="27" spans="2:12" ht="15.75" thickTop="1"/>
    <row r="30" spans="2:12">
      <c r="B30" s="100"/>
    </row>
    <row r="31" spans="2:12">
      <c r="B31" s="100"/>
    </row>
    <row r="32" spans="2:12">
      <c r="B32" s="100"/>
    </row>
    <row r="33" spans="2:2">
      <c r="B33" s="36"/>
    </row>
  </sheetData>
  <mergeCells count="2">
    <mergeCell ref="B2:E2"/>
    <mergeCell ref="H2:K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3:BK37"/>
  <sheetViews>
    <sheetView topLeftCell="A8" workbookViewId="0">
      <selection activeCell="G8" sqref="G8"/>
    </sheetView>
  </sheetViews>
  <sheetFormatPr baseColWidth="10" defaultRowHeight="15"/>
  <cols>
    <col min="1" max="2" width="11.42578125" style="1"/>
    <col min="3" max="3" width="16.5703125" style="1" customWidth="1"/>
    <col min="4" max="4" width="14.5703125" style="1" customWidth="1"/>
    <col min="5" max="5" width="15.28515625" style="1" customWidth="1"/>
    <col min="6" max="6" width="14.5703125" style="1" customWidth="1"/>
    <col min="7" max="7" width="15.28515625" style="1" customWidth="1"/>
    <col min="8" max="8" width="15.140625" style="1" customWidth="1"/>
    <col min="9" max="9" width="14.42578125" style="1" customWidth="1"/>
    <col min="10" max="63" width="11.42578125" style="1"/>
  </cols>
  <sheetData>
    <row r="3" spans="3:9" ht="15.75" thickBot="1"/>
    <row r="4" spans="3:9" ht="15.75" thickTop="1">
      <c r="C4" s="573" t="s">
        <v>250</v>
      </c>
      <c r="D4" s="574">
        <f>'Inversion Inicial'!C15</f>
        <v>12885</v>
      </c>
      <c r="G4" s="44"/>
    </row>
    <row r="5" spans="3:9">
      <c r="C5" s="480" t="s">
        <v>251</v>
      </c>
      <c r="D5" s="273">
        <f>-'capital de trabajo'!C8</f>
        <v>52098.228921875037</v>
      </c>
    </row>
    <row r="6" spans="3:9" ht="15.75" thickBot="1">
      <c r="C6" s="269" t="s">
        <v>35</v>
      </c>
      <c r="D6" s="567">
        <f>SUM(D4:D5)</f>
        <v>64983.228921875037</v>
      </c>
      <c r="G6" s="113"/>
    </row>
    <row r="7" spans="3:9" ht="16.5" thickTop="1" thickBot="1">
      <c r="C7" s="479" t="s">
        <v>423</v>
      </c>
      <c r="D7" s="575">
        <f>+D6*F12</f>
        <v>38989.937353125024</v>
      </c>
    </row>
    <row r="8" spans="3:9" ht="15.75" thickTop="1"/>
    <row r="10" spans="3:9">
      <c r="E10" s="471" t="s">
        <v>252</v>
      </c>
      <c r="F10" s="273">
        <f>+D6</f>
        <v>64983.228921875037</v>
      </c>
      <c r="G10" s="1" t="s">
        <v>483</v>
      </c>
      <c r="I10" s="114" t="s">
        <v>482</v>
      </c>
    </row>
    <row r="11" spans="3:9" ht="15.75" thickBot="1">
      <c r="E11" s="471" t="s">
        <v>253</v>
      </c>
      <c r="F11" s="568">
        <v>0.4</v>
      </c>
    </row>
    <row r="12" spans="3:9" ht="16.5" thickTop="1" thickBot="1">
      <c r="E12" s="471" t="s">
        <v>254</v>
      </c>
      <c r="F12" s="568">
        <f>1-F11</f>
        <v>0.6</v>
      </c>
      <c r="G12" s="566">
        <f>F10*F12</f>
        <v>38989.937353125024</v>
      </c>
    </row>
    <row r="13" spans="3:9" ht="16.5" thickTop="1" thickBot="1">
      <c r="E13" s="471" t="s">
        <v>255</v>
      </c>
      <c r="F13" s="393">
        <v>0.112</v>
      </c>
    </row>
    <row r="14" spans="3:9" ht="16.5" thickTop="1" thickBot="1">
      <c r="E14" s="569" t="s">
        <v>256</v>
      </c>
      <c r="F14" s="570" t="s">
        <v>257</v>
      </c>
      <c r="G14" s="571" t="s">
        <v>258</v>
      </c>
      <c r="H14" s="571" t="s">
        <v>259</v>
      </c>
      <c r="I14" s="572" t="s">
        <v>260</v>
      </c>
    </row>
    <row r="15" spans="3:9" ht="15.75" thickTop="1">
      <c r="E15" s="115">
        <v>0</v>
      </c>
      <c r="F15" s="43">
        <f>+G12</f>
        <v>38989.937353125024</v>
      </c>
      <c r="G15" s="116" t="s">
        <v>57</v>
      </c>
      <c r="H15" s="117" t="s">
        <v>57</v>
      </c>
      <c r="I15" s="116" t="s">
        <v>57</v>
      </c>
    </row>
    <row r="16" spans="3:9">
      <c r="E16" s="118">
        <v>1</v>
      </c>
      <c r="F16" s="56">
        <f>+F15-G16</f>
        <v>36680.642613120515</v>
      </c>
      <c r="G16" s="56">
        <f>+I16-H16</f>
        <v>2309.2947400045068</v>
      </c>
      <c r="H16" s="53">
        <f>F15*$F$13</f>
        <v>4366.8729835500026</v>
      </c>
      <c r="I16" s="56">
        <f>-PMT($F$13,$E$25,$F$15)</f>
        <v>6676.1677235545094</v>
      </c>
    </row>
    <row r="17" spans="2:9">
      <c r="E17" s="118">
        <v>2</v>
      </c>
      <c r="F17" s="56">
        <f>+F16-G17</f>
        <v>34112.7068622355</v>
      </c>
      <c r="G17" s="56">
        <f t="shared" ref="G17:G25" si="0">+I17-H17</f>
        <v>2567.9357508850117</v>
      </c>
      <c r="H17" s="53">
        <f t="shared" ref="H17:H25" si="1">F16*$F$13</f>
        <v>4108.2319726694977</v>
      </c>
      <c r="I17" s="56">
        <f t="shared" ref="I17:I25" si="2">-PMT($F$13,$E$25,$F$15)</f>
        <v>6676.1677235545094</v>
      </c>
    </row>
    <row r="18" spans="2:9">
      <c r="E18" s="118">
        <v>3</v>
      </c>
      <c r="F18" s="56">
        <f t="shared" ref="F18:F24" si="3">+F17-G18</f>
        <v>31257.162307251368</v>
      </c>
      <c r="G18" s="56">
        <f t="shared" si="0"/>
        <v>2855.5445549841334</v>
      </c>
      <c r="H18" s="53">
        <f t="shared" si="1"/>
        <v>3820.623168570376</v>
      </c>
      <c r="I18" s="56">
        <f t="shared" si="2"/>
        <v>6676.1677235545094</v>
      </c>
    </row>
    <row r="19" spans="2:9">
      <c r="E19" s="118">
        <v>4</v>
      </c>
      <c r="F19" s="56">
        <f t="shared" si="3"/>
        <v>28081.796762109014</v>
      </c>
      <c r="G19" s="56">
        <f t="shared" si="0"/>
        <v>3175.365545142356</v>
      </c>
      <c r="H19" s="53">
        <f t="shared" si="1"/>
        <v>3500.8021784121534</v>
      </c>
      <c r="I19" s="56">
        <f t="shared" si="2"/>
        <v>6676.1677235545094</v>
      </c>
    </row>
    <row r="20" spans="2:9">
      <c r="E20" s="118">
        <v>5</v>
      </c>
      <c r="F20" s="56">
        <f t="shared" si="3"/>
        <v>24550.790275910713</v>
      </c>
      <c r="G20" s="56">
        <f t="shared" si="0"/>
        <v>3531.0064861982996</v>
      </c>
      <c r="H20" s="53">
        <f t="shared" si="1"/>
        <v>3145.1612373562098</v>
      </c>
      <c r="I20" s="56">
        <f t="shared" si="2"/>
        <v>6676.1677235545094</v>
      </c>
    </row>
    <row r="21" spans="2:9">
      <c r="E21" s="118">
        <v>6</v>
      </c>
      <c r="F21" s="56">
        <f t="shared" si="3"/>
        <v>20624.311063258203</v>
      </c>
      <c r="G21" s="56">
        <f t="shared" si="0"/>
        <v>3926.4792126525094</v>
      </c>
      <c r="H21" s="53">
        <f t="shared" si="1"/>
        <v>2749.688510902</v>
      </c>
      <c r="I21" s="56">
        <f t="shared" si="2"/>
        <v>6676.1677235545094</v>
      </c>
    </row>
    <row r="22" spans="2:9">
      <c r="E22" s="118">
        <v>7</v>
      </c>
      <c r="F22" s="56">
        <f t="shared" si="3"/>
        <v>16258.066178788613</v>
      </c>
      <c r="G22" s="56">
        <f t="shared" si="0"/>
        <v>4366.24488446959</v>
      </c>
      <c r="H22" s="53">
        <f t="shared" si="1"/>
        <v>2309.9228390849189</v>
      </c>
      <c r="I22" s="56">
        <f t="shared" si="2"/>
        <v>6676.1677235545094</v>
      </c>
    </row>
    <row r="23" spans="2:9">
      <c r="E23" s="118">
        <v>8</v>
      </c>
      <c r="F23" s="56">
        <f t="shared" si="3"/>
        <v>11402.801867258429</v>
      </c>
      <c r="G23" s="56">
        <f t="shared" si="0"/>
        <v>4855.2643115301844</v>
      </c>
      <c r="H23" s="53">
        <f t="shared" si="1"/>
        <v>1820.9034120243248</v>
      </c>
      <c r="I23" s="56">
        <f t="shared" si="2"/>
        <v>6676.1677235545094</v>
      </c>
    </row>
    <row r="24" spans="2:9">
      <c r="E24" s="118">
        <v>9</v>
      </c>
      <c r="F24" s="56">
        <f t="shared" si="3"/>
        <v>6003.747952836864</v>
      </c>
      <c r="G24" s="56">
        <f t="shared" si="0"/>
        <v>5399.0539144215654</v>
      </c>
      <c r="H24" s="53">
        <f t="shared" si="1"/>
        <v>1277.1138091329442</v>
      </c>
      <c r="I24" s="56">
        <f t="shared" si="2"/>
        <v>6676.1677235545094</v>
      </c>
    </row>
    <row r="25" spans="2:9" ht="15.75" thickBot="1">
      <c r="B25" s="119"/>
      <c r="C25" s="119"/>
      <c r="D25" s="119"/>
      <c r="E25" s="120">
        <v>10</v>
      </c>
      <c r="F25" s="121" t="s">
        <v>57</v>
      </c>
      <c r="G25" s="105">
        <f t="shared" si="0"/>
        <v>6003.7479528367803</v>
      </c>
      <c r="H25" s="53">
        <f t="shared" si="1"/>
        <v>672.41977071772874</v>
      </c>
      <c r="I25" s="105">
        <f t="shared" si="2"/>
        <v>6676.1677235545094</v>
      </c>
    </row>
    <row r="26" spans="2:9" ht="16.5" thickTop="1" thickBot="1">
      <c r="B26" s="119" t="s">
        <v>484</v>
      </c>
      <c r="D26" s="576" t="s">
        <v>238</v>
      </c>
      <c r="E26" s="119"/>
      <c r="F26" s="122">
        <f>SUM(F15:F25)</f>
        <v>247961.96323589422</v>
      </c>
      <c r="G26" s="123">
        <f t="shared" ref="G26:I26" si="4">SUM(G15:G25)</f>
        <v>38989.937353124944</v>
      </c>
      <c r="H26" s="122">
        <f t="shared" si="4"/>
        <v>27771.739882420159</v>
      </c>
      <c r="I26" s="122">
        <f t="shared" si="4"/>
        <v>66761.677235545081</v>
      </c>
    </row>
    <row r="27" spans="2:9" ht="15.75" thickTop="1">
      <c r="B27" s="124"/>
      <c r="C27" s="119"/>
      <c r="D27" s="126">
        <v>1500</v>
      </c>
      <c r="E27" s="119"/>
    </row>
    <row r="28" spans="2:9">
      <c r="B28" s="629" t="s">
        <v>261</v>
      </c>
      <c r="C28" s="125">
        <v>1</v>
      </c>
      <c r="D28" s="126">
        <f>$D$27/10</f>
        <v>150</v>
      </c>
      <c r="E28" s="119"/>
    </row>
    <row r="29" spans="2:9">
      <c r="B29" s="630"/>
      <c r="C29" s="125">
        <v>2</v>
      </c>
      <c r="D29" s="126">
        <f t="shared" ref="D29:D37" si="5">$D$27/10</f>
        <v>150</v>
      </c>
      <c r="E29" s="119"/>
    </row>
    <row r="30" spans="2:9">
      <c r="B30" s="630"/>
      <c r="C30" s="125">
        <v>3</v>
      </c>
      <c r="D30" s="126">
        <f t="shared" si="5"/>
        <v>150</v>
      </c>
      <c r="E30" s="119"/>
    </row>
    <row r="31" spans="2:9">
      <c r="B31" s="630"/>
      <c r="C31" s="125">
        <v>4</v>
      </c>
      <c r="D31" s="126">
        <f t="shared" si="5"/>
        <v>150</v>
      </c>
      <c r="E31" s="119"/>
    </row>
    <row r="32" spans="2:9">
      <c r="B32" s="630"/>
      <c r="C32" s="125">
        <v>5</v>
      </c>
      <c r="D32" s="126">
        <f t="shared" si="5"/>
        <v>150</v>
      </c>
      <c r="E32" s="119"/>
    </row>
    <row r="33" spans="2:5">
      <c r="B33" s="630"/>
      <c r="C33" s="125">
        <v>6</v>
      </c>
      <c r="D33" s="126">
        <f t="shared" si="5"/>
        <v>150</v>
      </c>
      <c r="E33" s="119"/>
    </row>
    <row r="34" spans="2:5">
      <c r="B34" s="630"/>
      <c r="C34" s="125">
        <v>7</v>
      </c>
      <c r="D34" s="126">
        <f t="shared" si="5"/>
        <v>150</v>
      </c>
      <c r="E34" s="119"/>
    </row>
    <row r="35" spans="2:5">
      <c r="B35" s="630"/>
      <c r="C35" s="125">
        <v>8</v>
      </c>
      <c r="D35" s="126">
        <f t="shared" si="5"/>
        <v>150</v>
      </c>
      <c r="E35" s="119"/>
    </row>
    <row r="36" spans="2:5">
      <c r="B36" s="630"/>
      <c r="C36" s="125">
        <v>9</v>
      </c>
      <c r="D36" s="126">
        <f t="shared" si="5"/>
        <v>150</v>
      </c>
      <c r="E36" s="119"/>
    </row>
    <row r="37" spans="2:5">
      <c r="B37" s="631"/>
      <c r="C37" s="125">
        <v>10</v>
      </c>
      <c r="D37" s="126">
        <f t="shared" si="5"/>
        <v>150</v>
      </c>
      <c r="E37" s="119"/>
    </row>
  </sheetData>
  <mergeCells count="1">
    <mergeCell ref="B28:B37"/>
  </mergeCells>
  <hyperlinks>
    <hyperlink ref="I10"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P38"/>
  <sheetViews>
    <sheetView topLeftCell="A10" zoomScale="70" zoomScaleNormal="70" workbookViewId="0">
      <selection activeCell="D62" sqref="D62"/>
    </sheetView>
  </sheetViews>
  <sheetFormatPr baseColWidth="10" defaultRowHeight="15"/>
  <cols>
    <col min="1" max="2" width="11.42578125" style="1"/>
    <col min="3" max="3" width="47.140625" style="1" customWidth="1"/>
    <col min="4" max="5" width="14.140625" style="1" customWidth="1"/>
    <col min="6" max="6" width="13" style="1" customWidth="1"/>
    <col min="7" max="7" width="13.5703125" style="1" customWidth="1"/>
    <col min="8" max="8" width="13.140625" style="1" customWidth="1"/>
    <col min="9" max="10" width="14.140625" style="1" customWidth="1"/>
    <col min="11" max="11" width="13.5703125" style="1" customWidth="1"/>
    <col min="12" max="13" width="14.140625" style="1" customWidth="1"/>
    <col min="14" max="68" width="11.42578125" style="1"/>
  </cols>
  <sheetData>
    <row r="1" spans="3:13" ht="16.5" thickTop="1" thickBot="1">
      <c r="C1" s="577" t="s">
        <v>485</v>
      </c>
      <c r="D1" s="127"/>
    </row>
    <row r="2" spans="3:13" ht="15.75" thickTop="1">
      <c r="C2" s="128" t="s">
        <v>263</v>
      </c>
      <c r="D2" s="129">
        <v>0.24</v>
      </c>
    </row>
    <row r="3" spans="3:13">
      <c r="C3" s="130" t="s">
        <v>264</v>
      </c>
      <c r="D3" s="131">
        <v>0.23</v>
      </c>
    </row>
    <row r="4" spans="3:13" ht="15.75" thickBot="1">
      <c r="C4" s="132" t="s">
        <v>265</v>
      </c>
      <c r="D4" s="133">
        <v>0.22</v>
      </c>
    </row>
    <row r="5" spans="3:13" ht="16.5" thickTop="1" thickBot="1">
      <c r="C5" s="127"/>
      <c r="D5" s="127"/>
    </row>
    <row r="6" spans="3:13" ht="15.75" thickTop="1">
      <c r="C6" s="134" t="s">
        <v>266</v>
      </c>
      <c r="D6" s="135">
        <f>Demanda!B14</f>
        <v>0.1103</v>
      </c>
    </row>
    <row r="7" spans="3:13">
      <c r="C7" s="136" t="s">
        <v>267</v>
      </c>
      <c r="D7" s="137">
        <v>4.8399999999999999E-2</v>
      </c>
    </row>
    <row r="8" spans="3:13" ht="15.75" thickBot="1">
      <c r="C8" s="138" t="s">
        <v>268</v>
      </c>
      <c r="D8" s="139">
        <f>+D6+D7+(D6*D7)</f>
        <v>0.16403852000000002</v>
      </c>
      <c r="F8" s="252"/>
      <c r="G8" s="252"/>
      <c r="H8" s="252"/>
      <c r="I8" s="252"/>
    </row>
    <row r="9" spans="3:13" ht="15.75" thickTop="1"/>
    <row r="11" spans="3:13">
      <c r="C11" s="101" t="s">
        <v>269</v>
      </c>
    </row>
    <row r="12" spans="3:13" ht="18">
      <c r="C12" s="632" t="s">
        <v>270</v>
      </c>
      <c r="D12" s="632"/>
      <c r="E12" s="632"/>
      <c r="F12" s="632"/>
      <c r="G12" s="632"/>
      <c r="H12" s="632"/>
      <c r="I12" s="632"/>
      <c r="J12" s="632"/>
      <c r="K12" s="632"/>
      <c r="L12" s="632"/>
      <c r="M12" s="632"/>
    </row>
    <row r="13" spans="3:13" ht="15.75" thickBot="1"/>
    <row r="14" spans="3:13" ht="16.5" thickTop="1" thickBot="1">
      <c r="C14" s="403" t="s">
        <v>75</v>
      </c>
      <c r="D14" s="404">
        <v>1</v>
      </c>
      <c r="E14" s="405">
        <v>2</v>
      </c>
      <c r="F14" s="404">
        <v>3</v>
      </c>
      <c r="G14" s="405">
        <v>4</v>
      </c>
      <c r="H14" s="404">
        <v>5</v>
      </c>
      <c r="I14" s="405">
        <v>6</v>
      </c>
      <c r="J14" s="404">
        <v>7</v>
      </c>
      <c r="K14" s="405">
        <v>8</v>
      </c>
      <c r="L14" s="404">
        <v>9</v>
      </c>
      <c r="M14" s="405">
        <v>10</v>
      </c>
    </row>
    <row r="15" spans="3:13" ht="15.75" thickTop="1">
      <c r="C15" s="406" t="s">
        <v>10</v>
      </c>
      <c r="D15" s="407">
        <f>'proyeccion de ingresos'!N10</f>
        <v>72775.531078124986</v>
      </c>
      <c r="E15" s="408">
        <f>$D$15*(1+$D$8)^E14</f>
        <v>98609.802177339079</v>
      </c>
      <c r="F15" s="407">
        <f t="shared" ref="F15:M15" si="0">$D$15*(1+$D$8)^F14</f>
        <v>114785.60818400256</v>
      </c>
      <c r="G15" s="408">
        <f t="shared" si="0"/>
        <v>133614.86946780625</v>
      </c>
      <c r="H15" s="407">
        <f t="shared" si="0"/>
        <v>155532.85490529839</v>
      </c>
      <c r="I15" s="408">
        <f t="shared" si="0"/>
        <v>181046.23423533828</v>
      </c>
      <c r="J15" s="407">
        <f t="shared" si="0"/>
        <v>210744.79055087653</v>
      </c>
      <c r="K15" s="408">
        <f t="shared" si="0"/>
        <v>245315.05409055232</v>
      </c>
      <c r="L15" s="407">
        <f t="shared" si="0"/>
        <v>285556.17249728652</v>
      </c>
      <c r="M15" s="408">
        <f t="shared" si="0"/>
        <v>332398.38441060612</v>
      </c>
    </row>
    <row r="16" spans="3:13" ht="15.75" thickBot="1">
      <c r="C16" s="409" t="s">
        <v>271</v>
      </c>
      <c r="D16" s="410">
        <f>'proyeccion de ingresos'!I20</f>
        <v>29110.212431249995</v>
      </c>
      <c r="E16" s="411">
        <f>+$D$16*(1+$D$8)^E14</f>
        <v>39443.920870935632</v>
      </c>
      <c r="F16" s="410">
        <f t="shared" ref="F16:M16" si="1">+$D$16*(1+$D$8)^F14</f>
        <v>45914.243273601023</v>
      </c>
      <c r="G16" s="411">
        <f t="shared" si="1"/>
        <v>53445.947787122503</v>
      </c>
      <c r="H16" s="410">
        <f t="shared" si="1"/>
        <v>62213.141962119356</v>
      </c>
      <c r="I16" s="411">
        <f t="shared" si="1"/>
        <v>72418.493694135323</v>
      </c>
      <c r="J16" s="410">
        <f t="shared" si="1"/>
        <v>84297.916220350613</v>
      </c>
      <c r="K16" s="411">
        <f t="shared" si="1"/>
        <v>98126.021636220932</v>
      </c>
      <c r="L16" s="410">
        <f t="shared" si="1"/>
        <v>114222.46899891461</v>
      </c>
      <c r="M16" s="411">
        <f t="shared" si="1"/>
        <v>132959.35376424243</v>
      </c>
    </row>
    <row r="17" spans="3:14" ht="16.5" thickTop="1" thickBot="1">
      <c r="C17" s="412" t="s">
        <v>272</v>
      </c>
      <c r="D17" s="413">
        <f>D15-D16</f>
        <v>43665.318646874992</v>
      </c>
      <c r="E17" s="414">
        <f t="shared" ref="E17:M17" si="2">E15-E16</f>
        <v>59165.881306403448</v>
      </c>
      <c r="F17" s="415">
        <f t="shared" si="2"/>
        <v>68871.364910401535</v>
      </c>
      <c r="G17" s="414">
        <f t="shared" si="2"/>
        <v>80168.921680683736</v>
      </c>
      <c r="H17" s="415">
        <f t="shared" si="2"/>
        <v>93319.712943179038</v>
      </c>
      <c r="I17" s="414">
        <f t="shared" si="2"/>
        <v>108627.74054120296</v>
      </c>
      <c r="J17" s="415">
        <f t="shared" si="2"/>
        <v>126446.87433052591</v>
      </c>
      <c r="K17" s="414">
        <f t="shared" si="2"/>
        <v>147189.03245433141</v>
      </c>
      <c r="L17" s="415">
        <f t="shared" si="2"/>
        <v>171333.70349837191</v>
      </c>
      <c r="M17" s="414">
        <f t="shared" si="2"/>
        <v>199439.03064636368</v>
      </c>
    </row>
    <row r="18" spans="3:14" ht="16.5" thickTop="1" thickBot="1">
      <c r="C18" s="416"/>
      <c r="D18" s="410"/>
      <c r="E18" s="410"/>
      <c r="F18" s="410"/>
      <c r="G18" s="410"/>
      <c r="H18" s="410"/>
      <c r="I18" s="410"/>
      <c r="J18" s="410"/>
      <c r="K18" s="410"/>
      <c r="L18" s="410"/>
      <c r="M18" s="410"/>
    </row>
    <row r="19" spans="3:14" ht="15.75" thickTop="1">
      <c r="C19" s="417" t="s">
        <v>453</v>
      </c>
      <c r="D19" s="418">
        <f t="shared" ref="D19:M19" si="3">SUM(D20:D23)</f>
        <v>81275.759999999995</v>
      </c>
      <c r="E19" s="418">
        <f t="shared" si="3"/>
        <v>97160.730891843268</v>
      </c>
      <c r="F19" s="419">
        <f t="shared" si="3"/>
        <v>40678.090600249365</v>
      </c>
      <c r="G19" s="418">
        <f t="shared" si="3"/>
        <v>41394.853469984984</v>
      </c>
      <c r="H19" s="418">
        <f t="shared" si="3"/>
        <v>41973.104585662986</v>
      </c>
      <c r="I19" s="418">
        <f t="shared" si="3"/>
        <v>42426.211158545157</v>
      </c>
      <c r="J19" s="418">
        <f t="shared" si="3"/>
        <v>43209.73313744519</v>
      </c>
      <c r="K19" s="419">
        <f t="shared" si="3"/>
        <v>44121.782902151455</v>
      </c>
      <c r="L19" s="420">
        <f t="shared" si="3"/>
        <v>45183.443960426492</v>
      </c>
      <c r="M19" s="418">
        <f t="shared" si="3"/>
        <v>46419.258327442592</v>
      </c>
    </row>
    <row r="20" spans="3:14">
      <c r="C20" s="421" t="s">
        <v>12</v>
      </c>
      <c r="D20" s="411">
        <f>'gastos administrativos'!D7</f>
        <v>36385.759999999995</v>
      </c>
      <c r="E20" s="411">
        <f>D20</f>
        <v>36385.759999999995</v>
      </c>
      <c r="F20" s="411">
        <f t="shared" ref="F20:M20" si="4">E20</f>
        <v>36385.759999999995</v>
      </c>
      <c r="G20" s="411">
        <f t="shared" si="4"/>
        <v>36385.759999999995</v>
      </c>
      <c r="H20" s="411">
        <f t="shared" si="4"/>
        <v>36385.759999999995</v>
      </c>
      <c r="I20" s="411">
        <f t="shared" si="4"/>
        <v>36385.759999999995</v>
      </c>
      <c r="J20" s="411">
        <f t="shared" si="4"/>
        <v>36385.759999999995</v>
      </c>
      <c r="K20" s="411">
        <f t="shared" si="4"/>
        <v>36385.759999999995</v>
      </c>
      <c r="L20" s="410">
        <f t="shared" si="4"/>
        <v>36385.759999999995</v>
      </c>
      <c r="M20" s="411">
        <f t="shared" si="4"/>
        <v>36385.759999999995</v>
      </c>
    </row>
    <row r="21" spans="3:14">
      <c r="C21" s="421" t="s">
        <v>274</v>
      </c>
      <c r="D21" s="411">
        <f t="array" ref="D21:M21">+TRANSPOSE([1]Amortizacion!D28:D37)</f>
        <v>150</v>
      </c>
      <c r="E21" s="411">
        <v>150</v>
      </c>
      <c r="F21" s="411">
        <v>150</v>
      </c>
      <c r="G21" s="411">
        <v>150</v>
      </c>
      <c r="H21" s="411">
        <v>150</v>
      </c>
      <c r="I21" s="411">
        <v>150</v>
      </c>
      <c r="J21" s="411">
        <v>150</v>
      </c>
      <c r="K21" s="411">
        <v>150</v>
      </c>
      <c r="L21" s="411">
        <v>150</v>
      </c>
      <c r="M21" s="422">
        <v>150</v>
      </c>
    </row>
    <row r="22" spans="3:14">
      <c r="C22" s="421" t="s">
        <v>275</v>
      </c>
      <c r="D22" s="411">
        <f>depreciacion!C54</f>
        <v>820</v>
      </c>
      <c r="E22" s="411">
        <f>depreciacion!D54</f>
        <v>1114</v>
      </c>
      <c r="F22" s="411">
        <f>depreciacion!E54</f>
        <v>1114</v>
      </c>
      <c r="G22" s="411">
        <f>depreciacion!F54</f>
        <v>1334</v>
      </c>
      <c r="H22" s="411">
        <f>depreciacion!G54</f>
        <v>1334</v>
      </c>
      <c r="I22" s="411">
        <f>depreciacion!H54</f>
        <v>1114</v>
      </c>
      <c r="J22" s="411">
        <f>depreciacion!I54</f>
        <v>1114</v>
      </c>
      <c r="K22" s="411">
        <f>depreciacion!J54</f>
        <v>1114</v>
      </c>
      <c r="L22" s="411">
        <f>depreciacion!K54</f>
        <v>1114</v>
      </c>
      <c r="M22" s="411">
        <f>depreciacion!L54</f>
        <v>1114</v>
      </c>
    </row>
    <row r="23" spans="3:14" ht="15.75" thickBot="1">
      <c r="C23" s="421" t="s">
        <v>276</v>
      </c>
      <c r="D23" s="423">
        <f>'gastos administrativos'!D13</f>
        <v>43920</v>
      </c>
      <c r="E23" s="423">
        <f>$D$23*(1+$D$8)^E14</f>
        <v>59510.970891843281</v>
      </c>
      <c r="F23" s="423">
        <f>1920*(1+$D$8)^F14</f>
        <v>3028.33060024937</v>
      </c>
      <c r="G23" s="423">
        <f>1920*(1+$D$8)^G14</f>
        <v>3525.093469984989</v>
      </c>
      <c r="H23" s="423">
        <f t="shared" ref="H23:M23" si="5">1920*(1+$D$8)^H14</f>
        <v>4103.3445856629914</v>
      </c>
      <c r="I23" s="423">
        <f t="shared" si="5"/>
        <v>4776.4511585451619</v>
      </c>
      <c r="J23" s="423">
        <f t="shared" si="5"/>
        <v>5559.9731374451958</v>
      </c>
      <c r="K23" s="423">
        <f t="shared" si="5"/>
        <v>6472.0229021514633</v>
      </c>
      <c r="L23" s="422">
        <f t="shared" si="5"/>
        <v>7533.6839604264951</v>
      </c>
      <c r="M23" s="411">
        <f t="shared" si="5"/>
        <v>8769.4983274425958</v>
      </c>
    </row>
    <row r="24" spans="3:14" ht="16.5" thickTop="1" thickBot="1">
      <c r="C24" s="172" t="s">
        <v>452</v>
      </c>
      <c r="D24" s="414">
        <f>D17-D19</f>
        <v>-37610.441353125003</v>
      </c>
      <c r="E24" s="414">
        <f t="shared" ref="E24:M24" si="6">E17-E19</f>
        <v>-37994.849585439821</v>
      </c>
      <c r="F24" s="414">
        <f t="shared" si="6"/>
        <v>28193.27431015217</v>
      </c>
      <c r="G24" s="414">
        <f t="shared" si="6"/>
        <v>38774.068210698751</v>
      </c>
      <c r="H24" s="414">
        <f t="shared" si="6"/>
        <v>51346.608357516052</v>
      </c>
      <c r="I24" s="414">
        <f t="shared" si="6"/>
        <v>66201.529382657813</v>
      </c>
      <c r="J24" s="414">
        <f t="shared" si="6"/>
        <v>83237.141193080723</v>
      </c>
      <c r="K24" s="414">
        <f t="shared" si="6"/>
        <v>103067.24955217994</v>
      </c>
      <c r="L24" s="414">
        <f t="shared" si="6"/>
        <v>126150.25953794541</v>
      </c>
      <c r="M24" s="414">
        <f t="shared" si="6"/>
        <v>153019.77231892108</v>
      </c>
    </row>
    <row r="25" spans="3:14" ht="16.5" thickTop="1" thickBot="1">
      <c r="C25" s="402"/>
      <c r="D25" s="424"/>
      <c r="E25" s="424"/>
      <c r="F25" s="424"/>
      <c r="G25" s="424"/>
      <c r="H25" s="424"/>
      <c r="I25" s="424"/>
      <c r="J25" s="424"/>
      <c r="K25" s="424"/>
      <c r="L25" s="424"/>
      <c r="M25" s="425"/>
      <c r="N25" s="36"/>
    </row>
    <row r="26" spans="3:14" ht="16.5" thickTop="1" thickBot="1">
      <c r="C26" s="144" t="s">
        <v>451</v>
      </c>
      <c r="D26" s="414">
        <f>+D27</f>
        <v>4366.8729835500026</v>
      </c>
      <c r="E26" s="414">
        <f t="shared" ref="E26:M26" si="7">+E27</f>
        <v>4108.2319726694977</v>
      </c>
      <c r="F26" s="414">
        <f t="shared" si="7"/>
        <v>3820.623168570376</v>
      </c>
      <c r="G26" s="414">
        <f t="shared" si="7"/>
        <v>3500.8021784121534</v>
      </c>
      <c r="H26" s="414">
        <f t="shared" si="7"/>
        <v>3145.1612373562098</v>
      </c>
      <c r="I26" s="414">
        <f t="shared" si="7"/>
        <v>2749.688510902</v>
      </c>
      <c r="J26" s="414">
        <f t="shared" si="7"/>
        <v>2309.9228390849189</v>
      </c>
      <c r="K26" s="414">
        <f t="shared" si="7"/>
        <v>1820.9034120243248</v>
      </c>
      <c r="L26" s="414">
        <f t="shared" si="7"/>
        <v>1277.1138091329442</v>
      </c>
      <c r="M26" s="414">
        <f t="shared" si="7"/>
        <v>672.41977071772874</v>
      </c>
    </row>
    <row r="27" spans="3:14" ht="15" customHeight="1" thickTop="1" thickBot="1">
      <c r="C27" s="421" t="s">
        <v>279</v>
      </c>
      <c r="D27" s="426">
        <f>amortizacion!$H16</f>
        <v>4366.8729835500026</v>
      </c>
      <c r="E27" s="426">
        <f>amortizacion!$H17</f>
        <v>4108.2319726694977</v>
      </c>
      <c r="F27" s="426">
        <f>amortizacion!$H18</f>
        <v>3820.623168570376</v>
      </c>
      <c r="G27" s="426">
        <f>amortizacion!$H19</f>
        <v>3500.8021784121534</v>
      </c>
      <c r="H27" s="426">
        <f>amortizacion!$H20</f>
        <v>3145.1612373562098</v>
      </c>
      <c r="I27" s="426">
        <f>amortizacion!$H21</f>
        <v>2749.688510902</v>
      </c>
      <c r="J27" s="426">
        <f>amortizacion!$H22</f>
        <v>2309.9228390849189</v>
      </c>
      <c r="K27" s="426">
        <f>amortizacion!$H23</f>
        <v>1820.9034120243248</v>
      </c>
      <c r="L27" s="426">
        <f>amortizacion!$H24</f>
        <v>1277.1138091329442</v>
      </c>
      <c r="M27" s="426">
        <f>amortizacion!$H25</f>
        <v>672.41977071772874</v>
      </c>
    </row>
    <row r="28" spans="3:14" ht="16.5" thickTop="1" thickBot="1">
      <c r="C28" s="144" t="s">
        <v>450</v>
      </c>
      <c r="D28" s="413">
        <f>D24-D26</f>
        <v>-41977.314336675008</v>
      </c>
      <c r="E28" s="414">
        <f t="shared" ref="E28:M28" si="8">E24-E26</f>
        <v>-42103.081558109319</v>
      </c>
      <c r="F28" s="415">
        <f t="shared" si="8"/>
        <v>24372.651141581795</v>
      </c>
      <c r="G28" s="414">
        <f t="shared" si="8"/>
        <v>35273.2660322866</v>
      </c>
      <c r="H28" s="415">
        <f t="shared" si="8"/>
        <v>48201.447120159843</v>
      </c>
      <c r="I28" s="414">
        <f t="shared" si="8"/>
        <v>63451.840871755812</v>
      </c>
      <c r="J28" s="413">
        <f t="shared" si="8"/>
        <v>80927.218353995806</v>
      </c>
      <c r="K28" s="414">
        <f t="shared" si="8"/>
        <v>101246.34614015561</v>
      </c>
      <c r="L28" s="415">
        <f t="shared" si="8"/>
        <v>124873.14572881247</v>
      </c>
      <c r="M28" s="414">
        <f t="shared" si="8"/>
        <v>152347.35254820334</v>
      </c>
    </row>
    <row r="29" spans="3:14" ht="16.5" thickTop="1" thickBot="1">
      <c r="C29" s="409" t="s">
        <v>281</v>
      </c>
      <c r="D29" s="427">
        <v>0</v>
      </c>
      <c r="E29" s="423">
        <v>0</v>
      </c>
      <c r="F29" s="428">
        <f t="shared" ref="F29:M29" si="9">+F28*0.15</f>
        <v>3655.8976712372692</v>
      </c>
      <c r="G29" s="423">
        <f t="shared" si="9"/>
        <v>5290.9899048429897</v>
      </c>
      <c r="H29" s="428">
        <f t="shared" si="9"/>
        <v>7230.217068023976</v>
      </c>
      <c r="I29" s="423">
        <f t="shared" si="9"/>
        <v>9517.7761307633718</v>
      </c>
      <c r="J29" s="428">
        <f t="shared" si="9"/>
        <v>12139.08275309937</v>
      </c>
      <c r="K29" s="423">
        <f t="shared" si="9"/>
        <v>15186.951921023341</v>
      </c>
      <c r="L29" s="428">
        <f t="shared" si="9"/>
        <v>18730.971859321868</v>
      </c>
      <c r="M29" s="423">
        <f t="shared" si="9"/>
        <v>22852.102882230502</v>
      </c>
    </row>
    <row r="30" spans="3:14" ht="15.75" thickTop="1">
      <c r="C30" s="144" t="s">
        <v>449</v>
      </c>
      <c r="D30" s="429">
        <f>D28-D29</f>
        <v>-41977.314336675008</v>
      </c>
      <c r="E30" s="418">
        <f t="shared" ref="E30:M30" si="10">E28-E29</f>
        <v>-42103.081558109319</v>
      </c>
      <c r="F30" s="420">
        <f t="shared" si="10"/>
        <v>20716.753470344527</v>
      </c>
      <c r="G30" s="418">
        <f t="shared" si="10"/>
        <v>29982.276127443609</v>
      </c>
      <c r="H30" s="420">
        <f t="shared" si="10"/>
        <v>40971.23005213587</v>
      </c>
      <c r="I30" s="418">
        <f t="shared" si="10"/>
        <v>53934.064740992442</v>
      </c>
      <c r="J30" s="420">
        <f t="shared" si="10"/>
        <v>68788.135600896436</v>
      </c>
      <c r="K30" s="418">
        <f t="shared" si="10"/>
        <v>86059.394219132271</v>
      </c>
      <c r="L30" s="420">
        <f t="shared" si="10"/>
        <v>106142.17386949059</v>
      </c>
      <c r="M30" s="418">
        <f t="shared" si="10"/>
        <v>129495.24966597283</v>
      </c>
    </row>
    <row r="31" spans="3:14" ht="15.75" thickBot="1">
      <c r="C31" s="409" t="s">
        <v>283</v>
      </c>
      <c r="D31" s="427">
        <v>0</v>
      </c>
      <c r="E31" s="423">
        <v>0</v>
      </c>
      <c r="F31" s="428">
        <f t="shared" ref="F31:M31" si="11">F30*0.1</f>
        <v>2071.6753470344529</v>
      </c>
      <c r="G31" s="423">
        <f t="shared" si="11"/>
        <v>2998.2276127443611</v>
      </c>
      <c r="H31" s="428">
        <f t="shared" si="11"/>
        <v>4097.123005213587</v>
      </c>
      <c r="I31" s="423">
        <f t="shared" si="11"/>
        <v>5393.4064740992444</v>
      </c>
      <c r="J31" s="428">
        <f t="shared" si="11"/>
        <v>6878.8135600896439</v>
      </c>
      <c r="K31" s="423">
        <f t="shared" si="11"/>
        <v>8605.9394219132282</v>
      </c>
      <c r="L31" s="428">
        <f t="shared" si="11"/>
        <v>10614.21738694906</v>
      </c>
      <c r="M31" s="423">
        <f t="shared" si="11"/>
        <v>12949.524966597284</v>
      </c>
    </row>
    <row r="32" spans="3:14" ht="16.5" thickTop="1" thickBot="1">
      <c r="C32" s="144" t="s">
        <v>448</v>
      </c>
      <c r="D32" s="414">
        <f>+D30-D31</f>
        <v>-41977.314336675008</v>
      </c>
      <c r="E32" s="414">
        <f t="shared" ref="E32:M32" si="12">+E30-E31</f>
        <v>-42103.081558109319</v>
      </c>
      <c r="F32" s="414">
        <f t="shared" si="12"/>
        <v>18645.078123310075</v>
      </c>
      <c r="G32" s="414">
        <f t="shared" si="12"/>
        <v>26984.048514699247</v>
      </c>
      <c r="H32" s="415">
        <f t="shared" si="12"/>
        <v>36874.107046922283</v>
      </c>
      <c r="I32" s="414">
        <f t="shared" si="12"/>
        <v>48540.658266893195</v>
      </c>
      <c r="J32" s="415">
        <f t="shared" si="12"/>
        <v>61909.322040806794</v>
      </c>
      <c r="K32" s="414">
        <f t="shared" si="12"/>
        <v>77453.454797219048</v>
      </c>
      <c r="L32" s="415">
        <f t="shared" si="12"/>
        <v>95527.956482541529</v>
      </c>
      <c r="M32" s="414">
        <f t="shared" si="12"/>
        <v>116545.72469937555</v>
      </c>
    </row>
    <row r="33" spans="3:13" ht="16.5" thickTop="1" thickBot="1">
      <c r="C33" s="409" t="s">
        <v>285</v>
      </c>
      <c r="D33" s="410">
        <v>0</v>
      </c>
      <c r="E33" s="411">
        <v>0</v>
      </c>
      <c r="F33" s="410">
        <f t="shared" ref="F33:M33" si="13">+F32*$D$3</f>
        <v>4288.3679683613173</v>
      </c>
      <c r="G33" s="411">
        <f t="shared" si="13"/>
        <v>6206.3311583808272</v>
      </c>
      <c r="H33" s="410">
        <f t="shared" si="13"/>
        <v>8481.044620792125</v>
      </c>
      <c r="I33" s="411">
        <f t="shared" si="13"/>
        <v>11164.351401385435</v>
      </c>
      <c r="J33" s="410">
        <f t="shared" si="13"/>
        <v>14239.144069385564</v>
      </c>
      <c r="K33" s="411">
        <f t="shared" si="13"/>
        <v>17814.29460336038</v>
      </c>
      <c r="L33" s="410">
        <f t="shared" si="13"/>
        <v>21971.429990984554</v>
      </c>
      <c r="M33" s="411">
        <f t="shared" si="13"/>
        <v>26805.516680856377</v>
      </c>
    </row>
    <row r="34" spans="3:13" ht="16.5" thickTop="1" thickBot="1">
      <c r="C34" s="147" t="s">
        <v>454</v>
      </c>
      <c r="D34" s="430">
        <f>D32-D33</f>
        <v>-41977.314336675008</v>
      </c>
      <c r="E34" s="431">
        <f t="shared" ref="E34:L34" si="14">E32-E33</f>
        <v>-42103.081558109319</v>
      </c>
      <c r="F34" s="432">
        <f t="shared" si="14"/>
        <v>14356.710154948758</v>
      </c>
      <c r="G34" s="431">
        <f t="shared" si="14"/>
        <v>20777.717356318419</v>
      </c>
      <c r="H34" s="432">
        <f t="shared" si="14"/>
        <v>28393.062426130156</v>
      </c>
      <c r="I34" s="431">
        <f t="shared" si="14"/>
        <v>37376.306865507759</v>
      </c>
      <c r="J34" s="432">
        <f t="shared" si="14"/>
        <v>47670.177971421232</v>
      </c>
      <c r="K34" s="431">
        <f t="shared" si="14"/>
        <v>59639.160193858668</v>
      </c>
      <c r="L34" s="432">
        <f t="shared" si="14"/>
        <v>73556.526491556971</v>
      </c>
      <c r="M34" s="431">
        <f>M32-M33</f>
        <v>89740.208018519173</v>
      </c>
    </row>
    <row r="35" spans="3:13" ht="15.75" thickTop="1">
      <c r="C35" s="101" t="s">
        <v>45</v>
      </c>
    </row>
    <row r="38" spans="3:13">
      <c r="D38" s="58"/>
    </row>
  </sheetData>
  <mergeCells count="1">
    <mergeCell ref="C12:M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J163"/>
  <sheetViews>
    <sheetView topLeftCell="B28" zoomScale="80" zoomScaleNormal="80" workbookViewId="0">
      <selection activeCell="D50" sqref="D50"/>
    </sheetView>
  </sheetViews>
  <sheetFormatPr baseColWidth="10" defaultRowHeight="15"/>
  <cols>
    <col min="3" max="3" width="49" customWidth="1"/>
    <col min="4" max="4" width="15.140625" customWidth="1"/>
    <col min="5" max="6" width="13.85546875" customWidth="1"/>
    <col min="7" max="7" width="14.140625" customWidth="1"/>
    <col min="8" max="8" width="14.5703125" customWidth="1"/>
    <col min="9" max="9" width="14.7109375" customWidth="1"/>
    <col min="10" max="11" width="16.140625" customWidth="1"/>
    <col min="12" max="14" width="13.85546875" customWidth="1"/>
    <col min="15" max="15" width="14.5703125" customWidth="1"/>
    <col min="26" max="26" width="11.42578125" customWidth="1"/>
    <col min="27" max="27" width="13.28515625" customWidth="1"/>
    <col min="28" max="28" width="17.28515625" customWidth="1"/>
  </cols>
  <sheetData>
    <row r="1" spans="1:36" ht="15.75" thickBot="1">
      <c r="A1" s="1"/>
      <c r="B1" s="1"/>
      <c r="C1" s="1"/>
      <c r="D1" s="1"/>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row>
    <row r="2" spans="1:36" ht="16.5" thickTop="1" thickBot="1">
      <c r="A2" s="1"/>
      <c r="B2" s="1"/>
      <c r="C2" s="1"/>
      <c r="D2" s="1"/>
      <c r="E2" s="1"/>
      <c r="F2" s="1"/>
      <c r="G2" s="1"/>
      <c r="H2" s="1"/>
      <c r="I2" s="633" t="s">
        <v>262</v>
      </c>
      <c r="J2" s="634"/>
      <c r="K2" s="1"/>
      <c r="L2" s="1"/>
      <c r="M2" s="1"/>
      <c r="N2" s="1"/>
      <c r="O2" s="1"/>
      <c r="P2" s="1"/>
      <c r="Q2" s="1"/>
      <c r="R2" s="1"/>
      <c r="S2" s="1"/>
      <c r="T2" s="1"/>
      <c r="U2" s="1"/>
      <c r="V2" s="1"/>
      <c r="W2" s="1"/>
      <c r="X2" s="1"/>
      <c r="Y2" s="1"/>
      <c r="Z2" s="1"/>
      <c r="AA2" s="1"/>
      <c r="AB2" s="1"/>
      <c r="AC2" s="1"/>
      <c r="AD2" s="1"/>
      <c r="AE2" s="1"/>
      <c r="AF2" s="1"/>
      <c r="AG2" s="1"/>
      <c r="AH2" s="1"/>
      <c r="AI2" s="1"/>
      <c r="AJ2" s="1"/>
    </row>
    <row r="3" spans="1:36" ht="15.75" thickTop="1">
      <c r="A3" s="1"/>
      <c r="B3" s="1"/>
      <c r="C3" s="1"/>
      <c r="D3" s="1"/>
      <c r="E3" s="1"/>
      <c r="F3" s="1"/>
      <c r="G3" s="1"/>
      <c r="H3" s="1"/>
      <c r="I3" s="149" t="s">
        <v>263</v>
      </c>
      <c r="J3" s="150">
        <v>0.24</v>
      </c>
      <c r="K3" s="1"/>
      <c r="L3" s="1"/>
      <c r="M3" s="1"/>
      <c r="N3" s="1"/>
      <c r="O3" s="1"/>
      <c r="P3" s="1"/>
      <c r="Q3" s="1"/>
      <c r="R3" s="1"/>
      <c r="S3" s="1"/>
      <c r="T3" s="1"/>
      <c r="U3" s="1"/>
      <c r="V3" s="1"/>
      <c r="W3" s="1"/>
      <c r="X3" s="1"/>
      <c r="Y3" s="1"/>
      <c r="Z3" s="1"/>
      <c r="AA3" s="1"/>
      <c r="AB3" s="1"/>
      <c r="AC3" s="1"/>
      <c r="AD3" s="1"/>
      <c r="AE3" s="1"/>
      <c r="AF3" s="1"/>
      <c r="AG3" s="1"/>
      <c r="AH3" s="1"/>
      <c r="AI3" s="1"/>
      <c r="AJ3" s="1"/>
    </row>
    <row r="4" spans="1:36">
      <c r="A4" s="1"/>
      <c r="B4" s="1"/>
      <c r="C4" s="1"/>
      <c r="D4" s="1"/>
      <c r="E4" s="1"/>
      <c r="F4" s="1"/>
      <c r="G4" s="1"/>
      <c r="H4" s="1"/>
      <c r="I4" s="151" t="s">
        <v>264</v>
      </c>
      <c r="J4" s="152">
        <v>0.23</v>
      </c>
      <c r="K4" s="1"/>
      <c r="L4" s="1"/>
      <c r="M4" s="1"/>
      <c r="N4" s="1"/>
      <c r="O4" s="1"/>
      <c r="P4" s="1"/>
      <c r="Q4" s="1"/>
      <c r="R4" s="1"/>
      <c r="S4" s="1"/>
      <c r="T4" s="1"/>
      <c r="U4" s="1"/>
      <c r="V4" s="1"/>
      <c r="W4" s="1"/>
      <c r="X4" s="1"/>
      <c r="Y4" s="1"/>
      <c r="Z4" s="1"/>
      <c r="AA4" s="1"/>
      <c r="AB4" s="1"/>
      <c r="AC4" s="1"/>
      <c r="AD4" s="1"/>
      <c r="AE4" s="1"/>
      <c r="AF4" s="1"/>
      <c r="AG4" s="1"/>
      <c r="AH4" s="1"/>
      <c r="AI4" s="1"/>
      <c r="AJ4" s="1"/>
    </row>
    <row r="5" spans="1:36" ht="15.75" thickBot="1">
      <c r="A5" s="1"/>
      <c r="B5" s="1"/>
      <c r="C5" s="1"/>
      <c r="D5" s="1"/>
      <c r="E5" s="1"/>
      <c r="F5" s="1"/>
      <c r="G5" s="1"/>
      <c r="H5" s="1"/>
      <c r="I5" s="153" t="s">
        <v>265</v>
      </c>
      <c r="J5" s="154">
        <v>0.22</v>
      </c>
      <c r="K5" s="1"/>
      <c r="L5" s="1"/>
      <c r="M5" s="1"/>
      <c r="N5" s="1"/>
      <c r="O5" s="1"/>
      <c r="P5" s="1"/>
      <c r="Q5" s="1"/>
      <c r="R5" s="1"/>
      <c r="S5" s="1"/>
      <c r="T5" s="1"/>
      <c r="U5" s="1"/>
      <c r="V5" s="1"/>
      <c r="W5" s="1"/>
      <c r="X5" s="1"/>
      <c r="Y5" s="1"/>
      <c r="Z5" s="1"/>
      <c r="AA5" s="1"/>
      <c r="AB5" s="1"/>
      <c r="AC5" s="1"/>
      <c r="AD5" s="1"/>
      <c r="AE5" s="1"/>
      <c r="AF5" s="1"/>
      <c r="AG5" s="1"/>
      <c r="AH5" s="1"/>
      <c r="AI5" s="1"/>
      <c r="AJ5" s="1"/>
    </row>
    <row r="6" spans="1:36" ht="15.75" thickTop="1">
      <c r="A6" s="1"/>
      <c r="B6" s="1"/>
      <c r="C6" s="1"/>
      <c r="D6" s="1"/>
      <c r="E6" s="1"/>
      <c r="F6" s="1"/>
      <c r="G6" s="1"/>
      <c r="H6" s="1"/>
      <c r="I6" s="155"/>
      <c r="J6" s="155"/>
      <c r="K6" s="1"/>
      <c r="L6" s="1"/>
      <c r="M6" s="1"/>
      <c r="N6" s="1"/>
      <c r="O6" s="1"/>
      <c r="P6" s="1"/>
      <c r="Q6" s="1"/>
      <c r="R6" s="1"/>
      <c r="S6" s="1"/>
      <c r="T6" s="1"/>
      <c r="U6" s="1"/>
      <c r="V6" s="1"/>
      <c r="W6" s="1"/>
      <c r="X6" s="1"/>
      <c r="Y6" s="1"/>
      <c r="Z6" s="1"/>
      <c r="AA6" s="1"/>
      <c r="AB6" s="1"/>
      <c r="AC6" s="1"/>
      <c r="AD6" s="1"/>
      <c r="AE6" s="1"/>
      <c r="AF6" s="1"/>
      <c r="AG6" s="1"/>
      <c r="AH6" s="1"/>
      <c r="AI6" s="1"/>
      <c r="AJ6" s="1"/>
    </row>
    <row r="7" spans="1:36">
      <c r="A7" s="1"/>
      <c r="B7" s="1"/>
      <c r="C7" s="1"/>
      <c r="D7" s="1"/>
      <c r="E7" s="1"/>
      <c r="F7" s="1"/>
      <c r="G7" s="1"/>
      <c r="H7" s="635" t="s">
        <v>266</v>
      </c>
      <c r="I7" s="635"/>
      <c r="J7" s="156">
        <f>+[1]DEMANDA!C13</f>
        <v>0</v>
      </c>
      <c r="K7" s="1"/>
      <c r="L7" s="1"/>
      <c r="M7" s="1"/>
      <c r="N7" s="1"/>
      <c r="O7" s="1"/>
      <c r="P7" s="1"/>
      <c r="Q7" s="1"/>
      <c r="R7" s="1"/>
      <c r="S7" s="1"/>
      <c r="T7" s="1"/>
      <c r="U7" s="1"/>
      <c r="V7" s="1"/>
      <c r="W7" s="1"/>
      <c r="X7" s="1"/>
      <c r="Y7" s="1"/>
      <c r="Z7" s="1"/>
      <c r="AA7" s="1"/>
      <c r="AB7" s="1"/>
      <c r="AC7" s="1"/>
      <c r="AD7" s="1"/>
      <c r="AE7" s="1"/>
      <c r="AF7" s="1"/>
      <c r="AG7" s="1"/>
      <c r="AH7" s="1"/>
      <c r="AI7" s="1"/>
      <c r="AJ7" s="1"/>
    </row>
    <row r="8" spans="1:36">
      <c r="A8" s="1"/>
      <c r="B8" s="1"/>
      <c r="C8" s="1"/>
      <c r="D8" s="1"/>
      <c r="E8" s="1"/>
      <c r="F8" s="1"/>
      <c r="G8" s="1"/>
      <c r="H8" s="636" t="s">
        <v>267</v>
      </c>
      <c r="I8" s="636"/>
      <c r="J8" s="157">
        <v>4.8399999999999999E-2</v>
      </c>
      <c r="K8" s="1"/>
      <c r="L8" s="1"/>
      <c r="M8" s="1"/>
      <c r="N8" s="1"/>
      <c r="O8" s="1"/>
      <c r="P8" s="1"/>
      <c r="Q8" s="1"/>
      <c r="R8" s="1"/>
      <c r="S8" s="1"/>
      <c r="T8" s="1"/>
      <c r="U8" s="1"/>
      <c r="V8" s="1"/>
      <c r="W8" s="1"/>
      <c r="X8" s="1"/>
      <c r="Y8" s="1"/>
      <c r="Z8" s="1"/>
      <c r="AA8" s="1"/>
      <c r="AB8" s="1"/>
      <c r="AC8" s="1"/>
      <c r="AD8" s="1"/>
      <c r="AE8" s="1"/>
      <c r="AF8" s="1"/>
      <c r="AG8" s="1"/>
      <c r="AH8" s="1"/>
      <c r="AI8" s="1"/>
      <c r="AJ8" s="1"/>
    </row>
    <row r="9" spans="1:36">
      <c r="A9" s="1"/>
      <c r="B9" s="1"/>
      <c r="C9" s="1"/>
      <c r="D9" s="1"/>
      <c r="E9" s="1"/>
      <c r="F9" s="1"/>
      <c r="G9" s="1"/>
      <c r="H9" s="637" t="s">
        <v>268</v>
      </c>
      <c r="I9" s="637"/>
      <c r="J9" s="158">
        <f>+J7+J8+(J7*J8)</f>
        <v>4.8399999999999999E-2</v>
      </c>
      <c r="K9" s="1"/>
      <c r="L9" s="1"/>
      <c r="M9" s="1"/>
      <c r="N9" s="1"/>
      <c r="O9" s="1"/>
      <c r="P9" s="1"/>
      <c r="Q9" s="1"/>
      <c r="R9" s="1"/>
      <c r="S9" s="1"/>
      <c r="T9" s="1"/>
      <c r="U9" s="1"/>
      <c r="V9" s="1"/>
      <c r="W9" s="1"/>
      <c r="X9" s="1"/>
      <c r="Y9" s="1"/>
      <c r="Z9" s="1"/>
      <c r="AA9" s="1"/>
      <c r="AB9" s="1"/>
      <c r="AC9" s="1"/>
      <c r="AD9" s="1"/>
      <c r="AE9" s="1"/>
      <c r="AF9" s="1"/>
      <c r="AG9" s="1"/>
      <c r="AH9" s="1"/>
      <c r="AI9" s="1"/>
      <c r="AJ9" s="1"/>
    </row>
    <row r="10" spans="1:36">
      <c r="A10" s="1"/>
      <c r="B10" s="1"/>
      <c r="C10" s="1"/>
      <c r="D10" s="1"/>
      <c r="E10" s="58"/>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c r="A11" s="1"/>
      <c r="B11" s="1"/>
      <c r="C11" s="101" t="s">
        <v>287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8">
      <c r="A12" s="1"/>
      <c r="B12" s="1"/>
      <c r="C12" s="638" t="s">
        <v>288</v>
      </c>
      <c r="D12" s="638"/>
      <c r="E12" s="638"/>
      <c r="F12" s="638"/>
      <c r="G12" s="638"/>
      <c r="H12" s="638"/>
      <c r="I12" s="638"/>
      <c r="J12" s="638"/>
      <c r="K12" s="638"/>
      <c r="L12" s="638"/>
      <c r="M12" s="638"/>
      <c r="N12" s="638"/>
      <c r="O12" s="1"/>
      <c r="P12" s="1"/>
      <c r="Q12" s="1"/>
      <c r="R12" s="1"/>
      <c r="S12" s="1"/>
      <c r="T12" s="1"/>
      <c r="U12" s="1"/>
      <c r="V12" s="1"/>
      <c r="W12" s="1"/>
      <c r="X12" s="1"/>
      <c r="Y12" s="1"/>
      <c r="Z12" s="1"/>
      <c r="AA12" s="1"/>
      <c r="AB12" s="1"/>
      <c r="AC12" s="1"/>
      <c r="AD12" s="1"/>
      <c r="AE12" s="1"/>
      <c r="AF12" s="1"/>
      <c r="AG12" s="1"/>
      <c r="AH12" s="1"/>
      <c r="AI12" s="1"/>
      <c r="AJ12" s="1"/>
    </row>
    <row r="13" spans="1:36" ht="15.75" thickBo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6.5" thickTop="1" thickBot="1">
      <c r="A14" s="1"/>
      <c r="B14" s="1"/>
      <c r="C14" s="159" t="s">
        <v>75</v>
      </c>
      <c r="D14" s="159">
        <v>0</v>
      </c>
      <c r="E14" s="160">
        <v>1</v>
      </c>
      <c r="F14" s="161">
        <v>2</v>
      </c>
      <c r="G14" s="162">
        <v>3</v>
      </c>
      <c r="H14" s="160">
        <v>4</v>
      </c>
      <c r="I14" s="162">
        <v>5</v>
      </c>
      <c r="J14" s="160">
        <v>6</v>
      </c>
      <c r="K14" s="162">
        <v>7</v>
      </c>
      <c r="L14" s="160">
        <v>8</v>
      </c>
      <c r="M14" s="162">
        <v>9</v>
      </c>
      <c r="N14" s="160">
        <v>10</v>
      </c>
      <c r="O14" s="1"/>
      <c r="P14" s="1"/>
      <c r="Q14" s="1"/>
      <c r="R14" s="1"/>
      <c r="S14" s="1"/>
      <c r="T14" s="1"/>
      <c r="U14" s="1"/>
      <c r="V14" s="1"/>
      <c r="W14" s="1"/>
      <c r="X14" s="1"/>
      <c r="Y14" s="1"/>
      <c r="Z14" s="1"/>
      <c r="AA14" s="1"/>
      <c r="AB14" s="1"/>
      <c r="AC14" s="1"/>
      <c r="AD14" s="1"/>
      <c r="AE14" s="1"/>
      <c r="AF14" s="1"/>
      <c r="AG14" s="1"/>
      <c r="AH14" s="1"/>
      <c r="AI14" s="1"/>
      <c r="AJ14" s="1"/>
    </row>
    <row r="15" spans="1:36" ht="15.75" thickTop="1">
      <c r="A15" s="1"/>
      <c r="B15" s="1"/>
      <c r="C15" s="45" t="s">
        <v>10</v>
      </c>
      <c r="D15" s="36"/>
      <c r="E15" s="43">
        <f>'P&amp;G'!D15</f>
        <v>72775.531078124986</v>
      </c>
      <c r="F15" s="43">
        <f>'P&amp;G'!E15</f>
        <v>98609.802177339079</v>
      </c>
      <c r="G15" s="43">
        <f>'P&amp;G'!F15</f>
        <v>114785.60818400256</v>
      </c>
      <c r="H15" s="43">
        <f>'P&amp;G'!G15</f>
        <v>133614.86946780625</v>
      </c>
      <c r="I15" s="43">
        <f>'P&amp;G'!H15</f>
        <v>155532.85490529839</v>
      </c>
      <c r="J15" s="43">
        <f>'P&amp;G'!I15</f>
        <v>181046.23423533828</v>
      </c>
      <c r="K15" s="43">
        <f>'P&amp;G'!J15</f>
        <v>210744.79055087653</v>
      </c>
      <c r="L15" s="43">
        <f>'P&amp;G'!K15</f>
        <v>245315.05409055232</v>
      </c>
      <c r="M15" s="43">
        <f>'P&amp;G'!L15</f>
        <v>285556.17249728652</v>
      </c>
      <c r="N15" s="43">
        <f>'P&amp;G'!M15</f>
        <v>332398.38441060612</v>
      </c>
      <c r="O15" s="1"/>
      <c r="P15" s="1"/>
      <c r="Q15" s="1"/>
      <c r="R15" s="1"/>
      <c r="S15" s="1"/>
      <c r="T15" s="1"/>
      <c r="U15" s="1"/>
      <c r="V15" s="1"/>
      <c r="W15" s="1"/>
      <c r="X15" s="1"/>
      <c r="Y15" s="1"/>
      <c r="Z15" s="1"/>
      <c r="AA15" s="1"/>
      <c r="AB15" s="1"/>
      <c r="AC15" s="1"/>
      <c r="AD15" s="1"/>
      <c r="AE15" s="1"/>
      <c r="AF15" s="1"/>
      <c r="AG15" s="1"/>
      <c r="AH15" s="1"/>
      <c r="AI15" s="1"/>
      <c r="AJ15" s="1"/>
    </row>
    <row r="16" spans="1:36" ht="15.75" thickBot="1">
      <c r="A16" s="1"/>
      <c r="B16" s="1"/>
      <c r="C16" s="48" t="s">
        <v>271</v>
      </c>
      <c r="D16" s="36"/>
      <c r="E16" s="105">
        <f>'P&amp;G'!D16</f>
        <v>29110.212431249995</v>
      </c>
      <c r="F16" s="105">
        <f>'P&amp;G'!E16</f>
        <v>39443.920870935632</v>
      </c>
      <c r="G16" s="105">
        <f>'P&amp;G'!F16</f>
        <v>45914.243273601023</v>
      </c>
      <c r="H16" s="105">
        <f>'P&amp;G'!G16</f>
        <v>53445.947787122503</v>
      </c>
      <c r="I16" s="105">
        <f>'P&amp;G'!H16</f>
        <v>62213.141962119356</v>
      </c>
      <c r="J16" s="105">
        <f>'P&amp;G'!I16</f>
        <v>72418.493694135323</v>
      </c>
      <c r="K16" s="105">
        <f>'P&amp;G'!J16</f>
        <v>84297.916220350613</v>
      </c>
      <c r="L16" s="105">
        <f>'P&amp;G'!K16</f>
        <v>98126.021636220932</v>
      </c>
      <c r="M16" s="105">
        <f>'P&amp;G'!L16</f>
        <v>114222.46899891461</v>
      </c>
      <c r="N16" s="105">
        <f>'P&amp;G'!M16</f>
        <v>132959.35376424243</v>
      </c>
      <c r="O16" s="1"/>
      <c r="P16" s="1"/>
      <c r="Q16" s="1"/>
      <c r="R16" s="1"/>
      <c r="S16" s="1"/>
      <c r="T16" s="1"/>
      <c r="U16" s="1"/>
      <c r="V16" s="1"/>
      <c r="W16" s="1"/>
      <c r="X16" s="1"/>
      <c r="Y16" s="1"/>
      <c r="Z16" s="1"/>
      <c r="AA16" s="1"/>
      <c r="AB16" s="1"/>
      <c r="AC16" s="1"/>
      <c r="AD16" s="1"/>
      <c r="AE16" s="1"/>
      <c r="AF16" s="1"/>
      <c r="AG16" s="1"/>
      <c r="AH16" s="1"/>
      <c r="AI16" s="1"/>
      <c r="AJ16" s="1"/>
    </row>
    <row r="17" spans="1:36" ht="15.75" thickTop="1">
      <c r="A17" s="1"/>
      <c r="B17" s="1"/>
      <c r="C17" s="163" t="s">
        <v>272</v>
      </c>
      <c r="D17" s="32"/>
      <c r="E17" s="54">
        <f>E15-E16</f>
        <v>43665.318646874992</v>
      </c>
      <c r="F17" s="164">
        <f t="shared" ref="F17:N17" si="0">F15-F16</f>
        <v>59165.881306403448</v>
      </c>
      <c r="G17" s="109">
        <f t="shared" si="0"/>
        <v>68871.364910401535</v>
      </c>
      <c r="H17" s="54">
        <f t="shared" si="0"/>
        <v>80168.921680683736</v>
      </c>
      <c r="I17" s="109">
        <f t="shared" si="0"/>
        <v>93319.712943179038</v>
      </c>
      <c r="J17" s="54">
        <f t="shared" si="0"/>
        <v>108627.74054120296</v>
      </c>
      <c r="K17" s="109">
        <f t="shared" si="0"/>
        <v>126446.87433052591</v>
      </c>
      <c r="L17" s="54">
        <f t="shared" si="0"/>
        <v>147189.03245433141</v>
      </c>
      <c r="M17" s="109">
        <f t="shared" si="0"/>
        <v>171333.70349837191</v>
      </c>
      <c r="N17" s="54">
        <f t="shared" si="0"/>
        <v>199439.03064636368</v>
      </c>
      <c r="O17" s="1"/>
      <c r="P17" s="1"/>
      <c r="Q17" s="1"/>
      <c r="R17" s="1"/>
      <c r="S17" s="1"/>
      <c r="T17" s="1"/>
      <c r="U17" s="1"/>
      <c r="V17" s="1"/>
      <c r="W17" s="1"/>
      <c r="X17" s="1"/>
      <c r="Y17" s="1"/>
      <c r="Z17" s="1"/>
      <c r="AA17" s="1"/>
      <c r="AB17" s="1"/>
      <c r="AC17" s="1"/>
      <c r="AD17" s="1"/>
      <c r="AE17" s="1"/>
      <c r="AF17" s="1"/>
      <c r="AG17" s="1"/>
      <c r="AH17" s="1"/>
      <c r="AI17" s="1"/>
      <c r="AJ17" s="1"/>
    </row>
    <row r="18" spans="1:36">
      <c r="A18" s="1"/>
      <c r="B18" s="1"/>
      <c r="C18" s="163"/>
      <c r="D18" s="32"/>
      <c r="E18" s="56"/>
      <c r="F18" s="104"/>
      <c r="G18" s="53"/>
      <c r="H18" s="56"/>
      <c r="I18" s="53"/>
      <c r="J18" s="56"/>
      <c r="K18" s="53"/>
      <c r="L18" s="56"/>
      <c r="M18" s="53"/>
      <c r="N18" s="56"/>
      <c r="O18" s="1"/>
      <c r="P18" s="1"/>
      <c r="Q18" s="1"/>
      <c r="R18" s="1"/>
      <c r="S18" s="1"/>
      <c r="T18" s="1"/>
      <c r="U18" s="1"/>
      <c r="V18" s="1"/>
      <c r="W18" s="1"/>
      <c r="X18" s="1"/>
      <c r="Y18" s="1"/>
      <c r="Z18" s="1"/>
      <c r="AA18" s="1"/>
      <c r="AB18" s="1"/>
      <c r="AC18" s="1"/>
      <c r="AD18" s="1"/>
      <c r="AE18" s="1"/>
      <c r="AF18" s="1"/>
      <c r="AG18" s="1"/>
      <c r="AH18" s="1"/>
      <c r="AI18" s="1"/>
      <c r="AJ18" s="1"/>
    </row>
    <row r="19" spans="1:36" ht="15.75" thickBot="1">
      <c r="A19" s="1"/>
      <c r="B19" s="1"/>
      <c r="C19" s="163" t="s">
        <v>273</v>
      </c>
      <c r="D19" s="32"/>
      <c r="E19" s="54">
        <f t="shared" ref="E19:N19" si="1">SUM(E20:E23)</f>
        <v>81275.759999999995</v>
      </c>
      <c r="F19" s="164">
        <f t="shared" si="1"/>
        <v>97160.730891843268</v>
      </c>
      <c r="G19" s="109">
        <f t="shared" si="1"/>
        <v>40678.090600249365</v>
      </c>
      <c r="H19" s="54">
        <f t="shared" si="1"/>
        <v>41394.853469984984</v>
      </c>
      <c r="I19" s="109">
        <f t="shared" si="1"/>
        <v>41973.104585662986</v>
      </c>
      <c r="J19" s="54">
        <f t="shared" si="1"/>
        <v>42426.211158545157</v>
      </c>
      <c r="K19" s="109">
        <f t="shared" si="1"/>
        <v>43209.73313744519</v>
      </c>
      <c r="L19" s="54">
        <f t="shared" si="1"/>
        <v>44121.782902151455</v>
      </c>
      <c r="M19" s="109">
        <f t="shared" si="1"/>
        <v>45183.443960426492</v>
      </c>
      <c r="N19" s="54">
        <f t="shared" si="1"/>
        <v>46419.258327442592</v>
      </c>
      <c r="O19" s="1"/>
      <c r="P19" s="1"/>
      <c r="Q19" s="1"/>
      <c r="R19" s="1"/>
      <c r="S19" s="1"/>
      <c r="T19" s="1"/>
      <c r="U19" s="1"/>
      <c r="V19" s="1"/>
      <c r="W19" s="1"/>
      <c r="X19" s="1"/>
      <c r="Y19" s="1"/>
      <c r="Z19" s="1"/>
      <c r="AA19" s="1"/>
      <c r="AB19" s="1"/>
      <c r="AC19" s="1"/>
      <c r="AD19" s="1"/>
      <c r="AE19" s="1"/>
      <c r="AF19" s="1"/>
      <c r="AG19" s="1"/>
      <c r="AH19" s="1"/>
      <c r="AI19" s="1"/>
      <c r="AJ19" s="1"/>
    </row>
    <row r="20" spans="1:36" ht="16.5" thickTop="1" thickBot="1">
      <c r="A20" s="1"/>
      <c r="B20" s="1"/>
      <c r="C20" s="45" t="s">
        <v>12</v>
      </c>
      <c r="D20" s="36"/>
      <c r="E20" s="43">
        <f>'P&amp;G'!D20</f>
        <v>36385.759999999995</v>
      </c>
      <c r="F20" s="43">
        <f>'P&amp;G'!E20</f>
        <v>36385.759999999995</v>
      </c>
      <c r="G20" s="43">
        <f>'P&amp;G'!F20</f>
        <v>36385.759999999995</v>
      </c>
      <c r="H20" s="43">
        <f>'P&amp;G'!G20</f>
        <v>36385.759999999995</v>
      </c>
      <c r="I20" s="43">
        <f>'P&amp;G'!H20</f>
        <v>36385.759999999995</v>
      </c>
      <c r="J20" s="43">
        <f>'P&amp;G'!I20</f>
        <v>36385.759999999995</v>
      </c>
      <c r="K20" s="43">
        <f>'P&amp;G'!J20</f>
        <v>36385.759999999995</v>
      </c>
      <c r="L20" s="43">
        <f>'P&amp;G'!K20</f>
        <v>36385.759999999995</v>
      </c>
      <c r="M20" s="43">
        <f>'P&amp;G'!L20</f>
        <v>36385.759999999995</v>
      </c>
      <c r="N20" s="43">
        <f>'P&amp;G'!M20</f>
        <v>36385.759999999995</v>
      </c>
      <c r="O20" s="1"/>
      <c r="P20" s="1"/>
      <c r="Q20" s="1"/>
      <c r="R20" s="1"/>
      <c r="S20" s="1"/>
      <c r="T20" s="1"/>
      <c r="U20" s="1"/>
      <c r="V20" s="1"/>
      <c r="W20" s="1"/>
      <c r="X20" s="1"/>
      <c r="Y20" s="1"/>
      <c r="Z20" s="1"/>
      <c r="AA20" s="1"/>
      <c r="AB20" s="1"/>
      <c r="AC20" s="1"/>
      <c r="AD20" s="1"/>
      <c r="AE20" s="1"/>
      <c r="AF20" s="1"/>
      <c r="AG20" s="1"/>
      <c r="AH20" s="1"/>
      <c r="AI20" s="1"/>
      <c r="AJ20" s="1"/>
    </row>
    <row r="21" spans="1:36" ht="16.5" thickTop="1" thickBot="1">
      <c r="A21" s="1"/>
      <c r="B21" s="1"/>
      <c r="C21" s="46" t="s">
        <v>274</v>
      </c>
      <c r="D21" s="36"/>
      <c r="E21" s="43">
        <f>'P&amp;G'!D21</f>
        <v>150</v>
      </c>
      <c r="F21" s="43">
        <f>'P&amp;G'!E21</f>
        <v>150</v>
      </c>
      <c r="G21" s="43">
        <f>'P&amp;G'!F21</f>
        <v>150</v>
      </c>
      <c r="H21" s="43">
        <f>'P&amp;G'!G21</f>
        <v>150</v>
      </c>
      <c r="I21" s="43">
        <f>'P&amp;G'!H21</f>
        <v>150</v>
      </c>
      <c r="J21" s="43">
        <f>'P&amp;G'!I21</f>
        <v>150</v>
      </c>
      <c r="K21" s="43">
        <f>'P&amp;G'!J21</f>
        <v>150</v>
      </c>
      <c r="L21" s="43">
        <f>'P&amp;G'!K21</f>
        <v>150</v>
      </c>
      <c r="M21" s="43">
        <f>'P&amp;G'!L21</f>
        <v>150</v>
      </c>
      <c r="N21" s="43">
        <f>'P&amp;G'!M21</f>
        <v>150</v>
      </c>
      <c r="O21" s="1"/>
      <c r="P21" s="1"/>
      <c r="Q21" s="1"/>
      <c r="R21" s="1"/>
      <c r="S21" s="1"/>
      <c r="T21" s="1"/>
      <c r="U21" s="1"/>
      <c r="V21" s="1"/>
      <c r="W21" s="1"/>
      <c r="X21" s="1"/>
      <c r="Y21" s="1"/>
      <c r="Z21" s="1"/>
      <c r="AA21" s="165" t="s">
        <v>289</v>
      </c>
      <c r="AB21" s="165"/>
      <c r="AC21" s="166"/>
      <c r="AD21" s="1"/>
      <c r="AE21" s="1"/>
      <c r="AF21" s="1"/>
      <c r="AG21" s="1"/>
      <c r="AH21" s="1"/>
      <c r="AI21" s="1"/>
      <c r="AJ21" s="1"/>
    </row>
    <row r="22" spans="1:36" ht="16.5" thickTop="1" thickBot="1">
      <c r="A22" s="1"/>
      <c r="B22" s="1"/>
      <c r="C22" s="46" t="s">
        <v>275</v>
      </c>
      <c r="D22" s="36"/>
      <c r="E22" s="43">
        <f>'P&amp;G'!D22</f>
        <v>820</v>
      </c>
      <c r="F22" s="43">
        <f>'P&amp;G'!E22</f>
        <v>1114</v>
      </c>
      <c r="G22" s="43">
        <f>'P&amp;G'!F22</f>
        <v>1114</v>
      </c>
      <c r="H22" s="43">
        <f>'P&amp;G'!G22</f>
        <v>1334</v>
      </c>
      <c r="I22" s="43">
        <f>'P&amp;G'!H22</f>
        <v>1334</v>
      </c>
      <c r="J22" s="43">
        <f>'P&amp;G'!I22</f>
        <v>1114</v>
      </c>
      <c r="K22" s="43">
        <f>'P&amp;G'!J22</f>
        <v>1114</v>
      </c>
      <c r="L22" s="43">
        <f>'P&amp;G'!K22</f>
        <v>1114</v>
      </c>
      <c r="M22" s="43">
        <f>'P&amp;G'!L22</f>
        <v>1114</v>
      </c>
      <c r="N22" s="43">
        <f>'P&amp;G'!M22</f>
        <v>1114</v>
      </c>
      <c r="O22" s="1"/>
      <c r="P22" s="1"/>
      <c r="Q22" s="1"/>
      <c r="R22" s="1"/>
      <c r="S22" s="1"/>
      <c r="T22" s="1"/>
      <c r="U22" s="1"/>
      <c r="V22" s="1"/>
      <c r="W22" s="1"/>
      <c r="X22" s="1"/>
      <c r="Y22" s="1"/>
      <c r="Z22" s="1"/>
      <c r="AA22" s="167" t="s">
        <v>290</v>
      </c>
      <c r="AB22" s="168">
        <v>0.20578117678593705</v>
      </c>
      <c r="AC22" s="1"/>
      <c r="AD22" s="1"/>
      <c r="AE22" s="1"/>
      <c r="AF22" s="1"/>
      <c r="AG22" s="1"/>
      <c r="AH22" s="1"/>
      <c r="AI22" s="1"/>
      <c r="AJ22" s="1"/>
    </row>
    <row r="23" spans="1:36" ht="16.5" thickTop="1" thickBot="1">
      <c r="A23" s="1"/>
      <c r="B23" s="1"/>
      <c r="C23" s="46" t="s">
        <v>276</v>
      </c>
      <c r="D23" s="36"/>
      <c r="E23" s="43">
        <f>'P&amp;G'!D23</f>
        <v>43920</v>
      </c>
      <c r="F23" s="43">
        <f>'P&amp;G'!E23</f>
        <v>59510.970891843281</v>
      </c>
      <c r="G23" s="43">
        <f>'P&amp;G'!F23</f>
        <v>3028.33060024937</v>
      </c>
      <c r="H23" s="43">
        <f>'P&amp;G'!G23</f>
        <v>3525.093469984989</v>
      </c>
      <c r="I23" s="43">
        <f>'P&amp;G'!H23</f>
        <v>4103.3445856629914</v>
      </c>
      <c r="J23" s="43">
        <f>'P&amp;G'!I23</f>
        <v>4776.4511585451619</v>
      </c>
      <c r="K23" s="43">
        <f>'P&amp;G'!J23</f>
        <v>5559.9731374451958</v>
      </c>
      <c r="L23" s="43">
        <f>'P&amp;G'!K23</f>
        <v>6472.0229021514633</v>
      </c>
      <c r="M23" s="43">
        <f>'P&amp;G'!L23</f>
        <v>7533.6839604264951</v>
      </c>
      <c r="N23" s="43">
        <f>'P&amp;G'!M23</f>
        <v>8769.4983274425958</v>
      </c>
      <c r="O23" s="1"/>
      <c r="P23" s="1"/>
      <c r="Q23" s="1"/>
      <c r="R23" s="1"/>
      <c r="S23" s="1"/>
      <c r="T23" s="1"/>
      <c r="U23" s="1"/>
      <c r="V23" s="1"/>
      <c r="W23" s="1"/>
      <c r="X23" s="1"/>
      <c r="Y23" s="1"/>
      <c r="Z23" s="1"/>
      <c r="AA23" s="169" t="s">
        <v>45</v>
      </c>
      <c r="AB23" s="170"/>
      <c r="AC23" s="1"/>
      <c r="AD23" s="1"/>
      <c r="AE23" s="1"/>
      <c r="AF23" s="1"/>
      <c r="AG23" s="1"/>
      <c r="AH23" s="1"/>
      <c r="AI23" s="1"/>
      <c r="AJ23" s="1"/>
    </row>
    <row r="24" spans="1:36" ht="16.5" thickTop="1" thickBot="1">
      <c r="A24" s="1"/>
      <c r="B24" s="1"/>
      <c r="C24" s="172" t="s">
        <v>277</v>
      </c>
      <c r="D24" s="143"/>
      <c r="E24" s="122">
        <f>E17-E19</f>
        <v>-37610.441353125003</v>
      </c>
      <c r="F24" s="122">
        <f t="shared" ref="F24:N24" si="2">F17-F19</f>
        <v>-37994.849585439821</v>
      </c>
      <c r="G24" s="122">
        <f t="shared" si="2"/>
        <v>28193.27431015217</v>
      </c>
      <c r="H24" s="122">
        <f t="shared" si="2"/>
        <v>38774.068210698751</v>
      </c>
      <c r="I24" s="122">
        <f t="shared" si="2"/>
        <v>51346.608357516052</v>
      </c>
      <c r="J24" s="122">
        <f t="shared" si="2"/>
        <v>66201.529382657813</v>
      </c>
      <c r="K24" s="122">
        <f t="shared" si="2"/>
        <v>83237.141193080723</v>
      </c>
      <c r="L24" s="122">
        <f t="shared" si="2"/>
        <v>103067.24955217994</v>
      </c>
      <c r="M24" s="122">
        <f t="shared" si="2"/>
        <v>126150.25953794541</v>
      </c>
      <c r="N24" s="122">
        <f t="shared" si="2"/>
        <v>153019.77231892108</v>
      </c>
      <c r="O24" s="1"/>
      <c r="P24" s="1"/>
      <c r="Q24" s="1"/>
      <c r="R24" s="1"/>
      <c r="S24" s="1"/>
      <c r="T24" s="1"/>
      <c r="U24" s="1"/>
      <c r="V24" s="1"/>
      <c r="W24" s="1"/>
      <c r="X24" s="1"/>
      <c r="Y24" s="1"/>
      <c r="Z24" s="1"/>
      <c r="AA24" s="1"/>
      <c r="AB24" s="1"/>
      <c r="AC24" s="1"/>
      <c r="AD24" s="1"/>
      <c r="AE24" s="1"/>
      <c r="AF24" s="1"/>
      <c r="AG24" s="1"/>
      <c r="AH24" s="1"/>
      <c r="AI24" s="1"/>
      <c r="AJ24" s="1"/>
    </row>
    <row r="25" spans="1:36" ht="16.5" thickTop="1" thickBot="1">
      <c r="A25" s="1"/>
      <c r="B25" s="1"/>
      <c r="C25" s="173"/>
      <c r="D25" s="174"/>
      <c r="E25" s="175"/>
      <c r="F25" s="176"/>
      <c r="G25" s="177"/>
      <c r="H25" s="175"/>
      <c r="I25" s="177"/>
      <c r="J25" s="175"/>
      <c r="K25" s="177"/>
      <c r="L25" s="175"/>
      <c r="M25" s="177"/>
      <c r="N25" s="175"/>
      <c r="O25" s="1"/>
      <c r="P25" s="1"/>
      <c r="Q25" s="1"/>
      <c r="R25" s="1"/>
      <c r="S25" s="1"/>
      <c r="T25" s="1"/>
      <c r="U25" s="1"/>
      <c r="V25" s="1"/>
      <c r="W25" s="1"/>
      <c r="X25" s="1"/>
      <c r="Y25" s="1"/>
      <c r="Z25" s="1"/>
      <c r="AA25" s="1"/>
      <c r="AB25" s="1"/>
      <c r="AC25" s="1"/>
      <c r="AD25" s="1"/>
      <c r="AE25" s="1"/>
      <c r="AF25" s="1"/>
      <c r="AG25" s="1"/>
      <c r="AH25" s="1"/>
      <c r="AI25" s="1"/>
      <c r="AJ25" s="1"/>
    </row>
    <row r="26" spans="1:36" ht="16.5" thickTop="1" thickBot="1">
      <c r="A26" s="1"/>
      <c r="B26" s="1"/>
      <c r="C26" s="172" t="s">
        <v>278</v>
      </c>
      <c r="D26" s="143"/>
      <c r="E26" s="122">
        <f>+E27</f>
        <v>4366.8729835500026</v>
      </c>
      <c r="F26" s="122">
        <f t="shared" ref="F26:N26" si="3">+F27</f>
        <v>4108.2319726694977</v>
      </c>
      <c r="G26" s="122">
        <f t="shared" si="3"/>
        <v>3820.623168570376</v>
      </c>
      <c r="H26" s="122">
        <f t="shared" si="3"/>
        <v>3500.8021784121534</v>
      </c>
      <c r="I26" s="122">
        <f t="shared" si="3"/>
        <v>3145.1612373562098</v>
      </c>
      <c r="J26" s="122">
        <f t="shared" si="3"/>
        <v>2749.688510902</v>
      </c>
      <c r="K26" s="122">
        <f t="shared" si="3"/>
        <v>2309.9228390849189</v>
      </c>
      <c r="L26" s="122">
        <f t="shared" si="3"/>
        <v>1820.9034120243248</v>
      </c>
      <c r="M26" s="122">
        <f t="shared" si="3"/>
        <v>1277.1138091329442</v>
      </c>
      <c r="N26" s="122">
        <f t="shared" si="3"/>
        <v>672.41977071772874</v>
      </c>
      <c r="O26" s="1"/>
      <c r="P26" s="1"/>
      <c r="Q26" s="1"/>
      <c r="R26" s="1"/>
      <c r="S26" s="1"/>
      <c r="T26" s="1"/>
      <c r="U26" s="1"/>
      <c r="V26" s="1"/>
      <c r="W26" s="1"/>
      <c r="X26" s="1"/>
      <c r="Y26" s="1"/>
      <c r="Z26" s="1"/>
      <c r="AA26" s="1"/>
      <c r="AB26" s="1"/>
      <c r="AC26" s="1"/>
      <c r="AD26" s="1"/>
      <c r="AE26" s="1"/>
      <c r="AF26" s="1"/>
      <c r="AG26" s="1"/>
      <c r="AH26" s="1"/>
      <c r="AI26" s="1"/>
      <c r="AJ26" s="1"/>
    </row>
    <row r="27" spans="1:36" ht="15" customHeight="1" thickTop="1" thickBot="1">
      <c r="A27" s="1"/>
      <c r="B27" s="1"/>
      <c r="C27" s="46" t="s">
        <v>279</v>
      </c>
      <c r="D27" s="36"/>
      <c r="E27" s="43">
        <f>'P&amp;G'!D27</f>
        <v>4366.8729835500026</v>
      </c>
      <c r="F27" s="43">
        <f>'P&amp;G'!E27</f>
        <v>4108.2319726694977</v>
      </c>
      <c r="G27" s="43">
        <f>'P&amp;G'!F27</f>
        <v>3820.623168570376</v>
      </c>
      <c r="H27" s="43">
        <f>'P&amp;G'!G27</f>
        <v>3500.8021784121534</v>
      </c>
      <c r="I27" s="43">
        <f>'P&amp;G'!H27</f>
        <v>3145.1612373562098</v>
      </c>
      <c r="J27" s="43">
        <f>'P&amp;G'!I27</f>
        <v>2749.688510902</v>
      </c>
      <c r="K27" s="43">
        <f>'P&amp;G'!J27</f>
        <v>2309.9228390849189</v>
      </c>
      <c r="L27" s="43">
        <f>'P&amp;G'!K27</f>
        <v>1820.9034120243248</v>
      </c>
      <c r="M27" s="43">
        <f>'P&amp;G'!L27</f>
        <v>1277.1138091329442</v>
      </c>
      <c r="N27" s="43">
        <f>'P&amp;G'!M27</f>
        <v>672.41977071772874</v>
      </c>
      <c r="O27" s="1"/>
      <c r="P27" s="1"/>
      <c r="Q27" s="1"/>
      <c r="R27" s="1"/>
      <c r="S27" s="1"/>
      <c r="T27" s="1"/>
      <c r="U27" s="1"/>
      <c r="V27" s="1"/>
      <c r="W27" s="1"/>
      <c r="X27" s="1"/>
      <c r="Y27" s="1"/>
      <c r="Z27" s="1"/>
      <c r="AA27" s="1"/>
      <c r="AB27" s="1"/>
      <c r="AC27" s="1"/>
      <c r="AD27" s="1"/>
      <c r="AE27" s="1"/>
      <c r="AF27" s="1"/>
      <c r="AG27" s="1"/>
      <c r="AH27" s="1"/>
      <c r="AI27" s="1"/>
      <c r="AJ27" s="1"/>
    </row>
    <row r="28" spans="1:36" ht="16.5" thickTop="1" thickBot="1">
      <c r="A28" s="1"/>
      <c r="B28" s="1"/>
      <c r="C28" s="172" t="s">
        <v>280</v>
      </c>
      <c r="D28" s="143"/>
      <c r="E28" s="142">
        <f>E24-E26</f>
        <v>-41977.314336675008</v>
      </c>
      <c r="F28" s="178">
        <f t="shared" ref="F28:N28" si="4">F24-F26</f>
        <v>-42103.081558109319</v>
      </c>
      <c r="G28" s="141">
        <f t="shared" si="4"/>
        <v>24372.651141581795</v>
      </c>
      <c r="H28" s="146">
        <f t="shared" si="4"/>
        <v>35273.2660322866</v>
      </c>
      <c r="I28" s="142">
        <f t="shared" si="4"/>
        <v>48201.447120159843</v>
      </c>
      <c r="J28" s="178">
        <f t="shared" si="4"/>
        <v>63451.840871755812</v>
      </c>
      <c r="K28" s="141">
        <f t="shared" si="4"/>
        <v>80927.218353995806</v>
      </c>
      <c r="L28" s="142">
        <f t="shared" si="4"/>
        <v>101246.34614015561</v>
      </c>
      <c r="M28" s="141">
        <f t="shared" si="4"/>
        <v>124873.14572881247</v>
      </c>
      <c r="N28" s="142">
        <f t="shared" si="4"/>
        <v>152347.35254820334</v>
      </c>
      <c r="O28" s="1"/>
      <c r="P28" s="1"/>
      <c r="Q28" s="1"/>
      <c r="R28" s="1"/>
      <c r="S28" s="1"/>
      <c r="T28" s="1"/>
      <c r="U28" s="1"/>
      <c r="V28" s="1"/>
      <c r="W28" s="1"/>
      <c r="X28" s="1"/>
      <c r="Y28" s="1"/>
      <c r="Z28" s="1"/>
      <c r="AA28" s="1"/>
      <c r="AB28" s="1"/>
      <c r="AC28" s="1"/>
      <c r="AD28" s="1"/>
      <c r="AE28" s="1"/>
      <c r="AF28" s="1"/>
      <c r="AG28" s="1"/>
      <c r="AH28" s="1"/>
      <c r="AI28" s="1"/>
      <c r="AJ28" s="1"/>
    </row>
    <row r="29" spans="1:36" ht="16.5" thickTop="1" thickBot="1">
      <c r="A29" s="1"/>
      <c r="B29" s="1"/>
      <c r="C29" s="46" t="s">
        <v>281</v>
      </c>
      <c r="D29" s="36"/>
      <c r="E29" s="105">
        <v>0</v>
      </c>
      <c r="F29" s="171">
        <v>0</v>
      </c>
      <c r="G29" s="140">
        <f t="shared" ref="G29:N29" si="5">+G28*0.15</f>
        <v>3655.8976712372692</v>
      </c>
      <c r="H29" s="145">
        <f t="shared" si="5"/>
        <v>5290.9899048429897</v>
      </c>
      <c r="I29" s="105">
        <f t="shared" si="5"/>
        <v>7230.217068023976</v>
      </c>
      <c r="J29" s="171">
        <f t="shared" si="5"/>
        <v>9517.7761307633718</v>
      </c>
      <c r="K29" s="140">
        <f t="shared" si="5"/>
        <v>12139.08275309937</v>
      </c>
      <c r="L29" s="105">
        <f t="shared" si="5"/>
        <v>15186.951921023341</v>
      </c>
      <c r="M29" s="140">
        <f t="shared" si="5"/>
        <v>18730.971859321868</v>
      </c>
      <c r="N29" s="105">
        <f t="shared" si="5"/>
        <v>22852.102882230502</v>
      </c>
      <c r="O29" s="1"/>
      <c r="P29" s="1"/>
      <c r="Q29" s="1"/>
      <c r="R29" s="1"/>
      <c r="S29" s="1"/>
      <c r="T29" s="1"/>
      <c r="U29" s="1"/>
      <c r="V29" s="1"/>
      <c r="W29" s="1"/>
      <c r="X29" s="1"/>
      <c r="Y29" s="1"/>
      <c r="Z29" s="1"/>
      <c r="AA29" s="1"/>
      <c r="AB29" s="1"/>
      <c r="AC29" s="1"/>
      <c r="AD29" s="1"/>
      <c r="AE29" s="1"/>
      <c r="AF29" s="1"/>
      <c r="AG29" s="1"/>
      <c r="AH29" s="1"/>
      <c r="AI29" s="1"/>
      <c r="AJ29" s="1"/>
    </row>
    <row r="30" spans="1:36" ht="15.75" thickTop="1">
      <c r="A30" s="1"/>
      <c r="B30" s="1"/>
      <c r="C30" s="46" t="s">
        <v>282</v>
      </c>
      <c r="D30" s="36"/>
      <c r="E30" s="43">
        <f>E28-E29</f>
        <v>-41977.314336675008</v>
      </c>
      <c r="F30" s="53">
        <f t="shared" ref="F30:N30" si="6">F28-F29</f>
        <v>-42103.081558109319</v>
      </c>
      <c r="G30" s="43">
        <f t="shared" si="6"/>
        <v>20716.753470344527</v>
      </c>
      <c r="H30" s="53">
        <f t="shared" si="6"/>
        <v>29982.276127443609</v>
      </c>
      <c r="I30" s="43">
        <f t="shared" si="6"/>
        <v>40971.23005213587</v>
      </c>
      <c r="J30" s="103">
        <f t="shared" si="6"/>
        <v>53934.064740992442</v>
      </c>
      <c r="K30" s="53">
        <f t="shared" si="6"/>
        <v>68788.135600896436</v>
      </c>
      <c r="L30" s="43">
        <f t="shared" si="6"/>
        <v>86059.394219132271</v>
      </c>
      <c r="M30" s="53">
        <f t="shared" si="6"/>
        <v>106142.17386949059</v>
      </c>
      <c r="N30" s="43">
        <f t="shared" si="6"/>
        <v>129495.24966597283</v>
      </c>
      <c r="O30" s="1"/>
      <c r="P30" s="1"/>
      <c r="Q30" s="1"/>
      <c r="R30" s="1"/>
      <c r="S30" s="1"/>
      <c r="T30" s="1"/>
      <c r="U30" s="1"/>
      <c r="V30" s="1"/>
      <c r="W30" s="1"/>
      <c r="X30" s="1"/>
      <c r="Y30" s="1"/>
      <c r="Z30" s="1"/>
      <c r="AA30" s="1"/>
      <c r="AB30" s="1"/>
      <c r="AC30" s="1"/>
      <c r="AD30" s="1"/>
      <c r="AE30" s="1"/>
      <c r="AF30" s="1"/>
      <c r="AG30" s="1"/>
      <c r="AH30" s="1"/>
      <c r="AI30" s="1"/>
      <c r="AJ30" s="1"/>
    </row>
    <row r="31" spans="1:36" ht="15.75" thickBot="1">
      <c r="A31" s="1"/>
      <c r="B31" s="1"/>
      <c r="C31" s="46" t="s">
        <v>283</v>
      </c>
      <c r="D31" s="36"/>
      <c r="E31" s="105">
        <v>0</v>
      </c>
      <c r="F31" s="53">
        <v>0</v>
      </c>
      <c r="G31" s="105">
        <f t="shared" ref="G31:N31" si="7">G30*0.1</f>
        <v>2071.6753470344529</v>
      </c>
      <c r="H31" s="53">
        <f t="shared" si="7"/>
        <v>2998.2276127443611</v>
      </c>
      <c r="I31" s="105">
        <f t="shared" si="7"/>
        <v>4097.123005213587</v>
      </c>
      <c r="J31" s="171">
        <f t="shared" si="7"/>
        <v>5393.4064740992444</v>
      </c>
      <c r="K31" s="53">
        <f t="shared" si="7"/>
        <v>6878.8135600896439</v>
      </c>
      <c r="L31" s="105">
        <f t="shared" si="7"/>
        <v>8605.9394219132282</v>
      </c>
      <c r="M31" s="53">
        <f t="shared" si="7"/>
        <v>10614.21738694906</v>
      </c>
      <c r="N31" s="105">
        <f t="shared" si="7"/>
        <v>12949.524966597284</v>
      </c>
      <c r="O31" s="1"/>
      <c r="P31" s="1"/>
      <c r="Q31" s="1"/>
      <c r="R31" s="1"/>
      <c r="S31" s="1"/>
      <c r="T31" s="1"/>
      <c r="U31" s="1"/>
      <c r="V31" s="1"/>
      <c r="W31" s="1"/>
      <c r="X31" s="1"/>
      <c r="Y31" s="1"/>
      <c r="Z31" s="1"/>
      <c r="AA31" s="1"/>
      <c r="AB31" s="1"/>
      <c r="AC31" s="1"/>
      <c r="AD31" s="1"/>
      <c r="AE31" s="1"/>
      <c r="AF31" s="1"/>
      <c r="AG31" s="1"/>
      <c r="AH31" s="1"/>
      <c r="AI31" s="1"/>
      <c r="AJ31" s="1"/>
    </row>
    <row r="32" spans="1:36" ht="16.5" thickTop="1" thickBot="1">
      <c r="A32" s="1"/>
      <c r="B32" s="1"/>
      <c r="C32" s="172" t="s">
        <v>284</v>
      </c>
      <c r="D32" s="143"/>
      <c r="E32" s="142">
        <f>+E30-E31</f>
        <v>-41977.314336675008</v>
      </c>
      <c r="F32" s="141">
        <f t="shared" ref="F32:N32" si="8">+F30-F31</f>
        <v>-42103.081558109319</v>
      </c>
      <c r="G32" s="142">
        <f t="shared" si="8"/>
        <v>18645.078123310075</v>
      </c>
      <c r="H32" s="141">
        <f t="shared" si="8"/>
        <v>26984.048514699247</v>
      </c>
      <c r="I32" s="142">
        <f t="shared" si="8"/>
        <v>36874.107046922283</v>
      </c>
      <c r="J32" s="141">
        <f t="shared" si="8"/>
        <v>48540.658266893195</v>
      </c>
      <c r="K32" s="142">
        <f t="shared" si="8"/>
        <v>61909.322040806794</v>
      </c>
      <c r="L32" s="142">
        <f t="shared" si="8"/>
        <v>77453.454797219048</v>
      </c>
      <c r="M32" s="141">
        <f t="shared" si="8"/>
        <v>95527.956482541529</v>
      </c>
      <c r="N32" s="142">
        <f t="shared" si="8"/>
        <v>116545.72469937555</v>
      </c>
      <c r="O32" s="1"/>
      <c r="P32" s="1"/>
      <c r="Q32" s="1"/>
      <c r="R32" s="1"/>
      <c r="S32" s="1"/>
      <c r="T32" s="1"/>
      <c r="U32" s="1"/>
      <c r="V32" s="1"/>
      <c r="W32" s="1"/>
      <c r="X32" s="1"/>
      <c r="Y32" s="1"/>
      <c r="Z32" s="1"/>
      <c r="AA32" s="1"/>
      <c r="AB32" s="1"/>
      <c r="AC32" s="1"/>
      <c r="AD32" s="1"/>
      <c r="AE32" s="1"/>
      <c r="AF32" s="1"/>
      <c r="AG32" s="1"/>
      <c r="AH32" s="1"/>
      <c r="AI32" s="1"/>
      <c r="AJ32" s="1"/>
    </row>
    <row r="33" spans="1:36" ht="16.5" thickTop="1" thickBot="1">
      <c r="A33" s="1"/>
      <c r="B33" s="1"/>
      <c r="C33" s="46" t="s">
        <v>285</v>
      </c>
      <c r="D33" s="36"/>
      <c r="E33" s="105">
        <v>0</v>
      </c>
      <c r="F33" s="140">
        <v>0</v>
      </c>
      <c r="G33" s="105">
        <f t="shared" ref="G33:N33" si="9">+G32*$J$4</f>
        <v>4288.3679683613173</v>
      </c>
      <c r="H33" s="140">
        <f t="shared" si="9"/>
        <v>6206.3311583808272</v>
      </c>
      <c r="I33" s="105">
        <f t="shared" si="9"/>
        <v>8481.044620792125</v>
      </c>
      <c r="J33" s="140">
        <f t="shared" si="9"/>
        <v>11164.351401385435</v>
      </c>
      <c r="K33" s="105">
        <f t="shared" si="9"/>
        <v>14239.144069385564</v>
      </c>
      <c r="L33" s="105">
        <f t="shared" si="9"/>
        <v>17814.29460336038</v>
      </c>
      <c r="M33" s="140">
        <f t="shared" si="9"/>
        <v>21971.429990984554</v>
      </c>
      <c r="N33" s="105">
        <f t="shared" si="9"/>
        <v>26805.516680856377</v>
      </c>
      <c r="O33" s="1"/>
      <c r="P33" s="1"/>
      <c r="Q33" s="1"/>
      <c r="R33" s="1"/>
      <c r="S33" s="1"/>
      <c r="T33" s="1"/>
      <c r="U33" s="1"/>
      <c r="V33" s="1"/>
      <c r="W33" s="1"/>
      <c r="X33" s="1"/>
      <c r="Y33" s="1"/>
      <c r="Z33" s="1"/>
      <c r="AA33" s="1"/>
      <c r="AB33" s="1"/>
      <c r="AC33" s="1"/>
      <c r="AD33" s="1"/>
      <c r="AE33" s="1"/>
      <c r="AF33" s="1"/>
      <c r="AG33" s="1"/>
      <c r="AH33" s="1"/>
      <c r="AI33" s="1"/>
      <c r="AJ33" s="1"/>
    </row>
    <row r="34" spans="1:36" ht="16.5" thickTop="1" thickBot="1">
      <c r="A34" s="1"/>
      <c r="B34" s="1"/>
      <c r="C34" s="148" t="s">
        <v>286</v>
      </c>
      <c r="D34" s="148"/>
      <c r="E34" s="148">
        <f>E32-E33</f>
        <v>-41977.314336675008</v>
      </c>
      <c r="F34" s="148">
        <f t="shared" ref="F34:N34" si="10">F32-F33</f>
        <v>-42103.081558109319</v>
      </c>
      <c r="G34" s="148">
        <f t="shared" si="10"/>
        <v>14356.710154948758</v>
      </c>
      <c r="H34" s="148">
        <f t="shared" si="10"/>
        <v>20777.717356318419</v>
      </c>
      <c r="I34" s="148">
        <f t="shared" si="10"/>
        <v>28393.062426130156</v>
      </c>
      <c r="J34" s="148">
        <f t="shared" si="10"/>
        <v>37376.306865507759</v>
      </c>
      <c r="K34" s="148">
        <f t="shared" si="10"/>
        <v>47670.177971421232</v>
      </c>
      <c r="L34" s="148">
        <f t="shared" si="10"/>
        <v>59639.160193858668</v>
      </c>
      <c r="M34" s="148">
        <f t="shared" si="10"/>
        <v>73556.526491556971</v>
      </c>
      <c r="N34" s="148">
        <f t="shared" si="10"/>
        <v>89740.208018519173</v>
      </c>
      <c r="O34" s="1"/>
      <c r="P34" s="1"/>
      <c r="Q34" s="1"/>
      <c r="R34" s="1"/>
      <c r="S34" s="1"/>
      <c r="T34" s="1"/>
      <c r="U34" s="1"/>
      <c r="V34" s="1"/>
      <c r="W34" s="1"/>
      <c r="X34" s="1"/>
      <c r="Y34" s="1"/>
      <c r="Z34" s="1"/>
      <c r="AA34" s="1"/>
      <c r="AB34" s="1"/>
      <c r="AC34" s="1"/>
      <c r="AD34" s="1"/>
      <c r="AE34" s="1"/>
      <c r="AF34" s="1"/>
      <c r="AG34" s="1"/>
      <c r="AH34" s="1"/>
      <c r="AI34" s="1"/>
      <c r="AJ34" s="1"/>
    </row>
    <row r="35" spans="1:36" ht="15.75" thickTop="1">
      <c r="A35" s="1"/>
      <c r="B35" s="1"/>
      <c r="C35" s="45" t="s">
        <v>291</v>
      </c>
      <c r="D35" s="179"/>
      <c r="E35" s="43">
        <f t="shared" ref="E35:N36" si="11">+E21</f>
        <v>150</v>
      </c>
      <c r="F35" s="43">
        <f t="shared" si="11"/>
        <v>150</v>
      </c>
      <c r="G35" s="43">
        <f t="shared" si="11"/>
        <v>150</v>
      </c>
      <c r="H35" s="43">
        <f t="shared" si="11"/>
        <v>150</v>
      </c>
      <c r="I35" s="43">
        <f t="shared" si="11"/>
        <v>150</v>
      </c>
      <c r="J35" s="43">
        <f t="shared" si="11"/>
        <v>150</v>
      </c>
      <c r="K35" s="43">
        <f t="shared" si="11"/>
        <v>150</v>
      </c>
      <c r="L35" s="43">
        <f t="shared" si="11"/>
        <v>150</v>
      </c>
      <c r="M35" s="43">
        <f t="shared" si="11"/>
        <v>150</v>
      </c>
      <c r="N35" s="43">
        <f t="shared" si="11"/>
        <v>150</v>
      </c>
      <c r="O35" s="1"/>
      <c r="P35" s="1"/>
      <c r="Q35" s="1"/>
      <c r="R35" s="1"/>
      <c r="S35" s="1"/>
      <c r="T35" s="1"/>
      <c r="U35" s="1"/>
      <c r="V35" s="1"/>
      <c r="W35" s="1"/>
      <c r="X35" s="1"/>
      <c r="Y35" s="1"/>
      <c r="Z35" s="1"/>
      <c r="AA35" s="1"/>
      <c r="AB35" s="1"/>
      <c r="AC35" s="1"/>
      <c r="AD35" s="1"/>
      <c r="AE35" s="1"/>
      <c r="AF35" s="1"/>
      <c r="AG35" s="1"/>
      <c r="AH35" s="1"/>
      <c r="AI35" s="1"/>
      <c r="AJ35" s="1"/>
    </row>
    <row r="36" spans="1:36">
      <c r="A36" s="1"/>
      <c r="B36" s="1"/>
      <c r="C36" s="46" t="s">
        <v>292</v>
      </c>
      <c r="D36" s="50"/>
      <c r="E36" s="56">
        <f t="shared" si="11"/>
        <v>820</v>
      </c>
      <c r="F36" s="56">
        <f t="shared" si="11"/>
        <v>1114</v>
      </c>
      <c r="G36" s="56">
        <f t="shared" si="11"/>
        <v>1114</v>
      </c>
      <c r="H36" s="56">
        <f t="shared" si="11"/>
        <v>1334</v>
      </c>
      <c r="I36" s="56">
        <f t="shared" si="11"/>
        <v>1334</v>
      </c>
      <c r="J36" s="56">
        <f t="shared" si="11"/>
        <v>1114</v>
      </c>
      <c r="K36" s="56">
        <f t="shared" si="11"/>
        <v>1114</v>
      </c>
      <c r="L36" s="56">
        <f t="shared" si="11"/>
        <v>1114</v>
      </c>
      <c r="M36" s="56">
        <f t="shared" si="11"/>
        <v>1114</v>
      </c>
      <c r="N36" s="56">
        <f t="shared" si="11"/>
        <v>1114</v>
      </c>
      <c r="O36" s="1"/>
      <c r="P36" s="1"/>
      <c r="Q36" s="1"/>
      <c r="R36" s="1"/>
      <c r="S36" s="1"/>
      <c r="T36" s="1"/>
      <c r="U36" s="1"/>
      <c r="V36" s="1"/>
      <c r="W36" s="1"/>
      <c r="X36" s="1"/>
      <c r="Y36" s="1"/>
      <c r="Z36" s="1"/>
      <c r="AA36" s="1"/>
      <c r="AB36" s="1"/>
      <c r="AC36" s="1"/>
      <c r="AD36" s="1"/>
      <c r="AE36" s="1"/>
      <c r="AF36" s="1"/>
      <c r="AG36" s="1"/>
      <c r="AH36" s="1"/>
      <c r="AI36" s="1"/>
      <c r="AJ36" s="1"/>
    </row>
    <row r="37" spans="1:36">
      <c r="A37" s="1"/>
      <c r="B37" s="1"/>
      <c r="C37" s="180" t="s">
        <v>293</v>
      </c>
      <c r="D37" s="181">
        <f>-'Inversion Inicial'!C15</f>
        <v>-12885</v>
      </c>
      <c r="E37" s="56"/>
      <c r="F37" s="56"/>
      <c r="G37" s="56"/>
      <c r="H37" s="182">
        <f>-depreciacion!H35</f>
        <v>-1800</v>
      </c>
      <c r="I37" s="56"/>
      <c r="J37" s="182">
        <f>-depreciacion!J35</f>
        <v>-1100</v>
      </c>
      <c r="K37" s="182">
        <f>-depreciacion!K35</f>
        <v>-1800</v>
      </c>
      <c r="L37" s="56"/>
      <c r="M37" s="300"/>
      <c r="N37" s="182">
        <f>-depreciacion!N35</f>
        <v>-1800</v>
      </c>
      <c r="O37" s="58">
        <f>+SUM(E37:N37)</f>
        <v>-6500</v>
      </c>
      <c r="P37" s="1"/>
      <c r="Q37" s="1"/>
      <c r="R37" s="1"/>
      <c r="S37" s="1"/>
      <c r="T37" s="1"/>
      <c r="U37" s="1"/>
      <c r="V37" s="1"/>
      <c r="W37" s="1"/>
      <c r="X37" s="1"/>
      <c r="Y37" s="1"/>
      <c r="Z37" s="1"/>
      <c r="AA37" s="1"/>
      <c r="AB37" s="1"/>
      <c r="AC37" s="1"/>
      <c r="AD37" s="1"/>
      <c r="AE37" s="1"/>
      <c r="AF37" s="1"/>
      <c r="AG37" s="1"/>
      <c r="AH37" s="1"/>
      <c r="AI37" s="1"/>
      <c r="AJ37" s="1"/>
    </row>
    <row r="38" spans="1:36">
      <c r="A38" s="1"/>
      <c r="B38" s="1"/>
      <c r="C38" s="183" t="s">
        <v>294</v>
      </c>
      <c r="D38" s="184">
        <f>amortizacion!G12</f>
        <v>38989.937353125024</v>
      </c>
      <c r="E38" s="46"/>
      <c r="F38" s="36"/>
      <c r="G38" s="46"/>
      <c r="H38" s="36"/>
      <c r="I38" s="46"/>
      <c r="J38" s="36"/>
      <c r="K38" s="46"/>
      <c r="L38" s="46"/>
      <c r="M38" s="36"/>
      <c r="N38" s="46"/>
      <c r="O38" s="1"/>
      <c r="P38" s="1"/>
      <c r="Q38" s="1"/>
      <c r="R38" s="1"/>
      <c r="S38" s="1"/>
      <c r="T38" s="1"/>
      <c r="U38" s="1"/>
      <c r="V38" s="1"/>
      <c r="W38" s="1"/>
      <c r="X38" s="1"/>
      <c r="Y38" s="1"/>
      <c r="Z38" s="1"/>
      <c r="AA38" s="1"/>
      <c r="AB38" s="1"/>
      <c r="AC38" s="1"/>
      <c r="AD38" s="1"/>
      <c r="AE38" s="1"/>
      <c r="AF38" s="1"/>
      <c r="AG38" s="1"/>
      <c r="AH38" s="1"/>
      <c r="AI38" s="1"/>
      <c r="AJ38" s="1"/>
    </row>
    <row r="39" spans="1:36">
      <c r="A39" s="1"/>
      <c r="B39" s="1"/>
      <c r="C39" s="342" t="s">
        <v>295</v>
      </c>
      <c r="D39" s="343"/>
      <c r="E39" s="344">
        <f>-amortizacion!$G16</f>
        <v>-2309.2947400045068</v>
      </c>
      <c r="F39" s="344">
        <f>-amortizacion!$G17</f>
        <v>-2567.9357508850117</v>
      </c>
      <c r="G39" s="344">
        <f>-amortizacion!$G18</f>
        <v>-2855.5445549841334</v>
      </c>
      <c r="H39" s="344">
        <f>-amortizacion!$G19</f>
        <v>-3175.365545142356</v>
      </c>
      <c r="I39" s="344">
        <f>-amortizacion!$G20</f>
        <v>-3531.0064861982996</v>
      </c>
      <c r="J39" s="344">
        <f>-amortizacion!$G21</f>
        <v>-3926.4792126525094</v>
      </c>
      <c r="K39" s="344">
        <f>-amortizacion!$G22</f>
        <v>-4366.24488446959</v>
      </c>
      <c r="L39" s="344">
        <f>-amortizacion!$G23</f>
        <v>-4855.2643115301844</v>
      </c>
      <c r="M39" s="344">
        <f>-amortizacion!$G24</f>
        <v>-5399.0539144215654</v>
      </c>
      <c r="N39" s="344">
        <f>-amortizacion!$G25</f>
        <v>-6003.7479528367803</v>
      </c>
      <c r="O39" s="1"/>
      <c r="P39" s="1"/>
      <c r="Q39" s="1"/>
      <c r="R39" s="1"/>
      <c r="S39" s="1"/>
      <c r="T39" s="1"/>
      <c r="U39" s="1"/>
      <c r="V39" s="1"/>
      <c r="W39" s="1"/>
      <c r="X39" s="1"/>
      <c r="Y39" s="1"/>
      <c r="Z39" s="1"/>
      <c r="AA39" s="1"/>
      <c r="AB39" s="1"/>
      <c r="AC39" s="1"/>
      <c r="AD39" s="1"/>
      <c r="AE39" s="1"/>
      <c r="AF39" s="1"/>
      <c r="AG39" s="1"/>
      <c r="AH39" s="1"/>
      <c r="AI39" s="1"/>
      <c r="AJ39" s="1"/>
    </row>
    <row r="40" spans="1:36">
      <c r="A40" s="1"/>
      <c r="B40" s="1"/>
      <c r="C40" s="185" t="s">
        <v>296</v>
      </c>
      <c r="D40" s="186">
        <f>'capital de trabajo'!C8</f>
        <v>-52098.228921875037</v>
      </c>
      <c r="E40" s="46"/>
      <c r="F40" s="36"/>
      <c r="G40" s="46"/>
      <c r="H40" s="36"/>
      <c r="I40" s="46"/>
      <c r="J40" s="36"/>
      <c r="K40" s="46"/>
      <c r="L40" s="46"/>
      <c r="M40" s="36"/>
      <c r="N40" s="46"/>
      <c r="O40" s="1"/>
      <c r="P40" s="1"/>
      <c r="Q40" s="1"/>
      <c r="R40" s="1"/>
      <c r="S40" s="1"/>
      <c r="T40" s="1"/>
      <c r="U40" s="1"/>
      <c r="V40" s="1"/>
      <c r="W40" s="1"/>
      <c r="X40" s="1"/>
      <c r="Y40" s="1"/>
      <c r="Z40" s="1"/>
      <c r="AA40" s="1"/>
      <c r="AB40" s="1"/>
      <c r="AC40" s="1"/>
      <c r="AD40" s="1"/>
      <c r="AE40" s="1"/>
      <c r="AF40" s="1"/>
      <c r="AG40" s="1"/>
      <c r="AH40" s="1"/>
      <c r="AI40" s="1"/>
      <c r="AJ40" s="1"/>
    </row>
    <row r="41" spans="1:36">
      <c r="A41" s="1"/>
      <c r="B41" s="1"/>
      <c r="C41" s="187" t="s">
        <v>297</v>
      </c>
      <c r="D41" s="188"/>
      <c r="E41" s="46"/>
      <c r="F41" s="36"/>
      <c r="G41" s="46"/>
      <c r="H41" s="36"/>
      <c r="I41" s="46"/>
      <c r="J41" s="36"/>
      <c r="K41" s="46"/>
      <c r="L41" s="46"/>
      <c r="M41" s="36"/>
      <c r="N41" s="189">
        <f>-D40</f>
        <v>52098.228921875037</v>
      </c>
      <c r="O41" s="1"/>
      <c r="P41" s="1"/>
      <c r="Q41" s="1"/>
      <c r="R41" s="1"/>
      <c r="S41" s="1"/>
      <c r="T41" s="1"/>
      <c r="U41" s="1"/>
      <c r="V41" s="1"/>
      <c r="W41" s="1"/>
      <c r="X41" s="1"/>
      <c r="Y41" s="1"/>
      <c r="Z41" s="1"/>
      <c r="AA41" s="1"/>
      <c r="AB41" s="1"/>
      <c r="AC41" s="1"/>
      <c r="AD41" s="1"/>
      <c r="AE41" s="1"/>
      <c r="AF41" s="1"/>
      <c r="AG41" s="1"/>
      <c r="AH41" s="1"/>
      <c r="AI41" s="1"/>
      <c r="AJ41" s="1"/>
    </row>
    <row r="42" spans="1:36" ht="15.75" thickBot="1">
      <c r="A42" s="1"/>
      <c r="B42" s="1"/>
      <c r="C42" s="346" t="s">
        <v>298</v>
      </c>
      <c r="D42" s="190"/>
      <c r="E42" s="46"/>
      <c r="F42" s="36"/>
      <c r="G42" s="46"/>
      <c r="H42" s="36"/>
      <c r="I42" s="46"/>
      <c r="J42" s="36"/>
      <c r="K42" s="46"/>
      <c r="L42" s="46"/>
      <c r="M42" s="36"/>
      <c r="N42" s="345">
        <f>depreciacion!O49</f>
        <v>2080</v>
      </c>
      <c r="O42" s="1"/>
      <c r="P42" s="1"/>
      <c r="Q42" s="1"/>
      <c r="R42" s="1"/>
      <c r="S42" s="1"/>
      <c r="T42" s="1"/>
      <c r="U42" s="1"/>
      <c r="V42" s="1"/>
      <c r="W42" s="1"/>
      <c r="X42" s="1"/>
      <c r="Y42" s="1"/>
      <c r="Z42" s="1"/>
      <c r="AA42" s="1"/>
      <c r="AB42" s="1"/>
      <c r="AC42" s="1"/>
      <c r="AD42" s="1"/>
      <c r="AE42" s="1"/>
      <c r="AF42" s="1"/>
      <c r="AG42" s="1"/>
      <c r="AH42" s="1"/>
      <c r="AI42" s="1"/>
      <c r="AJ42" s="1"/>
    </row>
    <row r="43" spans="1:36" ht="16.5" thickTop="1" thickBot="1">
      <c r="A43" s="1"/>
      <c r="B43" s="1"/>
      <c r="C43" s="191" t="s">
        <v>299</v>
      </c>
      <c r="D43" s="192">
        <f>+SUM(D34:D42)</f>
        <v>-25993.291568750014</v>
      </c>
      <c r="E43" s="193">
        <f>+SUM(E34:E42)</f>
        <v>-43316.609076679517</v>
      </c>
      <c r="F43" s="193">
        <f>+SUM(F34:F42)</f>
        <v>-43407.017308994327</v>
      </c>
      <c r="G43" s="193">
        <f t="shared" ref="G43:M43" si="12">+SUM(G34:G42)</f>
        <v>12765.165599964625</v>
      </c>
      <c r="H43" s="193">
        <f t="shared" si="12"/>
        <v>17286.351811176064</v>
      </c>
      <c r="I43" s="193">
        <f t="shared" si="12"/>
        <v>26346.055939931855</v>
      </c>
      <c r="J43" s="193">
        <f t="shared" si="12"/>
        <v>33613.827652855252</v>
      </c>
      <c r="K43" s="193">
        <f t="shared" si="12"/>
        <v>42767.933086951642</v>
      </c>
      <c r="L43" s="193">
        <f t="shared" si="12"/>
        <v>56047.895882328485</v>
      </c>
      <c r="M43" s="193">
        <f t="shared" si="12"/>
        <v>69421.472577135399</v>
      </c>
      <c r="N43" s="193">
        <f>+SUM(N34:N42)</f>
        <v>137378.68898755743</v>
      </c>
      <c r="O43" s="1"/>
      <c r="P43" s="1"/>
      <c r="Q43" s="1"/>
      <c r="R43" s="1"/>
      <c r="S43" s="1"/>
      <c r="T43" s="1"/>
      <c r="U43" s="1"/>
      <c r="V43" s="1"/>
      <c r="W43" s="1"/>
      <c r="X43" s="1"/>
      <c r="Y43" s="1"/>
      <c r="Z43" s="1"/>
      <c r="AA43" s="1"/>
      <c r="AB43" s="1"/>
      <c r="AC43" s="1"/>
      <c r="AD43" s="1"/>
      <c r="AE43" s="1"/>
      <c r="AF43" s="1"/>
      <c r="AG43" s="1"/>
      <c r="AH43" s="1"/>
      <c r="AI43" s="1"/>
      <c r="AJ43" s="1"/>
    </row>
    <row r="44" spans="1:36" ht="15.75" thickTop="1">
      <c r="A44" s="1"/>
      <c r="B44" s="1"/>
      <c r="C44" s="101" t="s">
        <v>45</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75" thickBo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6.5" thickTop="1" thickBot="1">
      <c r="A48" s="1"/>
      <c r="B48" s="1"/>
      <c r="C48" s="194" t="s">
        <v>300</v>
      </c>
      <c r="D48" s="347">
        <f>TMAR!H15</f>
        <v>0.17175499999999999</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thickTop="1" thickBot="1">
      <c r="A49" s="1"/>
      <c r="B49" s="1"/>
      <c r="C49" s="194" t="s">
        <v>301</v>
      </c>
      <c r="D49" s="348">
        <f>+NPV(D48,E43:N43)+D43</f>
        <v>22141.028315828327</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thickTop="1" thickBot="1">
      <c r="A50" s="1"/>
      <c r="B50" s="1"/>
      <c r="C50" s="194" t="s">
        <v>290</v>
      </c>
      <c r="D50" s="195">
        <f>+IRR(D43:N43)</f>
        <v>0.21229353583262361</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75" thickTop="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c r="A53" s="1"/>
      <c r="B53" s="1"/>
      <c r="C53" s="1"/>
      <c r="D53" s="1"/>
      <c r="E53" s="1"/>
      <c r="F53" s="1"/>
      <c r="G53" s="1"/>
      <c r="H53" s="1"/>
      <c r="I53" s="1"/>
      <c r="J53" s="1"/>
      <c r="K53" s="1"/>
      <c r="L53" s="1"/>
      <c r="M53" s="1"/>
      <c r="N53" s="1"/>
      <c r="O53" s="1"/>
      <c r="P53" s="1"/>
      <c r="Q53" s="1"/>
      <c r="R53" s="1"/>
      <c r="S53" s="1"/>
      <c r="T53" s="1"/>
      <c r="U53" s="1"/>
      <c r="V53" s="1"/>
      <c r="W53" s="1"/>
    </row>
    <row r="54" spans="1:36">
      <c r="A54" s="1"/>
      <c r="B54" s="1"/>
      <c r="C54" s="1"/>
      <c r="D54" s="1"/>
      <c r="E54" s="1"/>
      <c r="F54" s="1"/>
      <c r="G54" s="1"/>
      <c r="H54" s="1"/>
      <c r="I54" s="1"/>
      <c r="J54" s="1"/>
      <c r="K54" s="1"/>
      <c r="L54" s="1"/>
      <c r="M54" s="1"/>
      <c r="N54" s="1"/>
      <c r="O54" s="1"/>
      <c r="P54" s="1"/>
      <c r="Q54" s="1"/>
      <c r="R54" s="1"/>
      <c r="S54" s="1"/>
      <c r="T54" s="1"/>
      <c r="U54" s="1"/>
      <c r="V54" s="1"/>
      <c r="W54" s="1"/>
    </row>
    <row r="55" spans="1:36">
      <c r="A55" s="1"/>
      <c r="B55" s="1"/>
      <c r="C55" s="1"/>
      <c r="D55" s="194"/>
      <c r="E55" s="1"/>
      <c r="F55" s="1"/>
      <c r="G55" s="1"/>
      <c r="H55" s="1"/>
      <c r="I55" s="1"/>
      <c r="J55" s="1"/>
      <c r="K55" s="1"/>
      <c r="L55" s="1"/>
      <c r="M55" s="1"/>
      <c r="N55" s="1"/>
      <c r="O55" s="1"/>
      <c r="P55" s="1"/>
      <c r="Q55" s="1"/>
      <c r="R55" s="1"/>
      <c r="S55" s="1"/>
      <c r="T55" s="1"/>
      <c r="U55" s="1"/>
      <c r="V55" s="1"/>
      <c r="W55" s="1"/>
    </row>
    <row r="56" spans="1:36">
      <c r="A56" s="1"/>
      <c r="B56" s="1"/>
      <c r="C56" s="1"/>
      <c r="D56" s="1"/>
      <c r="E56" s="1"/>
      <c r="F56" s="1"/>
      <c r="G56" s="1"/>
      <c r="H56" s="1"/>
      <c r="I56" s="1"/>
      <c r="J56" s="1"/>
      <c r="K56" s="1"/>
      <c r="L56" s="1"/>
      <c r="M56" s="1"/>
      <c r="N56" s="1"/>
      <c r="O56" s="1"/>
      <c r="P56" s="1"/>
      <c r="Q56" s="1"/>
      <c r="R56" s="1"/>
      <c r="S56" s="1"/>
      <c r="T56" s="1"/>
      <c r="U56" s="1"/>
      <c r="V56" s="1"/>
      <c r="W56" s="1"/>
    </row>
    <row r="57" spans="1:36">
      <c r="A57" s="1"/>
      <c r="B57" s="1"/>
      <c r="C57" s="1"/>
      <c r="D57" s="1"/>
      <c r="E57" s="1"/>
      <c r="F57" s="1"/>
      <c r="G57" s="1"/>
      <c r="H57" s="1"/>
      <c r="I57" s="1"/>
      <c r="J57" s="1"/>
      <c r="K57" s="1"/>
      <c r="L57" s="1"/>
      <c r="M57" s="1"/>
      <c r="N57" s="1"/>
      <c r="O57" s="1"/>
      <c r="P57" s="1"/>
      <c r="Q57" s="1"/>
      <c r="R57" s="1"/>
      <c r="S57" s="1"/>
      <c r="T57" s="1"/>
      <c r="U57" s="1"/>
      <c r="V57" s="1"/>
      <c r="W57" s="1"/>
    </row>
    <row r="58" spans="1:36">
      <c r="A58" s="1"/>
      <c r="B58" s="1"/>
      <c r="C58" s="1"/>
      <c r="D58" s="1"/>
      <c r="E58" s="1"/>
      <c r="F58" s="1"/>
      <c r="G58" s="1"/>
      <c r="H58" s="1"/>
      <c r="I58" s="1"/>
      <c r="J58" s="1"/>
      <c r="K58" s="1"/>
      <c r="L58" s="1"/>
      <c r="M58" s="1"/>
      <c r="N58" s="1"/>
      <c r="O58" s="1"/>
      <c r="P58" s="1"/>
      <c r="Q58" s="1"/>
      <c r="R58" s="1"/>
      <c r="S58" s="1"/>
      <c r="T58" s="1"/>
      <c r="U58" s="1"/>
      <c r="V58" s="1"/>
      <c r="W58" s="1"/>
    </row>
    <row r="59" spans="1:36">
      <c r="A59" s="1"/>
      <c r="B59" s="1"/>
      <c r="C59" s="1"/>
      <c r="D59" s="1"/>
      <c r="E59" s="1"/>
      <c r="F59" s="1"/>
      <c r="G59" s="1"/>
      <c r="H59" s="1"/>
      <c r="I59" s="1"/>
      <c r="J59" s="1"/>
      <c r="K59" s="1"/>
      <c r="L59" s="1"/>
      <c r="M59" s="1"/>
      <c r="N59" s="1"/>
      <c r="O59" s="1"/>
      <c r="P59" s="1"/>
      <c r="Q59" s="1"/>
      <c r="R59" s="1"/>
      <c r="S59" s="1"/>
      <c r="T59" s="1"/>
      <c r="U59" s="1"/>
      <c r="V59" s="1"/>
      <c r="W59" s="1"/>
    </row>
    <row r="60" spans="1:3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3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3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3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18">
      <c r="A65" s="1"/>
      <c r="B65" s="1"/>
      <c r="O65" s="1"/>
      <c r="P65" s="1"/>
      <c r="Q65" s="1"/>
      <c r="R65" s="1"/>
    </row>
    <row r="66" spans="1:18">
      <c r="A66" s="1"/>
      <c r="B66" s="1"/>
      <c r="O66" s="1"/>
      <c r="P66" s="1"/>
      <c r="Q66" s="1"/>
      <c r="R66" s="1"/>
    </row>
    <row r="67" spans="1:18">
      <c r="A67" s="1"/>
      <c r="B67" s="1"/>
      <c r="O67" s="1"/>
      <c r="P67" s="1"/>
      <c r="Q67" s="1"/>
      <c r="R67" s="1"/>
    </row>
    <row r="68" spans="1:18">
      <c r="A68" s="1"/>
      <c r="B68" s="1"/>
      <c r="O68" s="1"/>
      <c r="P68" s="1"/>
      <c r="Q68" s="1"/>
      <c r="R68" s="1"/>
    </row>
    <row r="69" spans="1:18">
      <c r="A69" s="1"/>
      <c r="B69" s="1"/>
      <c r="O69" s="1"/>
      <c r="P69" s="1"/>
      <c r="Q69" s="1"/>
      <c r="R69" s="1"/>
    </row>
    <row r="70" spans="1:18">
      <c r="A70" s="1"/>
      <c r="B70" s="1"/>
      <c r="O70" s="1"/>
      <c r="P70" s="1"/>
      <c r="Q70" s="1"/>
      <c r="R70" s="1"/>
    </row>
    <row r="71" spans="1:18">
      <c r="A71" s="1"/>
      <c r="B71" s="1"/>
      <c r="O71" s="1"/>
      <c r="P71" s="1"/>
      <c r="Q71" s="1"/>
      <c r="R71" s="1"/>
    </row>
    <row r="72" spans="1:18">
      <c r="A72" s="1"/>
      <c r="B72" s="1"/>
      <c r="O72" s="1"/>
      <c r="P72" s="1"/>
      <c r="Q72" s="1"/>
      <c r="R72" s="1"/>
    </row>
    <row r="73" spans="1:18">
      <c r="A73" s="1"/>
      <c r="B73" s="1"/>
      <c r="O73" s="1"/>
      <c r="P73" s="1"/>
      <c r="Q73" s="1"/>
      <c r="R73" s="1"/>
    </row>
    <row r="74" spans="1:18">
      <c r="A74" s="1"/>
      <c r="B74" s="1"/>
      <c r="O74" s="1"/>
      <c r="P74" s="1"/>
      <c r="Q74" s="1"/>
      <c r="R74" s="1"/>
    </row>
    <row r="75" spans="1:18">
      <c r="A75" s="1"/>
      <c r="B75" s="1"/>
      <c r="O75" s="1"/>
      <c r="P75" s="1"/>
      <c r="Q75" s="1"/>
      <c r="R75" s="1"/>
    </row>
    <row r="76" spans="1:18">
      <c r="A76" s="1"/>
      <c r="B76" s="1"/>
      <c r="O76" s="1"/>
      <c r="P76" s="1"/>
      <c r="Q76" s="1"/>
      <c r="R76" s="1"/>
    </row>
    <row r="77" spans="1:18">
      <c r="A77" s="1"/>
      <c r="B77" s="1"/>
      <c r="O77" s="1"/>
      <c r="P77" s="1"/>
      <c r="Q77" s="1"/>
      <c r="R77" s="1"/>
    </row>
    <row r="78" spans="1:18">
      <c r="A78" s="1"/>
      <c r="B78" s="1"/>
      <c r="O78" s="1"/>
      <c r="P78" s="1"/>
      <c r="Q78" s="1"/>
      <c r="R78" s="1"/>
    </row>
    <row r="79" spans="1:18">
      <c r="A79" s="1"/>
      <c r="B79" s="1"/>
      <c r="O79" s="1"/>
      <c r="P79" s="1"/>
      <c r="Q79" s="1"/>
      <c r="R79" s="1"/>
    </row>
    <row r="80" spans="1:18">
      <c r="A80" s="1"/>
      <c r="B80" s="1"/>
      <c r="O80" s="1"/>
      <c r="P80" s="1"/>
      <c r="Q80" s="1"/>
      <c r="R80" s="1"/>
    </row>
    <row r="81" spans="1:18">
      <c r="A81" s="1"/>
      <c r="B81" s="1"/>
      <c r="O81" s="1"/>
      <c r="P81" s="1"/>
      <c r="Q81" s="1"/>
      <c r="R81" s="1"/>
    </row>
    <row r="82" spans="1:18">
      <c r="A82" s="1"/>
      <c r="B82" s="1"/>
      <c r="O82" s="1"/>
      <c r="P82" s="1"/>
      <c r="Q82" s="1"/>
      <c r="R82" s="1"/>
    </row>
    <row r="83" spans="1:18">
      <c r="A83" s="1"/>
      <c r="B83" s="1"/>
      <c r="O83" s="1"/>
      <c r="P83" s="1"/>
      <c r="Q83" s="1"/>
      <c r="R83" s="1"/>
    </row>
    <row r="84" spans="1:18">
      <c r="A84" s="1"/>
      <c r="B84" s="1"/>
      <c r="O84" s="1"/>
      <c r="P84" s="1"/>
      <c r="Q84" s="1"/>
      <c r="R84" s="1"/>
    </row>
    <row r="85" spans="1:18">
      <c r="A85" s="1"/>
      <c r="B85" s="1"/>
      <c r="O85" s="1"/>
      <c r="P85" s="1"/>
      <c r="Q85" s="1"/>
      <c r="R85" s="1"/>
    </row>
    <row r="86" spans="1:18">
      <c r="A86" s="1"/>
      <c r="B86" s="1"/>
      <c r="O86" s="1"/>
      <c r="P86" s="1"/>
      <c r="Q86" s="1"/>
      <c r="R86" s="1"/>
    </row>
    <row r="87" spans="1:18">
      <c r="A87" s="1"/>
      <c r="B87" s="1"/>
      <c r="O87" s="1"/>
      <c r="P87" s="1"/>
      <c r="Q87" s="1"/>
      <c r="R87" s="1"/>
    </row>
    <row r="88" spans="1:18">
      <c r="A88" s="1"/>
      <c r="B88" s="1"/>
      <c r="O88" s="1"/>
      <c r="P88" s="1"/>
      <c r="Q88" s="1"/>
      <c r="R88" s="1"/>
    </row>
    <row r="89" spans="1:18">
      <c r="A89" s="1"/>
      <c r="B89" s="1"/>
      <c r="O89" s="1"/>
      <c r="P89" s="1"/>
      <c r="Q89" s="1"/>
      <c r="R89" s="1"/>
    </row>
    <row r="90" spans="1:18">
      <c r="A90" s="1"/>
      <c r="B90" s="1"/>
      <c r="O90" s="1"/>
      <c r="P90" s="1"/>
      <c r="Q90" s="1"/>
      <c r="R90" s="1"/>
    </row>
    <row r="91" spans="1:18">
      <c r="A91" s="1"/>
      <c r="B91" s="1"/>
      <c r="O91" s="1"/>
      <c r="P91" s="1"/>
      <c r="Q91" s="1"/>
      <c r="R91" s="1"/>
    </row>
    <row r="92" spans="1:18">
      <c r="A92" s="1"/>
      <c r="B92" s="1"/>
      <c r="O92" s="1"/>
      <c r="P92" s="1"/>
      <c r="Q92" s="1"/>
      <c r="R92" s="1"/>
    </row>
    <row r="93" spans="1:18">
      <c r="A93" s="1"/>
      <c r="B93" s="1"/>
      <c r="O93" s="1"/>
      <c r="P93" s="1"/>
      <c r="Q93" s="1"/>
      <c r="R93" s="1"/>
    </row>
    <row r="94" spans="1:18">
      <c r="A94" s="1"/>
      <c r="B94" s="1"/>
      <c r="O94" s="1"/>
      <c r="P94" s="1"/>
      <c r="Q94" s="1"/>
      <c r="R94" s="1"/>
    </row>
    <row r="95" spans="1:18">
      <c r="A95" s="1"/>
      <c r="B95" s="1"/>
      <c r="O95" s="1"/>
      <c r="P95" s="1"/>
      <c r="Q95" s="1"/>
      <c r="R95" s="1"/>
    </row>
    <row r="96" spans="1:18">
      <c r="A96" s="1"/>
      <c r="B96" s="1"/>
      <c r="O96" s="1"/>
      <c r="P96" s="1"/>
      <c r="Q96" s="1"/>
      <c r="R96" s="1"/>
    </row>
    <row r="97" spans="1:18">
      <c r="A97" s="1"/>
      <c r="B97" s="1"/>
      <c r="O97" s="1"/>
      <c r="P97" s="1"/>
      <c r="Q97" s="1"/>
      <c r="R97" s="1"/>
    </row>
    <row r="98" spans="1:18">
      <c r="A98" s="1"/>
      <c r="B98" s="1"/>
      <c r="O98" s="1"/>
      <c r="P98" s="1"/>
      <c r="Q98" s="1"/>
      <c r="R98" s="1"/>
    </row>
    <row r="99" spans="1:18">
      <c r="A99" s="1"/>
      <c r="B99" s="1"/>
      <c r="O99" s="1"/>
      <c r="P99" s="1"/>
      <c r="Q99" s="1"/>
      <c r="R99" s="1"/>
    </row>
    <row r="100" spans="1:18">
      <c r="A100" s="1"/>
      <c r="B100" s="1"/>
      <c r="O100" s="1"/>
      <c r="P100" s="1"/>
      <c r="Q100" s="1"/>
      <c r="R100" s="1"/>
    </row>
    <row r="101" spans="1:18">
      <c r="A101" s="1"/>
      <c r="B101" s="1"/>
      <c r="O101" s="1"/>
      <c r="P101" s="1"/>
      <c r="Q101" s="1"/>
      <c r="R101" s="1"/>
    </row>
    <row r="102" spans="1:18">
      <c r="A102" s="1"/>
      <c r="B102" s="1"/>
      <c r="O102" s="1"/>
      <c r="P102" s="1"/>
      <c r="Q102" s="1"/>
      <c r="R102" s="1"/>
    </row>
    <row r="103" spans="1:18">
      <c r="A103" s="1"/>
      <c r="B103" s="1"/>
      <c r="O103" s="1"/>
      <c r="P103" s="1"/>
      <c r="Q103" s="1"/>
      <c r="R103" s="1"/>
    </row>
    <row r="104" spans="1:18">
      <c r="A104" s="1"/>
      <c r="B104" s="1"/>
      <c r="O104" s="1"/>
      <c r="P104" s="1"/>
      <c r="Q104" s="1"/>
      <c r="R104" s="1"/>
    </row>
    <row r="105" spans="1:18">
      <c r="A105" s="1"/>
      <c r="B105" s="1"/>
      <c r="O105" s="1"/>
      <c r="P105" s="1"/>
      <c r="Q105" s="1"/>
      <c r="R105" s="1"/>
    </row>
    <row r="106" spans="1:18">
      <c r="A106" s="1"/>
      <c r="B106" s="1"/>
      <c r="O106" s="1"/>
      <c r="P106" s="1"/>
      <c r="Q106" s="1"/>
      <c r="R106" s="1"/>
    </row>
    <row r="107" spans="1:18">
      <c r="A107" s="1"/>
      <c r="B107" s="1"/>
      <c r="O107" s="1"/>
      <c r="P107" s="1"/>
      <c r="Q107" s="1"/>
      <c r="R107" s="1"/>
    </row>
    <row r="108" spans="1:18">
      <c r="A108" s="1"/>
      <c r="B108" s="1"/>
      <c r="O108" s="1"/>
      <c r="P108" s="1"/>
      <c r="Q108" s="1"/>
      <c r="R108" s="1"/>
    </row>
    <row r="109" spans="1:18">
      <c r="A109" s="1"/>
      <c r="B109" s="1"/>
      <c r="O109" s="1"/>
      <c r="P109" s="1"/>
      <c r="Q109" s="1"/>
      <c r="R109" s="1"/>
    </row>
    <row r="110" spans="1:18">
      <c r="A110" s="1"/>
      <c r="B110" s="1"/>
      <c r="O110" s="1"/>
      <c r="P110" s="1"/>
      <c r="Q110" s="1"/>
      <c r="R110" s="1"/>
    </row>
    <row r="111" spans="1:18">
      <c r="A111" s="1"/>
      <c r="B111" s="1"/>
      <c r="O111" s="1"/>
      <c r="P111" s="1"/>
      <c r="Q111" s="1"/>
      <c r="R111" s="1"/>
    </row>
    <row r="112" spans="1:18">
      <c r="A112" s="1"/>
      <c r="B112" s="1"/>
      <c r="O112" s="1"/>
      <c r="P112" s="1"/>
      <c r="Q112" s="1"/>
      <c r="R112" s="1"/>
    </row>
    <row r="113" spans="1:18">
      <c r="A113" s="1"/>
      <c r="B113" s="1"/>
      <c r="O113" s="1"/>
      <c r="P113" s="1"/>
      <c r="Q113" s="1"/>
      <c r="R113" s="1"/>
    </row>
    <row r="114" spans="1:18">
      <c r="A114" s="1"/>
      <c r="B114" s="1"/>
      <c r="O114" s="1"/>
      <c r="P114" s="1"/>
      <c r="Q114" s="1"/>
      <c r="R114" s="1"/>
    </row>
    <row r="115" spans="1:18">
      <c r="A115" s="1"/>
      <c r="B115" s="1"/>
      <c r="O115" s="1"/>
      <c r="P115" s="1"/>
      <c r="Q115" s="1"/>
      <c r="R115" s="1"/>
    </row>
    <row r="116" spans="1:18">
      <c r="A116" s="1"/>
      <c r="B116" s="1"/>
      <c r="O116" s="1"/>
      <c r="P116" s="1"/>
      <c r="Q116" s="1"/>
      <c r="R116" s="1"/>
    </row>
    <row r="117" spans="1:18">
      <c r="A117" s="1"/>
      <c r="B117" s="1"/>
      <c r="O117" s="1"/>
      <c r="P117" s="1"/>
      <c r="Q117" s="1"/>
      <c r="R117" s="1"/>
    </row>
    <row r="118" spans="1:18">
      <c r="A118" s="1"/>
      <c r="B118" s="1"/>
      <c r="O118" s="1"/>
      <c r="P118" s="1"/>
      <c r="Q118" s="1"/>
      <c r="R118" s="1"/>
    </row>
    <row r="119" spans="1:18">
      <c r="A119" s="1"/>
      <c r="B119" s="1"/>
      <c r="O119" s="1"/>
      <c r="P119" s="1"/>
      <c r="Q119" s="1"/>
      <c r="R119" s="1"/>
    </row>
    <row r="120" spans="1:18">
      <c r="A120" s="1"/>
      <c r="B120" s="1"/>
      <c r="O120" s="1"/>
      <c r="P120" s="1"/>
      <c r="Q120" s="1"/>
      <c r="R120" s="1"/>
    </row>
    <row r="121" spans="1:18">
      <c r="A121" s="1"/>
      <c r="B121" s="1"/>
      <c r="O121" s="1"/>
      <c r="P121" s="1"/>
      <c r="Q121" s="1"/>
      <c r="R121" s="1"/>
    </row>
    <row r="122" spans="1:18">
      <c r="A122" s="1"/>
      <c r="B122" s="1"/>
      <c r="O122" s="1"/>
      <c r="P122" s="1"/>
      <c r="Q122" s="1"/>
      <c r="R122" s="1"/>
    </row>
    <row r="123" spans="1:18">
      <c r="A123" s="1"/>
      <c r="B123" s="1"/>
      <c r="O123" s="1"/>
      <c r="P123" s="1"/>
      <c r="Q123" s="1"/>
      <c r="R123" s="1"/>
    </row>
    <row r="124" spans="1:18">
      <c r="A124" s="1"/>
      <c r="B124" s="1"/>
      <c r="O124" s="1"/>
      <c r="P124" s="1"/>
      <c r="Q124" s="1"/>
      <c r="R124" s="1"/>
    </row>
    <row r="125" spans="1:18">
      <c r="A125" s="1"/>
      <c r="B125" s="1"/>
      <c r="O125" s="1"/>
      <c r="P125" s="1"/>
      <c r="Q125" s="1"/>
      <c r="R125" s="1"/>
    </row>
    <row r="126" spans="1:18">
      <c r="A126" s="1"/>
      <c r="B126" s="1"/>
      <c r="O126" s="1"/>
      <c r="P126" s="1"/>
      <c r="Q126" s="1"/>
      <c r="R126" s="1"/>
    </row>
    <row r="127" spans="1:18">
      <c r="A127" s="1"/>
      <c r="B127" s="1"/>
      <c r="O127" s="1"/>
      <c r="P127" s="1"/>
      <c r="Q127" s="1"/>
      <c r="R127" s="1"/>
    </row>
    <row r="128" spans="1:18">
      <c r="A128" s="1"/>
      <c r="B128" s="1"/>
      <c r="O128" s="1"/>
      <c r="P128" s="1"/>
      <c r="Q128" s="1"/>
      <c r="R128" s="1"/>
    </row>
    <row r="129" spans="1:18">
      <c r="A129" s="1"/>
      <c r="B129" s="1"/>
      <c r="O129" s="1"/>
      <c r="P129" s="1"/>
      <c r="Q129" s="1"/>
      <c r="R129" s="1"/>
    </row>
    <row r="130" spans="1:18">
      <c r="A130" s="1"/>
      <c r="B130" s="1"/>
      <c r="O130" s="1"/>
      <c r="P130" s="1"/>
      <c r="Q130" s="1"/>
      <c r="R130" s="1"/>
    </row>
    <row r="131" spans="1:18">
      <c r="A131" s="1"/>
      <c r="B131" s="1"/>
      <c r="O131" s="1"/>
      <c r="P131" s="1"/>
      <c r="Q131" s="1"/>
      <c r="R131" s="1"/>
    </row>
    <row r="132" spans="1:18">
      <c r="A132" s="1"/>
      <c r="B132" s="1"/>
      <c r="O132" s="1"/>
      <c r="P132" s="1"/>
      <c r="Q132" s="1"/>
      <c r="R132" s="1"/>
    </row>
    <row r="133" spans="1:18">
      <c r="A133" s="1"/>
      <c r="B133" s="1"/>
      <c r="O133" s="1"/>
      <c r="P133" s="1"/>
      <c r="Q133" s="1"/>
      <c r="R133" s="1"/>
    </row>
    <row r="134" spans="1:18">
      <c r="A134" s="1"/>
      <c r="B134" s="1"/>
      <c r="O134" s="1"/>
      <c r="P134" s="1"/>
      <c r="Q134" s="1"/>
      <c r="R134" s="1"/>
    </row>
    <row r="135" spans="1:18">
      <c r="A135" s="1"/>
      <c r="B135" s="1"/>
      <c r="O135" s="1"/>
      <c r="P135" s="1"/>
      <c r="Q135" s="1"/>
      <c r="R135" s="1"/>
    </row>
    <row r="136" spans="1:18">
      <c r="A136" s="1"/>
      <c r="B136" s="1"/>
      <c r="O136" s="1"/>
      <c r="P136" s="1"/>
      <c r="Q136" s="1"/>
      <c r="R136" s="1"/>
    </row>
    <row r="137" spans="1:18">
      <c r="A137" s="1"/>
      <c r="B137" s="1"/>
      <c r="O137" s="1"/>
      <c r="P137" s="1"/>
      <c r="Q137" s="1"/>
      <c r="R137" s="1"/>
    </row>
    <row r="138" spans="1:18">
      <c r="A138" s="1"/>
      <c r="B138" s="1"/>
      <c r="O138" s="1"/>
      <c r="P138" s="1"/>
      <c r="Q138" s="1"/>
      <c r="R138" s="1"/>
    </row>
    <row r="139" spans="1:18">
      <c r="A139" s="1"/>
      <c r="B139" s="1"/>
      <c r="O139" s="1"/>
      <c r="P139" s="1"/>
      <c r="Q139" s="1"/>
      <c r="R139" s="1"/>
    </row>
    <row r="140" spans="1:18">
      <c r="A140" s="1"/>
      <c r="B140" s="1"/>
      <c r="O140" s="1"/>
      <c r="P140" s="1"/>
      <c r="Q140" s="1"/>
      <c r="R140" s="1"/>
    </row>
    <row r="141" spans="1:18">
      <c r="A141" s="1"/>
      <c r="B141" s="1"/>
      <c r="O141" s="1"/>
      <c r="P141" s="1"/>
      <c r="Q141" s="1"/>
      <c r="R141" s="1"/>
    </row>
    <row r="142" spans="1:18">
      <c r="A142" s="1"/>
      <c r="B142" s="1"/>
      <c r="O142" s="1"/>
      <c r="P142" s="1"/>
      <c r="Q142" s="1"/>
      <c r="R142" s="1"/>
    </row>
    <row r="143" spans="1:18">
      <c r="A143" s="1"/>
      <c r="B143" s="1"/>
      <c r="O143" s="1"/>
      <c r="P143" s="1"/>
      <c r="Q143" s="1"/>
      <c r="R143" s="1"/>
    </row>
    <row r="144" spans="1:18">
      <c r="A144" s="1"/>
      <c r="B144" s="1"/>
      <c r="O144" s="1"/>
      <c r="P144" s="1"/>
      <c r="Q144" s="1"/>
      <c r="R144" s="1"/>
    </row>
    <row r="145" spans="1:18">
      <c r="A145" s="1"/>
      <c r="B145" s="1"/>
      <c r="O145" s="1"/>
      <c r="P145" s="1"/>
      <c r="Q145" s="1"/>
      <c r="R145" s="1"/>
    </row>
    <row r="146" spans="1:18">
      <c r="A146" s="1"/>
      <c r="B146" s="1"/>
      <c r="O146" s="1"/>
      <c r="P146" s="1"/>
      <c r="Q146" s="1"/>
      <c r="R146" s="1"/>
    </row>
    <row r="147" spans="1:18">
      <c r="A147" s="1"/>
      <c r="B147" s="1"/>
      <c r="O147" s="1"/>
      <c r="P147" s="1"/>
      <c r="Q147" s="1"/>
      <c r="R147" s="1"/>
    </row>
    <row r="148" spans="1:18">
      <c r="A148" s="1"/>
      <c r="B148" s="1"/>
      <c r="O148" s="1"/>
      <c r="P148" s="1"/>
      <c r="Q148" s="1"/>
      <c r="R148" s="1"/>
    </row>
    <row r="149" spans="1:18">
      <c r="A149" s="1"/>
      <c r="B149" s="1"/>
      <c r="O149" s="1"/>
      <c r="P149" s="1"/>
      <c r="Q149" s="1"/>
      <c r="R149" s="1"/>
    </row>
    <row r="150" spans="1:18">
      <c r="A150" s="1"/>
      <c r="B150" s="1"/>
      <c r="O150" s="1"/>
      <c r="P150" s="1"/>
      <c r="Q150" s="1"/>
      <c r="R150" s="1"/>
    </row>
    <row r="151" spans="1:18">
      <c r="A151" s="1"/>
      <c r="B151" s="1"/>
      <c r="O151" s="1"/>
      <c r="P151" s="1"/>
      <c r="Q151" s="1"/>
      <c r="R151" s="1"/>
    </row>
    <row r="152" spans="1:18">
      <c r="A152" s="1"/>
      <c r="B152" s="1"/>
      <c r="O152" s="1"/>
      <c r="P152" s="1"/>
      <c r="Q152" s="1"/>
      <c r="R152" s="1"/>
    </row>
    <row r="153" spans="1:18">
      <c r="A153" s="1"/>
      <c r="B153" s="1"/>
      <c r="O153" s="1"/>
      <c r="P153" s="1"/>
      <c r="Q153" s="1"/>
      <c r="R153" s="1"/>
    </row>
    <row r="154" spans="1:18">
      <c r="A154" s="1"/>
      <c r="B154" s="1"/>
      <c r="O154" s="1"/>
      <c r="P154" s="1"/>
      <c r="Q154" s="1"/>
      <c r="R154" s="1"/>
    </row>
    <row r="155" spans="1:18">
      <c r="A155" s="1"/>
      <c r="B155" s="1"/>
      <c r="O155" s="1"/>
      <c r="P155" s="1"/>
      <c r="Q155" s="1"/>
      <c r="R155" s="1"/>
    </row>
    <row r="156" spans="1:18">
      <c r="A156" s="1"/>
      <c r="B156" s="1"/>
    </row>
    <row r="157" spans="1:18">
      <c r="A157" s="1"/>
      <c r="B157" s="1"/>
    </row>
    <row r="158" spans="1:18">
      <c r="A158" s="1"/>
      <c r="B158" s="1"/>
    </row>
    <row r="159" spans="1:18">
      <c r="A159" s="1"/>
      <c r="B159" s="1"/>
    </row>
    <row r="160" spans="1:18">
      <c r="A160" s="1"/>
      <c r="B160" s="1"/>
    </row>
    <row r="161" spans="1:2">
      <c r="A161" s="1"/>
      <c r="B161" s="1"/>
    </row>
    <row r="162" spans="1:2">
      <c r="A162" s="1"/>
      <c r="B162" s="1"/>
    </row>
    <row r="163" spans="1:2">
      <c r="A163" s="1"/>
      <c r="B163" s="1"/>
    </row>
  </sheetData>
  <mergeCells count="5">
    <mergeCell ref="I2:J2"/>
    <mergeCell ref="H7:I7"/>
    <mergeCell ref="H8:I8"/>
    <mergeCell ref="H9:I9"/>
    <mergeCell ref="C12:N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C1:O53"/>
  <sheetViews>
    <sheetView topLeftCell="C7" zoomScale="90" zoomScaleNormal="90" workbookViewId="0">
      <selection activeCell="D13" sqref="D13"/>
    </sheetView>
  </sheetViews>
  <sheetFormatPr baseColWidth="10" defaultRowHeight="15"/>
  <cols>
    <col min="1" max="1" width="4.140625" style="253" customWidth="1"/>
    <col min="2" max="2" width="4.28515625" style="253" customWidth="1"/>
    <col min="3" max="3" width="43.5703125" style="253" customWidth="1"/>
    <col min="4" max="4" width="15.140625" style="253" customWidth="1"/>
    <col min="5" max="5" width="13.140625" style="253" customWidth="1"/>
    <col min="6" max="6" width="13.28515625" style="253" customWidth="1"/>
    <col min="7" max="7" width="13.85546875" style="253" customWidth="1"/>
    <col min="8" max="8" width="13.28515625" style="253" customWidth="1"/>
    <col min="9" max="9" width="15.85546875" style="253" customWidth="1"/>
    <col min="10" max="11" width="13.28515625" style="253" customWidth="1"/>
    <col min="12" max="12" width="14.5703125" style="253" customWidth="1"/>
    <col min="13" max="13" width="14.7109375" style="253" customWidth="1"/>
    <col min="14" max="14" width="14.85546875" style="253" customWidth="1"/>
    <col min="15" max="15" width="13.28515625" style="253" customWidth="1"/>
    <col min="16" max="18" width="11.42578125" style="253"/>
    <col min="19" max="19" width="30.85546875" style="253" customWidth="1"/>
    <col min="20" max="16384" width="11.42578125" style="253"/>
  </cols>
  <sheetData>
    <row r="1" spans="3:14" ht="15.75" thickBot="1"/>
    <row r="2" spans="3:14" ht="16.5" thickTop="1" thickBot="1">
      <c r="G2" s="639" t="s">
        <v>262</v>
      </c>
      <c r="H2" s="640"/>
    </row>
    <row r="3" spans="3:14" ht="16.5" thickTop="1" thickBot="1">
      <c r="C3" s="277" t="s">
        <v>307</v>
      </c>
      <c r="D3" s="278">
        <f>+[1]TMAR!H15</f>
        <v>0.13874</v>
      </c>
      <c r="G3" s="279" t="s">
        <v>263</v>
      </c>
      <c r="H3" s="280">
        <v>0.24</v>
      </c>
    </row>
    <row r="4" spans="3:14" ht="16.5" thickTop="1" thickBot="1">
      <c r="C4" s="277" t="s">
        <v>301</v>
      </c>
      <c r="D4" s="281">
        <f>+NPV($D$3,E46:N46)+D46</f>
        <v>46671.070770278871</v>
      </c>
      <c r="G4" s="282" t="s">
        <v>264</v>
      </c>
      <c r="H4" s="283">
        <v>0.23</v>
      </c>
    </row>
    <row r="5" spans="3:14" ht="16.5" thickTop="1" thickBot="1">
      <c r="C5" s="277" t="s">
        <v>290</v>
      </c>
      <c r="D5" s="278">
        <f>+IRR(D46:N46)</f>
        <v>0.21229353583262361</v>
      </c>
      <c r="G5" s="284" t="s">
        <v>265</v>
      </c>
      <c r="H5" s="285">
        <v>0.22</v>
      </c>
    </row>
    <row r="6" spans="3:14" ht="15.75" thickTop="1">
      <c r="G6" s="286"/>
      <c r="H6" s="286"/>
    </row>
    <row r="7" spans="3:14">
      <c r="F7" s="641" t="s">
        <v>266</v>
      </c>
      <c r="G7" s="641"/>
      <c r="H7" s="349">
        <f>Demanda!B14</f>
        <v>0.1103</v>
      </c>
    </row>
    <row r="8" spans="3:14">
      <c r="F8" s="641" t="s">
        <v>267</v>
      </c>
      <c r="G8" s="641"/>
      <c r="H8" s="349">
        <v>4.8399999999999999E-2</v>
      </c>
    </row>
    <row r="9" spans="3:14">
      <c r="E9" s="287"/>
      <c r="F9" s="287"/>
      <c r="G9" s="287" t="s">
        <v>268</v>
      </c>
      <c r="H9" s="288">
        <f>+H7+H8+(H7*H8)</f>
        <v>0.16403852000000002</v>
      </c>
    </row>
    <row r="10" spans="3:14">
      <c r="C10" s="336" t="s">
        <v>374</v>
      </c>
      <c r="D10" s="337">
        <v>0</v>
      </c>
      <c r="E10" s="338"/>
      <c r="F10" s="338"/>
      <c r="G10" s="338"/>
      <c r="H10" s="338"/>
      <c r="I10" s="339"/>
      <c r="J10" s="339"/>
      <c r="K10" s="339"/>
      <c r="L10" s="339"/>
      <c r="M10" s="339"/>
      <c r="N10" s="339"/>
    </row>
    <row r="11" spans="3:14">
      <c r="C11" s="336" t="s">
        <v>425</v>
      </c>
      <c r="D11" s="340"/>
      <c r="E11" s="341">
        <f>'P&amp;G'!D15</f>
        <v>72775.531078124986</v>
      </c>
      <c r="F11" s="341">
        <f>'P&amp;G'!E15</f>
        <v>98609.802177339079</v>
      </c>
      <c r="G11" s="341">
        <f>'P&amp;G'!F15</f>
        <v>114785.60818400256</v>
      </c>
      <c r="H11" s="341">
        <f>'P&amp;G'!G15</f>
        <v>133614.86946780625</v>
      </c>
      <c r="I11" s="341">
        <f>'P&amp;G'!H15</f>
        <v>155532.85490529839</v>
      </c>
      <c r="J11" s="341">
        <f>'P&amp;G'!I15</f>
        <v>181046.23423533828</v>
      </c>
      <c r="K11" s="341">
        <f>'P&amp;G'!J15</f>
        <v>210744.79055087653</v>
      </c>
      <c r="L11" s="341">
        <f>'P&amp;G'!K15</f>
        <v>245315.05409055232</v>
      </c>
      <c r="M11" s="341">
        <f>'P&amp;G'!L15</f>
        <v>285556.17249728652</v>
      </c>
      <c r="N11" s="341">
        <f>'P&amp;G'!M15</f>
        <v>332398.38441060612</v>
      </c>
    </row>
    <row r="12" spans="3:14">
      <c r="C12" s="336" t="s">
        <v>375</v>
      </c>
      <c r="D12" s="337">
        <v>0</v>
      </c>
      <c r="E12" s="341"/>
      <c r="F12" s="341"/>
      <c r="G12" s="341"/>
      <c r="H12" s="341"/>
      <c r="I12" s="341"/>
      <c r="J12" s="341"/>
      <c r="K12" s="341"/>
      <c r="L12" s="341"/>
      <c r="M12" s="341"/>
      <c r="N12" s="341"/>
    </row>
    <row r="13" spans="3:14">
      <c r="C13" s="336" t="s">
        <v>426</v>
      </c>
      <c r="D13" s="336"/>
      <c r="E13" s="336">
        <f>'P&amp;G'!D16</f>
        <v>29110.212431249995</v>
      </c>
      <c r="F13" s="336">
        <f>'P&amp;G'!E16</f>
        <v>39443.920870935632</v>
      </c>
      <c r="G13" s="336">
        <f>'P&amp;G'!F16</f>
        <v>45914.243273601023</v>
      </c>
      <c r="H13" s="336">
        <f>'P&amp;G'!G16</f>
        <v>53445.947787122503</v>
      </c>
      <c r="I13" s="336">
        <f>'P&amp;G'!H16</f>
        <v>62213.141962119356</v>
      </c>
      <c r="J13" s="336">
        <f>'P&amp;G'!I16</f>
        <v>72418.493694135323</v>
      </c>
      <c r="K13" s="336">
        <f>'P&amp;G'!J16</f>
        <v>84297.916220350613</v>
      </c>
      <c r="L13" s="336">
        <f>'P&amp;G'!K16</f>
        <v>98126.021636220932</v>
      </c>
      <c r="M13" s="336">
        <f>'P&amp;G'!L16</f>
        <v>114222.46899891461</v>
      </c>
      <c r="N13" s="336">
        <f>'P&amp;G'!M16</f>
        <v>132959.35376424243</v>
      </c>
    </row>
    <row r="15" spans="3:14" ht="18">
      <c r="C15" s="642" t="s">
        <v>288</v>
      </c>
      <c r="D15" s="642"/>
      <c r="E15" s="642"/>
      <c r="F15" s="642"/>
      <c r="G15" s="642"/>
      <c r="H15" s="642"/>
      <c r="I15" s="642"/>
      <c r="J15" s="642"/>
      <c r="K15" s="642"/>
      <c r="L15" s="642"/>
      <c r="M15" s="642"/>
      <c r="N15" s="642"/>
    </row>
    <row r="16" spans="3:14" ht="15.75" thickBot="1"/>
    <row r="17" spans="3:14" ht="16.5" thickTop="1" thickBot="1">
      <c r="C17" s="289" t="s">
        <v>75</v>
      </c>
      <c r="D17" s="290">
        <v>0</v>
      </c>
      <c r="E17" s="291">
        <v>1</v>
      </c>
      <c r="F17" s="291">
        <v>2</v>
      </c>
      <c r="G17" s="292">
        <v>3</v>
      </c>
      <c r="H17" s="291">
        <v>4</v>
      </c>
      <c r="I17" s="292">
        <v>5</v>
      </c>
      <c r="J17" s="291">
        <v>6</v>
      </c>
      <c r="K17" s="292">
        <v>7</v>
      </c>
      <c r="L17" s="291">
        <v>8</v>
      </c>
      <c r="M17" s="292">
        <v>9</v>
      </c>
      <c r="N17" s="291">
        <v>10</v>
      </c>
    </row>
    <row r="18" spans="3:14" ht="16.5" thickTop="1" thickBot="1">
      <c r="C18" s="263" t="s">
        <v>10</v>
      </c>
      <c r="D18" s="293"/>
      <c r="E18" s="294">
        <f>E11*(1+$D$10)</f>
        <v>72775.531078124986</v>
      </c>
      <c r="F18" s="294">
        <f t="shared" ref="F18:N18" si="0">F11*(1+$D$10)</f>
        <v>98609.802177339079</v>
      </c>
      <c r="G18" s="294">
        <f>G11*(1+$D$10)</f>
        <v>114785.60818400256</v>
      </c>
      <c r="H18" s="295">
        <f>H11*(1+$D$10)</f>
        <v>133614.86946780625</v>
      </c>
      <c r="I18" s="294">
        <f t="shared" si="0"/>
        <v>155532.85490529839</v>
      </c>
      <c r="J18" s="295">
        <f t="shared" si="0"/>
        <v>181046.23423533828</v>
      </c>
      <c r="K18" s="294">
        <f t="shared" si="0"/>
        <v>210744.79055087653</v>
      </c>
      <c r="L18" s="296">
        <f t="shared" si="0"/>
        <v>245315.05409055232</v>
      </c>
      <c r="M18" s="296">
        <f t="shared" si="0"/>
        <v>285556.17249728652</v>
      </c>
      <c r="N18" s="296">
        <f t="shared" si="0"/>
        <v>332398.38441060612</v>
      </c>
    </row>
    <row r="19" spans="3:14" ht="16.5" thickTop="1" thickBot="1">
      <c r="C19" s="267" t="s">
        <v>271</v>
      </c>
      <c r="D19" s="293"/>
      <c r="E19" s="294">
        <f>E13*(1+$D$12)</f>
        <v>29110.212431249995</v>
      </c>
      <c r="F19" s="294">
        <f t="shared" ref="F19:N19" si="1">F13*(1+$D$12)</f>
        <v>39443.920870935632</v>
      </c>
      <c r="G19" s="294">
        <f t="shared" si="1"/>
        <v>45914.243273601023</v>
      </c>
      <c r="H19" s="294">
        <f t="shared" si="1"/>
        <v>53445.947787122503</v>
      </c>
      <c r="I19" s="294">
        <f t="shared" si="1"/>
        <v>62213.141962119356</v>
      </c>
      <c r="J19" s="294">
        <f t="shared" si="1"/>
        <v>72418.493694135323</v>
      </c>
      <c r="K19" s="294">
        <f t="shared" si="1"/>
        <v>84297.916220350613</v>
      </c>
      <c r="L19" s="294">
        <f t="shared" si="1"/>
        <v>98126.021636220932</v>
      </c>
      <c r="M19" s="294">
        <f t="shared" si="1"/>
        <v>114222.46899891461</v>
      </c>
      <c r="N19" s="294">
        <f t="shared" si="1"/>
        <v>132959.35376424243</v>
      </c>
    </row>
    <row r="20" spans="3:14" ht="15.75" thickTop="1">
      <c r="C20" s="297" t="s">
        <v>272</v>
      </c>
      <c r="D20" s="298"/>
      <c r="E20" s="175">
        <f>E18-E19</f>
        <v>43665.318646874992</v>
      </c>
      <c r="F20" s="175">
        <f t="shared" ref="F20:N20" si="2">F18-F19</f>
        <v>59165.881306403448</v>
      </c>
      <c r="G20" s="177">
        <f t="shared" si="2"/>
        <v>68871.364910401535</v>
      </c>
      <c r="H20" s="299">
        <f t="shared" si="2"/>
        <v>80168.921680683736</v>
      </c>
      <c r="I20" s="175">
        <f t="shared" si="2"/>
        <v>93319.712943179038</v>
      </c>
      <c r="J20" s="177">
        <f t="shared" si="2"/>
        <v>108627.74054120296</v>
      </c>
      <c r="K20" s="175">
        <f t="shared" si="2"/>
        <v>126446.87433052591</v>
      </c>
      <c r="L20" s="176">
        <f t="shared" si="2"/>
        <v>147189.03245433141</v>
      </c>
      <c r="M20" s="176">
        <f t="shared" si="2"/>
        <v>171333.70349837191</v>
      </c>
      <c r="N20" s="176">
        <f t="shared" si="2"/>
        <v>199439.03064636368</v>
      </c>
    </row>
    <row r="21" spans="3:14" ht="15.75" thickBot="1">
      <c r="C21" s="297"/>
      <c r="D21" s="298"/>
      <c r="E21" s="300"/>
      <c r="F21" s="300"/>
      <c r="G21" s="301"/>
      <c r="H21" s="302"/>
      <c r="I21" s="303"/>
      <c r="J21" s="301"/>
      <c r="K21" s="303"/>
      <c r="L21" s="304"/>
      <c r="M21" s="301"/>
      <c r="N21" s="300"/>
    </row>
    <row r="22" spans="3:14" ht="16.5" thickTop="1" thickBot="1">
      <c r="C22" s="297" t="s">
        <v>273</v>
      </c>
      <c r="D22" s="298"/>
      <c r="E22" s="175">
        <f t="shared" ref="E22:N22" si="3">SUM(E23:E26)</f>
        <v>81275.759999999995</v>
      </c>
      <c r="F22" s="175">
        <f t="shared" si="3"/>
        <v>97160.730891843268</v>
      </c>
      <c r="G22" s="177">
        <f t="shared" si="3"/>
        <v>40678.090600249365</v>
      </c>
      <c r="H22" s="305">
        <f t="shared" si="3"/>
        <v>41394.853469984984</v>
      </c>
      <c r="I22" s="177">
        <f t="shared" si="3"/>
        <v>41973.104585662986</v>
      </c>
      <c r="J22" s="305">
        <f t="shared" si="3"/>
        <v>42426.211158545157</v>
      </c>
      <c r="K22" s="177">
        <f t="shared" si="3"/>
        <v>43209.73313744519</v>
      </c>
      <c r="L22" s="305">
        <f t="shared" si="3"/>
        <v>44121.782902151455</v>
      </c>
      <c r="M22" s="177">
        <f t="shared" si="3"/>
        <v>45183.443960426492</v>
      </c>
      <c r="N22" s="305">
        <f t="shared" si="3"/>
        <v>46419.258327442592</v>
      </c>
    </row>
    <row r="23" spans="3:14" ht="15.75" thickTop="1">
      <c r="C23" s="263" t="s">
        <v>12</v>
      </c>
      <c r="D23" s="293"/>
      <c r="E23" s="294">
        <f>'P&amp;G'!D20</f>
        <v>36385.759999999995</v>
      </c>
      <c r="F23" s="294">
        <f>'P&amp;G'!E20</f>
        <v>36385.759999999995</v>
      </c>
      <c r="G23" s="294">
        <f>'P&amp;G'!F20</f>
        <v>36385.759999999995</v>
      </c>
      <c r="H23" s="294">
        <f>'P&amp;G'!G20</f>
        <v>36385.759999999995</v>
      </c>
      <c r="I23" s="294">
        <f>'P&amp;G'!H20</f>
        <v>36385.759999999995</v>
      </c>
      <c r="J23" s="294">
        <f>'P&amp;G'!I20</f>
        <v>36385.759999999995</v>
      </c>
      <c r="K23" s="294">
        <f>'P&amp;G'!J20</f>
        <v>36385.759999999995</v>
      </c>
      <c r="L23" s="294">
        <f>'P&amp;G'!K20</f>
        <v>36385.759999999995</v>
      </c>
      <c r="M23" s="294">
        <f>'P&amp;G'!L20</f>
        <v>36385.759999999995</v>
      </c>
      <c r="N23" s="294">
        <f>'P&amp;G'!M20</f>
        <v>36385.759999999995</v>
      </c>
    </row>
    <row r="24" spans="3:14">
      <c r="C24" s="265" t="s">
        <v>274</v>
      </c>
      <c r="D24" s="293"/>
      <c r="E24" s="300">
        <f t="array" ref="E24:N24">+TRANSPOSE([1]Amortizacion!D28:D37)</f>
        <v>150</v>
      </c>
      <c r="F24" s="300">
        <v>150</v>
      </c>
      <c r="G24" s="301">
        <v>150</v>
      </c>
      <c r="H24" s="300">
        <v>150</v>
      </c>
      <c r="I24" s="301">
        <v>150</v>
      </c>
      <c r="J24" s="300">
        <v>150</v>
      </c>
      <c r="K24" s="301">
        <v>150</v>
      </c>
      <c r="L24" s="300">
        <v>150</v>
      </c>
      <c r="M24" s="301">
        <v>150</v>
      </c>
      <c r="N24" s="300">
        <v>150</v>
      </c>
    </row>
    <row r="25" spans="3:14">
      <c r="C25" s="265" t="s">
        <v>275</v>
      </c>
      <c r="D25" s="293"/>
      <c r="E25" s="300">
        <f>'P&amp;G'!D22</f>
        <v>820</v>
      </c>
      <c r="F25" s="300">
        <f>'P&amp;G'!E22</f>
        <v>1114</v>
      </c>
      <c r="G25" s="300">
        <f>'P&amp;G'!F22</f>
        <v>1114</v>
      </c>
      <c r="H25" s="300">
        <f>'P&amp;G'!G22</f>
        <v>1334</v>
      </c>
      <c r="I25" s="300">
        <f>'P&amp;G'!H22</f>
        <v>1334</v>
      </c>
      <c r="J25" s="300">
        <f>'P&amp;G'!I22</f>
        <v>1114</v>
      </c>
      <c r="K25" s="300">
        <f>'P&amp;G'!J22</f>
        <v>1114</v>
      </c>
      <c r="L25" s="300">
        <f>'P&amp;G'!K22</f>
        <v>1114</v>
      </c>
      <c r="M25" s="300">
        <f>'P&amp;G'!L22</f>
        <v>1114</v>
      </c>
      <c r="N25" s="300">
        <f>'P&amp;G'!M22</f>
        <v>1114</v>
      </c>
    </row>
    <row r="26" spans="3:14" ht="15.75" thickBot="1">
      <c r="C26" s="265" t="s">
        <v>276</v>
      </c>
      <c r="D26" s="293"/>
      <c r="E26" s="300">
        <f>'P&amp;G'!D23</f>
        <v>43920</v>
      </c>
      <c r="F26" s="300">
        <f>'P&amp;G'!E23</f>
        <v>59510.970891843281</v>
      </c>
      <c r="G26" s="300">
        <f>'P&amp;G'!F23</f>
        <v>3028.33060024937</v>
      </c>
      <c r="H26" s="300">
        <f>'P&amp;G'!G23</f>
        <v>3525.093469984989</v>
      </c>
      <c r="I26" s="300">
        <f>'P&amp;G'!H23</f>
        <v>4103.3445856629914</v>
      </c>
      <c r="J26" s="300">
        <f>'P&amp;G'!I23</f>
        <v>4776.4511585451619</v>
      </c>
      <c r="K26" s="300">
        <f>'P&amp;G'!J23</f>
        <v>5559.9731374451958</v>
      </c>
      <c r="L26" s="300">
        <f>'P&amp;G'!K23</f>
        <v>6472.0229021514633</v>
      </c>
      <c r="M26" s="300">
        <f>'P&amp;G'!L23</f>
        <v>7533.6839604264951</v>
      </c>
      <c r="N26" s="300">
        <f>'P&amp;G'!M23</f>
        <v>8769.4983274425958</v>
      </c>
    </row>
    <row r="27" spans="3:14" ht="16.5" thickTop="1" thickBot="1">
      <c r="C27" s="307" t="s">
        <v>277</v>
      </c>
      <c r="D27" s="174"/>
      <c r="E27" s="281">
        <f>E20-E22</f>
        <v>-37610.441353125003</v>
      </c>
      <c r="F27" s="281">
        <f t="shared" ref="F27:N27" si="4">F20-F22</f>
        <v>-37994.849585439821</v>
      </c>
      <c r="G27" s="281">
        <f t="shared" si="4"/>
        <v>28193.27431015217</v>
      </c>
      <c r="H27" s="281">
        <f t="shared" si="4"/>
        <v>38774.068210698751</v>
      </c>
      <c r="I27" s="281">
        <f t="shared" si="4"/>
        <v>51346.608357516052</v>
      </c>
      <c r="J27" s="281">
        <f t="shared" si="4"/>
        <v>66201.529382657813</v>
      </c>
      <c r="K27" s="281">
        <f t="shared" si="4"/>
        <v>83237.141193080723</v>
      </c>
      <c r="L27" s="281">
        <f t="shared" si="4"/>
        <v>103067.24955217994</v>
      </c>
      <c r="M27" s="281">
        <f t="shared" si="4"/>
        <v>126150.25953794541</v>
      </c>
      <c r="N27" s="281">
        <f t="shared" si="4"/>
        <v>153019.77231892108</v>
      </c>
    </row>
    <row r="28" spans="3:14" ht="16.5" thickTop="1" thickBot="1">
      <c r="C28" s="173"/>
      <c r="D28" s="174"/>
      <c r="E28" s="175"/>
      <c r="F28" s="175"/>
      <c r="G28" s="177"/>
      <c r="H28" s="175"/>
      <c r="I28" s="177"/>
      <c r="J28" s="175"/>
      <c r="K28" s="177"/>
      <c r="L28" s="175"/>
      <c r="M28" s="177"/>
      <c r="N28" s="175"/>
    </row>
    <row r="29" spans="3:14" ht="16.5" thickTop="1" thickBot="1">
      <c r="C29" s="307" t="s">
        <v>278</v>
      </c>
      <c r="D29" s="174"/>
      <c r="E29" s="281">
        <f>+E30</f>
        <v>4366.8729835500026</v>
      </c>
      <c r="F29" s="281">
        <f t="shared" ref="F29:N29" si="5">+F30</f>
        <v>4108.2319726694977</v>
      </c>
      <c r="G29" s="281">
        <f t="shared" si="5"/>
        <v>3820.623168570376</v>
      </c>
      <c r="H29" s="281">
        <f t="shared" si="5"/>
        <v>3500.8021784121534</v>
      </c>
      <c r="I29" s="281">
        <f t="shared" si="5"/>
        <v>3145.1612373562098</v>
      </c>
      <c r="J29" s="281">
        <f t="shared" si="5"/>
        <v>2749.688510902</v>
      </c>
      <c r="K29" s="281">
        <f t="shared" si="5"/>
        <v>2309.9228390849189</v>
      </c>
      <c r="L29" s="281">
        <f t="shared" si="5"/>
        <v>1820.9034120243248</v>
      </c>
      <c r="M29" s="281">
        <f t="shared" si="5"/>
        <v>1277.1138091329442</v>
      </c>
      <c r="N29" s="281">
        <f t="shared" si="5"/>
        <v>672.41977071772874</v>
      </c>
    </row>
    <row r="30" spans="3:14" ht="16.5" thickTop="1" thickBot="1">
      <c r="C30" s="265" t="s">
        <v>279</v>
      </c>
      <c r="D30" s="293"/>
      <c r="E30" s="294">
        <f>'P&amp;G'!D27</f>
        <v>4366.8729835500026</v>
      </c>
      <c r="F30" s="294">
        <f>'P&amp;G'!E27</f>
        <v>4108.2319726694977</v>
      </c>
      <c r="G30" s="294">
        <f>'P&amp;G'!F27</f>
        <v>3820.623168570376</v>
      </c>
      <c r="H30" s="294">
        <f>'P&amp;G'!G27</f>
        <v>3500.8021784121534</v>
      </c>
      <c r="I30" s="294">
        <f>'P&amp;G'!H27</f>
        <v>3145.1612373562098</v>
      </c>
      <c r="J30" s="294">
        <f>'P&amp;G'!I27</f>
        <v>2749.688510902</v>
      </c>
      <c r="K30" s="294">
        <f>'P&amp;G'!J27</f>
        <v>2309.9228390849189</v>
      </c>
      <c r="L30" s="294">
        <f>'P&amp;G'!K27</f>
        <v>1820.9034120243248</v>
      </c>
      <c r="M30" s="294">
        <f>'P&amp;G'!L27</f>
        <v>1277.1138091329442</v>
      </c>
      <c r="N30" s="294">
        <f>'P&amp;G'!M27</f>
        <v>672.41977071772874</v>
      </c>
    </row>
    <row r="31" spans="3:14" ht="16.5" thickTop="1" thickBot="1">
      <c r="C31" s="307" t="s">
        <v>280</v>
      </c>
      <c r="D31" s="174"/>
      <c r="E31" s="308">
        <f>E27-E29</f>
        <v>-41977.314336675008</v>
      </c>
      <c r="F31" s="308">
        <f t="shared" ref="F31:N31" si="6">F27-F29</f>
        <v>-42103.081558109319</v>
      </c>
      <c r="G31" s="309">
        <f t="shared" si="6"/>
        <v>24372.651141581795</v>
      </c>
      <c r="H31" s="308">
        <f t="shared" si="6"/>
        <v>35273.2660322866</v>
      </c>
      <c r="I31" s="309">
        <f t="shared" si="6"/>
        <v>48201.447120159843</v>
      </c>
      <c r="J31" s="308">
        <f t="shared" si="6"/>
        <v>63451.840871755812</v>
      </c>
      <c r="K31" s="309">
        <f t="shared" si="6"/>
        <v>80927.218353995806</v>
      </c>
      <c r="L31" s="308">
        <f t="shared" si="6"/>
        <v>101246.34614015561</v>
      </c>
      <c r="M31" s="309">
        <f t="shared" si="6"/>
        <v>124873.14572881247</v>
      </c>
      <c r="N31" s="308">
        <f t="shared" si="6"/>
        <v>152347.35254820334</v>
      </c>
    </row>
    <row r="32" spans="3:14" ht="16.5" thickTop="1" thickBot="1">
      <c r="C32" s="265" t="s">
        <v>281</v>
      </c>
      <c r="D32" s="293"/>
      <c r="E32" s="303">
        <v>0</v>
      </c>
      <c r="F32" s="303">
        <v>0</v>
      </c>
      <c r="G32" s="306">
        <f t="shared" ref="G32:N32" si="7">+G31*0.15</f>
        <v>3655.8976712372692</v>
      </c>
      <c r="H32" s="303">
        <f t="shared" si="7"/>
        <v>5290.9899048429897</v>
      </c>
      <c r="I32" s="306">
        <f t="shared" si="7"/>
        <v>7230.217068023976</v>
      </c>
      <c r="J32" s="303">
        <f t="shared" si="7"/>
        <v>9517.7761307633718</v>
      </c>
      <c r="K32" s="306">
        <f t="shared" si="7"/>
        <v>12139.08275309937</v>
      </c>
      <c r="L32" s="303">
        <f t="shared" si="7"/>
        <v>15186.951921023341</v>
      </c>
      <c r="M32" s="306">
        <f t="shared" si="7"/>
        <v>18730.971859321868</v>
      </c>
      <c r="N32" s="303">
        <f t="shared" si="7"/>
        <v>22852.102882230502</v>
      </c>
    </row>
    <row r="33" spans="3:15" ht="15.75" thickTop="1">
      <c r="C33" s="265" t="s">
        <v>282</v>
      </c>
      <c r="D33" s="293"/>
      <c r="E33" s="294">
        <f>E31-E32</f>
        <v>-41977.314336675008</v>
      </c>
      <c r="F33" s="294">
        <f t="shared" ref="F33:N33" si="8">F31-F32</f>
        <v>-42103.081558109319</v>
      </c>
      <c r="G33" s="294">
        <f t="shared" si="8"/>
        <v>20716.753470344527</v>
      </c>
      <c r="H33" s="294">
        <f t="shared" si="8"/>
        <v>29982.276127443609</v>
      </c>
      <c r="I33" s="294">
        <f t="shared" si="8"/>
        <v>40971.23005213587</v>
      </c>
      <c r="J33" s="300">
        <f t="shared" si="8"/>
        <v>53934.064740992442</v>
      </c>
      <c r="K33" s="294">
        <f t="shared" si="8"/>
        <v>68788.135600896436</v>
      </c>
      <c r="L33" s="294">
        <f t="shared" si="8"/>
        <v>86059.394219132271</v>
      </c>
      <c r="M33" s="294">
        <f t="shared" si="8"/>
        <v>106142.17386949059</v>
      </c>
      <c r="N33" s="294">
        <f t="shared" si="8"/>
        <v>129495.24966597283</v>
      </c>
    </row>
    <row r="34" spans="3:15" ht="15.75" thickBot="1">
      <c r="C34" s="265" t="s">
        <v>283</v>
      </c>
      <c r="D34" s="293"/>
      <c r="E34" s="300">
        <v>0</v>
      </c>
      <c r="F34" s="300">
        <v>0</v>
      </c>
      <c r="G34" s="300">
        <f t="shared" ref="G34:N34" si="9">G33*0.1</f>
        <v>2071.6753470344529</v>
      </c>
      <c r="H34" s="300">
        <f t="shared" si="9"/>
        <v>2998.2276127443611</v>
      </c>
      <c r="I34" s="300">
        <f t="shared" si="9"/>
        <v>4097.123005213587</v>
      </c>
      <c r="J34" s="300">
        <f t="shared" si="9"/>
        <v>5393.4064740992444</v>
      </c>
      <c r="K34" s="300">
        <f t="shared" si="9"/>
        <v>6878.8135600896439</v>
      </c>
      <c r="L34" s="300">
        <f t="shared" si="9"/>
        <v>8605.9394219132282</v>
      </c>
      <c r="M34" s="300">
        <f t="shared" si="9"/>
        <v>10614.21738694906</v>
      </c>
      <c r="N34" s="300">
        <f t="shared" si="9"/>
        <v>12949.524966597284</v>
      </c>
    </row>
    <row r="35" spans="3:15" ht="16.5" thickTop="1" thickBot="1">
      <c r="C35" s="307" t="s">
        <v>284</v>
      </c>
      <c r="D35" s="174"/>
      <c r="E35" s="308">
        <f>+E33-E34</f>
        <v>-41977.314336675008</v>
      </c>
      <c r="F35" s="308">
        <f t="shared" ref="F35:N35" si="10">+F33-F34</f>
        <v>-42103.081558109319</v>
      </c>
      <c r="G35" s="308">
        <f t="shared" si="10"/>
        <v>18645.078123310075</v>
      </c>
      <c r="H35" s="308">
        <f t="shared" si="10"/>
        <v>26984.048514699247</v>
      </c>
      <c r="I35" s="308">
        <f t="shared" si="10"/>
        <v>36874.107046922283</v>
      </c>
      <c r="J35" s="308">
        <f t="shared" si="10"/>
        <v>48540.658266893195</v>
      </c>
      <c r="K35" s="308">
        <f t="shared" si="10"/>
        <v>61909.322040806794</v>
      </c>
      <c r="L35" s="308">
        <f t="shared" si="10"/>
        <v>77453.454797219048</v>
      </c>
      <c r="M35" s="308">
        <f t="shared" si="10"/>
        <v>95527.956482541529</v>
      </c>
      <c r="N35" s="308">
        <f t="shared" si="10"/>
        <v>116545.72469937555</v>
      </c>
    </row>
    <row r="36" spans="3:15" ht="16.5" thickTop="1" thickBot="1">
      <c r="C36" s="265" t="s">
        <v>285</v>
      </c>
      <c r="D36" s="293"/>
      <c r="E36" s="303">
        <v>0</v>
      </c>
      <c r="F36" s="303">
        <v>0</v>
      </c>
      <c r="G36" s="306">
        <f t="shared" ref="G36:M36" si="11">+G35*$H$4</f>
        <v>4288.3679683613173</v>
      </c>
      <c r="H36" s="303">
        <f t="shared" si="11"/>
        <v>6206.3311583808272</v>
      </c>
      <c r="I36" s="306">
        <f t="shared" si="11"/>
        <v>8481.044620792125</v>
      </c>
      <c r="J36" s="303">
        <f t="shared" si="11"/>
        <v>11164.351401385435</v>
      </c>
      <c r="K36" s="306">
        <f t="shared" si="11"/>
        <v>14239.144069385564</v>
      </c>
      <c r="L36" s="303">
        <f t="shared" si="11"/>
        <v>17814.29460336038</v>
      </c>
      <c r="M36" s="306">
        <f t="shared" si="11"/>
        <v>21971.429990984554</v>
      </c>
      <c r="N36" s="303">
        <f>+N35*$H$4</f>
        <v>26805.516680856377</v>
      </c>
    </row>
    <row r="37" spans="3:15" ht="16.5" thickTop="1" thickBot="1">
      <c r="C37" s="310" t="s">
        <v>286</v>
      </c>
      <c r="D37" s="310"/>
      <c r="E37" s="310">
        <f>E35-E36</f>
        <v>-41977.314336675008</v>
      </c>
      <c r="F37" s="310">
        <f t="shared" ref="F37:N37" si="12">F35-F36</f>
        <v>-42103.081558109319</v>
      </c>
      <c r="G37" s="310">
        <f t="shared" si="12"/>
        <v>14356.710154948758</v>
      </c>
      <c r="H37" s="310">
        <f t="shared" si="12"/>
        <v>20777.717356318419</v>
      </c>
      <c r="I37" s="310">
        <f t="shared" si="12"/>
        <v>28393.062426130156</v>
      </c>
      <c r="J37" s="310">
        <f t="shared" si="12"/>
        <v>37376.306865507759</v>
      </c>
      <c r="K37" s="310">
        <f t="shared" si="12"/>
        <v>47670.177971421232</v>
      </c>
      <c r="L37" s="310">
        <f t="shared" si="12"/>
        <v>59639.160193858668</v>
      </c>
      <c r="M37" s="310">
        <f t="shared" si="12"/>
        <v>73556.526491556971</v>
      </c>
      <c r="N37" s="310">
        <f t="shared" si="12"/>
        <v>89740.208018519173</v>
      </c>
    </row>
    <row r="38" spans="3:15" ht="15.75" thickTop="1">
      <c r="C38" s="263" t="s">
        <v>291</v>
      </c>
      <c r="D38" s="311"/>
      <c r="E38" s="294">
        <f t="shared" ref="E38:N39" si="13">+E24</f>
        <v>150</v>
      </c>
      <c r="F38" s="294">
        <f t="shared" si="13"/>
        <v>150</v>
      </c>
      <c r="G38" s="294">
        <f t="shared" si="13"/>
        <v>150</v>
      </c>
      <c r="H38" s="294">
        <f t="shared" si="13"/>
        <v>150</v>
      </c>
      <c r="I38" s="294">
        <f t="shared" si="13"/>
        <v>150</v>
      </c>
      <c r="J38" s="294">
        <f t="shared" si="13"/>
        <v>150</v>
      </c>
      <c r="K38" s="294">
        <f t="shared" si="13"/>
        <v>150</v>
      </c>
      <c r="L38" s="294">
        <f t="shared" si="13"/>
        <v>150</v>
      </c>
      <c r="M38" s="294">
        <f t="shared" si="13"/>
        <v>150</v>
      </c>
      <c r="N38" s="294">
        <f t="shared" si="13"/>
        <v>150</v>
      </c>
    </row>
    <row r="39" spans="3:15">
      <c r="C39" s="265" t="s">
        <v>292</v>
      </c>
      <c r="D39" s="293"/>
      <c r="E39" s="300">
        <f>+E25</f>
        <v>820</v>
      </c>
      <c r="F39" s="300">
        <f t="shared" si="13"/>
        <v>1114</v>
      </c>
      <c r="G39" s="300">
        <f t="shared" si="13"/>
        <v>1114</v>
      </c>
      <c r="H39" s="300">
        <f t="shared" si="13"/>
        <v>1334</v>
      </c>
      <c r="I39" s="300">
        <f t="shared" si="13"/>
        <v>1334</v>
      </c>
      <c r="J39" s="300">
        <f t="shared" si="13"/>
        <v>1114</v>
      </c>
      <c r="K39" s="300">
        <f t="shared" si="13"/>
        <v>1114</v>
      </c>
      <c r="L39" s="300">
        <f t="shared" si="13"/>
        <v>1114</v>
      </c>
      <c r="M39" s="300">
        <f t="shared" si="13"/>
        <v>1114</v>
      </c>
      <c r="N39" s="300">
        <f t="shared" si="13"/>
        <v>1114</v>
      </c>
    </row>
    <row r="40" spans="3:15">
      <c r="C40" s="312" t="s">
        <v>293</v>
      </c>
      <c r="D40" s="301">
        <f>-'Inversion Inicial'!C15</f>
        <v>-12885</v>
      </c>
      <c r="E40" s="300"/>
      <c r="F40" s="300"/>
      <c r="G40" s="300"/>
      <c r="H40" s="300">
        <f>-depreciacion!H35</f>
        <v>-1800</v>
      </c>
      <c r="I40" s="300"/>
      <c r="J40" s="300">
        <f>-depreciacion!J35</f>
        <v>-1100</v>
      </c>
      <c r="K40" s="300">
        <f>-depreciacion!K35</f>
        <v>-1800</v>
      </c>
      <c r="L40" s="300"/>
      <c r="M40" s="300"/>
      <c r="N40" s="300">
        <f>-depreciacion!N35</f>
        <v>-1800</v>
      </c>
      <c r="O40" s="313">
        <f>+SUM(E40:N40)</f>
        <v>-6500</v>
      </c>
    </row>
    <row r="41" spans="3:15">
      <c r="C41" s="312" t="s">
        <v>294</v>
      </c>
      <c r="D41" s="301">
        <f>amortizacion!G12</f>
        <v>38989.937353125024</v>
      </c>
      <c r="E41" s="265"/>
      <c r="F41" s="293"/>
      <c r="G41" s="265"/>
      <c r="H41" s="293"/>
      <c r="I41" s="265"/>
      <c r="J41" s="293"/>
      <c r="K41" s="265"/>
      <c r="L41" s="265"/>
      <c r="M41" s="293"/>
      <c r="N41" s="265"/>
    </row>
    <row r="42" spans="3:15">
      <c r="C42" s="312" t="s">
        <v>295</v>
      </c>
      <c r="D42" s="234"/>
      <c r="E42" s="300">
        <f>-amortizacion!$G16</f>
        <v>-2309.2947400045068</v>
      </c>
      <c r="F42" s="300">
        <f>-amortizacion!$G17</f>
        <v>-2567.9357508850117</v>
      </c>
      <c r="G42" s="300">
        <f>-amortizacion!$G18</f>
        <v>-2855.5445549841334</v>
      </c>
      <c r="H42" s="300">
        <f>-amortizacion!$G19</f>
        <v>-3175.365545142356</v>
      </c>
      <c r="I42" s="300">
        <f>-amortizacion!$G20</f>
        <v>-3531.0064861982996</v>
      </c>
      <c r="J42" s="300">
        <f>-amortizacion!$G21</f>
        <v>-3926.4792126525094</v>
      </c>
      <c r="K42" s="300">
        <f>-amortizacion!$G22</f>
        <v>-4366.24488446959</v>
      </c>
      <c r="L42" s="300">
        <f>-amortizacion!$G23</f>
        <v>-4855.2643115301844</v>
      </c>
      <c r="M42" s="300">
        <f>-amortizacion!$G24</f>
        <v>-5399.0539144215654</v>
      </c>
      <c r="N42" s="300">
        <f>-amortizacion!$G25</f>
        <v>-6003.7479528367803</v>
      </c>
      <c r="O42" s="300">
        <f>amortizacion!$G16</f>
        <v>2309.2947400045068</v>
      </c>
    </row>
    <row r="43" spans="3:15">
      <c r="C43" s="312" t="s">
        <v>296</v>
      </c>
      <c r="D43" s="314">
        <f>'capital de trabajo'!C8</f>
        <v>-52098.228921875037</v>
      </c>
      <c r="E43" s="265"/>
      <c r="F43" s="293"/>
      <c r="G43" s="265"/>
      <c r="H43" s="293"/>
      <c r="I43" s="265"/>
      <c r="J43" s="293"/>
      <c r="K43" s="265"/>
      <c r="L43" s="265"/>
      <c r="M43" s="293"/>
      <c r="N43" s="265"/>
    </row>
    <row r="44" spans="3:15">
      <c r="C44" s="312" t="s">
        <v>297</v>
      </c>
      <c r="D44" s="234"/>
      <c r="E44" s="265"/>
      <c r="F44" s="293"/>
      <c r="G44" s="265"/>
      <c r="H44" s="293"/>
      <c r="I44" s="265"/>
      <c r="J44" s="293"/>
      <c r="K44" s="265"/>
      <c r="L44" s="265"/>
      <c r="M44" s="293"/>
      <c r="N44" s="300">
        <f>-D43</f>
        <v>52098.228921875037</v>
      </c>
    </row>
    <row r="45" spans="3:15" ht="15.75" thickBot="1">
      <c r="C45" s="315" t="s">
        <v>298</v>
      </c>
      <c r="D45" s="234"/>
      <c r="E45" s="265"/>
      <c r="F45" s="293"/>
      <c r="G45" s="265"/>
      <c r="H45" s="293"/>
      <c r="I45" s="265"/>
      <c r="J45" s="293"/>
      <c r="K45" s="265"/>
      <c r="L45" s="265"/>
      <c r="M45" s="293"/>
      <c r="N45" s="316">
        <f>depreciacion!O49</f>
        <v>2080</v>
      </c>
    </row>
    <row r="46" spans="3:15" ht="16.5" thickTop="1" thickBot="1">
      <c r="C46" s="317" t="s">
        <v>299</v>
      </c>
      <c r="D46" s="318">
        <f>+SUM(D37:D45)</f>
        <v>-25993.291568750014</v>
      </c>
      <c r="E46" s="319">
        <f>+SUM(E37:E45)</f>
        <v>-43316.609076679517</v>
      </c>
      <c r="F46" s="319">
        <f t="shared" ref="F46:N46" si="14">+SUM(F37:F45)</f>
        <v>-43407.017308994327</v>
      </c>
      <c r="G46" s="319">
        <f t="shared" si="14"/>
        <v>12765.165599964625</v>
      </c>
      <c r="H46" s="319">
        <f t="shared" si="14"/>
        <v>17286.351811176064</v>
      </c>
      <c r="I46" s="319">
        <f t="shared" si="14"/>
        <v>26346.055939931855</v>
      </c>
      <c r="J46" s="319">
        <f t="shared" si="14"/>
        <v>33613.827652855252</v>
      </c>
      <c r="K46" s="319">
        <f t="shared" si="14"/>
        <v>42767.933086951642</v>
      </c>
      <c r="L46" s="319">
        <f t="shared" si="14"/>
        <v>56047.895882328485</v>
      </c>
      <c r="M46" s="319">
        <f t="shared" si="14"/>
        <v>69421.472577135399</v>
      </c>
      <c r="N46" s="319">
        <f t="shared" si="14"/>
        <v>137378.68898755743</v>
      </c>
    </row>
    <row r="47" spans="3:15" ht="15.75" thickTop="1"/>
    <row r="49" spans="3:5" ht="15.75" thickBot="1">
      <c r="C49" s="253" t="s">
        <v>301</v>
      </c>
    </row>
    <row r="50" spans="3:5" ht="16.5" thickTop="1" thickBot="1">
      <c r="C50" s="194" t="s">
        <v>300</v>
      </c>
      <c r="D50" s="347">
        <f>TMAR!H15</f>
        <v>0.17175499999999999</v>
      </c>
    </row>
    <row r="51" spans="3:5" ht="16.5" thickTop="1" thickBot="1">
      <c r="C51" s="194" t="s">
        <v>301</v>
      </c>
      <c r="D51" s="348">
        <f>+NPV(D50,E46:N46)+D46</f>
        <v>22141.028315828327</v>
      </c>
      <c r="E51" s="313"/>
    </row>
    <row r="52" spans="3:5" ht="16.5" thickTop="1" thickBot="1">
      <c r="C52" s="194" t="s">
        <v>290</v>
      </c>
      <c r="D52" s="195">
        <f>+IRR(D46:N46)</f>
        <v>0.21229353583262361</v>
      </c>
    </row>
    <row r="53" spans="3:5" ht="15.75" thickTop="1"/>
  </sheetData>
  <mergeCells count="4">
    <mergeCell ref="G2:H2"/>
    <mergeCell ref="F7:G7"/>
    <mergeCell ref="F8:G8"/>
    <mergeCell ref="C15: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4:AZ32"/>
  <sheetViews>
    <sheetView tabSelected="1" workbookViewId="0">
      <selection activeCell="A14" sqref="A14:E19"/>
    </sheetView>
  </sheetViews>
  <sheetFormatPr baseColWidth="10" defaultRowHeight="15"/>
  <cols>
    <col min="1" max="1" width="10.85546875" style="1" customWidth="1"/>
    <col min="2" max="2" width="6.42578125" style="1" customWidth="1"/>
    <col min="3" max="3" width="14.28515625" style="1" customWidth="1"/>
    <col min="4" max="4" width="11.5703125" style="1" customWidth="1"/>
    <col min="5" max="5" width="15.42578125" style="1" customWidth="1"/>
    <col min="6" max="6" width="8" style="1" customWidth="1"/>
    <col min="7" max="7" width="9.5703125" style="1" customWidth="1"/>
    <col min="8" max="8" width="13.140625" style="1" customWidth="1"/>
    <col min="9" max="10" width="13.28515625" style="1" customWidth="1"/>
    <col min="11" max="12" width="11.7109375" style="1" customWidth="1"/>
    <col min="13" max="14" width="12.28515625" style="1" customWidth="1"/>
    <col min="15" max="52" width="11.42578125" style="1"/>
  </cols>
  <sheetData>
    <row r="4" spans="1:14" ht="16.5" thickBot="1">
      <c r="B4" s="644" t="s">
        <v>427</v>
      </c>
      <c r="C4" s="644"/>
      <c r="D4" s="644"/>
      <c r="E4" s="644"/>
      <c r="F4" s="350"/>
    </row>
    <row r="5" spans="1:14" ht="15" customHeight="1" thickTop="1" thickBot="1">
      <c r="A5" s="351"/>
      <c r="B5" s="143"/>
      <c r="C5" s="352" t="s">
        <v>301</v>
      </c>
      <c r="D5" s="353" t="s">
        <v>290</v>
      </c>
      <c r="E5" s="354" t="s">
        <v>428</v>
      </c>
      <c r="F5" s="355"/>
      <c r="H5" s="36"/>
      <c r="I5" s="36"/>
      <c r="J5" s="36"/>
      <c r="K5" s="36"/>
      <c r="L5" s="36"/>
      <c r="M5" s="36"/>
      <c r="N5" s="36"/>
    </row>
    <row r="6" spans="1:14" ht="15" customHeight="1" thickTop="1">
      <c r="A6" s="645" t="s">
        <v>429</v>
      </c>
      <c r="B6" s="356">
        <v>0.1</v>
      </c>
      <c r="C6" s="440">
        <v>68390.41775068648</v>
      </c>
      <c r="D6" s="357">
        <v>0.29944260888300639</v>
      </c>
      <c r="E6" s="358" t="s">
        <v>430</v>
      </c>
      <c r="F6" s="359"/>
      <c r="H6" s="36"/>
      <c r="I6" s="360"/>
      <c r="J6" s="36"/>
      <c r="K6" s="360"/>
      <c r="L6" s="36"/>
      <c r="M6" s="36"/>
      <c r="N6" s="361"/>
    </row>
    <row r="7" spans="1:14" ht="15.75">
      <c r="A7" s="646"/>
      <c r="B7" s="362">
        <v>0.05</v>
      </c>
      <c r="C7" s="441">
        <v>45265.599667933537</v>
      </c>
      <c r="D7" s="364">
        <v>0.25530531226592834</v>
      </c>
      <c r="E7" s="365" t="s">
        <v>430</v>
      </c>
      <c r="F7" s="359"/>
      <c r="H7" s="361"/>
      <c r="I7" s="361"/>
      <c r="J7" s="361"/>
      <c r="K7" s="361"/>
      <c r="L7" s="361"/>
      <c r="M7" s="361"/>
      <c r="N7" s="366"/>
    </row>
    <row r="8" spans="1:14" ht="15.75">
      <c r="A8" s="646"/>
      <c r="B8" s="362">
        <v>0</v>
      </c>
      <c r="C8" s="442">
        <f>'flujo de caja'!D49</f>
        <v>22141.028315828327</v>
      </c>
      <c r="D8" s="364">
        <v>0.21229306929214509</v>
      </c>
      <c r="E8" s="365" t="s">
        <v>430</v>
      </c>
      <c r="F8" s="359"/>
      <c r="H8" s="53"/>
      <c r="I8" s="53"/>
      <c r="J8" s="53"/>
      <c r="K8" s="53"/>
      <c r="L8" s="53"/>
      <c r="M8" s="53"/>
      <c r="N8" s="36"/>
    </row>
    <row r="9" spans="1:14" ht="16.5" thickBot="1">
      <c r="A9" s="647"/>
      <c r="B9" s="367">
        <v>-0.05</v>
      </c>
      <c r="C9" s="443">
        <v>-984.03649757243329</v>
      </c>
      <c r="D9" s="368">
        <v>0.16996129664608672</v>
      </c>
      <c r="E9" s="369" t="s">
        <v>461</v>
      </c>
      <c r="F9" s="359"/>
    </row>
    <row r="10" spans="1:14" ht="15.75" thickTop="1">
      <c r="B10" s="370"/>
      <c r="C10" s="371"/>
      <c r="D10" s="372"/>
      <c r="E10" s="359"/>
      <c r="F10" s="359"/>
    </row>
    <row r="11" spans="1:14">
      <c r="B11" s="370"/>
      <c r="C11" s="371"/>
      <c r="D11" s="372"/>
      <c r="E11" s="359"/>
      <c r="F11" s="359"/>
    </row>
    <row r="14" spans="1:14" ht="16.5" thickBot="1">
      <c r="B14" s="644" t="s">
        <v>431</v>
      </c>
      <c r="C14" s="644"/>
      <c r="D14" s="644"/>
      <c r="E14" s="644"/>
      <c r="F14" s="350"/>
    </row>
    <row r="15" spans="1:14" ht="17.25" thickTop="1" thickBot="1">
      <c r="B15" s="143"/>
      <c r="C15" s="373" t="s">
        <v>301</v>
      </c>
      <c r="D15" s="374" t="s">
        <v>290</v>
      </c>
      <c r="E15" s="375" t="s">
        <v>428</v>
      </c>
      <c r="F15" s="355"/>
    </row>
    <row r="16" spans="1:14" ht="16.5" thickTop="1">
      <c r="A16" s="645" t="s">
        <v>429</v>
      </c>
      <c r="B16" s="356">
        <v>0.1</v>
      </c>
      <c r="C16" s="376">
        <v>3640.9271189781357</v>
      </c>
      <c r="D16" s="377">
        <v>0.17839555863012874</v>
      </c>
      <c r="E16" s="378" t="s">
        <v>430</v>
      </c>
      <c r="F16" s="237"/>
    </row>
    <row r="17" spans="1:6" ht="15.75">
      <c r="A17" s="646"/>
      <c r="B17" s="362">
        <v>0.05</v>
      </c>
      <c r="C17" s="313">
        <v>12890.854352079346</v>
      </c>
      <c r="D17" s="377">
        <v>0.19530454754266877</v>
      </c>
      <c r="E17" s="379" t="s">
        <v>430</v>
      </c>
      <c r="F17" s="237"/>
    </row>
    <row r="18" spans="1:6" ht="15.75">
      <c r="A18" s="646"/>
      <c r="B18" s="362">
        <v>0</v>
      </c>
      <c r="C18" s="363">
        <v>22140.781585180521</v>
      </c>
      <c r="D18" s="364">
        <f>D8</f>
        <v>0.21229306929214509</v>
      </c>
      <c r="E18" s="379" t="s">
        <v>430</v>
      </c>
      <c r="F18" s="237"/>
    </row>
    <row r="19" spans="1:6" ht="16.5" thickBot="1">
      <c r="A19" s="647"/>
      <c r="B19" s="367">
        <v>-0.05</v>
      </c>
      <c r="C19" s="380">
        <v>31390.708818281746</v>
      </c>
      <c r="D19" s="368">
        <v>0.22939085307227527</v>
      </c>
      <c r="E19" s="381" t="s">
        <v>430</v>
      </c>
      <c r="F19" s="237"/>
    </row>
    <row r="20" spans="1:6" ht="15.75" thickTop="1"/>
    <row r="24" spans="1:6" ht="15.75">
      <c r="B24" s="648"/>
      <c r="C24" s="648"/>
      <c r="D24" s="648"/>
      <c r="E24" s="648"/>
    </row>
    <row r="25" spans="1:6">
      <c r="B25" s="355"/>
      <c r="C25" s="355"/>
      <c r="D25" s="355"/>
      <c r="E25" s="36"/>
    </row>
    <row r="26" spans="1:6">
      <c r="A26" s="643"/>
      <c r="B26" s="382"/>
      <c r="C26" s="383"/>
      <c r="D26" s="359"/>
      <c r="E26" s="36"/>
    </row>
    <row r="27" spans="1:6">
      <c r="A27" s="643"/>
      <c r="B27" s="384"/>
      <c r="C27" s="383"/>
      <c r="D27" s="237"/>
      <c r="E27" s="36"/>
    </row>
    <row r="28" spans="1:6">
      <c r="A28" s="643"/>
      <c r="B28" s="384"/>
      <c r="C28" s="383"/>
      <c r="D28" s="237"/>
      <c r="E28" s="36"/>
    </row>
    <row r="29" spans="1:6">
      <c r="A29" s="643"/>
      <c r="B29" s="384"/>
      <c r="C29" s="383"/>
      <c r="D29" s="237"/>
      <c r="E29" s="36"/>
    </row>
    <row r="30" spans="1:6">
      <c r="A30" s="643"/>
      <c r="B30" s="384"/>
      <c r="C30" s="383"/>
      <c r="D30" s="237"/>
      <c r="E30" s="36"/>
    </row>
    <row r="31" spans="1:6">
      <c r="A31" s="643"/>
      <c r="B31" s="384"/>
      <c r="C31" s="383"/>
      <c r="D31" s="237"/>
      <c r="E31" s="36"/>
    </row>
    <row r="32" spans="1:6">
      <c r="B32" s="36"/>
      <c r="C32" s="36"/>
      <c r="D32" s="36"/>
      <c r="E32" s="36"/>
    </row>
  </sheetData>
  <mergeCells count="6">
    <mergeCell ref="A26:A31"/>
    <mergeCell ref="B4:E4"/>
    <mergeCell ref="A6:A9"/>
    <mergeCell ref="B14:E14"/>
    <mergeCell ref="A16:A19"/>
    <mergeCell ref="B24:E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T65"/>
  <sheetViews>
    <sheetView topLeftCell="B1" workbookViewId="0">
      <selection activeCell="I20" sqref="I20"/>
    </sheetView>
  </sheetViews>
  <sheetFormatPr baseColWidth="10" defaultRowHeight="15"/>
  <cols>
    <col min="1" max="1" width="22.28515625" customWidth="1"/>
    <col min="2" max="2" width="25.5703125" customWidth="1"/>
    <col min="3" max="5" width="14.42578125" customWidth="1"/>
    <col min="6" max="6" width="14.7109375" customWidth="1"/>
    <col min="7" max="9" width="12.28515625" customWidth="1"/>
    <col min="10" max="12" width="13.140625" customWidth="1"/>
    <col min="13" max="13" width="13.7109375" customWidth="1"/>
  </cols>
  <sheetData>
    <row r="1" spans="1:20">
      <c r="A1" s="36"/>
      <c r="B1" s="36"/>
      <c r="C1" s="36"/>
      <c r="D1" s="36"/>
      <c r="E1" s="36"/>
      <c r="F1" s="36"/>
      <c r="G1" s="36"/>
      <c r="H1" s="36"/>
      <c r="I1" s="36"/>
      <c r="J1" s="36"/>
      <c r="K1" s="36"/>
      <c r="L1" s="36"/>
      <c r="M1" s="36"/>
      <c r="N1" s="36"/>
      <c r="O1" s="1"/>
      <c r="P1" s="1"/>
      <c r="Q1" s="1"/>
      <c r="R1" s="1"/>
      <c r="S1" s="1"/>
      <c r="T1" s="1"/>
    </row>
    <row r="2" spans="1:20" ht="15.75" thickBot="1">
      <c r="A2" s="36"/>
      <c r="B2" s="196"/>
      <c r="C2" s="197"/>
      <c r="D2" s="36"/>
      <c r="E2" s="36"/>
      <c r="F2" s="36"/>
      <c r="G2" s="36"/>
      <c r="H2" s="36"/>
      <c r="I2" s="36"/>
      <c r="J2" s="36"/>
      <c r="K2" s="36"/>
      <c r="L2" s="36"/>
      <c r="M2" s="36"/>
      <c r="N2" s="36"/>
      <c r="O2" s="1"/>
      <c r="P2" s="1"/>
      <c r="Q2" s="1"/>
      <c r="R2" s="1"/>
      <c r="S2" s="1"/>
      <c r="T2" s="1"/>
    </row>
    <row r="3" spans="1:20" ht="15.75" thickBot="1">
      <c r="A3" s="198"/>
      <c r="B3" s="199" t="s">
        <v>302</v>
      </c>
      <c r="C3" s="200">
        <f>+[1]TMAR!H15</f>
        <v>0.13874</v>
      </c>
      <c r="D3" s="36"/>
      <c r="E3" s="36"/>
      <c r="F3" s="36"/>
      <c r="G3" s="36"/>
      <c r="H3" s="36"/>
      <c r="I3" s="36"/>
      <c r="J3" s="36"/>
      <c r="K3" s="36"/>
      <c r="L3" s="36"/>
      <c r="M3" s="36"/>
      <c r="N3" s="36"/>
      <c r="O3" s="1"/>
      <c r="P3" s="1"/>
      <c r="Q3" s="1"/>
      <c r="R3" s="1"/>
      <c r="S3" s="1"/>
      <c r="T3" s="1"/>
    </row>
    <row r="4" spans="1:20" ht="15.75" thickBot="1">
      <c r="A4" s="32"/>
      <c r="B4" s="649" t="s">
        <v>303</v>
      </c>
      <c r="C4" s="650"/>
      <c r="D4" s="651"/>
      <c r="E4" s="651"/>
      <c r="F4" s="651"/>
      <c r="G4" s="651"/>
      <c r="H4" s="652"/>
      <c r="I4" s="53"/>
      <c r="J4" s="53"/>
      <c r="K4" s="53"/>
      <c r="L4" s="53"/>
      <c r="M4" s="36"/>
      <c r="N4" s="36"/>
      <c r="O4" s="1"/>
      <c r="P4" s="1"/>
      <c r="Q4" s="1"/>
      <c r="R4" s="1"/>
      <c r="S4" s="1"/>
      <c r="T4" s="1"/>
    </row>
    <row r="5" spans="1:20" ht="15.75" thickBot="1">
      <c r="A5" s="32"/>
      <c r="B5" s="201"/>
      <c r="C5" s="201"/>
      <c r="D5" s="201"/>
      <c r="E5" s="201"/>
      <c r="F5" s="201"/>
      <c r="G5" s="201"/>
      <c r="H5" s="201"/>
      <c r="I5" s="202"/>
      <c r="J5" s="202"/>
      <c r="K5" s="202"/>
      <c r="L5" s="202"/>
      <c r="M5" s="202"/>
      <c r="N5" s="36"/>
      <c r="O5" s="1"/>
      <c r="P5" s="1"/>
      <c r="Q5" s="1"/>
      <c r="R5" s="1"/>
      <c r="S5" s="1"/>
      <c r="T5" s="1"/>
    </row>
    <row r="6" spans="1:20" ht="15.75" thickBot="1">
      <c r="A6" s="32"/>
      <c r="B6" s="4"/>
      <c r="C6" s="203">
        <v>0</v>
      </c>
      <c r="D6" s="203">
        <v>1</v>
      </c>
      <c r="E6" s="203">
        <v>2</v>
      </c>
      <c r="F6" s="203">
        <v>3</v>
      </c>
      <c r="G6" s="203">
        <v>4</v>
      </c>
      <c r="H6" s="203">
        <v>5</v>
      </c>
      <c r="I6" s="203">
        <v>6</v>
      </c>
      <c r="J6" s="203">
        <v>7</v>
      </c>
      <c r="K6" s="203">
        <v>8</v>
      </c>
      <c r="L6" s="203">
        <v>9</v>
      </c>
      <c r="M6" s="203">
        <v>10</v>
      </c>
      <c r="N6" s="36"/>
      <c r="O6" s="1"/>
      <c r="P6" s="1"/>
      <c r="Q6" s="1"/>
      <c r="R6" s="1"/>
      <c r="S6" s="1"/>
      <c r="T6" s="1"/>
    </row>
    <row r="7" spans="1:20">
      <c r="A7" s="36"/>
      <c r="B7" s="204" t="s">
        <v>304</v>
      </c>
      <c r="C7" s="205">
        <f>'flujo de caja'!D43</f>
        <v>-25993.291568750014</v>
      </c>
      <c r="D7" s="205">
        <f>'flujo de caja'!E43</f>
        <v>-43316.609076679517</v>
      </c>
      <c r="E7" s="205">
        <f>'flujo de caja'!F43</f>
        <v>-43407.017308994327</v>
      </c>
      <c r="F7" s="205">
        <f>'flujo de caja'!G43</f>
        <v>12765.165599964625</v>
      </c>
      <c r="G7" s="205">
        <f>'flujo de caja'!H43</f>
        <v>17286.351811176064</v>
      </c>
      <c r="H7" s="205">
        <f>'flujo de caja'!I43</f>
        <v>26346.055939931855</v>
      </c>
      <c r="I7" s="205">
        <f>'flujo de caja'!J43</f>
        <v>33613.827652855252</v>
      </c>
      <c r="J7" s="205">
        <f>'flujo de caja'!K43</f>
        <v>42767.933086951642</v>
      </c>
      <c r="K7" s="205">
        <f>'flujo de caja'!L43</f>
        <v>56047.895882328485</v>
      </c>
      <c r="L7" s="205">
        <f>'flujo de caja'!M43</f>
        <v>69421.472577135399</v>
      </c>
      <c r="M7" s="205">
        <f>'flujo de caja'!N43</f>
        <v>137378.68898755743</v>
      </c>
      <c r="N7" s="36"/>
      <c r="O7" s="1"/>
      <c r="P7" s="1"/>
      <c r="Q7" s="1"/>
      <c r="R7" s="1"/>
      <c r="S7" s="1"/>
      <c r="T7" s="1"/>
    </row>
    <row r="8" spans="1:20">
      <c r="A8" s="36"/>
      <c r="B8" s="206" t="s">
        <v>305</v>
      </c>
      <c r="C8" s="207">
        <f>C7*((1+$C$3)^-C6)</f>
        <v>-25993.291568750014</v>
      </c>
      <c r="D8" s="207">
        <f>D7*((1+$C$3)^-D6)</f>
        <v>-38039.068687039631</v>
      </c>
      <c r="E8" s="207">
        <f t="shared" ref="D8:M8" si="0">E7*((1+$C$3)^-E6)</f>
        <v>-33474.245134429773</v>
      </c>
      <c r="F8" s="207">
        <f t="shared" si="0"/>
        <v>8644.7556997286902</v>
      </c>
      <c r="G8" s="207">
        <f t="shared" si="0"/>
        <v>10280.28234915159</v>
      </c>
      <c r="H8" s="207">
        <f t="shared" si="0"/>
        <v>13759.185591805195</v>
      </c>
      <c r="I8" s="207">
        <f t="shared" si="0"/>
        <v>15415.957768199181</v>
      </c>
      <c r="J8" s="207">
        <f t="shared" si="0"/>
        <v>17224.484325215282</v>
      </c>
      <c r="K8" s="207">
        <f t="shared" si="0"/>
        <v>19822.695226403946</v>
      </c>
      <c r="L8" s="207">
        <f t="shared" si="0"/>
        <v>21561.185504723118</v>
      </c>
      <c r="M8" s="207">
        <f t="shared" si="0"/>
        <v>37469.12969527128</v>
      </c>
      <c r="N8" s="36"/>
      <c r="O8" s="1"/>
      <c r="P8" s="1"/>
      <c r="Q8" s="1"/>
      <c r="R8" s="1"/>
      <c r="S8" s="1"/>
      <c r="T8" s="1"/>
    </row>
    <row r="9" spans="1:20" ht="15.75" thickBot="1">
      <c r="A9" s="36"/>
      <c r="B9" s="208" t="s">
        <v>306</v>
      </c>
      <c r="C9" s="209">
        <f>C8</f>
        <v>-25993.291568750014</v>
      </c>
      <c r="D9" s="209">
        <f>C9+D8</f>
        <v>-64032.360255789645</v>
      </c>
      <c r="E9" s="209">
        <f t="shared" ref="D9:I9" si="1">D9+E8</f>
        <v>-97506.605390219425</v>
      </c>
      <c r="F9" s="209">
        <f t="shared" si="1"/>
        <v>-88861.849690490737</v>
      </c>
      <c r="G9" s="209">
        <f t="shared" si="1"/>
        <v>-78581.567341339149</v>
      </c>
      <c r="H9" s="210">
        <f t="shared" si="1"/>
        <v>-64822.381749533954</v>
      </c>
      <c r="I9" s="210">
        <f t="shared" si="1"/>
        <v>-49406.423981334774</v>
      </c>
      <c r="J9" s="210">
        <f t="shared" ref="J9:M9" si="2">I9+J8</f>
        <v>-32181.939656119492</v>
      </c>
      <c r="K9" s="335">
        <f t="shared" si="2"/>
        <v>-12359.244429715545</v>
      </c>
      <c r="L9" s="210">
        <f t="shared" si="2"/>
        <v>9201.9410750075731</v>
      </c>
      <c r="M9" s="210">
        <f t="shared" si="2"/>
        <v>46671.07077027885</v>
      </c>
      <c r="N9" s="36"/>
      <c r="O9" s="1"/>
      <c r="P9" s="1"/>
      <c r="Q9" s="1"/>
      <c r="R9" s="1"/>
      <c r="S9" s="1"/>
      <c r="T9" s="1"/>
    </row>
    <row r="10" spans="1:20" ht="15" customHeight="1" thickBot="1">
      <c r="A10" s="36"/>
      <c r="B10" s="4"/>
      <c r="C10" s="4"/>
      <c r="D10" s="4"/>
      <c r="E10" s="4"/>
      <c r="F10" s="4"/>
      <c r="G10" s="4"/>
      <c r="H10" s="4"/>
      <c r="I10" s="211"/>
      <c r="J10" s="211"/>
      <c r="K10" s="211"/>
      <c r="L10" s="211"/>
      <c r="M10" s="211"/>
      <c r="N10" s="36"/>
      <c r="O10" s="1"/>
      <c r="P10" s="1"/>
      <c r="Q10" s="1"/>
      <c r="R10" s="1"/>
      <c r="S10" s="1"/>
      <c r="T10" s="1"/>
    </row>
    <row r="11" spans="1:20" ht="17.25" customHeight="1" thickBot="1">
      <c r="A11" s="36"/>
      <c r="B11" s="4"/>
      <c r="C11" s="4"/>
      <c r="D11" s="4"/>
      <c r="E11" s="212" t="s">
        <v>303</v>
      </c>
      <c r="F11" s="653" t="s">
        <v>424</v>
      </c>
      <c r="G11" s="654"/>
      <c r="H11" s="655"/>
      <c r="I11" s="36"/>
      <c r="J11" s="36"/>
      <c r="K11" s="36"/>
      <c r="L11" s="36"/>
      <c r="M11" s="36"/>
      <c r="N11" s="36"/>
      <c r="O11" s="1"/>
      <c r="P11" s="1"/>
      <c r="Q11" s="1"/>
      <c r="R11" s="1"/>
      <c r="S11" s="1"/>
      <c r="T11" s="1"/>
    </row>
    <row r="12" spans="1:20" ht="18" customHeight="1">
      <c r="A12" s="36"/>
      <c r="B12" s="213"/>
      <c r="C12" s="214"/>
      <c r="D12" s="214"/>
      <c r="E12" s="214"/>
      <c r="F12" s="214"/>
      <c r="G12" s="215"/>
      <c r="H12" s="215"/>
      <c r="I12" s="36"/>
      <c r="J12" s="36"/>
      <c r="K12" s="36"/>
      <c r="L12" s="36"/>
      <c r="M12" s="36"/>
      <c r="N12" s="36"/>
      <c r="O12" s="1"/>
      <c r="P12" s="1"/>
      <c r="Q12" s="1"/>
      <c r="R12" s="1"/>
      <c r="S12" s="1"/>
      <c r="T12" s="1"/>
    </row>
    <row r="13" spans="1:20">
      <c r="A13" s="36"/>
      <c r="B13" s="213"/>
      <c r="C13" s="214"/>
      <c r="D13" s="214"/>
      <c r="E13" s="214"/>
      <c r="F13" s="214"/>
      <c r="G13" s="36"/>
      <c r="H13" s="36"/>
      <c r="I13" s="36"/>
      <c r="J13" s="36"/>
      <c r="K13" s="36"/>
      <c r="L13" s="36"/>
      <c r="M13" s="36"/>
      <c r="N13" s="36"/>
      <c r="O13" s="1"/>
      <c r="P13" s="1"/>
      <c r="Q13" s="1"/>
      <c r="R13" s="1"/>
      <c r="S13" s="1"/>
      <c r="T13" s="1"/>
    </row>
    <row r="14" spans="1:20">
      <c r="A14" s="36"/>
      <c r="B14" s="213"/>
      <c r="C14" s="214"/>
      <c r="D14" s="214"/>
      <c r="E14" s="214"/>
      <c r="F14" s="214"/>
      <c r="G14" s="36"/>
      <c r="H14" s="36"/>
      <c r="I14" s="36"/>
      <c r="J14" s="36"/>
      <c r="K14" s="36"/>
      <c r="L14" s="36"/>
      <c r="M14" s="36"/>
      <c r="N14" s="36"/>
      <c r="O14" s="1"/>
      <c r="P14" s="1"/>
      <c r="Q14" s="1"/>
      <c r="R14" s="1"/>
      <c r="S14" s="1"/>
      <c r="T14" s="1"/>
    </row>
    <row r="15" spans="1:20">
      <c r="A15" s="36"/>
      <c r="B15" s="213"/>
      <c r="C15" s="214"/>
      <c r="D15" s="214"/>
      <c r="E15" s="214"/>
      <c r="F15" s="214"/>
      <c r="G15" s="36"/>
      <c r="H15" s="36"/>
      <c r="I15" s="36"/>
      <c r="J15" s="36"/>
      <c r="K15" s="36"/>
      <c r="L15" s="36"/>
      <c r="M15" s="36"/>
      <c r="N15" s="36"/>
      <c r="O15" s="1"/>
      <c r="P15" s="1"/>
      <c r="Q15" s="1"/>
      <c r="R15" s="1"/>
      <c r="S15" s="1"/>
      <c r="T15" s="1"/>
    </row>
    <row r="16" spans="1:20">
      <c r="A16" s="36"/>
      <c r="B16" s="36"/>
      <c r="C16" s="36"/>
      <c r="D16" s="36"/>
      <c r="E16" s="36"/>
      <c r="F16" s="36"/>
      <c r="G16" s="36"/>
      <c r="H16" s="36"/>
      <c r="I16" s="36"/>
      <c r="J16" s="36"/>
      <c r="K16" s="36"/>
      <c r="L16" s="36"/>
      <c r="M16" s="36"/>
      <c r="N16" s="36"/>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c r="C19" s="1"/>
      <c r="D19" s="1"/>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row r="53" spans="1:20">
      <c r="A53" s="1"/>
      <c r="B53" s="1"/>
      <c r="C53" s="1"/>
      <c r="D53" s="1"/>
      <c r="E53" s="1"/>
      <c r="F53" s="1"/>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row r="55" spans="1:20">
      <c r="A55" s="1"/>
      <c r="B55" s="1"/>
      <c r="C55" s="1"/>
      <c r="D55" s="1"/>
      <c r="E55" s="1"/>
      <c r="F55" s="1"/>
      <c r="G55" s="1"/>
      <c r="H55" s="1"/>
      <c r="I55" s="1"/>
      <c r="J55" s="1"/>
      <c r="K55" s="1"/>
      <c r="L55" s="1"/>
      <c r="M55" s="1"/>
      <c r="N55" s="1"/>
      <c r="O55" s="1"/>
      <c r="P55" s="1"/>
      <c r="Q55" s="1"/>
      <c r="R55" s="1"/>
      <c r="S55" s="1"/>
      <c r="T55" s="1"/>
    </row>
    <row r="56" spans="1:20">
      <c r="A56" s="1"/>
      <c r="B56" s="1"/>
      <c r="C56" s="1"/>
      <c r="D56" s="1"/>
      <c r="E56" s="1"/>
      <c r="F56" s="1"/>
      <c r="G56" s="1"/>
      <c r="H56" s="1"/>
      <c r="I56" s="1"/>
      <c r="J56" s="1"/>
      <c r="K56" s="1"/>
      <c r="L56" s="1"/>
      <c r="M56" s="1"/>
      <c r="N56" s="1"/>
      <c r="O56" s="1"/>
      <c r="P56" s="1"/>
      <c r="Q56" s="1"/>
      <c r="R56" s="1"/>
      <c r="S56" s="1"/>
      <c r="T56" s="1"/>
    </row>
    <row r="57" spans="1:20">
      <c r="A57" s="1"/>
      <c r="B57" s="1"/>
      <c r="C57" s="1"/>
      <c r="D57" s="1"/>
      <c r="E57" s="1"/>
      <c r="F57" s="1"/>
      <c r="G57" s="1"/>
      <c r="H57" s="1"/>
      <c r="I57" s="1"/>
      <c r="J57" s="1"/>
      <c r="K57" s="1"/>
      <c r="L57" s="1"/>
      <c r="M57" s="1"/>
      <c r="N57" s="1"/>
      <c r="O57" s="1"/>
      <c r="P57" s="1"/>
      <c r="Q57" s="1"/>
      <c r="R57" s="1"/>
      <c r="S57" s="1"/>
      <c r="T57" s="1"/>
    </row>
    <row r="58" spans="1:20">
      <c r="A58" s="1"/>
      <c r="B58" s="1"/>
      <c r="C58" s="1"/>
      <c r="D58" s="1"/>
      <c r="E58" s="1"/>
      <c r="F58" s="1"/>
      <c r="G58" s="1"/>
      <c r="H58" s="1"/>
      <c r="I58" s="1"/>
      <c r="J58" s="1"/>
      <c r="K58" s="1"/>
      <c r="L58" s="1"/>
      <c r="M58" s="1"/>
      <c r="N58" s="1"/>
      <c r="O58" s="1"/>
      <c r="P58" s="1"/>
      <c r="Q58" s="1"/>
      <c r="R58" s="1"/>
      <c r="S58" s="1"/>
      <c r="T58" s="1"/>
    </row>
    <row r="59" spans="1:20">
      <c r="A59" s="1"/>
      <c r="B59" s="1"/>
      <c r="C59" s="1"/>
      <c r="D59" s="1"/>
      <c r="E59" s="1"/>
      <c r="F59" s="1"/>
      <c r="G59" s="1"/>
      <c r="H59" s="1"/>
      <c r="I59" s="1"/>
      <c r="J59" s="1"/>
      <c r="K59" s="1"/>
      <c r="L59" s="1"/>
      <c r="M59" s="1"/>
      <c r="N59" s="1"/>
      <c r="O59" s="1"/>
      <c r="P59" s="1"/>
      <c r="Q59" s="1"/>
      <c r="R59" s="1"/>
      <c r="S59" s="1"/>
      <c r="T59" s="1"/>
    </row>
    <row r="60" spans="1:20">
      <c r="A60" s="1"/>
      <c r="B60" s="1"/>
      <c r="C60" s="1"/>
      <c r="D60" s="1"/>
      <c r="E60" s="1"/>
      <c r="F60" s="1"/>
      <c r="G60" s="1"/>
      <c r="H60" s="1"/>
      <c r="I60" s="1"/>
      <c r="J60" s="1"/>
      <c r="K60" s="1"/>
      <c r="L60" s="1"/>
      <c r="M60" s="1"/>
      <c r="N60" s="1"/>
      <c r="O60" s="1"/>
      <c r="P60" s="1"/>
      <c r="Q60" s="1"/>
      <c r="R60" s="1"/>
      <c r="S60" s="1"/>
      <c r="T60" s="1"/>
    </row>
    <row r="61" spans="1:20">
      <c r="A61" s="1"/>
      <c r="B61" s="1"/>
      <c r="C61" s="1"/>
      <c r="D61" s="1"/>
      <c r="E61" s="1"/>
      <c r="F61" s="1"/>
      <c r="G61" s="1"/>
      <c r="H61" s="1"/>
      <c r="I61" s="1"/>
      <c r="J61" s="1"/>
      <c r="K61" s="1"/>
      <c r="L61" s="1"/>
      <c r="M61" s="1"/>
      <c r="N61" s="1"/>
      <c r="O61" s="1"/>
      <c r="P61" s="1"/>
      <c r="Q61" s="1"/>
      <c r="R61" s="1"/>
      <c r="S61" s="1"/>
      <c r="T61" s="1"/>
    </row>
    <row r="62" spans="1:20">
      <c r="A62" s="1"/>
      <c r="B62" s="1"/>
      <c r="C62" s="1"/>
      <c r="D62" s="1"/>
      <c r="E62" s="1"/>
      <c r="F62" s="1"/>
      <c r="G62" s="1"/>
      <c r="H62" s="1"/>
      <c r="I62" s="1"/>
      <c r="J62" s="1"/>
      <c r="K62" s="1"/>
      <c r="L62" s="1"/>
      <c r="M62" s="1"/>
      <c r="N62" s="1"/>
      <c r="O62" s="1"/>
      <c r="P62" s="1"/>
      <c r="Q62" s="1"/>
      <c r="R62" s="1"/>
      <c r="S62" s="1"/>
      <c r="T62" s="1"/>
    </row>
    <row r="63" spans="1:20">
      <c r="A63" s="1"/>
      <c r="B63" s="1"/>
      <c r="C63" s="1"/>
      <c r="D63" s="1"/>
      <c r="E63" s="1"/>
      <c r="F63" s="1"/>
      <c r="G63" s="1"/>
      <c r="H63" s="1"/>
      <c r="I63" s="1"/>
      <c r="J63" s="1"/>
      <c r="K63" s="1"/>
      <c r="L63" s="1"/>
      <c r="M63" s="1"/>
      <c r="N63" s="1"/>
      <c r="O63" s="1"/>
      <c r="P63" s="1"/>
      <c r="Q63" s="1"/>
      <c r="R63" s="1"/>
      <c r="S63" s="1"/>
      <c r="T63" s="1"/>
    </row>
    <row r="64" spans="1:20">
      <c r="A64" s="1"/>
      <c r="B64" s="1"/>
      <c r="C64" s="1"/>
      <c r="D64" s="1"/>
      <c r="E64" s="1"/>
      <c r="F64" s="1"/>
      <c r="G64" s="1"/>
      <c r="H64" s="1"/>
      <c r="I64" s="1"/>
      <c r="J64" s="1"/>
      <c r="K64" s="1"/>
      <c r="L64" s="1"/>
      <c r="M64" s="1"/>
      <c r="N64" s="1"/>
      <c r="O64" s="1"/>
      <c r="P64" s="1"/>
      <c r="Q64" s="1"/>
      <c r="R64" s="1"/>
      <c r="S64" s="1"/>
      <c r="T64" s="1"/>
    </row>
    <row r="65" spans="1:20">
      <c r="A65" s="1"/>
      <c r="B65" s="1"/>
      <c r="C65" s="1"/>
      <c r="D65" s="1"/>
      <c r="E65" s="1"/>
      <c r="F65" s="1"/>
      <c r="G65" s="1"/>
      <c r="H65" s="1"/>
      <c r="I65" s="1"/>
      <c r="J65" s="1"/>
      <c r="K65" s="1"/>
      <c r="L65" s="1"/>
      <c r="M65" s="1"/>
      <c r="N65" s="1"/>
      <c r="O65" s="1"/>
      <c r="P65" s="1"/>
      <c r="Q65" s="1"/>
      <c r="R65" s="1"/>
      <c r="S65" s="1"/>
      <c r="T65" s="1"/>
    </row>
  </sheetData>
  <mergeCells count="2">
    <mergeCell ref="B4:H4"/>
    <mergeCell ref="F11:H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W63"/>
  <sheetViews>
    <sheetView topLeftCell="A11" workbookViewId="0">
      <selection activeCell="K21" sqref="K21"/>
    </sheetView>
  </sheetViews>
  <sheetFormatPr baseColWidth="10" defaultRowHeight="15"/>
  <cols>
    <col min="3" max="3" width="19" customWidth="1"/>
  </cols>
  <sheetData>
    <row r="1" spans="1:19">
      <c r="A1" s="1"/>
      <c r="B1" s="1"/>
      <c r="C1" s="660" t="s">
        <v>307</v>
      </c>
      <c r="D1" s="660"/>
      <c r="E1" s="1"/>
      <c r="F1" s="1"/>
      <c r="G1" s="1"/>
      <c r="H1" s="1"/>
      <c r="I1" s="1"/>
      <c r="J1" s="1"/>
      <c r="K1" s="1"/>
      <c r="L1" s="1"/>
      <c r="M1" s="1"/>
      <c r="N1" s="1"/>
      <c r="O1" s="1"/>
      <c r="P1" s="1"/>
      <c r="Q1" s="1"/>
      <c r="R1" s="1"/>
      <c r="S1" s="1"/>
    </row>
    <row r="2" spans="1:19">
      <c r="A2" s="1"/>
      <c r="B2" s="1"/>
      <c r="C2" s="1"/>
      <c r="D2" s="1"/>
      <c r="E2" s="1"/>
      <c r="F2" s="1"/>
      <c r="G2" s="1"/>
      <c r="H2" s="1"/>
      <c r="I2" s="1"/>
      <c r="J2" s="1"/>
      <c r="K2" s="1"/>
      <c r="L2" s="1"/>
      <c r="M2" s="1"/>
      <c r="N2" s="1"/>
      <c r="O2" s="1"/>
      <c r="P2" s="1"/>
      <c r="Q2" s="1"/>
      <c r="R2" s="1"/>
      <c r="S2" s="1"/>
    </row>
    <row r="3" spans="1:19">
      <c r="A3" s="1"/>
      <c r="B3" s="1"/>
      <c r="C3" s="1"/>
      <c r="D3" s="1"/>
      <c r="E3" s="1"/>
      <c r="F3" s="1"/>
      <c r="G3" s="114"/>
      <c r="H3" s="1"/>
      <c r="I3" s="1"/>
      <c r="J3" s="1"/>
      <c r="K3" s="1"/>
      <c r="L3" s="1"/>
      <c r="M3" s="1"/>
      <c r="N3" s="1"/>
      <c r="O3" s="1"/>
      <c r="P3" s="1"/>
      <c r="Q3" s="1"/>
      <c r="R3" s="1"/>
      <c r="S3" s="1"/>
    </row>
    <row r="4" spans="1:19">
      <c r="A4" s="1"/>
      <c r="B4" s="1"/>
      <c r="C4" s="1"/>
      <c r="D4" s="1"/>
      <c r="E4" s="1"/>
      <c r="F4" s="1"/>
      <c r="G4" s="1"/>
      <c r="H4" s="1"/>
      <c r="I4" s="1"/>
      <c r="J4" s="1"/>
      <c r="K4" s="1"/>
      <c r="L4" s="1"/>
      <c r="M4" s="1"/>
      <c r="N4" s="1"/>
      <c r="O4" s="1"/>
      <c r="P4" s="1"/>
      <c r="Q4" s="1"/>
      <c r="R4" s="1"/>
      <c r="S4" s="1"/>
    </row>
    <row r="5" spans="1:19" ht="15.75" thickBot="1">
      <c r="A5" s="1"/>
      <c r="B5" s="216" t="s">
        <v>308</v>
      </c>
      <c r="C5" s="661" t="s">
        <v>309</v>
      </c>
      <c r="D5" s="661"/>
      <c r="E5" s="661"/>
      <c r="F5" s="217"/>
      <c r="G5" s="1"/>
      <c r="H5" s="1"/>
      <c r="I5" s="1"/>
      <c r="J5" s="1"/>
      <c r="K5" s="1"/>
      <c r="L5" s="1"/>
      <c r="M5" s="1"/>
      <c r="N5" s="1"/>
      <c r="O5" s="1"/>
      <c r="P5" s="1"/>
      <c r="Q5" s="1"/>
      <c r="R5" s="1"/>
      <c r="S5" s="1"/>
    </row>
    <row r="6" spans="1:19" ht="15.75" thickTop="1">
      <c r="A6" s="1"/>
      <c r="B6" s="216" t="s">
        <v>310</v>
      </c>
      <c r="C6" s="661" t="s">
        <v>311</v>
      </c>
      <c r="D6" s="661"/>
      <c r="E6" s="661"/>
      <c r="F6" s="332">
        <v>1.8499999999999999E-2</v>
      </c>
      <c r="G6" s="114" t="s">
        <v>312</v>
      </c>
      <c r="H6" s="1"/>
      <c r="I6" s="1"/>
      <c r="J6" s="1"/>
      <c r="K6" s="1"/>
      <c r="L6" s="1"/>
      <c r="M6" s="1"/>
      <c r="N6" s="1"/>
      <c r="O6" s="1"/>
      <c r="P6" s="1"/>
      <c r="Q6" s="1"/>
      <c r="R6" s="1"/>
      <c r="S6" s="1"/>
    </row>
    <row r="7" spans="1:19">
      <c r="A7" s="1"/>
      <c r="B7" s="216" t="s">
        <v>313</v>
      </c>
      <c r="C7" s="661" t="s">
        <v>314</v>
      </c>
      <c r="D7" s="661"/>
      <c r="E7" s="661"/>
      <c r="F7" s="322">
        <v>0.125</v>
      </c>
      <c r="G7" s="114" t="s">
        <v>315</v>
      </c>
      <c r="H7" s="1"/>
      <c r="I7" s="1"/>
      <c r="J7" s="1"/>
      <c r="K7" s="1"/>
      <c r="L7" s="1"/>
      <c r="M7" s="1"/>
      <c r="N7" s="1"/>
      <c r="O7" s="1"/>
      <c r="P7" s="1"/>
      <c r="Q7" s="1"/>
      <c r="R7" s="1"/>
      <c r="S7" s="1"/>
    </row>
    <row r="8" spans="1:19">
      <c r="A8" s="1"/>
      <c r="B8" s="216" t="s">
        <v>310</v>
      </c>
      <c r="C8" s="661" t="s">
        <v>316</v>
      </c>
      <c r="D8" s="661"/>
      <c r="E8" s="218"/>
      <c r="F8" s="333">
        <v>8.1900000000000001E-2</v>
      </c>
      <c r="G8" s="114" t="s">
        <v>317</v>
      </c>
      <c r="H8" s="1"/>
      <c r="I8" s="1"/>
      <c r="J8" s="1"/>
      <c r="K8" s="1"/>
      <c r="L8" s="1"/>
      <c r="M8" s="1"/>
      <c r="N8" s="1"/>
      <c r="O8" s="1"/>
      <c r="P8" s="1"/>
      <c r="Q8" s="1"/>
      <c r="R8" s="1"/>
      <c r="S8" s="1"/>
    </row>
    <row r="9" spans="1:19" ht="15.75" thickBot="1">
      <c r="A9" s="1"/>
      <c r="B9" s="216" t="s">
        <v>318</v>
      </c>
      <c r="C9" s="1" t="s">
        <v>319</v>
      </c>
      <c r="D9" s="1"/>
      <c r="E9" s="1"/>
      <c r="F9" s="334">
        <v>0.36</v>
      </c>
      <c r="G9" s="114" t="s">
        <v>320</v>
      </c>
      <c r="H9" s="1"/>
      <c r="I9" s="1"/>
      <c r="J9" s="1"/>
      <c r="K9" s="1"/>
      <c r="L9" s="1"/>
      <c r="M9" s="1"/>
      <c r="N9" s="1"/>
      <c r="O9" s="1"/>
      <c r="P9" s="1"/>
      <c r="Q9" s="1"/>
      <c r="R9" s="1"/>
      <c r="S9" s="1"/>
    </row>
    <row r="10" spans="1:19" ht="15.75" thickTop="1">
      <c r="A10" s="1"/>
      <c r="B10" s="216"/>
      <c r="C10" s="1"/>
      <c r="D10" s="1"/>
      <c r="E10" s="216"/>
      <c r="F10" s="219"/>
      <c r="G10" s="1"/>
      <c r="H10" s="1"/>
      <c r="I10" s="1"/>
      <c r="J10" s="1"/>
      <c r="K10" s="1"/>
      <c r="L10" s="1"/>
      <c r="M10" s="1"/>
      <c r="N10" s="1"/>
      <c r="O10" s="1"/>
      <c r="P10" s="1"/>
      <c r="Q10" s="1"/>
      <c r="R10" s="1"/>
      <c r="S10" s="1"/>
    </row>
    <row r="11" spans="1:19">
      <c r="A11" s="1"/>
      <c r="B11" s="1"/>
      <c r="C11" s="1"/>
      <c r="D11" s="1"/>
      <c r="E11" s="1"/>
      <c r="F11" s="1"/>
      <c r="G11" s="1"/>
      <c r="H11" s="1"/>
      <c r="I11" s="1"/>
      <c r="J11" s="1"/>
      <c r="K11" s="1"/>
      <c r="L11" s="1"/>
      <c r="M11" s="1"/>
      <c r="N11" s="1"/>
      <c r="O11" s="1"/>
      <c r="P11" s="1"/>
      <c r="Q11" s="1"/>
      <c r="R11" s="1"/>
      <c r="S11" s="1"/>
    </row>
    <row r="12" spans="1:19">
      <c r="A12" s="1"/>
      <c r="B12" s="1"/>
      <c r="C12" s="660" t="s">
        <v>321</v>
      </c>
      <c r="D12" s="660"/>
      <c r="E12" s="114"/>
      <c r="F12" s="1"/>
      <c r="G12" s="1"/>
      <c r="H12" s="1"/>
      <c r="I12" s="1"/>
      <c r="J12" s="1"/>
      <c r="K12" s="1"/>
      <c r="L12" s="1"/>
      <c r="M12" s="1"/>
      <c r="N12" s="1"/>
      <c r="O12" s="1"/>
      <c r="P12" s="1"/>
      <c r="Q12" s="1"/>
      <c r="R12" s="1"/>
      <c r="S12" s="1"/>
    </row>
    <row r="13" spans="1:19" ht="15.75" thickBot="1">
      <c r="A13" s="1"/>
      <c r="B13" s="1"/>
      <c r="C13" s="220" t="s">
        <v>322</v>
      </c>
      <c r="D13" s="221" t="s">
        <v>323</v>
      </c>
      <c r="E13" s="1"/>
      <c r="F13" s="1"/>
      <c r="G13" s="1"/>
      <c r="H13" s="1"/>
      <c r="I13" s="1"/>
      <c r="J13" s="1"/>
      <c r="K13" s="1"/>
      <c r="L13" s="1"/>
      <c r="M13" s="1"/>
      <c r="N13" s="1"/>
      <c r="O13" s="1"/>
      <c r="P13" s="1"/>
      <c r="Q13" s="1"/>
      <c r="R13" s="1"/>
      <c r="S13" s="1"/>
    </row>
    <row r="14" spans="1:19" ht="18" thickTop="1" thickBot="1">
      <c r="A14" s="1"/>
      <c r="B14" s="1"/>
      <c r="C14" s="222" t="s">
        <v>324</v>
      </c>
      <c r="D14" s="223">
        <v>792</v>
      </c>
      <c r="E14" s="1"/>
      <c r="F14" s="224" t="s">
        <v>325</v>
      </c>
      <c r="G14" s="656" t="s">
        <v>326</v>
      </c>
      <c r="H14" s="657"/>
      <c r="I14" s="1"/>
      <c r="J14" s="1"/>
      <c r="K14" s="1"/>
      <c r="L14" s="1"/>
      <c r="M14" s="1"/>
      <c r="N14" s="1"/>
      <c r="O14" s="1"/>
      <c r="P14" s="1"/>
      <c r="Q14" s="1"/>
      <c r="R14" s="1"/>
      <c r="S14" s="1"/>
    </row>
    <row r="15" spans="1:19" ht="18" thickTop="1" thickBot="1">
      <c r="A15" s="1"/>
      <c r="B15" s="1"/>
      <c r="C15" s="225" t="s">
        <v>327</v>
      </c>
      <c r="D15" s="226">
        <v>792</v>
      </c>
      <c r="E15" s="1"/>
      <c r="F15" s="1"/>
      <c r="G15" s="320" t="s">
        <v>328</v>
      </c>
      <c r="H15" s="323">
        <f>(H17+H19*(H18-H17))+H20</f>
        <v>0.17175499999999999</v>
      </c>
      <c r="I15" s="2" t="s">
        <v>329</v>
      </c>
      <c r="J15" s="658" t="s">
        <v>330</v>
      </c>
      <c r="K15" s="658"/>
      <c r="L15" s="1"/>
      <c r="M15" s="1"/>
      <c r="N15" s="1"/>
      <c r="O15" s="1"/>
      <c r="P15" s="1"/>
      <c r="Q15" s="1"/>
      <c r="R15" s="1"/>
      <c r="S15" s="1"/>
    </row>
    <row r="16" spans="1:19" ht="18" thickTop="1" thickBot="1">
      <c r="A16" s="1"/>
      <c r="B16" s="1"/>
      <c r="C16" s="225" t="s">
        <v>331</v>
      </c>
      <c r="D16" s="226">
        <v>792</v>
      </c>
      <c r="E16" s="1"/>
      <c r="F16" s="1"/>
      <c r="G16" s="320" t="s">
        <v>332</v>
      </c>
      <c r="H16" s="324">
        <f>+[1]Amortizacion!F13</f>
        <v>8.1699999999999995E-2</v>
      </c>
      <c r="I16" s="1"/>
      <c r="J16" s="328" t="s">
        <v>333</v>
      </c>
      <c r="K16" s="329">
        <v>0.4</v>
      </c>
      <c r="L16" s="1"/>
      <c r="M16" s="1"/>
      <c r="N16" s="1"/>
      <c r="O16" s="1"/>
      <c r="P16" s="1"/>
      <c r="Q16" s="1"/>
      <c r="R16" s="1"/>
      <c r="S16" s="1"/>
    </row>
    <row r="17" spans="1:19" ht="18" thickTop="1" thickBot="1">
      <c r="A17" s="1"/>
      <c r="B17" s="1"/>
      <c r="C17" s="225" t="s">
        <v>334</v>
      </c>
      <c r="D17" s="226">
        <v>792</v>
      </c>
      <c r="E17" s="1"/>
      <c r="F17" s="1"/>
      <c r="G17" s="320" t="s">
        <v>335</v>
      </c>
      <c r="H17" s="325">
        <v>1.8499999999999999E-2</v>
      </c>
      <c r="I17" s="1"/>
      <c r="J17" s="328" t="s">
        <v>336</v>
      </c>
      <c r="K17" s="329">
        <v>0.6</v>
      </c>
      <c r="L17" s="1"/>
      <c r="M17" s="1"/>
      <c r="N17" s="1"/>
      <c r="O17" s="1"/>
      <c r="P17" s="1"/>
      <c r="Q17" s="1"/>
      <c r="R17" s="1"/>
      <c r="S17" s="1"/>
    </row>
    <row r="18" spans="1:19" ht="18" thickTop="1" thickBot="1">
      <c r="A18" s="1"/>
      <c r="B18" s="1"/>
      <c r="C18" s="225" t="s">
        <v>337</v>
      </c>
      <c r="D18" s="226">
        <v>791</v>
      </c>
      <c r="E18" s="1"/>
      <c r="F18" s="1"/>
      <c r="G18" s="320" t="s">
        <v>338</v>
      </c>
      <c r="H18" s="324">
        <v>0.125</v>
      </c>
      <c r="I18" s="1"/>
      <c r="J18" s="659"/>
      <c r="K18" s="659"/>
      <c r="L18" s="1"/>
      <c r="M18" s="1"/>
      <c r="N18" s="1"/>
      <c r="O18" s="1"/>
      <c r="P18" s="1"/>
      <c r="Q18" s="1"/>
      <c r="R18" s="1"/>
      <c r="S18" s="1"/>
    </row>
    <row r="19" spans="1:19" ht="18" thickTop="1" thickBot="1">
      <c r="A19" s="1"/>
      <c r="B19" s="1"/>
      <c r="C19" s="225" t="s">
        <v>339</v>
      </c>
      <c r="D19" s="226">
        <v>790</v>
      </c>
      <c r="E19" s="1"/>
      <c r="F19" s="1"/>
      <c r="G19" s="320" t="s">
        <v>340</v>
      </c>
      <c r="H19" s="326">
        <v>0.67</v>
      </c>
      <c r="I19" s="1"/>
      <c r="J19" s="1"/>
      <c r="K19" s="1"/>
      <c r="L19" s="1"/>
      <c r="M19" s="1"/>
      <c r="N19" s="1"/>
      <c r="O19" s="1"/>
      <c r="P19" s="1"/>
      <c r="Q19" s="1"/>
      <c r="R19" s="1"/>
      <c r="S19" s="1"/>
    </row>
    <row r="20" spans="1:19" ht="18" thickTop="1" thickBot="1">
      <c r="A20" s="1"/>
      <c r="B20" s="1"/>
      <c r="C20" s="225" t="s">
        <v>341</v>
      </c>
      <c r="D20" s="226">
        <v>790</v>
      </c>
      <c r="E20" s="1"/>
      <c r="F20" s="1"/>
      <c r="G20" s="320" t="s">
        <v>342</v>
      </c>
      <c r="H20" s="324">
        <v>8.1900000000000001E-2</v>
      </c>
      <c r="I20" s="1"/>
      <c r="J20" s="1"/>
      <c r="K20" s="1"/>
      <c r="L20" s="1"/>
      <c r="M20" s="1"/>
      <c r="N20" s="1"/>
      <c r="O20" s="1"/>
      <c r="P20" s="1"/>
      <c r="Q20" s="1"/>
      <c r="R20" s="1"/>
      <c r="S20" s="1"/>
    </row>
    <row r="21" spans="1:19" ht="16.5" thickTop="1" thickBot="1">
      <c r="A21" s="1"/>
      <c r="B21" s="1"/>
      <c r="C21" s="225" t="s">
        <v>343</v>
      </c>
      <c r="D21" s="226">
        <v>846</v>
      </c>
      <c r="E21" s="1"/>
      <c r="F21" s="1"/>
      <c r="G21" s="321" t="s">
        <v>344</v>
      </c>
      <c r="H21" s="327">
        <v>0.23</v>
      </c>
      <c r="I21" s="1"/>
      <c r="J21" s="1"/>
      <c r="K21" s="1"/>
      <c r="L21" s="1"/>
      <c r="M21" s="1"/>
      <c r="N21" s="1"/>
      <c r="O21" s="1"/>
      <c r="P21" s="1"/>
      <c r="Q21" s="1"/>
      <c r="R21" s="1"/>
      <c r="S21" s="1"/>
    </row>
    <row r="22" spans="1:19" ht="16.5" thickTop="1" thickBot="1">
      <c r="A22" s="1"/>
      <c r="B22" s="1"/>
      <c r="C22" s="225" t="s">
        <v>345</v>
      </c>
      <c r="D22" s="226">
        <v>846</v>
      </c>
      <c r="E22" s="1"/>
      <c r="F22" s="1"/>
      <c r="H22" s="1"/>
      <c r="J22" s="1"/>
      <c r="K22" s="1"/>
      <c r="L22" s="1"/>
      <c r="M22" s="1"/>
      <c r="N22" s="1"/>
      <c r="O22" s="1"/>
      <c r="P22" s="1"/>
      <c r="Q22" s="1"/>
      <c r="R22" s="1"/>
      <c r="S22" s="1"/>
    </row>
    <row r="23" spans="1:19" ht="16.5" thickTop="1" thickBot="1">
      <c r="A23" s="1"/>
      <c r="B23" s="1"/>
      <c r="C23" s="225" t="s">
        <v>346</v>
      </c>
      <c r="D23" s="226">
        <v>846</v>
      </c>
      <c r="E23" s="1"/>
      <c r="F23" s="1"/>
      <c r="G23" s="330" t="s">
        <v>347</v>
      </c>
      <c r="H23" s="331">
        <f>(H15*K16)+(H16*K17*(1-H21))</f>
        <v>0.1064474</v>
      </c>
      <c r="I23" s="2" t="s">
        <v>348</v>
      </c>
      <c r="J23" s="1"/>
      <c r="K23" s="1"/>
      <c r="L23" s="1"/>
      <c r="M23" s="1"/>
      <c r="N23" s="1"/>
      <c r="O23" s="1"/>
      <c r="P23" s="1"/>
      <c r="Q23" s="1"/>
      <c r="R23" s="1"/>
      <c r="S23" s="1"/>
    </row>
    <row r="24" spans="1:19" ht="15.75" thickTop="1">
      <c r="A24" s="1"/>
      <c r="B24" s="1"/>
      <c r="C24" s="225" t="s">
        <v>349</v>
      </c>
      <c r="D24" s="226">
        <v>846</v>
      </c>
      <c r="E24" s="1"/>
      <c r="F24" s="1"/>
      <c r="G24" s="1"/>
      <c r="H24" s="1"/>
      <c r="I24" s="1"/>
      <c r="J24" s="1"/>
      <c r="K24" s="1"/>
      <c r="M24" s="1"/>
      <c r="N24" s="1"/>
      <c r="O24" s="1"/>
      <c r="P24" s="1"/>
      <c r="Q24" s="1"/>
      <c r="R24" s="1"/>
      <c r="S24" s="1"/>
    </row>
    <row r="25" spans="1:19">
      <c r="A25" s="1"/>
      <c r="B25" s="1"/>
      <c r="C25" s="225" t="s">
        <v>350</v>
      </c>
      <c r="D25" s="226">
        <v>843</v>
      </c>
      <c r="E25" s="1"/>
      <c r="F25" s="1"/>
      <c r="G25" s="1"/>
      <c r="H25" s="1"/>
      <c r="I25" s="1"/>
      <c r="J25" s="1"/>
      <c r="K25" s="1"/>
      <c r="L25" s="1"/>
      <c r="M25" s="1"/>
      <c r="N25" s="1"/>
      <c r="O25" s="1"/>
      <c r="P25" s="1"/>
      <c r="Q25" s="1"/>
      <c r="R25" s="1"/>
      <c r="S25" s="1"/>
    </row>
    <row r="26" spans="1:19">
      <c r="A26" s="1"/>
      <c r="B26" s="1"/>
      <c r="C26" s="225" t="s">
        <v>351</v>
      </c>
      <c r="D26" s="226">
        <v>840</v>
      </c>
      <c r="E26" s="1"/>
      <c r="F26" s="1"/>
      <c r="G26" s="1"/>
      <c r="H26" s="1"/>
      <c r="I26" s="1"/>
      <c r="J26" s="1"/>
      <c r="K26" s="1"/>
      <c r="L26" s="1"/>
      <c r="M26" s="1"/>
      <c r="N26" s="1"/>
      <c r="O26" s="1"/>
      <c r="P26" s="1"/>
      <c r="Q26" s="1"/>
      <c r="R26" s="1"/>
      <c r="S26" s="1"/>
    </row>
    <row r="27" spans="1:19">
      <c r="A27" s="1"/>
      <c r="B27" s="1"/>
      <c r="C27" s="225" t="s">
        <v>352</v>
      </c>
      <c r="D27" s="226">
        <v>836</v>
      </c>
      <c r="E27" s="1"/>
      <c r="F27" s="1"/>
      <c r="G27" s="1"/>
      <c r="H27" s="1"/>
      <c r="I27" s="1"/>
      <c r="J27" s="1"/>
      <c r="K27" s="1"/>
      <c r="L27" s="1"/>
      <c r="M27" s="1"/>
      <c r="N27" s="1"/>
      <c r="O27" s="1"/>
      <c r="P27" s="1"/>
      <c r="Q27" s="1"/>
      <c r="R27" s="1"/>
      <c r="S27" s="1"/>
    </row>
    <row r="28" spans="1:19">
      <c r="A28" s="1"/>
      <c r="B28" s="1"/>
      <c r="C28" s="225" t="s">
        <v>353</v>
      </c>
      <c r="D28" s="226">
        <v>835</v>
      </c>
      <c r="E28" s="1"/>
      <c r="F28" s="1"/>
      <c r="G28" s="1"/>
      <c r="H28" s="1"/>
      <c r="I28" s="1"/>
      <c r="J28" s="1"/>
      <c r="K28" s="1"/>
      <c r="L28" s="1"/>
      <c r="M28" s="1"/>
      <c r="N28" s="1"/>
      <c r="O28" s="1"/>
      <c r="P28" s="1"/>
      <c r="Q28" s="1"/>
      <c r="R28" s="1"/>
      <c r="S28" s="1"/>
    </row>
    <row r="29" spans="1:19">
      <c r="A29" s="1"/>
      <c r="B29" s="1"/>
      <c r="C29" s="225" t="s">
        <v>354</v>
      </c>
      <c r="D29" s="226">
        <v>835</v>
      </c>
      <c r="E29" s="1"/>
      <c r="F29" s="1"/>
      <c r="G29" s="1"/>
      <c r="H29" s="1"/>
      <c r="I29" s="1"/>
      <c r="J29" s="1"/>
      <c r="K29" s="1"/>
      <c r="L29" s="1"/>
      <c r="M29" s="1"/>
      <c r="N29" s="1"/>
      <c r="O29" s="1"/>
      <c r="P29" s="1"/>
      <c r="Q29" s="1"/>
      <c r="R29" s="1"/>
      <c r="S29" s="1"/>
    </row>
    <row r="30" spans="1:19">
      <c r="A30" s="1"/>
      <c r="B30" s="1"/>
      <c r="C30" s="225" t="s">
        <v>355</v>
      </c>
      <c r="D30" s="226">
        <v>835</v>
      </c>
      <c r="E30" s="1"/>
      <c r="F30" s="1"/>
      <c r="G30" s="1"/>
      <c r="H30" s="1"/>
      <c r="I30" s="1"/>
      <c r="J30" s="1"/>
      <c r="K30" s="1"/>
      <c r="L30" s="1"/>
      <c r="M30" s="1"/>
      <c r="N30" s="1"/>
      <c r="O30" s="1"/>
      <c r="P30" s="1"/>
      <c r="Q30" s="1"/>
      <c r="R30" s="1"/>
      <c r="S30" s="1"/>
    </row>
    <row r="31" spans="1:19">
      <c r="A31" s="1"/>
      <c r="B31" s="1"/>
      <c r="C31" s="225" t="s">
        <v>356</v>
      </c>
      <c r="D31" s="226">
        <v>835</v>
      </c>
      <c r="E31" s="1"/>
      <c r="F31" s="1"/>
      <c r="G31" s="1"/>
      <c r="H31" s="1"/>
      <c r="I31" s="1"/>
      <c r="J31" s="1"/>
      <c r="K31" s="1"/>
      <c r="L31" s="1"/>
      <c r="M31" s="1"/>
      <c r="N31" s="1"/>
      <c r="O31" s="1"/>
      <c r="P31" s="1"/>
      <c r="Q31" s="1"/>
      <c r="R31" s="1"/>
      <c r="S31" s="1"/>
    </row>
    <row r="32" spans="1:19">
      <c r="A32" s="1"/>
      <c r="B32" s="1"/>
      <c r="C32" s="225" t="s">
        <v>357</v>
      </c>
      <c r="D32" s="226">
        <v>840</v>
      </c>
      <c r="E32" s="1"/>
      <c r="F32" s="1"/>
      <c r="G32" s="1"/>
      <c r="H32" s="1"/>
      <c r="I32" s="1"/>
      <c r="J32" s="1"/>
      <c r="K32" s="1"/>
      <c r="L32" s="1"/>
      <c r="M32" s="1"/>
      <c r="N32" s="1"/>
      <c r="O32" s="1"/>
      <c r="P32" s="1"/>
      <c r="Q32" s="1"/>
      <c r="R32" s="1"/>
      <c r="S32" s="1"/>
    </row>
    <row r="33" spans="1:20">
      <c r="A33" s="1"/>
      <c r="B33" s="1"/>
      <c r="C33" s="225" t="s">
        <v>358</v>
      </c>
      <c r="D33" s="226">
        <v>840</v>
      </c>
      <c r="E33" s="1"/>
      <c r="F33" s="1"/>
      <c r="G33" s="1"/>
      <c r="H33" s="1"/>
      <c r="I33" s="1"/>
      <c r="J33" s="1"/>
      <c r="K33" s="1"/>
      <c r="L33" s="1"/>
      <c r="M33" s="1"/>
      <c r="N33" s="1"/>
      <c r="O33" s="1"/>
      <c r="P33" s="1"/>
      <c r="Q33" s="1"/>
      <c r="R33" s="1"/>
      <c r="S33" s="1"/>
    </row>
    <row r="34" spans="1:20">
      <c r="A34" s="1"/>
      <c r="B34" s="1"/>
      <c r="C34" s="225" t="s">
        <v>359</v>
      </c>
      <c r="D34" s="226">
        <v>844</v>
      </c>
      <c r="E34" s="1"/>
      <c r="F34" s="1"/>
      <c r="G34" s="1"/>
      <c r="H34" s="1"/>
      <c r="I34" s="1"/>
      <c r="J34" s="1"/>
      <c r="K34" s="1"/>
      <c r="L34" s="1"/>
      <c r="M34" s="1"/>
      <c r="N34" s="1"/>
      <c r="O34" s="1"/>
      <c r="P34" s="1"/>
      <c r="Q34" s="1"/>
      <c r="R34" s="1"/>
      <c r="S34" s="1"/>
    </row>
    <row r="35" spans="1:20">
      <c r="A35" s="1"/>
      <c r="B35" s="1"/>
      <c r="C35" s="225" t="s">
        <v>360</v>
      </c>
      <c r="D35" s="226">
        <v>847</v>
      </c>
      <c r="E35" s="1"/>
      <c r="F35" s="1"/>
      <c r="G35" s="1"/>
      <c r="H35" s="1"/>
      <c r="I35" s="1"/>
      <c r="J35" s="1"/>
      <c r="K35" s="1"/>
      <c r="L35" s="1"/>
      <c r="M35" s="1"/>
      <c r="N35" s="1"/>
      <c r="O35" s="1"/>
      <c r="P35" s="1"/>
      <c r="Q35" s="1"/>
      <c r="R35" s="1"/>
      <c r="S35" s="1"/>
    </row>
    <row r="36" spans="1:20">
      <c r="A36" s="1"/>
      <c r="B36" s="1"/>
      <c r="C36" s="225" t="s">
        <v>361</v>
      </c>
      <c r="D36" s="226">
        <v>848</v>
      </c>
      <c r="E36" s="1"/>
      <c r="F36" s="1"/>
      <c r="G36" s="1"/>
      <c r="H36" s="1"/>
      <c r="I36" s="1"/>
      <c r="J36" s="1"/>
      <c r="K36" s="1"/>
      <c r="L36" s="1"/>
      <c r="M36" s="1"/>
      <c r="N36" s="1"/>
      <c r="O36" s="1"/>
      <c r="P36" s="1"/>
      <c r="Q36" s="1"/>
      <c r="R36" s="1"/>
      <c r="S36" s="1"/>
    </row>
    <row r="37" spans="1:20">
      <c r="A37" s="1"/>
      <c r="B37" s="1"/>
      <c r="C37" s="225" t="s">
        <v>362</v>
      </c>
      <c r="D37" s="226">
        <v>848</v>
      </c>
      <c r="E37" s="1"/>
      <c r="F37" s="1"/>
      <c r="G37" s="1"/>
      <c r="H37" s="1"/>
      <c r="I37" s="1"/>
      <c r="J37" s="1"/>
      <c r="K37" s="1"/>
      <c r="L37" s="1"/>
      <c r="M37" s="1"/>
      <c r="N37" s="1"/>
      <c r="O37" s="1"/>
      <c r="P37" s="1"/>
      <c r="Q37" s="1"/>
      <c r="R37" s="1"/>
      <c r="S37" s="1"/>
    </row>
    <row r="38" spans="1:20">
      <c r="A38" s="1"/>
      <c r="B38" s="1"/>
      <c r="C38" s="225" t="s">
        <v>363</v>
      </c>
      <c r="D38" s="226">
        <v>848</v>
      </c>
      <c r="E38" s="1"/>
      <c r="F38" s="1"/>
      <c r="G38" s="1"/>
      <c r="H38" s="1"/>
      <c r="I38" s="1"/>
      <c r="J38" s="1"/>
      <c r="K38" s="1"/>
      <c r="L38" s="1"/>
      <c r="M38" s="1"/>
      <c r="N38" s="1"/>
      <c r="O38" s="1"/>
      <c r="P38" s="1"/>
      <c r="Q38" s="1"/>
      <c r="R38" s="1"/>
      <c r="S38" s="1"/>
    </row>
    <row r="39" spans="1:20">
      <c r="A39" s="1"/>
      <c r="B39" s="1"/>
      <c r="C39" s="225" t="s">
        <v>364</v>
      </c>
      <c r="D39" s="226">
        <v>845</v>
      </c>
      <c r="E39" s="1"/>
      <c r="F39" s="1"/>
      <c r="G39" s="1"/>
      <c r="H39" s="1"/>
      <c r="I39" s="1"/>
      <c r="J39" s="1"/>
      <c r="K39" s="1"/>
      <c r="L39" s="1"/>
      <c r="M39" s="1"/>
      <c r="N39" s="1"/>
      <c r="O39" s="1"/>
      <c r="P39" s="1"/>
      <c r="Q39" s="1"/>
      <c r="R39" s="1"/>
      <c r="S39" s="1"/>
    </row>
    <row r="40" spans="1:20">
      <c r="A40" s="1"/>
      <c r="B40" s="1"/>
      <c r="C40" s="225" t="s">
        <v>365</v>
      </c>
      <c r="D40" s="226">
        <v>845</v>
      </c>
      <c r="E40" s="1"/>
      <c r="F40" s="1"/>
      <c r="G40" s="1"/>
      <c r="H40" s="1"/>
      <c r="I40" s="1"/>
      <c r="J40" s="1"/>
      <c r="K40" s="1"/>
      <c r="L40" s="1"/>
      <c r="M40" s="1"/>
      <c r="N40" s="1"/>
      <c r="O40" s="1"/>
      <c r="P40" s="1"/>
      <c r="Q40" s="1"/>
      <c r="R40" s="1"/>
      <c r="S40" s="1"/>
    </row>
    <row r="41" spans="1:20">
      <c r="A41" s="1"/>
      <c r="B41" s="1"/>
      <c r="C41" s="225" t="s">
        <v>366</v>
      </c>
      <c r="D41" s="226">
        <v>846</v>
      </c>
      <c r="E41" s="1"/>
      <c r="F41" s="1"/>
      <c r="G41" s="1"/>
      <c r="H41" s="1"/>
      <c r="I41" s="1"/>
      <c r="J41" s="1"/>
      <c r="K41" s="1"/>
      <c r="L41" s="1"/>
      <c r="M41" s="1"/>
      <c r="N41" s="1"/>
      <c r="O41" s="1"/>
      <c r="P41" s="1"/>
      <c r="Q41" s="1"/>
      <c r="R41" s="1"/>
      <c r="S41" s="1"/>
    </row>
    <row r="42" spans="1:20">
      <c r="A42" s="1"/>
      <c r="B42" s="1"/>
      <c r="C42" s="225" t="s">
        <v>367</v>
      </c>
      <c r="D42" s="226">
        <v>846</v>
      </c>
      <c r="E42" s="1"/>
      <c r="F42" s="1"/>
      <c r="G42" s="1"/>
      <c r="H42" s="1"/>
      <c r="I42" s="1"/>
      <c r="J42" s="1"/>
      <c r="K42" s="1"/>
      <c r="L42" s="1"/>
      <c r="M42" s="1"/>
      <c r="N42" s="1"/>
      <c r="O42" s="1"/>
      <c r="P42" s="1"/>
      <c r="Q42" s="1"/>
      <c r="R42" s="1"/>
      <c r="S42" s="1"/>
    </row>
    <row r="43" spans="1:20">
      <c r="A43" s="1"/>
      <c r="B43" s="1"/>
      <c r="C43" s="227" t="s">
        <v>368</v>
      </c>
      <c r="D43" s="226">
        <v>844</v>
      </c>
      <c r="E43" s="1"/>
      <c r="F43" s="1"/>
      <c r="G43" s="1"/>
      <c r="H43" s="1"/>
      <c r="I43" s="1"/>
      <c r="J43" s="1"/>
      <c r="K43" s="1"/>
      <c r="L43" s="1"/>
      <c r="M43" s="1"/>
      <c r="N43" s="1"/>
      <c r="O43" s="1"/>
      <c r="P43" s="1"/>
      <c r="Q43" s="1"/>
      <c r="R43" s="1"/>
      <c r="S43" s="1"/>
      <c r="T43" s="1"/>
    </row>
    <row r="44" spans="1:20">
      <c r="A44" s="1"/>
      <c r="B44" s="1"/>
      <c r="C44" s="228" t="s">
        <v>369</v>
      </c>
      <c r="D44" s="229">
        <f>MAX(D14:D43)</f>
        <v>848</v>
      </c>
      <c r="E44" s="1"/>
      <c r="F44" s="1"/>
      <c r="G44" s="1"/>
      <c r="H44" s="1"/>
      <c r="I44" s="1"/>
      <c r="J44" s="1"/>
      <c r="K44" s="1"/>
      <c r="L44" s="1"/>
      <c r="M44" s="1"/>
      <c r="N44" s="1"/>
      <c r="O44" s="1"/>
      <c r="P44" s="1"/>
      <c r="Q44" s="1"/>
      <c r="R44" s="1"/>
      <c r="S44" s="1"/>
      <c r="T44" s="1"/>
    </row>
    <row r="45" spans="1:20">
      <c r="A45" s="1"/>
      <c r="B45" s="1"/>
      <c r="C45" s="230" t="s">
        <v>370</v>
      </c>
      <c r="D45" s="231">
        <f>MIN(D15:D44)</f>
        <v>790</v>
      </c>
      <c r="E45" s="1"/>
      <c r="F45" s="1"/>
      <c r="G45" s="1"/>
      <c r="H45" s="1"/>
      <c r="I45" s="1"/>
      <c r="J45" s="1"/>
      <c r="K45" s="1"/>
      <c r="L45" s="1"/>
      <c r="M45" s="1"/>
      <c r="N45" s="1"/>
      <c r="O45" s="1"/>
      <c r="P45" s="1"/>
      <c r="Q45" s="1"/>
      <c r="R45" s="1"/>
      <c r="S45" s="1"/>
      <c r="T45" s="1"/>
    </row>
    <row r="46" spans="1:20">
      <c r="A46" s="1"/>
      <c r="B46" s="1"/>
      <c r="C46" s="232" t="s">
        <v>371</v>
      </c>
      <c r="D46" s="233">
        <f>+((D44+D45)/2)</f>
        <v>819</v>
      </c>
      <c r="E46" s="2" t="s">
        <v>372</v>
      </c>
      <c r="F46" s="1"/>
      <c r="G46" s="1"/>
      <c r="H46" s="1"/>
      <c r="I46" s="1"/>
      <c r="J46" s="1"/>
      <c r="K46" s="1"/>
      <c r="L46" s="1"/>
      <c r="M46" s="1"/>
      <c r="N46" s="1"/>
      <c r="O46" s="1"/>
      <c r="P46" s="1"/>
      <c r="Q46" s="1"/>
      <c r="R46" s="1"/>
      <c r="S46" s="1"/>
      <c r="T46" s="1"/>
    </row>
    <row r="47" spans="1:20">
      <c r="A47" s="1"/>
      <c r="B47" s="1"/>
      <c r="C47" s="1"/>
      <c r="D47" s="1"/>
      <c r="E47" s="1" t="s">
        <v>373</v>
      </c>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3">
      <c r="A49" s="1"/>
      <c r="B49" s="1"/>
      <c r="C49" s="1"/>
      <c r="D49" s="1"/>
      <c r="E49" s="1"/>
      <c r="F49" s="1"/>
      <c r="G49" s="1"/>
      <c r="H49" s="1"/>
      <c r="I49" s="1"/>
      <c r="J49" s="1"/>
      <c r="K49" s="1"/>
      <c r="L49" s="1"/>
      <c r="M49" s="1"/>
      <c r="N49" s="1"/>
      <c r="O49" s="1"/>
      <c r="P49" s="1"/>
      <c r="Q49" s="1"/>
      <c r="R49" s="1"/>
      <c r="S49" s="1"/>
      <c r="T49" s="1"/>
    </row>
    <row r="50" spans="1:23">
      <c r="A50" s="1"/>
      <c r="B50" s="1"/>
      <c r="C50" s="1"/>
      <c r="D50" s="1"/>
      <c r="E50" s="1"/>
      <c r="F50" s="1"/>
      <c r="G50" s="1"/>
      <c r="H50" s="1"/>
      <c r="I50" s="1"/>
      <c r="J50" s="1"/>
      <c r="K50" s="1"/>
      <c r="L50" s="1"/>
      <c r="M50" s="1"/>
      <c r="N50" s="1"/>
      <c r="O50" s="1"/>
      <c r="P50" s="1"/>
      <c r="Q50" s="1"/>
      <c r="R50" s="1"/>
      <c r="S50" s="1"/>
      <c r="T50" s="1"/>
    </row>
    <row r="51" spans="1:23">
      <c r="A51" s="1"/>
      <c r="B51" s="1"/>
      <c r="C51" s="1"/>
      <c r="D51" s="1"/>
      <c r="E51" s="1"/>
      <c r="F51" s="1"/>
      <c r="G51" s="1"/>
      <c r="H51" s="1"/>
      <c r="I51" s="1"/>
      <c r="J51" s="1"/>
      <c r="K51" s="1"/>
      <c r="L51" s="1"/>
      <c r="M51" s="1"/>
      <c r="N51" s="1"/>
      <c r="O51" s="1"/>
      <c r="P51" s="1"/>
      <c r="Q51" s="1"/>
      <c r="R51" s="1"/>
      <c r="S51" s="1"/>
      <c r="T51" s="1"/>
    </row>
    <row r="52" spans="1:23">
      <c r="A52" s="1"/>
      <c r="B52" s="1"/>
      <c r="C52" s="1"/>
      <c r="D52" s="1"/>
      <c r="E52" s="1"/>
      <c r="F52" s="1"/>
      <c r="G52" s="1"/>
      <c r="H52" s="1"/>
      <c r="I52" s="1"/>
      <c r="J52" s="1"/>
      <c r="K52" s="1"/>
      <c r="L52" s="1"/>
      <c r="M52" s="1"/>
      <c r="N52" s="1"/>
      <c r="O52" s="1"/>
      <c r="P52" s="1"/>
      <c r="Q52" s="1"/>
      <c r="R52" s="1"/>
      <c r="S52" s="1"/>
      <c r="T52" s="1"/>
    </row>
    <row r="53" spans="1:23">
      <c r="A53" s="1"/>
      <c r="B53" s="1"/>
      <c r="C53" s="1"/>
      <c r="D53" s="1"/>
      <c r="E53" s="1"/>
      <c r="F53" s="1"/>
      <c r="G53" s="1"/>
      <c r="H53" s="1"/>
      <c r="I53" s="1"/>
      <c r="J53" s="1"/>
      <c r="K53" s="1"/>
      <c r="L53" s="1"/>
      <c r="M53" s="1"/>
      <c r="N53" s="1"/>
      <c r="O53" s="1"/>
      <c r="P53" s="1"/>
      <c r="Q53" s="1"/>
      <c r="R53" s="1"/>
      <c r="S53" s="1"/>
      <c r="T53" s="1"/>
    </row>
    <row r="54" spans="1:23">
      <c r="A54" s="1"/>
      <c r="B54" s="1"/>
      <c r="C54" s="1"/>
      <c r="D54" s="1"/>
      <c r="E54" s="1"/>
      <c r="F54" s="1"/>
      <c r="G54" s="1"/>
      <c r="H54" s="1"/>
      <c r="I54" s="1"/>
      <c r="J54" s="1"/>
      <c r="K54" s="1"/>
      <c r="L54" s="1"/>
      <c r="M54" s="1"/>
      <c r="N54" s="1"/>
      <c r="O54" s="1"/>
      <c r="P54" s="1"/>
      <c r="Q54" s="1"/>
      <c r="R54" s="1"/>
      <c r="S54" s="1"/>
      <c r="T54" s="1"/>
    </row>
    <row r="56" spans="1:23">
      <c r="A56" s="1"/>
      <c r="B56" s="1"/>
      <c r="C56" s="1"/>
      <c r="D56" s="1"/>
      <c r="E56" s="1"/>
      <c r="F56" s="1"/>
      <c r="G56" s="1"/>
      <c r="H56" s="1"/>
      <c r="I56" s="1"/>
      <c r="J56" s="1"/>
      <c r="K56" s="1"/>
      <c r="L56" s="1"/>
      <c r="M56" s="1"/>
      <c r="N56" s="1"/>
      <c r="O56" s="1"/>
      <c r="P56" s="1"/>
      <c r="Q56" s="1"/>
      <c r="R56" s="1"/>
      <c r="S56" s="1"/>
      <c r="T56" s="1"/>
      <c r="U56" s="1"/>
      <c r="V56" s="1"/>
      <c r="W56" s="1"/>
    </row>
    <row r="57" spans="1:23">
      <c r="A57" s="1"/>
      <c r="B57" s="1"/>
      <c r="C57" s="1"/>
      <c r="D57" s="1"/>
      <c r="E57" s="1"/>
      <c r="F57" s="1"/>
      <c r="G57" s="1"/>
      <c r="H57" s="1"/>
      <c r="I57" s="1"/>
      <c r="J57" s="1"/>
      <c r="K57" s="1"/>
      <c r="L57" s="1"/>
      <c r="M57" s="1"/>
      <c r="N57" s="1"/>
      <c r="O57" s="1"/>
      <c r="P57" s="1"/>
      <c r="Q57" s="1"/>
      <c r="R57" s="1"/>
      <c r="S57" s="1"/>
      <c r="T57" s="1"/>
      <c r="U57" s="1"/>
      <c r="V57" s="1"/>
      <c r="W57" s="1"/>
    </row>
    <row r="58" spans="1:23">
      <c r="A58" s="1"/>
      <c r="B58" s="1"/>
      <c r="C58" s="1"/>
      <c r="D58" s="1"/>
      <c r="E58" s="1"/>
      <c r="F58" s="1"/>
      <c r="G58" s="1"/>
      <c r="H58" s="1"/>
      <c r="I58" s="1"/>
      <c r="J58" s="1"/>
      <c r="K58" s="1"/>
      <c r="L58" s="1"/>
      <c r="M58" s="1"/>
      <c r="N58" s="1"/>
      <c r="O58" s="1"/>
      <c r="P58" s="1"/>
      <c r="Q58" s="1"/>
      <c r="R58" s="1"/>
      <c r="S58" s="1"/>
      <c r="T58" s="1"/>
      <c r="U58" s="1"/>
      <c r="V58" s="1"/>
      <c r="W58" s="1"/>
    </row>
    <row r="59" spans="1:23">
      <c r="A59" s="1"/>
      <c r="B59" s="1"/>
      <c r="C59" s="1"/>
      <c r="D59" s="1"/>
      <c r="E59" s="1"/>
      <c r="F59" s="1"/>
      <c r="G59" s="1"/>
      <c r="H59" s="1"/>
      <c r="I59" s="1"/>
      <c r="J59" s="1"/>
      <c r="K59" s="1"/>
      <c r="L59" s="1"/>
      <c r="M59" s="1"/>
      <c r="N59" s="1"/>
      <c r="O59" s="1"/>
      <c r="P59" s="1"/>
      <c r="Q59" s="1"/>
      <c r="R59" s="1"/>
      <c r="S59" s="1"/>
      <c r="T59" s="1"/>
      <c r="U59" s="1"/>
      <c r="V59" s="1"/>
      <c r="W59" s="1"/>
    </row>
    <row r="60" spans="1:23">
      <c r="A60" s="1"/>
      <c r="B60" s="1"/>
      <c r="C60" s="1"/>
      <c r="D60" s="1"/>
      <c r="E60" s="1"/>
      <c r="F60" s="1"/>
      <c r="G60" s="1"/>
      <c r="H60" s="1"/>
      <c r="I60" s="1"/>
      <c r="J60" s="1"/>
      <c r="K60" s="1"/>
      <c r="L60" s="1"/>
      <c r="M60" s="1"/>
      <c r="N60" s="1"/>
      <c r="O60" s="1"/>
      <c r="P60" s="1"/>
      <c r="Q60" s="1"/>
      <c r="R60" s="1"/>
      <c r="S60" s="1"/>
      <c r="T60" s="1"/>
      <c r="U60" s="1"/>
      <c r="V60" s="1"/>
      <c r="W60" s="1"/>
    </row>
    <row r="61" spans="1:23">
      <c r="A61" s="1"/>
      <c r="B61" s="1"/>
      <c r="C61" s="1"/>
      <c r="D61" s="1"/>
      <c r="E61" s="1"/>
      <c r="F61" s="1"/>
      <c r="G61" s="1"/>
      <c r="H61" s="1"/>
      <c r="I61" s="1"/>
      <c r="J61" s="1"/>
      <c r="K61" s="1"/>
      <c r="L61" s="1"/>
      <c r="M61" s="1"/>
      <c r="N61" s="1"/>
      <c r="O61" s="1"/>
      <c r="P61" s="1"/>
      <c r="Q61" s="1"/>
      <c r="R61" s="1"/>
      <c r="S61" s="1"/>
      <c r="T61" s="1"/>
      <c r="U61" s="1"/>
      <c r="V61" s="1"/>
      <c r="W61" s="1"/>
    </row>
    <row r="62" spans="1:23">
      <c r="A62" s="1"/>
      <c r="B62" s="1"/>
      <c r="C62" s="1"/>
      <c r="D62" s="1"/>
      <c r="E62" s="1"/>
      <c r="F62" s="1"/>
      <c r="G62" s="1"/>
      <c r="H62" s="1"/>
      <c r="I62" s="1"/>
      <c r="J62" s="1"/>
      <c r="K62" s="1"/>
      <c r="L62" s="1"/>
      <c r="M62" s="1"/>
      <c r="N62" s="1"/>
      <c r="O62" s="1"/>
      <c r="P62" s="1"/>
      <c r="Q62" s="1"/>
      <c r="R62" s="1"/>
      <c r="S62" s="1"/>
      <c r="T62" s="1"/>
      <c r="U62" s="1"/>
      <c r="V62" s="1"/>
      <c r="W62" s="1"/>
    </row>
    <row r="63" spans="1:23">
      <c r="A63" s="1"/>
      <c r="B63" s="1"/>
      <c r="C63" s="1"/>
      <c r="D63" s="1"/>
      <c r="E63" s="1"/>
      <c r="F63" s="1"/>
      <c r="G63" s="1"/>
      <c r="H63" s="1"/>
      <c r="I63" s="1"/>
      <c r="J63" s="1"/>
      <c r="K63" s="1"/>
      <c r="L63" s="1"/>
      <c r="M63" s="1"/>
      <c r="N63" s="1"/>
      <c r="O63" s="1"/>
      <c r="P63" s="1"/>
      <c r="Q63" s="1"/>
      <c r="R63" s="1"/>
      <c r="S63" s="1"/>
      <c r="T63" s="1"/>
      <c r="U63" s="1"/>
      <c r="V63" s="1"/>
      <c r="W63" s="1"/>
    </row>
  </sheetData>
  <mergeCells count="9">
    <mergeCell ref="G14:H14"/>
    <mergeCell ref="J15:K15"/>
    <mergeCell ref="J18:K18"/>
    <mergeCell ref="C1:D1"/>
    <mergeCell ref="C5:E5"/>
    <mergeCell ref="C6:E6"/>
    <mergeCell ref="C7:E7"/>
    <mergeCell ref="C8:D8"/>
    <mergeCell ref="C12:D12"/>
  </mergeCells>
  <hyperlinks>
    <hyperlink ref="G6" r:id="rId1"/>
    <hyperlink ref="G7" r:id="rId2"/>
    <hyperlink ref="G8" r:id="rId3"/>
  </hyperlinks>
  <pageMargins left="0.7" right="0.7" top="0.75" bottom="0.75" header="0.3" footer="0.3"/>
  <drawing r:id="rId4"/>
</worksheet>
</file>

<file path=xl/worksheets/sheet18.xml><?xml version="1.0" encoding="utf-8"?>
<worksheet xmlns="http://schemas.openxmlformats.org/spreadsheetml/2006/main" xmlns:r="http://schemas.openxmlformats.org/officeDocument/2006/relationships">
  <dimension ref="A1:X28"/>
  <sheetViews>
    <sheetView workbookViewId="0">
      <selection activeCell="G14" sqref="G14"/>
    </sheetView>
  </sheetViews>
  <sheetFormatPr baseColWidth="10" defaultRowHeight="15"/>
  <cols>
    <col min="3" max="3" width="27.85546875" customWidth="1"/>
    <col min="4" max="4" width="12" customWidth="1"/>
    <col min="8" max="13" width="11.5703125" customWidth="1"/>
  </cols>
  <sheetData>
    <row r="1" spans="1:24">
      <c r="A1" s="1"/>
      <c r="B1" s="1"/>
      <c r="C1" s="1"/>
      <c r="D1" s="1"/>
      <c r="E1" s="1"/>
      <c r="F1" s="1"/>
      <c r="G1" s="1"/>
    </row>
    <row r="2" spans="1:24">
      <c r="A2" s="1"/>
      <c r="B2" s="1"/>
      <c r="C2" s="1"/>
      <c r="D2" s="1"/>
      <c r="E2" s="1"/>
      <c r="F2" s="1"/>
      <c r="G2" s="1"/>
    </row>
    <row r="3" spans="1:24">
      <c r="A3" s="1"/>
      <c r="B3" s="1"/>
      <c r="C3" s="1"/>
      <c r="D3" s="1"/>
      <c r="E3" s="1"/>
      <c r="F3" s="1"/>
      <c r="G3" s="1"/>
    </row>
    <row r="4" spans="1:24" ht="15.75" thickBot="1">
      <c r="A4" s="1"/>
      <c r="B4" s="1"/>
      <c r="C4" s="1"/>
      <c r="N4" s="1"/>
      <c r="O4" s="1"/>
      <c r="P4" s="1"/>
      <c r="Q4" s="1"/>
      <c r="R4" s="1"/>
      <c r="S4" s="1"/>
      <c r="T4" s="1"/>
      <c r="U4" s="1"/>
      <c r="V4" s="1"/>
      <c r="W4" s="1"/>
      <c r="X4" s="1"/>
    </row>
    <row r="5" spans="1:24" ht="16.5" thickTop="1" thickBot="1">
      <c r="A5" s="1"/>
      <c r="B5" s="1"/>
      <c r="C5" s="434"/>
      <c r="D5" s="434">
        <v>1</v>
      </c>
      <c r="E5" s="434">
        <v>2</v>
      </c>
      <c r="F5" s="434">
        <v>3</v>
      </c>
      <c r="G5" s="434">
        <v>4</v>
      </c>
      <c r="H5" s="434">
        <v>5</v>
      </c>
      <c r="I5" s="434">
        <v>6</v>
      </c>
      <c r="J5" s="434">
        <v>7</v>
      </c>
      <c r="K5" s="434">
        <v>8</v>
      </c>
      <c r="L5" s="434">
        <v>9</v>
      </c>
      <c r="M5" s="434">
        <v>10</v>
      </c>
      <c r="N5" s="433"/>
      <c r="O5" s="433"/>
      <c r="P5" s="1"/>
      <c r="Q5" s="1"/>
      <c r="R5" s="1"/>
      <c r="S5" s="1"/>
      <c r="T5" s="1"/>
      <c r="U5" s="1"/>
      <c r="V5" s="1"/>
      <c r="W5" s="1"/>
      <c r="X5" s="1"/>
    </row>
    <row r="6" spans="1:24" ht="16.5" thickTop="1" thickBot="1">
      <c r="A6" s="1"/>
      <c r="B6" s="1"/>
      <c r="C6" s="434" t="s">
        <v>455</v>
      </c>
      <c r="D6" s="435">
        <f>('proyeccion de ingresos'!B14)/12</f>
        <v>4867.7249999999995</v>
      </c>
      <c r="E6" s="435">
        <f>('proyeccion de ingresos'!C14/12)</f>
        <v>5404.6350675000003</v>
      </c>
      <c r="F6" s="435">
        <f>('proyeccion de ingresos'!D14)/12</f>
        <v>6000.7663154452503</v>
      </c>
      <c r="G6" s="435">
        <f>('proyeccion de ingresos'!E14)/12</f>
        <v>6662.650840038863</v>
      </c>
      <c r="H6" s="435">
        <f>'proyeccion de ingresos'!F14/12</f>
        <v>7397.5412276951492</v>
      </c>
      <c r="I6" s="435">
        <f>'proyeccion de ingresos'!G14/12</f>
        <v>8213.4900251099243</v>
      </c>
      <c r="J6" s="435">
        <f>'proyeccion de ingresos'!H14/12</f>
        <v>9119.4379748795491</v>
      </c>
      <c r="K6" s="435">
        <f>'proyeccion de ingresos'!I14/12</f>
        <v>10125.311983508765</v>
      </c>
      <c r="L6" s="435">
        <f>'proyeccion de ingresos'!J14/12</f>
        <v>11242.133895289784</v>
      </c>
      <c r="M6" s="435">
        <f>'proyeccion de ingresos'!K14/12</f>
        <v>12482.141263940246</v>
      </c>
      <c r="N6" s="1"/>
      <c r="O6" s="1"/>
      <c r="P6" s="1"/>
      <c r="Q6" s="1"/>
      <c r="R6" s="1"/>
      <c r="S6" s="1"/>
      <c r="T6" s="1"/>
      <c r="U6" s="1"/>
      <c r="V6" s="1"/>
      <c r="W6" s="1"/>
      <c r="X6" s="1"/>
    </row>
    <row r="7" spans="1:24" ht="16.5" thickTop="1" thickBot="1">
      <c r="A7" s="1"/>
      <c r="B7" s="1"/>
      <c r="C7" s="434" t="s">
        <v>6</v>
      </c>
      <c r="D7" s="434">
        <f>'proyeccion de ingresos'!B15</f>
        <v>1.25</v>
      </c>
      <c r="E7" s="434">
        <f>'proyeccion de ingresos'!C15</f>
        <v>1.5</v>
      </c>
      <c r="F7" s="434">
        <f>'proyeccion de ingresos'!D15</f>
        <v>1.7999999999999998</v>
      </c>
      <c r="G7" s="434">
        <f>'proyeccion de ingresos'!E15</f>
        <v>2.1599999999999997</v>
      </c>
      <c r="H7" s="436">
        <f>'proyeccion de ingresos'!F15</f>
        <v>2.5919999999999996</v>
      </c>
      <c r="I7" s="436">
        <f>'proyeccion de ingresos'!G15</f>
        <v>3.1103999999999994</v>
      </c>
      <c r="J7" s="436">
        <f>'proyeccion de ingresos'!H15</f>
        <v>3.7324799999999989</v>
      </c>
      <c r="K7" s="436">
        <f>'proyeccion de ingresos'!I15</f>
        <v>4.4789759999999985</v>
      </c>
      <c r="L7" s="436">
        <f>'proyeccion de ingresos'!J15</f>
        <v>5.3747711999999979</v>
      </c>
      <c r="M7" s="436">
        <f>'proyeccion de ingresos'!K15</f>
        <v>6.4497254399999973</v>
      </c>
      <c r="N7" s="1"/>
      <c r="O7" s="1"/>
      <c r="P7" s="1"/>
      <c r="Q7" s="1"/>
      <c r="R7" s="1"/>
      <c r="S7" s="1"/>
      <c r="T7" s="1"/>
      <c r="U7" s="1"/>
      <c r="V7" s="1"/>
      <c r="W7" s="1"/>
      <c r="X7" s="1"/>
    </row>
    <row r="8" spans="1:24" ht="16.5" thickTop="1" thickBot="1">
      <c r="A8" s="1"/>
      <c r="B8" s="1"/>
      <c r="C8" s="434" t="s">
        <v>456</v>
      </c>
      <c r="D8" s="436">
        <f>D6*D7</f>
        <v>6084.6562499999991</v>
      </c>
      <c r="E8" s="436">
        <f t="shared" ref="E8:M8" si="0">E6*E7</f>
        <v>8106.952601250001</v>
      </c>
      <c r="F8" s="436">
        <f t="shared" si="0"/>
        <v>10801.37936780145</v>
      </c>
      <c r="G8" s="436">
        <f t="shared" si="0"/>
        <v>14391.325814483942</v>
      </c>
      <c r="H8" s="436">
        <f t="shared" si="0"/>
        <v>19174.426862185825</v>
      </c>
      <c r="I8" s="436">
        <f t="shared" si="0"/>
        <v>25547.239374101904</v>
      </c>
      <c r="J8" s="436">
        <f t="shared" si="0"/>
        <v>34038.119852478412</v>
      </c>
      <c r="K8" s="436">
        <f t="shared" si="0"/>
        <v>45351.029366648145</v>
      </c>
      <c r="L8" s="436">
        <f t="shared" si="0"/>
        <v>60423.897486947324</v>
      </c>
      <c r="M8" s="436">
        <f t="shared" si="0"/>
        <v>80506.384055709132</v>
      </c>
      <c r="N8" s="1"/>
      <c r="O8" s="1"/>
      <c r="P8" s="1"/>
      <c r="Q8" s="1"/>
      <c r="R8" s="1"/>
      <c r="S8" s="1"/>
      <c r="T8" s="1"/>
      <c r="U8" s="1"/>
      <c r="V8" s="1"/>
      <c r="W8" s="1"/>
      <c r="X8" s="1"/>
    </row>
    <row r="9" spans="1:24" ht="16.5" thickTop="1" thickBot="1">
      <c r="A9" s="1"/>
      <c r="B9" s="1"/>
      <c r="C9" s="434" t="s">
        <v>457</v>
      </c>
      <c r="D9" s="438">
        <f>('Materia Prima'!G25)/Demanda!E11</f>
        <v>0.65821302559203743</v>
      </c>
      <c r="E9" s="438">
        <f>D9*(1+Demanda!$B$14)</f>
        <v>0.73081392231483921</v>
      </c>
      <c r="F9" s="438">
        <f>E9*(1+Demanda!$B$14)</f>
        <v>0.81142269794616606</v>
      </c>
      <c r="G9" s="438">
        <f>F9*(1+Demanda!$B$14)</f>
        <v>0.90092262152962821</v>
      </c>
      <c r="H9" s="438">
        <f>G9*(1+Demanda!$B$14)</f>
        <v>1.0002943866843463</v>
      </c>
      <c r="I9" s="438">
        <f>H9*(1+Demanda!$B$14)</f>
        <v>1.1106268575356297</v>
      </c>
      <c r="J9" s="438">
        <f>I9*(1+Demanda!$B$14)</f>
        <v>1.2331289999218098</v>
      </c>
      <c r="K9" s="438">
        <f>J9*(1+Demanda!$B$14)</f>
        <v>1.3691431286131854</v>
      </c>
      <c r="L9" s="438">
        <f>K9*(1+Demanda!$B$14)</f>
        <v>1.5201596156992199</v>
      </c>
      <c r="M9" s="438">
        <f>L9*(1+Demanda!$B$14)</f>
        <v>1.687833221310844</v>
      </c>
      <c r="N9" s="1"/>
      <c r="O9" s="1"/>
      <c r="P9" s="1"/>
      <c r="Q9" s="1"/>
      <c r="R9" s="1"/>
      <c r="S9" s="1"/>
      <c r="T9" s="1"/>
      <c r="U9" s="1"/>
      <c r="V9" s="1"/>
      <c r="W9" s="1"/>
      <c r="X9" s="1"/>
    </row>
    <row r="10" spans="1:24" ht="16.5" thickTop="1" thickBot="1">
      <c r="A10" s="1"/>
      <c r="B10" s="1"/>
      <c r="C10" s="434" t="s">
        <v>458</v>
      </c>
      <c r="D10" s="437">
        <f>'P&amp;G'!D19/12</f>
        <v>6772.98</v>
      </c>
      <c r="E10" s="437">
        <f>'P&amp;G'!E19/12</f>
        <v>8096.7275743202727</v>
      </c>
      <c r="F10" s="437">
        <f>'P&amp;G'!F19/12</f>
        <v>3389.8408833541139</v>
      </c>
      <c r="G10" s="437">
        <f>'P&amp;G'!G19/12</f>
        <v>3449.5711224987485</v>
      </c>
      <c r="H10" s="437">
        <f>'P&amp;G'!H19/12</f>
        <v>3497.7587154719154</v>
      </c>
      <c r="I10" s="437">
        <f>'P&amp;G'!I19/12</f>
        <v>3535.5175965454296</v>
      </c>
      <c r="J10" s="437">
        <f>'P&amp;G'!J19/12</f>
        <v>3600.8110947870991</v>
      </c>
      <c r="K10" s="437">
        <f>'P&amp;G'!K19/12</f>
        <v>3676.8152418459545</v>
      </c>
      <c r="L10" s="437">
        <f>'P&amp;G'!L19/12</f>
        <v>3765.2869967022075</v>
      </c>
      <c r="M10" s="437">
        <f>'P&amp;G'!M19/12</f>
        <v>3868.2715272868827</v>
      </c>
      <c r="N10" s="1"/>
      <c r="O10" s="1"/>
      <c r="P10" s="1"/>
      <c r="Q10" s="1"/>
      <c r="R10" s="1"/>
      <c r="S10" s="1"/>
      <c r="T10" s="1"/>
      <c r="U10" s="1"/>
      <c r="V10" s="1"/>
      <c r="W10" s="1"/>
      <c r="X10" s="1"/>
    </row>
    <row r="11" spans="1:24" ht="16.5" thickTop="1" thickBot="1">
      <c r="A11" s="1"/>
      <c r="B11" s="1"/>
      <c r="C11" s="434" t="s">
        <v>459</v>
      </c>
      <c r="D11" s="438">
        <f>D10/(D7-D9)</f>
        <v>11444.962956097244</v>
      </c>
      <c r="E11" s="438">
        <f t="shared" ref="E11:M11" si="1">E10/(E7-E9)</f>
        <v>10526.357417553758</v>
      </c>
      <c r="F11" s="438">
        <f t="shared" si="1"/>
        <v>3429.0094222389071</v>
      </c>
      <c r="G11" s="438">
        <f t="shared" si="1"/>
        <v>2739.7610198426128</v>
      </c>
      <c r="H11" s="438">
        <f t="shared" si="1"/>
        <v>2197.4909720810729</v>
      </c>
      <c r="I11" s="438">
        <f t="shared" si="1"/>
        <v>1767.9593357217129</v>
      </c>
      <c r="J11" s="438">
        <f t="shared" si="1"/>
        <v>1440.698443185632</v>
      </c>
      <c r="K11" s="438">
        <f t="shared" si="1"/>
        <v>1182.3192415502053</v>
      </c>
      <c r="L11" s="438">
        <f t="shared" si="1"/>
        <v>976.82656588218254</v>
      </c>
      <c r="M11" s="438">
        <f t="shared" si="1"/>
        <v>812.33916049274524</v>
      </c>
      <c r="N11" s="1"/>
      <c r="O11" s="1"/>
      <c r="P11" s="1"/>
      <c r="Q11" s="1"/>
      <c r="R11" s="1"/>
      <c r="S11" s="1"/>
      <c r="T11" s="1"/>
      <c r="U11" s="1"/>
      <c r="V11" s="1"/>
      <c r="W11" s="1"/>
      <c r="X11" s="1"/>
    </row>
    <row r="12" spans="1:24" ht="16.5" thickTop="1" thickBot="1">
      <c r="A12" s="1"/>
      <c r="B12" s="1"/>
      <c r="C12" s="434" t="s">
        <v>460</v>
      </c>
      <c r="D12" s="439">
        <f>D11*D7</f>
        <v>14306.203695121556</v>
      </c>
      <c r="E12" s="439">
        <f t="shared" ref="E12:M12" si="2">E11*E7</f>
        <v>15789.536126330637</v>
      </c>
      <c r="F12" s="439">
        <f t="shared" si="2"/>
        <v>6172.2169600300322</v>
      </c>
      <c r="G12" s="439">
        <f t="shared" si="2"/>
        <v>5917.883802860043</v>
      </c>
      <c r="H12" s="439">
        <f t="shared" si="2"/>
        <v>5695.8965996341403</v>
      </c>
      <c r="I12" s="439">
        <f t="shared" si="2"/>
        <v>5499.0607178288146</v>
      </c>
      <c r="J12" s="439">
        <f t="shared" si="2"/>
        <v>5377.3781252215058</v>
      </c>
      <c r="K12" s="439">
        <f t="shared" si="2"/>
        <v>5295.5795072415704</v>
      </c>
      <c r="L12" s="439">
        <f t="shared" si="2"/>
        <v>5250.2192936984547</v>
      </c>
      <c r="M12" s="439">
        <f t="shared" si="2"/>
        <v>5239.3645493383001</v>
      </c>
      <c r="N12" s="1"/>
      <c r="O12" s="1"/>
      <c r="P12" s="1"/>
      <c r="Q12" s="1"/>
      <c r="R12" s="1"/>
      <c r="S12" s="1"/>
      <c r="T12" s="1"/>
      <c r="U12" s="1"/>
      <c r="V12" s="1"/>
      <c r="W12" s="1"/>
      <c r="X12" s="1"/>
    </row>
    <row r="13" spans="1:24" ht="15.75" thickTop="1">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590"/>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2:BY46"/>
  <sheetViews>
    <sheetView topLeftCell="A16" workbookViewId="0">
      <selection activeCell="H25" sqref="H25"/>
    </sheetView>
  </sheetViews>
  <sheetFormatPr baseColWidth="10" defaultRowHeight="15"/>
  <cols>
    <col min="1" max="2" width="11.42578125" style="1"/>
    <col min="3" max="3" width="33.42578125" style="1" customWidth="1"/>
    <col min="4" max="4" width="13" style="1" customWidth="1"/>
    <col min="5" max="5" width="17.140625" style="1" customWidth="1"/>
    <col min="6" max="6" width="23.5703125" style="1" customWidth="1"/>
    <col min="7" max="7" width="13.28515625" style="1" customWidth="1"/>
    <col min="8" max="15" width="12" style="1" customWidth="1"/>
    <col min="16" max="16" width="13" style="1" customWidth="1"/>
    <col min="17" max="77" width="11.42578125" style="1"/>
    <col min="259" max="259" width="42.28515625" bestFit="1" customWidth="1"/>
    <col min="261" max="261" width="17.28515625" bestFit="1" customWidth="1"/>
    <col min="262" max="262" width="26.7109375" bestFit="1" customWidth="1"/>
    <col min="263" max="263" width="13.28515625" bestFit="1" customWidth="1"/>
    <col min="515" max="515" width="42.28515625" bestFit="1" customWidth="1"/>
    <col min="517" max="517" width="17.28515625" bestFit="1" customWidth="1"/>
    <col min="518" max="518" width="26.7109375" bestFit="1" customWidth="1"/>
    <col min="519" max="519" width="13.28515625" bestFit="1" customWidth="1"/>
    <col min="771" max="771" width="42.28515625" bestFit="1" customWidth="1"/>
    <col min="773" max="773" width="17.28515625" bestFit="1" customWidth="1"/>
    <col min="774" max="774" width="26.7109375" bestFit="1" customWidth="1"/>
    <col min="775" max="775" width="13.28515625" bestFit="1" customWidth="1"/>
    <col min="1027" max="1027" width="42.28515625" bestFit="1" customWidth="1"/>
    <col min="1029" max="1029" width="17.28515625" bestFit="1" customWidth="1"/>
    <col min="1030" max="1030" width="26.7109375" bestFit="1" customWidth="1"/>
    <col min="1031" max="1031" width="13.28515625" bestFit="1" customWidth="1"/>
    <col min="1283" max="1283" width="42.28515625" bestFit="1" customWidth="1"/>
    <col min="1285" max="1285" width="17.28515625" bestFit="1" customWidth="1"/>
    <col min="1286" max="1286" width="26.7109375" bestFit="1" customWidth="1"/>
    <col min="1287" max="1287" width="13.28515625" bestFit="1" customWidth="1"/>
    <col min="1539" max="1539" width="42.28515625" bestFit="1" customWidth="1"/>
    <col min="1541" max="1541" width="17.28515625" bestFit="1" customWidth="1"/>
    <col min="1542" max="1542" width="26.7109375" bestFit="1" customWidth="1"/>
    <col min="1543" max="1543" width="13.28515625" bestFit="1" customWidth="1"/>
    <col min="1795" max="1795" width="42.28515625" bestFit="1" customWidth="1"/>
    <col min="1797" max="1797" width="17.28515625" bestFit="1" customWidth="1"/>
    <col min="1798" max="1798" width="26.7109375" bestFit="1" customWidth="1"/>
    <col min="1799" max="1799" width="13.28515625" bestFit="1" customWidth="1"/>
    <col min="2051" max="2051" width="42.28515625" bestFit="1" customWidth="1"/>
    <col min="2053" max="2053" width="17.28515625" bestFit="1" customWidth="1"/>
    <col min="2054" max="2054" width="26.7109375" bestFit="1" customWidth="1"/>
    <col min="2055" max="2055" width="13.28515625" bestFit="1" customWidth="1"/>
    <col min="2307" max="2307" width="42.28515625" bestFit="1" customWidth="1"/>
    <col min="2309" max="2309" width="17.28515625" bestFit="1" customWidth="1"/>
    <col min="2310" max="2310" width="26.7109375" bestFit="1" customWidth="1"/>
    <col min="2311" max="2311" width="13.28515625" bestFit="1" customWidth="1"/>
    <col min="2563" max="2563" width="42.28515625" bestFit="1" customWidth="1"/>
    <col min="2565" max="2565" width="17.28515625" bestFit="1" customWidth="1"/>
    <col min="2566" max="2566" width="26.7109375" bestFit="1" customWidth="1"/>
    <col min="2567" max="2567" width="13.28515625" bestFit="1" customWidth="1"/>
    <col min="2819" max="2819" width="42.28515625" bestFit="1" customWidth="1"/>
    <col min="2821" max="2821" width="17.28515625" bestFit="1" customWidth="1"/>
    <col min="2822" max="2822" width="26.7109375" bestFit="1" customWidth="1"/>
    <col min="2823" max="2823" width="13.28515625" bestFit="1" customWidth="1"/>
    <col min="3075" max="3075" width="42.28515625" bestFit="1" customWidth="1"/>
    <col min="3077" max="3077" width="17.28515625" bestFit="1" customWidth="1"/>
    <col min="3078" max="3078" width="26.7109375" bestFit="1" customWidth="1"/>
    <col min="3079" max="3079" width="13.28515625" bestFit="1" customWidth="1"/>
    <col min="3331" max="3331" width="42.28515625" bestFit="1" customWidth="1"/>
    <col min="3333" max="3333" width="17.28515625" bestFit="1" customWidth="1"/>
    <col min="3334" max="3334" width="26.7109375" bestFit="1" customWidth="1"/>
    <col min="3335" max="3335" width="13.28515625" bestFit="1" customWidth="1"/>
    <col min="3587" max="3587" width="42.28515625" bestFit="1" customWidth="1"/>
    <col min="3589" max="3589" width="17.28515625" bestFit="1" customWidth="1"/>
    <col min="3590" max="3590" width="26.7109375" bestFit="1" customWidth="1"/>
    <col min="3591" max="3591" width="13.28515625" bestFit="1" customWidth="1"/>
    <col min="3843" max="3843" width="42.28515625" bestFit="1" customWidth="1"/>
    <col min="3845" max="3845" width="17.28515625" bestFit="1" customWidth="1"/>
    <col min="3846" max="3846" width="26.7109375" bestFit="1" customWidth="1"/>
    <col min="3847" max="3847" width="13.28515625" bestFit="1" customWidth="1"/>
    <col min="4099" max="4099" width="42.28515625" bestFit="1" customWidth="1"/>
    <col min="4101" max="4101" width="17.28515625" bestFit="1" customWidth="1"/>
    <col min="4102" max="4102" width="26.7109375" bestFit="1" customWidth="1"/>
    <col min="4103" max="4103" width="13.28515625" bestFit="1" customWidth="1"/>
    <col min="4355" max="4355" width="42.28515625" bestFit="1" customWidth="1"/>
    <col min="4357" max="4357" width="17.28515625" bestFit="1" customWidth="1"/>
    <col min="4358" max="4358" width="26.7109375" bestFit="1" customWidth="1"/>
    <col min="4359" max="4359" width="13.28515625" bestFit="1" customWidth="1"/>
    <col min="4611" max="4611" width="42.28515625" bestFit="1" customWidth="1"/>
    <col min="4613" max="4613" width="17.28515625" bestFit="1" customWidth="1"/>
    <col min="4614" max="4614" width="26.7109375" bestFit="1" customWidth="1"/>
    <col min="4615" max="4615" width="13.28515625" bestFit="1" customWidth="1"/>
    <col min="4867" max="4867" width="42.28515625" bestFit="1" customWidth="1"/>
    <col min="4869" max="4869" width="17.28515625" bestFit="1" customWidth="1"/>
    <col min="4870" max="4870" width="26.7109375" bestFit="1" customWidth="1"/>
    <col min="4871" max="4871" width="13.28515625" bestFit="1" customWidth="1"/>
    <col min="5123" max="5123" width="42.28515625" bestFit="1" customWidth="1"/>
    <col min="5125" max="5125" width="17.28515625" bestFit="1" customWidth="1"/>
    <col min="5126" max="5126" width="26.7109375" bestFit="1" customWidth="1"/>
    <col min="5127" max="5127" width="13.28515625" bestFit="1" customWidth="1"/>
    <col min="5379" max="5379" width="42.28515625" bestFit="1" customWidth="1"/>
    <col min="5381" max="5381" width="17.28515625" bestFit="1" customWidth="1"/>
    <col min="5382" max="5382" width="26.7109375" bestFit="1" customWidth="1"/>
    <col min="5383" max="5383" width="13.28515625" bestFit="1" customWidth="1"/>
    <col min="5635" max="5635" width="42.28515625" bestFit="1" customWidth="1"/>
    <col min="5637" max="5637" width="17.28515625" bestFit="1" customWidth="1"/>
    <col min="5638" max="5638" width="26.7109375" bestFit="1" customWidth="1"/>
    <col min="5639" max="5639" width="13.28515625" bestFit="1" customWidth="1"/>
    <col min="5891" max="5891" width="42.28515625" bestFit="1" customWidth="1"/>
    <col min="5893" max="5893" width="17.28515625" bestFit="1" customWidth="1"/>
    <col min="5894" max="5894" width="26.7109375" bestFit="1" customWidth="1"/>
    <col min="5895" max="5895" width="13.28515625" bestFit="1" customWidth="1"/>
    <col min="6147" max="6147" width="42.28515625" bestFit="1" customWidth="1"/>
    <col min="6149" max="6149" width="17.28515625" bestFit="1" customWidth="1"/>
    <col min="6150" max="6150" width="26.7109375" bestFit="1" customWidth="1"/>
    <col min="6151" max="6151" width="13.28515625" bestFit="1" customWidth="1"/>
    <col min="6403" max="6403" width="42.28515625" bestFit="1" customWidth="1"/>
    <col min="6405" max="6405" width="17.28515625" bestFit="1" customWidth="1"/>
    <col min="6406" max="6406" width="26.7109375" bestFit="1" customWidth="1"/>
    <col min="6407" max="6407" width="13.28515625" bestFit="1" customWidth="1"/>
    <col min="6659" max="6659" width="42.28515625" bestFit="1" customWidth="1"/>
    <col min="6661" max="6661" width="17.28515625" bestFit="1" customWidth="1"/>
    <col min="6662" max="6662" width="26.7109375" bestFit="1" customWidth="1"/>
    <col min="6663" max="6663" width="13.28515625" bestFit="1" customWidth="1"/>
    <col min="6915" max="6915" width="42.28515625" bestFit="1" customWidth="1"/>
    <col min="6917" max="6917" width="17.28515625" bestFit="1" customWidth="1"/>
    <col min="6918" max="6918" width="26.7109375" bestFit="1" customWidth="1"/>
    <col min="6919" max="6919" width="13.28515625" bestFit="1" customWidth="1"/>
    <col min="7171" max="7171" width="42.28515625" bestFit="1" customWidth="1"/>
    <col min="7173" max="7173" width="17.28515625" bestFit="1" customWidth="1"/>
    <col min="7174" max="7174" width="26.7109375" bestFit="1" customWidth="1"/>
    <col min="7175" max="7175" width="13.28515625" bestFit="1" customWidth="1"/>
    <col min="7427" max="7427" width="42.28515625" bestFit="1" customWidth="1"/>
    <col min="7429" max="7429" width="17.28515625" bestFit="1" customWidth="1"/>
    <col min="7430" max="7430" width="26.7109375" bestFit="1" customWidth="1"/>
    <col min="7431" max="7431" width="13.28515625" bestFit="1" customWidth="1"/>
    <col min="7683" max="7683" width="42.28515625" bestFit="1" customWidth="1"/>
    <col min="7685" max="7685" width="17.28515625" bestFit="1" customWidth="1"/>
    <col min="7686" max="7686" width="26.7109375" bestFit="1" customWidth="1"/>
    <col min="7687" max="7687" width="13.28515625" bestFit="1" customWidth="1"/>
    <col min="7939" max="7939" width="42.28515625" bestFit="1" customWidth="1"/>
    <col min="7941" max="7941" width="17.28515625" bestFit="1" customWidth="1"/>
    <col min="7942" max="7942" width="26.7109375" bestFit="1" customWidth="1"/>
    <col min="7943" max="7943" width="13.28515625" bestFit="1" customWidth="1"/>
    <col min="8195" max="8195" width="42.28515625" bestFit="1" customWidth="1"/>
    <col min="8197" max="8197" width="17.28515625" bestFit="1" customWidth="1"/>
    <col min="8198" max="8198" width="26.7109375" bestFit="1" customWidth="1"/>
    <col min="8199" max="8199" width="13.28515625" bestFit="1" customWidth="1"/>
    <col min="8451" max="8451" width="42.28515625" bestFit="1" customWidth="1"/>
    <col min="8453" max="8453" width="17.28515625" bestFit="1" customWidth="1"/>
    <col min="8454" max="8454" width="26.7109375" bestFit="1" customWidth="1"/>
    <col min="8455" max="8455" width="13.28515625" bestFit="1" customWidth="1"/>
    <col min="8707" max="8707" width="42.28515625" bestFit="1" customWidth="1"/>
    <col min="8709" max="8709" width="17.28515625" bestFit="1" customWidth="1"/>
    <col min="8710" max="8710" width="26.7109375" bestFit="1" customWidth="1"/>
    <col min="8711" max="8711" width="13.28515625" bestFit="1" customWidth="1"/>
    <col min="8963" max="8963" width="42.28515625" bestFit="1" customWidth="1"/>
    <col min="8965" max="8965" width="17.28515625" bestFit="1" customWidth="1"/>
    <col min="8966" max="8966" width="26.7109375" bestFit="1" customWidth="1"/>
    <col min="8967" max="8967" width="13.28515625" bestFit="1" customWidth="1"/>
    <col min="9219" max="9219" width="42.28515625" bestFit="1" customWidth="1"/>
    <col min="9221" max="9221" width="17.28515625" bestFit="1" customWidth="1"/>
    <col min="9222" max="9222" width="26.7109375" bestFit="1" customWidth="1"/>
    <col min="9223" max="9223" width="13.28515625" bestFit="1" customWidth="1"/>
    <col min="9475" max="9475" width="42.28515625" bestFit="1" customWidth="1"/>
    <col min="9477" max="9477" width="17.28515625" bestFit="1" customWidth="1"/>
    <col min="9478" max="9478" width="26.7109375" bestFit="1" customWidth="1"/>
    <col min="9479" max="9479" width="13.28515625" bestFit="1" customWidth="1"/>
    <col min="9731" max="9731" width="42.28515625" bestFit="1" customWidth="1"/>
    <col min="9733" max="9733" width="17.28515625" bestFit="1" customWidth="1"/>
    <col min="9734" max="9734" width="26.7109375" bestFit="1" customWidth="1"/>
    <col min="9735" max="9735" width="13.28515625" bestFit="1" customWidth="1"/>
    <col min="9987" max="9987" width="42.28515625" bestFit="1" customWidth="1"/>
    <col min="9989" max="9989" width="17.28515625" bestFit="1" customWidth="1"/>
    <col min="9990" max="9990" width="26.7109375" bestFit="1" customWidth="1"/>
    <col min="9991" max="9991" width="13.28515625" bestFit="1" customWidth="1"/>
    <col min="10243" max="10243" width="42.28515625" bestFit="1" customWidth="1"/>
    <col min="10245" max="10245" width="17.28515625" bestFit="1" customWidth="1"/>
    <col min="10246" max="10246" width="26.7109375" bestFit="1" customWidth="1"/>
    <col min="10247" max="10247" width="13.28515625" bestFit="1" customWidth="1"/>
    <col min="10499" max="10499" width="42.28515625" bestFit="1" customWidth="1"/>
    <col min="10501" max="10501" width="17.28515625" bestFit="1" customWidth="1"/>
    <col min="10502" max="10502" width="26.7109375" bestFit="1" customWidth="1"/>
    <col min="10503" max="10503" width="13.28515625" bestFit="1" customWidth="1"/>
    <col min="10755" max="10755" width="42.28515625" bestFit="1" customWidth="1"/>
    <col min="10757" max="10757" width="17.28515625" bestFit="1" customWidth="1"/>
    <col min="10758" max="10758" width="26.7109375" bestFit="1" customWidth="1"/>
    <col min="10759" max="10759" width="13.28515625" bestFit="1" customWidth="1"/>
    <col min="11011" max="11011" width="42.28515625" bestFit="1" customWidth="1"/>
    <col min="11013" max="11013" width="17.28515625" bestFit="1" customWidth="1"/>
    <col min="11014" max="11014" width="26.7109375" bestFit="1" customWidth="1"/>
    <col min="11015" max="11015" width="13.28515625" bestFit="1" customWidth="1"/>
    <col min="11267" max="11267" width="42.28515625" bestFit="1" customWidth="1"/>
    <col min="11269" max="11269" width="17.28515625" bestFit="1" customWidth="1"/>
    <col min="11270" max="11270" width="26.7109375" bestFit="1" customWidth="1"/>
    <col min="11271" max="11271" width="13.28515625" bestFit="1" customWidth="1"/>
    <col min="11523" max="11523" width="42.28515625" bestFit="1" customWidth="1"/>
    <col min="11525" max="11525" width="17.28515625" bestFit="1" customWidth="1"/>
    <col min="11526" max="11526" width="26.7109375" bestFit="1" customWidth="1"/>
    <col min="11527" max="11527" width="13.28515625" bestFit="1" customWidth="1"/>
    <col min="11779" max="11779" width="42.28515625" bestFit="1" customWidth="1"/>
    <col min="11781" max="11781" width="17.28515625" bestFit="1" customWidth="1"/>
    <col min="11782" max="11782" width="26.7109375" bestFit="1" customWidth="1"/>
    <col min="11783" max="11783" width="13.28515625" bestFit="1" customWidth="1"/>
    <col min="12035" max="12035" width="42.28515625" bestFit="1" customWidth="1"/>
    <col min="12037" max="12037" width="17.28515625" bestFit="1" customWidth="1"/>
    <col min="12038" max="12038" width="26.7109375" bestFit="1" customWidth="1"/>
    <col min="12039" max="12039" width="13.28515625" bestFit="1" customWidth="1"/>
    <col min="12291" max="12291" width="42.28515625" bestFit="1" customWidth="1"/>
    <col min="12293" max="12293" width="17.28515625" bestFit="1" customWidth="1"/>
    <col min="12294" max="12294" width="26.7109375" bestFit="1" customWidth="1"/>
    <col min="12295" max="12295" width="13.28515625" bestFit="1" customWidth="1"/>
    <col min="12547" max="12547" width="42.28515625" bestFit="1" customWidth="1"/>
    <col min="12549" max="12549" width="17.28515625" bestFit="1" customWidth="1"/>
    <col min="12550" max="12550" width="26.7109375" bestFit="1" customWidth="1"/>
    <col min="12551" max="12551" width="13.28515625" bestFit="1" customWidth="1"/>
    <col min="12803" max="12803" width="42.28515625" bestFit="1" customWidth="1"/>
    <col min="12805" max="12805" width="17.28515625" bestFit="1" customWidth="1"/>
    <col min="12806" max="12806" width="26.7109375" bestFit="1" customWidth="1"/>
    <col min="12807" max="12807" width="13.28515625" bestFit="1" customWidth="1"/>
    <col min="13059" max="13059" width="42.28515625" bestFit="1" customWidth="1"/>
    <col min="13061" max="13061" width="17.28515625" bestFit="1" customWidth="1"/>
    <col min="13062" max="13062" width="26.7109375" bestFit="1" customWidth="1"/>
    <col min="13063" max="13063" width="13.28515625" bestFit="1" customWidth="1"/>
    <col min="13315" max="13315" width="42.28515625" bestFit="1" customWidth="1"/>
    <col min="13317" max="13317" width="17.28515625" bestFit="1" customWidth="1"/>
    <col min="13318" max="13318" width="26.7109375" bestFit="1" customWidth="1"/>
    <col min="13319" max="13319" width="13.28515625" bestFit="1" customWidth="1"/>
    <col min="13571" max="13571" width="42.28515625" bestFit="1" customWidth="1"/>
    <col min="13573" max="13573" width="17.28515625" bestFit="1" customWidth="1"/>
    <col min="13574" max="13574" width="26.7109375" bestFit="1" customWidth="1"/>
    <col min="13575" max="13575" width="13.28515625" bestFit="1" customWidth="1"/>
    <col min="13827" max="13827" width="42.28515625" bestFit="1" customWidth="1"/>
    <col min="13829" max="13829" width="17.28515625" bestFit="1" customWidth="1"/>
    <col min="13830" max="13830" width="26.7109375" bestFit="1" customWidth="1"/>
    <col min="13831" max="13831" width="13.28515625" bestFit="1" customWidth="1"/>
    <col min="14083" max="14083" width="42.28515625" bestFit="1" customWidth="1"/>
    <col min="14085" max="14085" width="17.28515625" bestFit="1" customWidth="1"/>
    <col min="14086" max="14086" width="26.7109375" bestFit="1" customWidth="1"/>
    <col min="14087" max="14087" width="13.28515625" bestFit="1" customWidth="1"/>
    <col min="14339" max="14339" width="42.28515625" bestFit="1" customWidth="1"/>
    <col min="14341" max="14341" width="17.28515625" bestFit="1" customWidth="1"/>
    <col min="14342" max="14342" width="26.7109375" bestFit="1" customWidth="1"/>
    <col min="14343" max="14343" width="13.28515625" bestFit="1" customWidth="1"/>
    <col min="14595" max="14595" width="42.28515625" bestFit="1" customWidth="1"/>
    <col min="14597" max="14597" width="17.28515625" bestFit="1" customWidth="1"/>
    <col min="14598" max="14598" width="26.7109375" bestFit="1" customWidth="1"/>
    <col min="14599" max="14599" width="13.28515625" bestFit="1" customWidth="1"/>
    <col min="14851" max="14851" width="42.28515625" bestFit="1" customWidth="1"/>
    <col min="14853" max="14853" width="17.28515625" bestFit="1" customWidth="1"/>
    <col min="14854" max="14854" width="26.7109375" bestFit="1" customWidth="1"/>
    <col min="14855" max="14855" width="13.28515625" bestFit="1" customWidth="1"/>
    <col min="15107" max="15107" width="42.28515625" bestFit="1" customWidth="1"/>
    <col min="15109" max="15109" width="17.28515625" bestFit="1" customWidth="1"/>
    <col min="15110" max="15110" width="26.7109375" bestFit="1" customWidth="1"/>
    <col min="15111" max="15111" width="13.28515625" bestFit="1" customWidth="1"/>
    <col min="15363" max="15363" width="42.28515625" bestFit="1" customWidth="1"/>
    <col min="15365" max="15365" width="17.28515625" bestFit="1" customWidth="1"/>
    <col min="15366" max="15366" width="26.7109375" bestFit="1" customWidth="1"/>
    <col min="15367" max="15367" width="13.28515625" bestFit="1" customWidth="1"/>
    <col min="15619" max="15619" width="42.28515625" bestFit="1" customWidth="1"/>
    <col min="15621" max="15621" width="17.28515625" bestFit="1" customWidth="1"/>
    <col min="15622" max="15622" width="26.7109375" bestFit="1" customWidth="1"/>
    <col min="15623" max="15623" width="13.28515625" bestFit="1" customWidth="1"/>
    <col min="15875" max="15875" width="42.28515625" bestFit="1" customWidth="1"/>
    <col min="15877" max="15877" width="17.28515625" bestFit="1" customWidth="1"/>
    <col min="15878" max="15878" width="26.7109375" bestFit="1" customWidth="1"/>
    <col min="15879" max="15879" width="13.28515625" bestFit="1" customWidth="1"/>
    <col min="16131" max="16131" width="42.28515625" bestFit="1" customWidth="1"/>
    <col min="16133" max="16133" width="17.28515625" bestFit="1" customWidth="1"/>
    <col min="16134" max="16134" width="26.7109375" bestFit="1" customWidth="1"/>
    <col min="16135" max="16135" width="13.28515625" bestFit="1" customWidth="1"/>
  </cols>
  <sheetData>
    <row r="2" spans="3:11" ht="15.75" thickBot="1">
      <c r="C2" s="662" t="s">
        <v>387</v>
      </c>
      <c r="D2" s="662"/>
    </row>
    <row r="3" spans="3:11" ht="16.5" thickTop="1" thickBot="1">
      <c r="C3" s="578" t="s">
        <v>37</v>
      </c>
      <c r="D3" s="238" t="s">
        <v>44</v>
      </c>
      <c r="E3" s="238" t="s">
        <v>388</v>
      </c>
      <c r="F3" s="238" t="s">
        <v>389</v>
      </c>
      <c r="G3" s="238" t="s">
        <v>390</v>
      </c>
    </row>
    <row r="4" spans="3:11" ht="15.75" thickTop="1">
      <c r="C4" s="579" t="s">
        <v>402</v>
      </c>
      <c r="D4" s="46">
        <v>1000</v>
      </c>
      <c r="E4" s="46" t="s">
        <v>414</v>
      </c>
      <c r="F4" s="239">
        <v>2</v>
      </c>
      <c r="G4" s="47">
        <f t="shared" ref="G4:G8" si="0">D4*F4</f>
        <v>2000</v>
      </c>
    </row>
    <row r="5" spans="3:11">
      <c r="C5" s="580" t="s">
        <v>404</v>
      </c>
      <c r="D5" s="46">
        <v>500</v>
      </c>
      <c r="E5" s="46" t="s">
        <v>414</v>
      </c>
      <c r="F5" s="239">
        <v>1.4</v>
      </c>
      <c r="G5" s="47">
        <f t="shared" si="0"/>
        <v>700</v>
      </c>
      <c r="I5" s="1">
        <f>240*4200</f>
        <v>1008000</v>
      </c>
      <c r="J5" s="1">
        <f>I5/1000</f>
        <v>1008</v>
      </c>
    </row>
    <row r="6" spans="3:11">
      <c r="C6" s="580" t="s">
        <v>406</v>
      </c>
      <c r="D6" s="46">
        <v>51</v>
      </c>
      <c r="E6" s="46" t="s">
        <v>414</v>
      </c>
      <c r="F6" s="239">
        <v>4</v>
      </c>
      <c r="G6" s="47">
        <f t="shared" si="0"/>
        <v>204</v>
      </c>
      <c r="I6" s="1">
        <f>12*4200</f>
        <v>50400</v>
      </c>
      <c r="J6" s="1">
        <f>I6/1000</f>
        <v>50.4</v>
      </c>
    </row>
    <row r="7" spans="3:11">
      <c r="C7" s="580" t="s">
        <v>408</v>
      </c>
      <c r="D7" s="46">
        <v>1</v>
      </c>
      <c r="E7" s="46" t="s">
        <v>414</v>
      </c>
      <c r="F7" s="239">
        <v>100</v>
      </c>
      <c r="G7" s="47">
        <f t="shared" si="0"/>
        <v>100</v>
      </c>
      <c r="I7" s="1">
        <f>0.128*4200</f>
        <v>537.6</v>
      </c>
    </row>
    <row r="8" spans="3:11">
      <c r="C8" s="580" t="s">
        <v>410</v>
      </c>
      <c r="D8" s="46">
        <v>1</v>
      </c>
      <c r="E8" s="46" t="s">
        <v>414</v>
      </c>
      <c r="F8" s="239">
        <v>200</v>
      </c>
      <c r="G8" s="47">
        <f t="shared" si="0"/>
        <v>200</v>
      </c>
      <c r="I8" s="1">
        <f>0.02*4200</f>
        <v>84</v>
      </c>
    </row>
    <row r="9" spans="3:11">
      <c r="C9" s="580" t="s">
        <v>432</v>
      </c>
      <c r="D9" s="444">
        <f>Demanda!E11</f>
        <v>4867.7249999999995</v>
      </c>
      <c r="E9" s="46" t="s">
        <v>433</v>
      </c>
      <c r="F9" s="239">
        <v>0.1</v>
      </c>
      <c r="G9" s="47">
        <f>D9*F9</f>
        <v>486.77249999999998</v>
      </c>
    </row>
    <row r="10" spans="3:11">
      <c r="C10" s="80"/>
      <c r="D10" s="46"/>
      <c r="E10" s="46"/>
      <c r="F10" s="239"/>
      <c r="G10" s="47"/>
    </row>
    <row r="11" spans="3:11">
      <c r="C11" s="80"/>
      <c r="D11" s="46"/>
      <c r="E11" s="46"/>
      <c r="F11" s="239"/>
      <c r="G11" s="47"/>
    </row>
    <row r="12" spans="3:11" ht="15.75" thickBot="1">
      <c r="C12" s="80"/>
      <c r="D12" s="46"/>
      <c r="E12" s="46"/>
      <c r="F12" s="239"/>
      <c r="G12" s="47"/>
    </row>
    <row r="13" spans="3:11" ht="16.5" thickTop="1" thickBot="1">
      <c r="C13" s="80"/>
      <c r="D13" s="46"/>
      <c r="E13" s="46"/>
      <c r="F13" s="239"/>
      <c r="G13" s="47"/>
      <c r="J13" s="51" t="s">
        <v>59</v>
      </c>
      <c r="K13" s="240" t="s">
        <v>391</v>
      </c>
    </row>
    <row r="14" spans="3:11" ht="15.75" thickTop="1">
      <c r="C14" s="80"/>
      <c r="D14" s="46"/>
      <c r="E14" s="46"/>
      <c r="F14" s="239"/>
      <c r="G14" s="47"/>
      <c r="J14" s="241" t="s">
        <v>240</v>
      </c>
      <c r="K14" s="242" t="s">
        <v>57</v>
      </c>
    </row>
    <row r="15" spans="3:11">
      <c r="C15" s="80"/>
      <c r="D15" s="46"/>
      <c r="E15" s="46"/>
      <c r="F15" s="239"/>
      <c r="G15" s="47"/>
      <c r="J15" s="241" t="s">
        <v>245</v>
      </c>
      <c r="K15" s="243">
        <f>[1]DEMANDA!G21</f>
        <v>0</v>
      </c>
    </row>
    <row r="16" spans="3:11">
      <c r="C16" s="80"/>
      <c r="D16" s="46"/>
      <c r="E16" s="46"/>
      <c r="F16" s="239"/>
      <c r="G16" s="47"/>
      <c r="J16" s="241" t="s">
        <v>47</v>
      </c>
      <c r="K16" s="243">
        <f>[1]DEMANDA!H21</f>
        <v>0</v>
      </c>
    </row>
    <row r="17" spans="3:17">
      <c r="C17" s="80"/>
      <c r="D17" s="46"/>
      <c r="E17" s="46"/>
      <c r="F17" s="239"/>
      <c r="G17" s="47"/>
      <c r="J17" s="241" t="s">
        <v>48</v>
      </c>
      <c r="K17" s="243">
        <f>[1]DEMANDA!I21</f>
        <v>0</v>
      </c>
    </row>
    <row r="18" spans="3:17">
      <c r="C18" s="80"/>
      <c r="D18" s="46"/>
      <c r="E18" s="46"/>
      <c r="F18" s="239"/>
      <c r="G18" s="47"/>
      <c r="J18" s="241" t="s">
        <v>49</v>
      </c>
      <c r="K18" s="243">
        <f>[1]DEMANDA!J21</f>
        <v>0</v>
      </c>
    </row>
    <row r="19" spans="3:17">
      <c r="C19" s="80"/>
      <c r="D19" s="46"/>
      <c r="E19" s="46"/>
      <c r="F19" s="239"/>
      <c r="G19" s="47"/>
      <c r="J19" s="241" t="s">
        <v>50</v>
      </c>
      <c r="K19" s="243">
        <f>[1]DEMANDA!K21</f>
        <v>0</v>
      </c>
    </row>
    <row r="20" spans="3:17">
      <c r="C20" s="80"/>
      <c r="D20" s="46"/>
      <c r="E20" s="46"/>
      <c r="F20" s="239"/>
      <c r="G20" s="47"/>
      <c r="J20" s="241" t="s">
        <v>51</v>
      </c>
      <c r="K20" s="243">
        <f>[1]DEMANDA!L21</f>
        <v>0</v>
      </c>
    </row>
    <row r="21" spans="3:17">
      <c r="C21" s="80"/>
      <c r="D21" s="46"/>
      <c r="E21" s="46"/>
      <c r="F21" s="239"/>
      <c r="G21" s="47"/>
      <c r="J21" s="241" t="s">
        <v>52</v>
      </c>
      <c r="K21" s="243">
        <f>[1]DEMANDA!M21</f>
        <v>0</v>
      </c>
    </row>
    <row r="22" spans="3:17">
      <c r="C22" s="80"/>
      <c r="D22" s="46"/>
      <c r="E22" s="46"/>
      <c r="F22" s="239"/>
      <c r="G22" s="47"/>
      <c r="J22" s="241" t="s">
        <v>53</v>
      </c>
      <c r="K22" s="243">
        <f>[1]DEMANDA!N21</f>
        <v>0</v>
      </c>
    </row>
    <row r="23" spans="3:17">
      <c r="C23" s="80"/>
      <c r="D23" s="46"/>
      <c r="E23" s="46"/>
      <c r="F23" s="239"/>
      <c r="G23" s="47"/>
      <c r="J23" s="241" t="s">
        <v>54</v>
      </c>
      <c r="K23" s="243">
        <f>[1]DEMANDA!O21</f>
        <v>0</v>
      </c>
    </row>
    <row r="24" spans="3:17" ht="15.75" thickBot="1">
      <c r="C24" s="55" t="s">
        <v>392</v>
      </c>
      <c r="D24" s="48"/>
      <c r="E24" s="48"/>
      <c r="F24" s="52"/>
      <c r="G24" s="49"/>
      <c r="J24" s="241" t="s">
        <v>55</v>
      </c>
      <c r="K24" s="243">
        <f>[1]DEMANDA!P21</f>
        <v>0</v>
      </c>
    </row>
    <row r="25" spans="3:17" ht="17.25" thickTop="1" thickBot="1">
      <c r="C25" s="244" t="s">
        <v>393</v>
      </c>
      <c r="D25" s="36"/>
      <c r="E25" s="36"/>
      <c r="F25" s="36"/>
      <c r="G25" s="245">
        <f>SUM(G4:G8)</f>
        <v>3204</v>
      </c>
      <c r="H25" s="44"/>
      <c r="J25" s="246" t="s">
        <v>56</v>
      </c>
      <c r="K25" s="247">
        <f>[1]DEMANDA!Q21</f>
        <v>0</v>
      </c>
    </row>
    <row r="26" spans="3:17" ht="15.75" thickTop="1">
      <c r="G26" s="585">
        <f>G25*12</f>
        <v>38448</v>
      </c>
      <c r="K26" s="248">
        <f>SUM(K14:K25)</f>
        <v>0</v>
      </c>
    </row>
    <row r="28" spans="3:17">
      <c r="C28" s="471" t="s">
        <v>488</v>
      </c>
      <c r="D28" s="479">
        <v>1</v>
      </c>
      <c r="E28" s="479">
        <v>2</v>
      </c>
      <c r="F28" s="479">
        <v>3</v>
      </c>
      <c r="G28" s="479">
        <v>4</v>
      </c>
      <c r="H28" s="479">
        <v>5</v>
      </c>
      <c r="I28" s="479">
        <v>6</v>
      </c>
      <c r="J28" s="479">
        <v>7</v>
      </c>
      <c r="K28" s="582">
        <v>8</v>
      </c>
      <c r="L28" s="479">
        <v>9</v>
      </c>
      <c r="M28" s="479">
        <v>10</v>
      </c>
      <c r="N28" s="479">
        <v>11</v>
      </c>
      <c r="O28" s="479">
        <v>12</v>
      </c>
      <c r="P28" s="479"/>
      <c r="Q28" s="663" t="s">
        <v>394</v>
      </c>
    </row>
    <row r="29" spans="3:17">
      <c r="C29" s="471" t="s">
        <v>395</v>
      </c>
      <c r="D29" s="273">
        <f>G25</f>
        <v>3204</v>
      </c>
      <c r="E29" s="581">
        <f>D29*(1+K15)</f>
        <v>3204</v>
      </c>
      <c r="F29" s="581">
        <f>$D$29*(1+K16)</f>
        <v>3204</v>
      </c>
      <c r="G29" s="581">
        <f>$D$29*(1+K17)</f>
        <v>3204</v>
      </c>
      <c r="H29" s="581">
        <f>$D$29*(1+K18)</f>
        <v>3204</v>
      </c>
      <c r="I29" s="581">
        <f>$D$29*(1+K19)</f>
        <v>3204</v>
      </c>
      <c r="J29" s="581">
        <f>$D$29*(1+K20)</f>
        <v>3204</v>
      </c>
      <c r="K29" s="581">
        <f>$D$29*(1+K21)</f>
        <v>3204</v>
      </c>
      <c r="L29" s="581">
        <f>$D$29*(1+K22)</f>
        <v>3204</v>
      </c>
      <c r="M29" s="581">
        <f>$D$29*(1+K23)</f>
        <v>3204</v>
      </c>
      <c r="N29" s="581">
        <f>$D$29*(1+K24)</f>
        <v>3204</v>
      </c>
      <c r="O29" s="581">
        <f>$D$29*(1+K25)</f>
        <v>3204</v>
      </c>
      <c r="P29" s="270">
        <f>SUM(D29:O29)</f>
        <v>38448</v>
      </c>
      <c r="Q29" s="663"/>
    </row>
    <row r="30" spans="3:17">
      <c r="C30" s="471" t="s">
        <v>396</v>
      </c>
      <c r="D30" s="269"/>
      <c r="E30" s="269"/>
      <c r="F30" s="269"/>
      <c r="G30" s="269"/>
      <c r="H30" s="269"/>
      <c r="I30" s="269"/>
      <c r="J30" s="269"/>
      <c r="K30" s="269"/>
      <c r="L30" s="269"/>
      <c r="M30" s="269"/>
      <c r="N30" s="269"/>
      <c r="O30" s="269"/>
      <c r="P30" s="273"/>
      <c r="Q30" s="663"/>
    </row>
    <row r="31" spans="3:17">
      <c r="C31" s="471" t="s">
        <v>412</v>
      </c>
      <c r="D31" s="581">
        <f>D29</f>
        <v>3204</v>
      </c>
      <c r="E31" s="581">
        <f t="shared" ref="E31:O31" si="1">E29*0.4</f>
        <v>1281.6000000000001</v>
      </c>
      <c r="F31" s="581">
        <f t="shared" si="1"/>
        <v>1281.6000000000001</v>
      </c>
      <c r="G31" s="581">
        <f t="shared" si="1"/>
        <v>1281.6000000000001</v>
      </c>
      <c r="H31" s="581">
        <f t="shared" si="1"/>
        <v>1281.6000000000001</v>
      </c>
      <c r="I31" s="581">
        <f t="shared" si="1"/>
        <v>1281.6000000000001</v>
      </c>
      <c r="J31" s="581">
        <f t="shared" si="1"/>
        <v>1281.6000000000001</v>
      </c>
      <c r="K31" s="581">
        <f t="shared" si="1"/>
        <v>1281.6000000000001</v>
      </c>
      <c r="L31" s="581">
        <f t="shared" si="1"/>
        <v>1281.6000000000001</v>
      </c>
      <c r="M31" s="581">
        <f t="shared" si="1"/>
        <v>1281.6000000000001</v>
      </c>
      <c r="N31" s="581">
        <f t="shared" si="1"/>
        <v>1281.6000000000001</v>
      </c>
      <c r="O31" s="581">
        <f t="shared" si="1"/>
        <v>1281.6000000000001</v>
      </c>
      <c r="P31" s="273">
        <f t="shared" ref="P31:P34" si="2">SUM(D31:O31)</f>
        <v>17301.600000000002</v>
      </c>
      <c r="Q31" s="663"/>
    </row>
    <row r="32" spans="3:17">
      <c r="C32" s="471" t="s">
        <v>413</v>
      </c>
      <c r="D32" s="276">
        <f>D29*0</f>
        <v>0</v>
      </c>
      <c r="E32" s="276">
        <f t="shared" ref="E32:O32" si="3">E29*0</f>
        <v>0</v>
      </c>
      <c r="F32" s="276">
        <f t="shared" si="3"/>
        <v>0</v>
      </c>
      <c r="G32" s="276">
        <f t="shared" si="3"/>
        <v>0</v>
      </c>
      <c r="H32" s="276">
        <f t="shared" si="3"/>
        <v>0</v>
      </c>
      <c r="I32" s="276">
        <f t="shared" si="3"/>
        <v>0</v>
      </c>
      <c r="J32" s="276">
        <f t="shared" si="3"/>
        <v>0</v>
      </c>
      <c r="K32" s="276">
        <f t="shared" si="3"/>
        <v>0</v>
      </c>
      <c r="L32" s="276">
        <f t="shared" si="3"/>
        <v>0</v>
      </c>
      <c r="M32" s="276">
        <f t="shared" si="3"/>
        <v>0</v>
      </c>
      <c r="N32" s="276">
        <f t="shared" si="3"/>
        <v>0</v>
      </c>
      <c r="O32" s="276">
        <f t="shared" si="3"/>
        <v>0</v>
      </c>
      <c r="P32" s="270">
        <f t="shared" si="2"/>
        <v>0</v>
      </c>
      <c r="Q32" s="663"/>
    </row>
    <row r="33" spans="3:17">
      <c r="C33" s="471" t="s">
        <v>397</v>
      </c>
      <c r="D33" s="581">
        <f>D29*0.35</f>
        <v>1121.3999999999999</v>
      </c>
      <c r="E33" s="581">
        <f t="shared" ref="E33:O33" si="4">E29*0.35</f>
        <v>1121.3999999999999</v>
      </c>
      <c r="F33" s="581">
        <f t="shared" si="4"/>
        <v>1121.3999999999999</v>
      </c>
      <c r="G33" s="581">
        <f t="shared" si="4"/>
        <v>1121.3999999999999</v>
      </c>
      <c r="H33" s="581">
        <f t="shared" si="4"/>
        <v>1121.3999999999999</v>
      </c>
      <c r="I33" s="581">
        <f t="shared" si="4"/>
        <v>1121.3999999999999</v>
      </c>
      <c r="J33" s="581">
        <f t="shared" si="4"/>
        <v>1121.3999999999999</v>
      </c>
      <c r="K33" s="581">
        <f t="shared" si="4"/>
        <v>1121.3999999999999</v>
      </c>
      <c r="L33" s="581">
        <f t="shared" si="4"/>
        <v>1121.3999999999999</v>
      </c>
      <c r="M33" s="581">
        <f t="shared" si="4"/>
        <v>1121.3999999999999</v>
      </c>
      <c r="N33" s="581">
        <f t="shared" si="4"/>
        <v>1121.3999999999999</v>
      </c>
      <c r="O33" s="581">
        <f t="shared" si="4"/>
        <v>1121.3999999999999</v>
      </c>
      <c r="P33" s="273">
        <f t="shared" si="2"/>
        <v>13456.799999999997</v>
      </c>
      <c r="Q33" s="663"/>
    </row>
    <row r="34" spans="3:17">
      <c r="C34" s="471" t="s">
        <v>398</v>
      </c>
      <c r="D34" s="274">
        <f>D29*0.25</f>
        <v>801</v>
      </c>
      <c r="E34" s="274">
        <f t="shared" ref="E34:O34" si="5">E29*0.25</f>
        <v>801</v>
      </c>
      <c r="F34" s="274">
        <f t="shared" si="5"/>
        <v>801</v>
      </c>
      <c r="G34" s="274">
        <f t="shared" si="5"/>
        <v>801</v>
      </c>
      <c r="H34" s="274">
        <f t="shared" si="5"/>
        <v>801</v>
      </c>
      <c r="I34" s="274">
        <f t="shared" si="5"/>
        <v>801</v>
      </c>
      <c r="J34" s="274">
        <f t="shared" si="5"/>
        <v>801</v>
      </c>
      <c r="K34" s="274">
        <f t="shared" si="5"/>
        <v>801</v>
      </c>
      <c r="L34" s="274">
        <f t="shared" si="5"/>
        <v>801</v>
      </c>
      <c r="M34" s="274">
        <f t="shared" si="5"/>
        <v>801</v>
      </c>
      <c r="N34" s="274">
        <f t="shared" si="5"/>
        <v>801</v>
      </c>
      <c r="O34" s="274">
        <f t="shared" si="5"/>
        <v>801</v>
      </c>
      <c r="P34" s="273">
        <f t="shared" si="2"/>
        <v>9612</v>
      </c>
      <c r="Q34" s="663"/>
    </row>
    <row r="35" spans="3:17">
      <c r="C35" s="269"/>
      <c r="D35" s="583">
        <f>SUM(D33+D34)</f>
        <v>1922.3999999999999</v>
      </c>
      <c r="E35" s="583">
        <f t="shared" ref="E35:O35" si="6">SUM(E33+E34)</f>
        <v>1922.3999999999999</v>
      </c>
      <c r="F35" s="583">
        <f t="shared" si="6"/>
        <v>1922.3999999999999</v>
      </c>
      <c r="G35" s="583">
        <f t="shared" si="6"/>
        <v>1922.3999999999999</v>
      </c>
      <c r="H35" s="583">
        <f t="shared" si="6"/>
        <v>1922.3999999999999</v>
      </c>
      <c r="I35" s="583">
        <f t="shared" si="6"/>
        <v>1922.3999999999999</v>
      </c>
      <c r="J35" s="583">
        <f t="shared" si="6"/>
        <v>1922.3999999999999</v>
      </c>
      <c r="K35" s="583">
        <f t="shared" si="6"/>
        <v>1922.3999999999999</v>
      </c>
      <c r="L35" s="583">
        <f t="shared" si="6"/>
        <v>1922.3999999999999</v>
      </c>
      <c r="M35" s="583">
        <f t="shared" si="6"/>
        <v>1922.3999999999999</v>
      </c>
      <c r="N35" s="583">
        <f t="shared" si="6"/>
        <v>1922.3999999999999</v>
      </c>
      <c r="O35" s="583">
        <f t="shared" si="6"/>
        <v>1922.3999999999999</v>
      </c>
      <c r="P35" s="584">
        <f>SUM(D35:O35)</f>
        <v>23068.800000000003</v>
      </c>
      <c r="Q35" s="663"/>
    </row>
    <row r="36" spans="3:17">
      <c r="C36" s="36"/>
      <c r="D36" s="57"/>
    </row>
    <row r="37" spans="3:17">
      <c r="C37" s="36"/>
      <c r="D37" s="57"/>
    </row>
    <row r="38" spans="3:17">
      <c r="C38" s="36"/>
      <c r="D38" s="57" t="s">
        <v>399</v>
      </c>
    </row>
    <row r="39" spans="3:17">
      <c r="C39" s="36"/>
      <c r="D39" s="57" t="s">
        <v>400</v>
      </c>
      <c r="E39" s="1" t="s">
        <v>401</v>
      </c>
      <c r="F39" s="1" t="s">
        <v>44</v>
      </c>
      <c r="I39" s="249"/>
    </row>
    <row r="40" spans="3:17">
      <c r="C40" s="32"/>
      <c r="E40" s="1">
        <v>1</v>
      </c>
      <c r="F40" s="1" t="s">
        <v>403</v>
      </c>
    </row>
    <row r="41" spans="3:17">
      <c r="E41" s="1">
        <v>0.15</v>
      </c>
      <c r="F41" s="1" t="s">
        <v>405</v>
      </c>
      <c r="G41" s="1">
        <f>E41*4</f>
        <v>0.6</v>
      </c>
    </row>
    <row r="43" spans="3:17">
      <c r="E43" s="1">
        <v>0.05</v>
      </c>
      <c r="F43" s="1" t="s">
        <v>407</v>
      </c>
      <c r="G43" s="1">
        <f>1000/12</f>
        <v>83.333333333333329</v>
      </c>
    </row>
    <row r="44" spans="3:17">
      <c r="E44" s="1">
        <v>0.03</v>
      </c>
      <c r="F44" s="1" t="s">
        <v>409</v>
      </c>
      <c r="G44" s="1">
        <f>1000/0.128</f>
        <v>7812.5</v>
      </c>
      <c r="H44" s="1">
        <f>G44*0.03</f>
        <v>234.375</v>
      </c>
    </row>
    <row r="45" spans="3:17">
      <c r="E45" s="1">
        <v>0.01</v>
      </c>
      <c r="F45" s="1" t="s">
        <v>411</v>
      </c>
      <c r="G45" s="1">
        <f>1000/0.02</f>
        <v>50000</v>
      </c>
      <c r="H45" s="1">
        <f>0.01*G45</f>
        <v>500</v>
      </c>
    </row>
    <row r="46" spans="3:17">
      <c r="D46" s="1" t="s">
        <v>58</v>
      </c>
      <c r="E46" s="1">
        <v>1.24</v>
      </c>
    </row>
  </sheetData>
  <mergeCells count="2">
    <mergeCell ref="C2:D2"/>
    <mergeCell ref="Q28:Q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Inversion Inicial</vt:lpstr>
      <vt:lpstr>Demanda</vt:lpstr>
      <vt:lpstr>proyeccion de ingresos</vt:lpstr>
      <vt:lpstr>proyeccion de egresos</vt:lpstr>
      <vt:lpstr>capital de trabajo</vt:lpstr>
      <vt:lpstr>gastos administrativos</vt:lpstr>
      <vt:lpstr>sueldos y salario</vt:lpstr>
      <vt:lpstr>depreciacion</vt:lpstr>
      <vt:lpstr>publicidad</vt:lpstr>
      <vt:lpstr>suminsitros</vt:lpstr>
      <vt:lpstr>amortizacion</vt:lpstr>
      <vt:lpstr>P&amp;G</vt:lpstr>
      <vt:lpstr>flujo de caja</vt:lpstr>
      <vt:lpstr>analisis escenarios</vt:lpstr>
      <vt:lpstr>graficos</vt:lpstr>
      <vt:lpstr>payback</vt:lpstr>
      <vt:lpstr>TMAR</vt:lpstr>
      <vt:lpstr>punto de equilibrio</vt:lpstr>
      <vt:lpstr>Materia Prima</vt:lpstr>
    </vt:vector>
  </TitlesOfParts>
  <Company>Fmlia Mendoza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Otros</dc:creator>
  <cp:lastModifiedBy>Otros</cp:lastModifiedBy>
  <dcterms:created xsi:type="dcterms:W3CDTF">2012-02-05T19:14:07Z</dcterms:created>
  <dcterms:modified xsi:type="dcterms:W3CDTF">2012-02-24T01:09:38Z</dcterms:modified>
</cp:coreProperties>
</file>