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85" windowWidth="15600" windowHeight="7350" tabRatio="936" firstSheet="14" activeTab="20"/>
  </bookViews>
  <sheets>
    <sheet name="CAPACIDAD PROD" sheetId="44" r:id="rId1"/>
    <sheet name="DEMANDA" sheetId="22" r:id="rId2"/>
    <sheet name="LOCALIZACIÓN" sheetId="1" r:id="rId3"/>
    <sheet name="SUELDO" sheetId="3" r:id="rId4"/>
    <sheet name="GASTOS" sheetId="4" r:id="rId5"/>
    <sheet name="COSTOS VARIABLES" sheetId="5" r:id="rId6"/>
    <sheet name="COSTOS FIJOS" sheetId="6" r:id="rId7"/>
    <sheet name="DEPRECIACIÓN" sheetId="7" r:id="rId8"/>
    <sheet name="INGRESOS" sheetId="12" r:id="rId9"/>
    <sheet name="CAPITAL DE TRABAJO" sheetId="11" r:id="rId10"/>
    <sheet name="INVERSIONES" sheetId="10" r:id="rId11"/>
    <sheet name="BALANCE" sheetId="13" r:id="rId12"/>
    <sheet name="VALOR DE DESECHO" sheetId="14" r:id="rId13"/>
    <sheet name="AMORTIZACIÓN" sheetId="19" r:id="rId14"/>
    <sheet name="TASA DE DESCUENTO" sheetId="15" r:id="rId15"/>
    <sheet name="FLUJO DE CAJA" sheetId="17" r:id="rId16"/>
    <sheet name="PUNTO DE EQUILIBRIO" sheetId="18" r:id="rId17"/>
    <sheet name="CAPACIDAD DE PROD" sheetId="23" state="hidden" r:id="rId18"/>
    <sheet name="Depreciacion cap3" sheetId="24" state="hidden" r:id="rId19"/>
    <sheet name="CB_DATA_" sheetId="34" state="veryHidden" r:id="rId20"/>
    <sheet name="ANALISIS DE SENSIBILIDAD&amp;SOLVER" sheetId="31" r:id="rId21"/>
    <sheet name="PRECIO VS VAN" sheetId="42" r:id="rId22"/>
    <sheet name="%CV VS VAN" sheetId="43" r:id="rId23"/>
    <sheet name="RESULTADOS CRYSTAL BALL" sheetId="39" r:id="rId24"/>
  </sheets>
  <externalReferences>
    <externalReference r:id="rId25"/>
  </externalReferences>
  <definedNames>
    <definedName name="CB_403afe79936640fd8d3c78ca48a6a63b" localSheetId="20" hidden="1">'ANALISIS DE SENSIBILIDAD&amp;SOLVER'!$E$74</definedName>
    <definedName name="CB_a6f39cdc39ed4a78a4f1005fa2c30e57" localSheetId="20" hidden="1">'ANALISIS DE SENSIBILIDAD&amp;SOLVER'!$D$39</definedName>
    <definedName name="CB_ba608ecbec6e40cb863948a069faf19d" localSheetId="20" hidden="1">'ANALISIS DE SENSIBILIDAD&amp;SOLVER'!$E$39</definedName>
    <definedName name="CB_Block_00000000000000000000000000000000" localSheetId="20" hidden="1">"'7.0.0.0"</definedName>
    <definedName name="CB_Block_00000000000000000000000000000001" localSheetId="20" hidden="1">"'634648225151035499"</definedName>
    <definedName name="CB_Block_00000000000000000000000000000001" localSheetId="19" hidden="1">"'634648225151075501"</definedName>
    <definedName name="CB_Block_00000000000000000000000000000003" localSheetId="20" hidden="1">"'11.1.275.0"</definedName>
    <definedName name="CB_BlockExt_00000000000000000000000000000003" localSheetId="20" hidden="1">"'11.1.1.1.00"</definedName>
    <definedName name="CB_c8a88491b48846f1b7ec979fe7ac91b3" localSheetId="20" hidden="1">'ANALISIS DE SENSIBILIDAD&amp;SOLVER'!$F$39</definedName>
    <definedName name="CB_dd0f24e788aa4e78a541e7203ae21496" localSheetId="20" hidden="1">'ANALISIS DE SENSIBILIDAD&amp;SOLVER'!$G$39</definedName>
    <definedName name="CBCR_c647f012764e4dd78e0b6e03ffedf140" localSheetId="20" hidden="1">'ANALISIS DE SENSIBILIDAD&amp;SOLVER'!$E$74</definedName>
    <definedName name="CBWorkbookPriority" localSheetId="19" hidden="1">-1348488149</definedName>
    <definedName name="CBx_3afef2ef40154888809fed7a807941a3" localSheetId="19" hidden="1">"'CB_DATA_'!$A$1"</definedName>
    <definedName name="CBx_b762416119224c109272d77d0799c8f2" localSheetId="19" hidden="1">"'ANALISIS DE SENSIBILIDAD&amp;SOLVER'!$A$1"</definedName>
    <definedName name="CBx_Sheet_Guid" localSheetId="20" hidden="1">"'b7624161-1922-4c10-9272-d77d0799c8f2"</definedName>
    <definedName name="CBx_Sheet_Guid" localSheetId="19" hidden="1">"'3afef2ef-4015-4888-809f-ed7a807941a3"</definedName>
    <definedName name="CBx_SheetRef" localSheetId="20" hidden="1">CB_DATA_!$B$14</definedName>
    <definedName name="CBx_SheetRef" localSheetId="19" hidden="1">CB_DATA_!$A$14</definedName>
    <definedName name="CBx_StorageType" localSheetId="20" hidden="1">2</definedName>
    <definedName name="CBx_StorageType" localSheetId="19" hidden="1">2</definedName>
    <definedName name="cm">[1]CB!$B$9</definedName>
    <definedName name="np">[1]CB!$B$6</definedName>
    <definedName name="p">[1]CB!$B$7</definedName>
    <definedName name="pa">[1]CB!$B$8</definedName>
    <definedName name="solver_adj" localSheetId="20" hidden="1">'ANALISIS DE SENSIBILIDAD&amp;SOLVER'!$E$39</definedName>
    <definedName name="solver_adj" localSheetId="5" hidden="1">'COSTOS VARIABLES'!$D$19</definedName>
    <definedName name="solver_adj" localSheetId="8" hidden="1">INGRESOS!$A$4</definedName>
    <definedName name="solver_cvg" localSheetId="20" hidden="1">0.0001</definedName>
    <definedName name="solver_cvg" localSheetId="5" hidden="1">0.0001</definedName>
    <definedName name="solver_cvg" localSheetId="8" hidden="1">0.0001</definedName>
    <definedName name="solver_drv" localSheetId="20" hidden="1">1</definedName>
    <definedName name="solver_drv" localSheetId="5" hidden="1">1</definedName>
    <definedName name="solver_drv" localSheetId="8" hidden="1">2</definedName>
    <definedName name="solver_eng" localSheetId="5" hidden="1">1</definedName>
    <definedName name="solver_eng" localSheetId="8" hidden="1">1</definedName>
    <definedName name="solver_est" localSheetId="20" hidden="1">1</definedName>
    <definedName name="solver_est" localSheetId="5" hidden="1">1</definedName>
    <definedName name="solver_est" localSheetId="8" hidden="1">1</definedName>
    <definedName name="solver_itr" localSheetId="20" hidden="1">100</definedName>
    <definedName name="solver_itr" localSheetId="5" hidden="1">2147483647</definedName>
    <definedName name="solver_itr" localSheetId="8" hidden="1">2147483647</definedName>
    <definedName name="solver_lhs1" localSheetId="20" hidden="1">'ANALISIS DE SENSIBILIDAD&amp;SOLVER'!$E$39</definedName>
    <definedName name="solver_lin" localSheetId="20" hidden="1">2</definedName>
    <definedName name="solver_mip" localSheetId="5" hidden="1">2147483647</definedName>
    <definedName name="solver_mip" localSheetId="8" hidden="1">2147483647</definedName>
    <definedName name="solver_mni" localSheetId="5" hidden="1">30</definedName>
    <definedName name="solver_mni" localSheetId="8" hidden="1">30</definedName>
    <definedName name="solver_mrt" localSheetId="5" hidden="1">0.075</definedName>
    <definedName name="solver_mrt" localSheetId="8" hidden="1">0.075</definedName>
    <definedName name="solver_msl" localSheetId="5" hidden="1">2</definedName>
    <definedName name="solver_msl" localSheetId="8" hidden="1">2</definedName>
    <definedName name="solver_neg" localSheetId="20" hidden="1">2</definedName>
    <definedName name="solver_neg" localSheetId="5" hidden="1">1</definedName>
    <definedName name="solver_neg" localSheetId="8" hidden="1">1</definedName>
    <definedName name="solver_nod" localSheetId="5" hidden="1">2147483647</definedName>
    <definedName name="solver_nod" localSheetId="8" hidden="1">2147483647</definedName>
    <definedName name="solver_num" localSheetId="20" hidden="1">1</definedName>
    <definedName name="solver_num" localSheetId="5" hidden="1">0</definedName>
    <definedName name="solver_num" localSheetId="8" hidden="1">0</definedName>
    <definedName name="solver_nwt" localSheetId="20" hidden="1">1</definedName>
    <definedName name="solver_nwt" localSheetId="5" hidden="1">1</definedName>
    <definedName name="solver_nwt" localSheetId="8" hidden="1">1</definedName>
    <definedName name="solver_opt" localSheetId="20" hidden="1">'ANALISIS DE SENSIBILIDAD&amp;SOLVER'!$E$74</definedName>
    <definedName name="solver_opt" localSheetId="5" hidden="1">'COSTOS VARIABLES'!$D$31</definedName>
    <definedName name="solver_opt" localSheetId="8" hidden="1">INGRESOS!$J$13</definedName>
    <definedName name="solver_pre" localSheetId="20" hidden="1">0.000001</definedName>
    <definedName name="solver_pre" localSheetId="5" hidden="1">0.000001</definedName>
    <definedName name="solver_pre" localSheetId="8" hidden="1">0.000001</definedName>
    <definedName name="solver_rbv" localSheetId="5" hidden="1">1</definedName>
    <definedName name="solver_rbv" localSheetId="8" hidden="1">2</definedName>
    <definedName name="solver_rel1" localSheetId="20" hidden="1">3</definedName>
    <definedName name="solver_rhs1" localSheetId="20" hidden="1">0</definedName>
    <definedName name="solver_rlx" localSheetId="5" hidden="1">2</definedName>
    <definedName name="solver_rlx" localSheetId="8" hidden="1">2</definedName>
    <definedName name="solver_rsd" localSheetId="5" hidden="1">0</definedName>
    <definedName name="solver_rsd" localSheetId="8" hidden="1">0</definedName>
    <definedName name="solver_scl" localSheetId="20" hidden="1">2</definedName>
    <definedName name="solver_scl" localSheetId="5" hidden="1">1</definedName>
    <definedName name="solver_scl" localSheetId="8" hidden="1">2</definedName>
    <definedName name="solver_sho" localSheetId="20" hidden="1">2</definedName>
    <definedName name="solver_sho" localSheetId="5" hidden="1">2</definedName>
    <definedName name="solver_sho" localSheetId="8" hidden="1">2</definedName>
    <definedName name="solver_ssz" localSheetId="5" hidden="1">100</definedName>
    <definedName name="solver_ssz" localSheetId="8" hidden="1">100</definedName>
    <definedName name="solver_tim" localSheetId="20" hidden="1">100</definedName>
    <definedName name="solver_tim" localSheetId="5" hidden="1">2147483647</definedName>
    <definedName name="solver_tim" localSheetId="8" hidden="1">2147483647</definedName>
    <definedName name="solver_tol" localSheetId="20" hidden="1">0.05</definedName>
    <definedName name="solver_tol" localSheetId="5" hidden="1">0.01</definedName>
    <definedName name="solver_tol" localSheetId="8" hidden="1">0.01</definedName>
    <definedName name="solver_typ" localSheetId="20" hidden="1">3</definedName>
    <definedName name="solver_typ" localSheetId="5" hidden="1">3</definedName>
    <definedName name="solver_typ" localSheetId="8" hidden="1">3</definedName>
    <definedName name="solver_val" localSheetId="20" hidden="1">0</definedName>
    <definedName name="solver_val" localSheetId="5" hidden="1">30000</definedName>
    <definedName name="solver_val" localSheetId="8" hidden="1">115584</definedName>
    <definedName name="solver_ver" localSheetId="5" hidden="1">3</definedName>
    <definedName name="solver_ver" localSheetId="8" hidden="1">3</definedName>
    <definedName name="tn">[1]CB!$B$5</definedName>
  </definedNames>
  <calcPr calcId="145621"/>
</workbook>
</file>

<file path=xl/calcChain.xml><?xml version="1.0" encoding="utf-8"?>
<calcChain xmlns="http://schemas.openxmlformats.org/spreadsheetml/2006/main">
  <c r="E20" i="13" l="1"/>
  <c r="P2" i="34"/>
  <c r="D61" i="10" l="1"/>
  <c r="E13" i="19"/>
  <c r="G50" i="10"/>
  <c r="G53" i="10" s="1"/>
  <c r="D69" i="10" s="1"/>
  <c r="G51" i="10"/>
  <c r="D4" i="15" l="1"/>
  <c r="I20" i="15" l="1"/>
  <c r="L48" i="15"/>
  <c r="L47" i="15"/>
  <c r="B41" i="23"/>
  <c r="I17"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B11" i="34"/>
  <c r="A11" i="34"/>
  <c r="D37" i="24"/>
  <c r="D36" i="24"/>
  <c r="D35" i="24"/>
  <c r="D34" i="24"/>
  <c r="D33" i="24"/>
  <c r="D32" i="24"/>
  <c r="D31" i="24"/>
  <c r="D30" i="24"/>
  <c r="D11" i="24"/>
  <c r="D10" i="24"/>
  <c r="F10" i="24" s="1"/>
  <c r="D9" i="24"/>
  <c r="F9" i="24" s="1"/>
  <c r="G9" i="24" s="1"/>
  <c r="D8" i="24"/>
  <c r="D7" i="24"/>
  <c r="F7" i="24" s="1"/>
  <c r="D6" i="24"/>
  <c r="F6" i="24" s="1"/>
  <c r="G6" i="24" s="1"/>
  <c r="D5" i="24"/>
  <c r="F5" i="24" s="1"/>
  <c r="G5" i="24" s="1"/>
  <c r="D4" i="24"/>
  <c r="F4" i="24" s="1"/>
  <c r="F8" i="24"/>
  <c r="G8" i="24" s="1"/>
  <c r="I27" i="15" l="1"/>
  <c r="I28" i="15" s="1"/>
  <c r="I29" i="15" s="1"/>
  <c r="F43" i="31"/>
  <c r="G12" i="24"/>
  <c r="D12" i="24"/>
  <c r="B78" i="23" l="1"/>
  <c r="B77" i="23"/>
  <c r="B113" i="23" l="1"/>
  <c r="F44" i="31" l="1"/>
  <c r="E21" i="31"/>
  <c r="E20" i="31"/>
  <c r="E19" i="31"/>
  <c r="E18" i="31"/>
  <c r="E17" i="31"/>
  <c r="E13" i="31"/>
  <c r="E11" i="31"/>
  <c r="E10" i="31"/>
  <c r="E22" i="31" l="1"/>
  <c r="F45" i="31"/>
  <c r="G43" i="31"/>
  <c r="E12" i="3"/>
  <c r="N12" i="3"/>
  <c r="D72" i="4"/>
  <c r="E78" i="4"/>
  <c r="F78" i="4" s="1"/>
  <c r="E79" i="4"/>
  <c r="F79" i="4" s="1"/>
  <c r="E80" i="4"/>
  <c r="F80" i="4" s="1"/>
  <c r="E81" i="4"/>
  <c r="F81" i="4" s="1"/>
  <c r="E77" i="4"/>
  <c r="F77" i="4" s="1"/>
  <c r="F71" i="4"/>
  <c r="F70" i="4"/>
  <c r="F67" i="4"/>
  <c r="F65" i="4"/>
  <c r="F63" i="4"/>
  <c r="F61" i="4"/>
  <c r="G44" i="31" l="1"/>
  <c r="G45" i="31" s="1"/>
  <c r="H43" i="31"/>
  <c r="E6" i="12"/>
  <c r="E9" i="12" s="1"/>
  <c r="E4" i="11" s="1"/>
  <c r="E5" i="11" s="1"/>
  <c r="F36" i="24"/>
  <c r="F35" i="24"/>
  <c r="F34" i="24"/>
  <c r="G34" i="24" s="1"/>
  <c r="F33" i="24"/>
  <c r="F32" i="24"/>
  <c r="F31" i="24"/>
  <c r="D24" i="24"/>
  <c r="D23" i="24"/>
  <c r="F23" i="24" s="1"/>
  <c r="D22" i="24"/>
  <c r="F22" i="24" s="1"/>
  <c r="G22" i="24" s="1"/>
  <c r="D21" i="24"/>
  <c r="F21" i="24" s="1"/>
  <c r="G21" i="24" s="1"/>
  <c r="D20" i="24"/>
  <c r="F20" i="24" s="1"/>
  <c r="D19" i="24"/>
  <c r="F19" i="24" s="1"/>
  <c r="D18" i="24"/>
  <c r="F18" i="24" s="1"/>
  <c r="D17" i="24"/>
  <c r="H44" i="31" l="1"/>
  <c r="H45" i="31" s="1"/>
  <c r="I43" i="31"/>
  <c r="F30" i="24"/>
  <c r="D38" i="24"/>
  <c r="G32" i="24"/>
  <c r="G35" i="24"/>
  <c r="G31" i="24"/>
  <c r="F17" i="24"/>
  <c r="D25" i="24"/>
  <c r="G18" i="24"/>
  <c r="G25" i="24" s="1"/>
  <c r="G19" i="24"/>
  <c r="J43" i="31" l="1"/>
  <c r="I44" i="31"/>
  <c r="I45" i="31" s="1"/>
  <c r="G38" i="24"/>
  <c r="J44" i="31" l="1"/>
  <c r="J45" i="31" s="1"/>
  <c r="E20" i="3"/>
  <c r="E21" i="3"/>
  <c r="E22" i="3"/>
  <c r="E23" i="3"/>
  <c r="E19" i="3"/>
  <c r="E98" i="15" l="1"/>
  <c r="D98" i="15"/>
  <c r="E97" i="15"/>
  <c r="D97" i="15"/>
  <c r="E96" i="15"/>
  <c r="D96" i="15"/>
  <c r="E95" i="15"/>
  <c r="D95" i="15"/>
  <c r="E94" i="15"/>
  <c r="D94" i="15"/>
  <c r="E93" i="15"/>
  <c r="D93" i="15"/>
  <c r="E92" i="15"/>
  <c r="D92" i="15"/>
  <c r="E91" i="15"/>
  <c r="D91" i="15"/>
  <c r="E90" i="15"/>
  <c r="D90" i="15"/>
  <c r="E89" i="15"/>
  <c r="D89" i="15"/>
  <c r="E88" i="15"/>
  <c r="D88" i="15"/>
  <c r="E87" i="15"/>
  <c r="D87" i="15"/>
  <c r="E86" i="15"/>
  <c r="D86" i="15"/>
  <c r="E85" i="15"/>
  <c r="D85" i="15"/>
  <c r="E84" i="15"/>
  <c r="D84" i="15"/>
  <c r="E83" i="15"/>
  <c r="D83" i="15"/>
  <c r="E82" i="15"/>
  <c r="D82" i="15"/>
  <c r="E81" i="15"/>
  <c r="D81" i="15"/>
  <c r="E80" i="15"/>
  <c r="D80" i="15"/>
  <c r="E79" i="15"/>
  <c r="D79" i="15"/>
  <c r="E78" i="15"/>
  <c r="D78" i="15"/>
  <c r="E77" i="15"/>
  <c r="D77" i="15"/>
  <c r="E76" i="15"/>
  <c r="D76" i="15"/>
  <c r="E75" i="15"/>
  <c r="D75" i="15"/>
  <c r="E74" i="15"/>
  <c r="D74" i="15"/>
  <c r="E73" i="15"/>
  <c r="D73" i="15"/>
  <c r="E72" i="15"/>
  <c r="D72" i="15"/>
  <c r="E71" i="15"/>
  <c r="D71" i="15"/>
  <c r="E70" i="15"/>
  <c r="D70" i="15"/>
  <c r="E69" i="15"/>
  <c r="D69" i="15"/>
  <c r="E68" i="15"/>
  <c r="D68" i="15"/>
  <c r="E67" i="15"/>
  <c r="D67" i="15"/>
  <c r="E66" i="15"/>
  <c r="D66" i="15"/>
  <c r="E65" i="15"/>
  <c r="D65" i="15"/>
  <c r="E64" i="15"/>
  <c r="D64" i="15"/>
  <c r="E63" i="15"/>
  <c r="D63" i="15"/>
  <c r="E62" i="15"/>
  <c r="D62" i="15"/>
  <c r="E61" i="15"/>
  <c r="D61" i="15"/>
  <c r="E60" i="15"/>
  <c r="D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E40" i="15"/>
  <c r="D40" i="15"/>
  <c r="E39" i="15"/>
  <c r="D39" i="15"/>
  <c r="E38" i="15"/>
  <c r="D38" i="15"/>
  <c r="E37" i="15"/>
  <c r="D37" i="15"/>
  <c r="E36" i="15"/>
  <c r="D36" i="15"/>
  <c r="E35" i="15"/>
  <c r="D35" i="15"/>
  <c r="E34" i="15"/>
  <c r="D34" i="15"/>
  <c r="E33" i="15"/>
  <c r="D33" i="15"/>
  <c r="E32" i="15"/>
  <c r="D32" i="15"/>
  <c r="E31" i="15"/>
  <c r="D31"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E14" i="15"/>
  <c r="D14" i="15"/>
  <c r="E13" i="15"/>
  <c r="D13" i="15"/>
  <c r="E12" i="15"/>
  <c r="D12" i="15"/>
  <c r="E11" i="15"/>
  <c r="D11" i="15"/>
  <c r="E10" i="15"/>
  <c r="D10" i="15"/>
  <c r="E9" i="15"/>
  <c r="D9" i="15"/>
  <c r="E8" i="15"/>
  <c r="D8" i="15"/>
  <c r="E7" i="15"/>
  <c r="D7" i="15"/>
  <c r="E6" i="15"/>
  <c r="D6" i="15"/>
  <c r="E5" i="15"/>
  <c r="D5" i="15"/>
  <c r="E4" i="15"/>
  <c r="E40" i="4"/>
  <c r="E39" i="4"/>
  <c r="E72" i="17" l="1"/>
  <c r="D16" i="6"/>
  <c r="E16" i="6" s="1"/>
  <c r="D67" i="10"/>
  <c r="E57" i="4"/>
  <c r="E58" i="4"/>
  <c r="E59" i="4"/>
  <c r="E60" i="4"/>
  <c r="E62" i="4"/>
  <c r="E64" i="4"/>
  <c r="E66" i="4"/>
  <c r="E68" i="4"/>
  <c r="E69" i="4"/>
  <c r="E72" i="4" l="1"/>
  <c r="C17" i="4" s="1"/>
  <c r="B112" i="23"/>
  <c r="B114" i="23" s="1"/>
  <c r="B40" i="23"/>
  <c r="B42" i="23" s="1"/>
  <c r="P7" i="3"/>
  <c r="L9" i="3"/>
  <c r="L10" i="3"/>
  <c r="L11" i="3"/>
  <c r="L8" i="3"/>
  <c r="L7" i="3"/>
  <c r="M7" i="3"/>
  <c r="M8" i="3"/>
  <c r="M9" i="3"/>
  <c r="M10" i="3"/>
  <c r="M11" i="3"/>
  <c r="K8" i="3"/>
  <c r="K9" i="3"/>
  <c r="K10" i="3"/>
  <c r="K11" i="3"/>
  <c r="J8" i="3"/>
  <c r="J9" i="3"/>
  <c r="J10" i="3"/>
  <c r="J11" i="3"/>
  <c r="J7" i="3"/>
  <c r="K7" i="3"/>
  <c r="H7" i="3"/>
  <c r="H8" i="3"/>
  <c r="H9" i="3"/>
  <c r="H10" i="3"/>
  <c r="H11" i="3"/>
  <c r="F8" i="3"/>
  <c r="F9" i="3"/>
  <c r="F10" i="3"/>
  <c r="F11" i="3"/>
  <c r="F7" i="3"/>
  <c r="L12" i="3" l="1"/>
  <c r="H12" i="3"/>
  <c r="F12" i="3"/>
  <c r="J12" i="3"/>
  <c r="K12" i="3"/>
  <c r="M12" i="3"/>
  <c r="D9" i="22"/>
  <c r="D11" i="22" s="1"/>
  <c r="D14" i="22" s="1"/>
  <c r="D16" i="22" s="1"/>
  <c r="D18" i="22" s="1"/>
  <c r="D19" i="22" s="1"/>
  <c r="D20" i="22" s="1"/>
  <c r="E25" i="4" l="1"/>
  <c r="D25" i="4"/>
  <c r="C26" i="4"/>
  <c r="F49" i="17" l="1"/>
  <c r="G49" i="17" s="1"/>
  <c r="H49" i="17" s="1"/>
  <c r="I49" i="17" s="1"/>
  <c r="J49" i="17" s="1"/>
  <c r="F49" i="31"/>
  <c r="G49" i="31" s="1"/>
  <c r="H49" i="31" s="1"/>
  <c r="I49" i="31" s="1"/>
  <c r="J49" i="31" s="1"/>
  <c r="F25" i="4"/>
  <c r="G25" i="4" s="1"/>
  <c r="H25" i="4" s="1"/>
  <c r="D13" i="6" l="1"/>
  <c r="D12" i="6"/>
  <c r="D11" i="6"/>
  <c r="D10" i="6"/>
  <c r="D9" i="6"/>
  <c r="I38" i="10"/>
  <c r="I29" i="10"/>
  <c r="I22" i="10"/>
  <c r="I40" i="10" l="1"/>
  <c r="J50" i="10" l="1"/>
  <c r="C13" i="7" s="1"/>
  <c r="E13" i="7" s="1"/>
  <c r="E21" i="13"/>
  <c r="E21" i="17"/>
  <c r="E20" i="17"/>
  <c r="E19" i="17"/>
  <c r="E18" i="17"/>
  <c r="E17" i="17"/>
  <c r="E22" i="17" l="1"/>
  <c r="I4" i="10" l="1"/>
  <c r="J21" i="10"/>
  <c r="D62" i="10" l="1"/>
  <c r="E12" i="31" s="1"/>
  <c r="E18" i="13"/>
  <c r="E17" i="13"/>
  <c r="E19" i="13"/>
  <c r="E12" i="17" l="1"/>
  <c r="E12" i="13"/>
  <c r="C12" i="7" s="1"/>
  <c r="E22" i="13"/>
  <c r="E12" i="7" l="1"/>
  <c r="G12" i="7" s="1"/>
  <c r="B10" i="14"/>
  <c r="D10" i="14" s="1"/>
  <c r="F10" i="14" s="1"/>
  <c r="G10" i="14" s="1"/>
  <c r="D20" i="5"/>
  <c r="D21" i="5" s="1"/>
  <c r="B6" i="12"/>
  <c r="M6" i="12"/>
  <c r="M9" i="12" s="1"/>
  <c r="M4" i="11" s="1"/>
  <c r="M5" i="11" s="1"/>
  <c r="C6" i="12"/>
  <c r="D6" i="12"/>
  <c r="D9" i="12" s="1"/>
  <c r="D4" i="11" s="1"/>
  <c r="D5" i="11" s="1"/>
  <c r="F6" i="12"/>
  <c r="F9" i="12" s="1"/>
  <c r="F4" i="11" s="1"/>
  <c r="F5" i="11" s="1"/>
  <c r="G6" i="12"/>
  <c r="G9" i="12" s="1"/>
  <c r="G4" i="11" s="1"/>
  <c r="G5" i="11" s="1"/>
  <c r="H6" i="12"/>
  <c r="H9" i="12" s="1"/>
  <c r="H4" i="11" s="1"/>
  <c r="H5" i="11" s="1"/>
  <c r="I6" i="12"/>
  <c r="I9" i="12" s="1"/>
  <c r="I4" i="11" s="1"/>
  <c r="I5" i="11" s="1"/>
  <c r="J6" i="12"/>
  <c r="J9" i="12" s="1"/>
  <c r="J4" i="11" s="1"/>
  <c r="J5" i="11" s="1"/>
  <c r="K6" i="12"/>
  <c r="K9" i="12" s="1"/>
  <c r="K4" i="11" s="1"/>
  <c r="K5" i="11" s="1"/>
  <c r="L6" i="12"/>
  <c r="L9" i="12" s="1"/>
  <c r="L4" i="11" s="1"/>
  <c r="L5" i="11" s="1"/>
  <c r="B9" i="12" l="1"/>
  <c r="B13" i="12"/>
  <c r="N6" i="12"/>
  <c r="C9" i="12"/>
  <c r="C4" i="11" s="1"/>
  <c r="C5" i="11" s="1"/>
  <c r="D22" i="5"/>
  <c r="B14" i="12" l="1"/>
  <c r="B11" i="12"/>
  <c r="D7" i="18" s="1"/>
  <c r="B4" i="11"/>
  <c r="B12" i="12"/>
  <c r="B19" i="12"/>
  <c r="C19" i="12" s="1"/>
  <c r="B10" i="12"/>
  <c r="D23" i="5"/>
  <c r="D24" i="5" s="1"/>
  <c r="D25" i="5" s="1"/>
  <c r="D26" i="5" s="1"/>
  <c r="D27" i="5" s="1"/>
  <c r="D28" i="5" s="1"/>
  <c r="D29" i="5" s="1"/>
  <c r="D30" i="5" s="1"/>
  <c r="F43" i="17" l="1"/>
  <c r="F44" i="17" s="1"/>
  <c r="G7" i="18"/>
  <c r="B5" i="11"/>
  <c r="O4" i="11"/>
  <c r="B20" i="12"/>
  <c r="C20" i="12" s="1"/>
  <c r="D31" i="5"/>
  <c r="D64" i="10"/>
  <c r="J28" i="10"/>
  <c r="J27" i="10"/>
  <c r="J37" i="10"/>
  <c r="J36" i="10"/>
  <c r="J35" i="10"/>
  <c r="J34" i="10"/>
  <c r="J33" i="10"/>
  <c r="J32" i="10"/>
  <c r="J26" i="10"/>
  <c r="J25" i="10"/>
  <c r="J20" i="10"/>
  <c r="H15" i="10"/>
  <c r="I14" i="10"/>
  <c r="I13" i="10"/>
  <c r="I12" i="10"/>
  <c r="I5" i="10"/>
  <c r="E24" i="3"/>
  <c r="D82" i="4"/>
  <c r="F66" i="4"/>
  <c r="F69" i="4"/>
  <c r="F68" i="4"/>
  <c r="F64" i="4"/>
  <c r="F62" i="4"/>
  <c r="F60" i="4"/>
  <c r="F59" i="4"/>
  <c r="F58" i="4"/>
  <c r="F57" i="4"/>
  <c r="E46" i="4"/>
  <c r="F46" i="4" s="1"/>
  <c r="D53" i="4"/>
  <c r="E52" i="4"/>
  <c r="F52" i="4" s="1"/>
  <c r="E51" i="4"/>
  <c r="F51" i="4" s="1"/>
  <c r="E50" i="4"/>
  <c r="F50" i="4" s="1"/>
  <c r="E49" i="4"/>
  <c r="F49" i="4" s="1"/>
  <c r="E48" i="4"/>
  <c r="F48" i="4" s="1"/>
  <c r="E47" i="4"/>
  <c r="F47" i="4" s="1"/>
  <c r="D41" i="4"/>
  <c r="D35" i="4"/>
  <c r="D26" i="4"/>
  <c r="E12" i="6"/>
  <c r="D14" i="4"/>
  <c r="E10" i="6" s="1"/>
  <c r="D17" i="4"/>
  <c r="D15" i="4"/>
  <c r="E11" i="6" s="1"/>
  <c r="D13" i="4"/>
  <c r="E9" i="6" s="1"/>
  <c r="C8" i="4"/>
  <c r="D7" i="4"/>
  <c r="D6" i="4"/>
  <c r="D5" i="4"/>
  <c r="P11" i="3"/>
  <c r="D10" i="3"/>
  <c r="D11" i="3"/>
  <c r="I11" i="3"/>
  <c r="P10" i="3"/>
  <c r="P9" i="3"/>
  <c r="I9" i="3"/>
  <c r="P8" i="3"/>
  <c r="I8" i="3"/>
  <c r="I7" i="3"/>
  <c r="C12" i="1"/>
  <c r="I11" i="1"/>
  <c r="G11" i="1"/>
  <c r="E11" i="1"/>
  <c r="I10" i="1"/>
  <c r="G10" i="1"/>
  <c r="E10" i="1"/>
  <c r="I9" i="1"/>
  <c r="G9" i="1"/>
  <c r="E9" i="1"/>
  <c r="I8" i="1"/>
  <c r="G8" i="1"/>
  <c r="E8" i="1"/>
  <c r="I7" i="1"/>
  <c r="G7" i="1"/>
  <c r="E7" i="1"/>
  <c r="I6" i="1"/>
  <c r="G6" i="1"/>
  <c r="E6" i="1"/>
  <c r="B9" i="11" l="1"/>
  <c r="F45" i="17"/>
  <c r="G43" i="17"/>
  <c r="G44" i="17" s="1"/>
  <c r="G45" i="17" s="1"/>
  <c r="C6" i="7"/>
  <c r="E6" i="7" s="1"/>
  <c r="G6" i="7" s="1"/>
  <c r="C7" i="7"/>
  <c r="E7" i="7" s="1"/>
  <c r="G7" i="7" s="1"/>
  <c r="H7" i="7" s="1"/>
  <c r="P12" i="3"/>
  <c r="F72" i="4"/>
  <c r="C9" i="7"/>
  <c r="E9" i="7" s="1"/>
  <c r="G9" i="7" s="1"/>
  <c r="C10" i="7"/>
  <c r="E10" i="7" s="1"/>
  <c r="G10" i="7" s="1"/>
  <c r="H10" i="7" s="1"/>
  <c r="B21" i="12"/>
  <c r="C21" i="12" s="1"/>
  <c r="D68" i="10"/>
  <c r="F53" i="4"/>
  <c r="G46" i="10"/>
  <c r="G45" i="10"/>
  <c r="D7" i="6"/>
  <c r="D8" i="11"/>
  <c r="F8" i="11"/>
  <c r="H8" i="11"/>
  <c r="J8" i="11"/>
  <c r="L8" i="11"/>
  <c r="B8" i="11"/>
  <c r="C8" i="11"/>
  <c r="E8" i="11"/>
  <c r="G8" i="11"/>
  <c r="I8" i="11"/>
  <c r="K8" i="11"/>
  <c r="M8" i="11"/>
  <c r="J29" i="10"/>
  <c r="E11" i="13" s="1"/>
  <c r="C11" i="7" s="1"/>
  <c r="J38" i="10"/>
  <c r="D7" i="3"/>
  <c r="D10" i="11"/>
  <c r="F10" i="11"/>
  <c r="H10" i="11"/>
  <c r="J10" i="11"/>
  <c r="L10" i="11"/>
  <c r="B10" i="11"/>
  <c r="C10" i="11"/>
  <c r="E10" i="11"/>
  <c r="G10" i="11"/>
  <c r="I10" i="11"/>
  <c r="K10" i="11"/>
  <c r="M10" i="11"/>
  <c r="D8" i="6"/>
  <c r="D9" i="11"/>
  <c r="F9" i="11"/>
  <c r="H9" i="11"/>
  <c r="J9" i="11"/>
  <c r="L9" i="11"/>
  <c r="C9" i="11"/>
  <c r="E9" i="11"/>
  <c r="G9" i="11"/>
  <c r="I9" i="11"/>
  <c r="K9" i="11"/>
  <c r="M9" i="11"/>
  <c r="J22" i="10"/>
  <c r="E13" i="13" s="1"/>
  <c r="E10" i="17"/>
  <c r="B4" i="14"/>
  <c r="I7" i="10"/>
  <c r="I15" i="10"/>
  <c r="D66" i="10" s="1"/>
  <c r="D9" i="3"/>
  <c r="E12" i="1"/>
  <c r="G12" i="1"/>
  <c r="I12" i="1"/>
  <c r="E41" i="4"/>
  <c r="F82" i="4"/>
  <c r="E82" i="4"/>
  <c r="C6" i="5" s="1"/>
  <c r="D14" i="6"/>
  <c r="E53" i="4"/>
  <c r="D8" i="4"/>
  <c r="D8" i="3"/>
  <c r="I10" i="3"/>
  <c r="I12" i="3" s="1"/>
  <c r="H43" i="17" l="1"/>
  <c r="I43" i="17" s="1"/>
  <c r="H39" i="31"/>
  <c r="I39" i="31" s="1"/>
  <c r="H39" i="17"/>
  <c r="I39" i="17" s="1"/>
  <c r="D15" i="6"/>
  <c r="C16" i="4"/>
  <c r="C18" i="4" s="1"/>
  <c r="D12" i="3"/>
  <c r="F47" i="31"/>
  <c r="F47" i="17"/>
  <c r="G47" i="17" s="1"/>
  <c r="H47" i="17" s="1"/>
  <c r="I47" i="17" s="1"/>
  <c r="J47" i="17" s="1"/>
  <c r="F50" i="31"/>
  <c r="G50" i="31" s="1"/>
  <c r="H50" i="31" s="1"/>
  <c r="I50" i="31" s="1"/>
  <c r="J50" i="31" s="1"/>
  <c r="F50" i="17"/>
  <c r="G50" i="17" s="1"/>
  <c r="H50" i="17" s="1"/>
  <c r="I50" i="17" s="1"/>
  <c r="J50" i="17" s="1"/>
  <c r="E15" i="6"/>
  <c r="F51" i="31"/>
  <c r="G51" i="31" s="1"/>
  <c r="H51" i="31" s="1"/>
  <c r="I51" i="31" s="1"/>
  <c r="J51" i="31" s="1"/>
  <c r="E14" i="6"/>
  <c r="F51" i="17"/>
  <c r="G51" i="17" s="1"/>
  <c r="H51" i="17" s="1"/>
  <c r="I51" i="17" s="1"/>
  <c r="J51" i="17" s="1"/>
  <c r="B22" i="12"/>
  <c r="C22" i="12" s="1"/>
  <c r="D6" i="5"/>
  <c r="C14" i="5" s="1"/>
  <c r="G44" i="10"/>
  <c r="D63" i="10" s="1"/>
  <c r="G10" i="3"/>
  <c r="O10" i="3" s="1"/>
  <c r="G7" i="3"/>
  <c r="G11" i="3"/>
  <c r="O11" i="3" s="1"/>
  <c r="G9" i="3"/>
  <c r="O9" i="3" s="1"/>
  <c r="G8" i="3"/>
  <c r="O8" i="3" s="1"/>
  <c r="E11" i="7"/>
  <c r="G11" i="7" s="1"/>
  <c r="H11" i="7" s="1"/>
  <c r="E7" i="6"/>
  <c r="E8" i="6"/>
  <c r="E10" i="13"/>
  <c r="C8" i="7" s="1"/>
  <c r="E8" i="7" s="1"/>
  <c r="J40" i="10"/>
  <c r="D65" i="10" s="1"/>
  <c r="E11" i="17"/>
  <c r="B5" i="14"/>
  <c r="D5" i="14" s="1"/>
  <c r="F5" i="14" s="1"/>
  <c r="G5" i="14" s="1"/>
  <c r="D4" i="14"/>
  <c r="E13" i="17"/>
  <c r="E26" i="4"/>
  <c r="D70" i="10" l="1"/>
  <c r="H5" i="44" s="1"/>
  <c r="G12" i="3"/>
  <c r="H44" i="17"/>
  <c r="H45" i="17" s="1"/>
  <c r="G47" i="31"/>
  <c r="F21" i="3"/>
  <c r="G21" i="3" s="1"/>
  <c r="H21" i="3" s="1"/>
  <c r="I21" i="3" s="1"/>
  <c r="J21" i="3" s="1"/>
  <c r="Q9" i="3"/>
  <c r="E9" i="31"/>
  <c r="E14" i="31" s="1"/>
  <c r="E9" i="13"/>
  <c r="E14" i="13" s="1"/>
  <c r="I44" i="17"/>
  <c r="I45" i="17" s="1"/>
  <c r="F23" i="3"/>
  <c r="G23" i="3" s="1"/>
  <c r="H23" i="3" s="1"/>
  <c r="I23" i="3" s="1"/>
  <c r="J23" i="3" s="1"/>
  <c r="Q11" i="3"/>
  <c r="F22" i="3"/>
  <c r="G22" i="3" s="1"/>
  <c r="H22" i="3" s="1"/>
  <c r="I22" i="3" s="1"/>
  <c r="J22" i="3" s="1"/>
  <c r="Q10" i="3"/>
  <c r="F20" i="3"/>
  <c r="Q8" i="3"/>
  <c r="J43" i="17"/>
  <c r="J44" i="17" s="1"/>
  <c r="B23" i="12"/>
  <c r="C23" i="12" s="1"/>
  <c r="B6" i="14"/>
  <c r="D6" i="14" s="1"/>
  <c r="E9" i="17"/>
  <c r="E14" i="17" s="1"/>
  <c r="O7" i="3"/>
  <c r="O12" i="3" s="1"/>
  <c r="E6" i="6" s="1"/>
  <c r="G8" i="7"/>
  <c r="H8" i="7" s="1"/>
  <c r="H14" i="7" s="1"/>
  <c r="E14" i="7"/>
  <c r="D14" i="5"/>
  <c r="E14" i="5" s="1"/>
  <c r="F14" i="5" s="1"/>
  <c r="G14" i="5" s="1"/>
  <c r="D16" i="4"/>
  <c r="F4" i="14"/>
  <c r="G4" i="14" s="1"/>
  <c r="B7" i="14"/>
  <c r="B9" i="14"/>
  <c r="F26" i="4"/>
  <c r="H53" i="31" l="1"/>
  <c r="H63" i="31" s="1"/>
  <c r="I53" i="31"/>
  <c r="I63" i="31" s="1"/>
  <c r="G53" i="31"/>
  <c r="G63" i="31" s="1"/>
  <c r="J53" i="31"/>
  <c r="J63" i="31" s="1"/>
  <c r="F53" i="31"/>
  <c r="F63" i="31" s="1"/>
  <c r="J53" i="17"/>
  <c r="J63" i="17" s="1"/>
  <c r="F53" i="17"/>
  <c r="F63" i="17" s="1"/>
  <c r="I53" i="17"/>
  <c r="I63" i="17" s="1"/>
  <c r="G53" i="17"/>
  <c r="G63" i="17" s="1"/>
  <c r="H53" i="17"/>
  <c r="H63" i="17" s="1"/>
  <c r="E66" i="31"/>
  <c r="E3" i="23"/>
  <c r="E66" i="17"/>
  <c r="Q7" i="3"/>
  <c r="Q12" i="3" s="1"/>
  <c r="F19" i="3"/>
  <c r="G19" i="3" s="1"/>
  <c r="H19" i="3" s="1"/>
  <c r="I19" i="3" s="1"/>
  <c r="J19" i="3" s="1"/>
  <c r="H47" i="31"/>
  <c r="J45" i="17"/>
  <c r="G20" i="3"/>
  <c r="F6" i="14"/>
  <c r="G6" i="14" s="1"/>
  <c r="D7" i="14"/>
  <c r="F7" i="14" s="1"/>
  <c r="G7" i="14" s="1"/>
  <c r="B8" i="14"/>
  <c r="D9" i="14"/>
  <c r="D18" i="4"/>
  <c r="D20" i="4" s="1"/>
  <c r="C5" i="5"/>
  <c r="C7" i="5" s="1"/>
  <c r="D6" i="18" s="1"/>
  <c r="C20" i="4"/>
  <c r="B7" i="11" s="1"/>
  <c r="H26" i="4"/>
  <c r="G26" i="4"/>
  <c r="C6" i="11" l="1"/>
  <c r="H6" i="11"/>
  <c r="J6" i="11"/>
  <c r="G6" i="11"/>
  <c r="B6" i="11"/>
  <c r="K6" i="11"/>
  <c r="F48" i="31"/>
  <c r="F48" i="17"/>
  <c r="G48" i="17" s="1"/>
  <c r="H48" i="17" s="1"/>
  <c r="I48" i="17" s="1"/>
  <c r="J48" i="17" s="1"/>
  <c r="I47" i="31"/>
  <c r="F24" i="3"/>
  <c r="D6" i="11"/>
  <c r="B11" i="11"/>
  <c r="B13" i="11" s="1"/>
  <c r="B14" i="11" s="1"/>
  <c r="I6" i="11"/>
  <c r="L6" i="11"/>
  <c r="E6" i="11"/>
  <c r="D6" i="6"/>
  <c r="D17" i="6" s="1"/>
  <c r="D5" i="18" s="1"/>
  <c r="D8" i="18" s="1"/>
  <c r="G8" i="18" s="1"/>
  <c r="F6" i="11"/>
  <c r="M6" i="11"/>
  <c r="H20" i="3"/>
  <c r="G24" i="3"/>
  <c r="G6" i="18"/>
  <c r="D7" i="11"/>
  <c r="F7" i="11"/>
  <c r="H7" i="11"/>
  <c r="J7" i="11"/>
  <c r="J11" i="11" s="1"/>
  <c r="J13" i="11" s="1"/>
  <c r="L7" i="11"/>
  <c r="C7" i="11"/>
  <c r="C11" i="11" s="1"/>
  <c r="C13" i="11" s="1"/>
  <c r="E7" i="11"/>
  <c r="G7" i="11"/>
  <c r="G11" i="11" s="1"/>
  <c r="G13" i="11" s="1"/>
  <c r="I7" i="11"/>
  <c r="K7" i="11"/>
  <c r="K11" i="11" s="1"/>
  <c r="K13" i="11" s="1"/>
  <c r="M7" i="11"/>
  <c r="E13" i="6"/>
  <c r="D11" i="14"/>
  <c r="D8" i="14"/>
  <c r="F8" i="14" s="1"/>
  <c r="G8" i="14" s="1"/>
  <c r="F9" i="14"/>
  <c r="G9" i="14" s="1"/>
  <c r="D5" i="5"/>
  <c r="D11" i="11" l="1"/>
  <c r="D13" i="11" s="1"/>
  <c r="M11" i="11"/>
  <c r="M13" i="11" s="1"/>
  <c r="H11" i="11"/>
  <c r="H13" i="11" s="1"/>
  <c r="G5" i="18"/>
  <c r="E11" i="11"/>
  <c r="E13" i="11" s="1"/>
  <c r="G52" i="31"/>
  <c r="G52" i="17"/>
  <c r="G54" i="17" s="1"/>
  <c r="J47" i="31"/>
  <c r="F52" i="31"/>
  <c r="F52" i="17"/>
  <c r="F54" i="17" s="1"/>
  <c r="F55" i="17" s="1"/>
  <c r="G48" i="31"/>
  <c r="F54" i="31"/>
  <c r="F55" i="31" s="1"/>
  <c r="I11" i="11"/>
  <c r="I13" i="11" s="1"/>
  <c r="F11" i="11"/>
  <c r="F13" i="11" s="1"/>
  <c r="L11" i="11"/>
  <c r="L13" i="11" s="1"/>
  <c r="I20" i="3"/>
  <c r="H24" i="3"/>
  <c r="E17" i="6"/>
  <c r="G11" i="14"/>
  <c r="J70" i="31" s="1"/>
  <c r="C14" i="11"/>
  <c r="B17" i="11" s="1"/>
  <c r="D7" i="5"/>
  <c r="C13" i="5"/>
  <c r="C3" i="23" l="1"/>
  <c r="F5" i="44"/>
  <c r="D3" i="23"/>
  <c r="G5" i="44"/>
  <c r="H48" i="31"/>
  <c r="G54" i="31"/>
  <c r="G55" i="31" s="1"/>
  <c r="H52" i="31"/>
  <c r="H52" i="17"/>
  <c r="H54" i="17" s="1"/>
  <c r="J70" i="17"/>
  <c r="E67" i="17"/>
  <c r="E5" i="31"/>
  <c r="E6" i="31" s="1"/>
  <c r="E23" i="31" s="1"/>
  <c r="E67" i="31"/>
  <c r="J20" i="3"/>
  <c r="J24" i="3" s="1"/>
  <c r="I24" i="3"/>
  <c r="D14" i="11"/>
  <c r="E14" i="11" s="1"/>
  <c r="F14" i="11" s="1"/>
  <c r="G14" i="11" s="1"/>
  <c r="H14" i="11" s="1"/>
  <c r="I14" i="11" s="1"/>
  <c r="J14" i="11" s="1"/>
  <c r="K14" i="11" s="1"/>
  <c r="L14" i="11" s="1"/>
  <c r="M14" i="11" s="1"/>
  <c r="E5" i="17"/>
  <c r="E6" i="17" s="1"/>
  <c r="E23" i="17" s="1"/>
  <c r="D13" i="5"/>
  <c r="E13" i="5" s="1"/>
  <c r="C15" i="5"/>
  <c r="I52" i="31" l="1"/>
  <c r="I52" i="17"/>
  <c r="I54" i="17" s="1"/>
  <c r="J69" i="17"/>
  <c r="J52" i="31"/>
  <c r="J52" i="17"/>
  <c r="J54" i="17" s="1"/>
  <c r="I48" i="31"/>
  <c r="H54" i="31"/>
  <c r="H55" i="31" s="1"/>
  <c r="E33" i="31"/>
  <c r="D33" i="31"/>
  <c r="I5" i="31" s="1"/>
  <c r="J69" i="31"/>
  <c r="F13" i="5"/>
  <c r="E15" i="5"/>
  <c r="E5" i="13"/>
  <c r="E6" i="13" s="1"/>
  <c r="E23" i="13" s="1"/>
  <c r="E31" i="13" s="1"/>
  <c r="D33" i="17"/>
  <c r="I5" i="17" s="1"/>
  <c r="E33" i="17"/>
  <c r="D15" i="5"/>
  <c r="J48" i="31" l="1"/>
  <c r="J54" i="31" s="1"/>
  <c r="J55" i="31" s="1"/>
  <c r="I54" i="31"/>
  <c r="I55" i="31" s="1"/>
  <c r="M10" i="31"/>
  <c r="I6" i="31"/>
  <c r="M9" i="31"/>
  <c r="M6" i="31"/>
  <c r="P5" i="31"/>
  <c r="O6" i="31" s="1"/>
  <c r="M7" i="31"/>
  <c r="M8" i="31"/>
  <c r="I33" i="31"/>
  <c r="K35" i="31" s="1"/>
  <c r="I9" i="31"/>
  <c r="I10" i="31" s="1"/>
  <c r="G13" i="5"/>
  <c r="G15" i="5" s="1"/>
  <c r="F15" i="5"/>
  <c r="D31" i="13"/>
  <c r="K28" i="13"/>
  <c r="I9" i="13"/>
  <c r="I10" i="13" s="1"/>
  <c r="I9" i="17"/>
  <c r="I10" i="17" s="1"/>
  <c r="I33" i="17"/>
  <c r="K35" i="17" s="1"/>
  <c r="M6" i="17"/>
  <c r="M7" i="17"/>
  <c r="M10" i="17"/>
  <c r="M8" i="17"/>
  <c r="I6" i="17"/>
  <c r="M9" i="17"/>
  <c r="P5" i="17"/>
  <c r="O6" i="17" s="1"/>
  <c r="G55" i="17"/>
  <c r="N6" i="31" l="1"/>
  <c r="P6" i="31" s="1"/>
  <c r="O7" i="31" s="1"/>
  <c r="N7" i="31" s="1"/>
  <c r="P7" i="31" s="1"/>
  <c r="O8" i="31" s="1"/>
  <c r="N8" i="31" s="1"/>
  <c r="P8" i="31" s="1"/>
  <c r="O9" i="31" s="1"/>
  <c r="N9" i="31" s="1"/>
  <c r="P9" i="31" s="1"/>
  <c r="O10" i="31" s="1"/>
  <c r="N10" i="31" s="1"/>
  <c r="P10" i="31" s="1"/>
  <c r="I23" i="31"/>
  <c r="E11" i="19"/>
  <c r="I5" i="13"/>
  <c r="I6" i="13" s="1"/>
  <c r="I23" i="13" s="1"/>
  <c r="N6" i="17"/>
  <c r="P6" i="17" s="1"/>
  <c r="O7" i="17" s="1"/>
  <c r="N7" i="17" s="1"/>
  <c r="P7" i="17" s="1"/>
  <c r="O8" i="17" s="1"/>
  <c r="N8" i="17" s="1"/>
  <c r="P8" i="17" s="1"/>
  <c r="O9" i="17" s="1"/>
  <c r="N9" i="17" s="1"/>
  <c r="P9" i="17" s="1"/>
  <c r="I23" i="17"/>
  <c r="H55" i="17"/>
  <c r="E68" i="31" l="1"/>
  <c r="E71" i="31" s="1"/>
  <c r="E80" i="31" s="1"/>
  <c r="E68" i="17"/>
  <c r="E71" i="17" s="1"/>
  <c r="D9" i="19"/>
  <c r="G4" i="19"/>
  <c r="F5" i="19" s="1"/>
  <c r="D6" i="19"/>
  <c r="D8" i="19"/>
  <c r="D5" i="19"/>
  <c r="D7" i="19"/>
  <c r="I55" i="17"/>
  <c r="O10" i="17"/>
  <c r="E81" i="31" l="1"/>
  <c r="E82" i="31"/>
  <c r="E81" i="17"/>
  <c r="E5" i="19"/>
  <c r="E82" i="17"/>
  <c r="E80" i="17"/>
  <c r="J55" i="17"/>
  <c r="N10" i="17"/>
  <c r="G5" i="19" l="1"/>
  <c r="F6" i="19" s="1"/>
  <c r="P10" i="17"/>
  <c r="E6" i="19" l="1"/>
  <c r="G6" i="19" l="1"/>
  <c r="F7" i="19" s="1"/>
  <c r="E7" i="19" l="1"/>
  <c r="G7" i="19" l="1"/>
  <c r="F8" i="19" s="1"/>
  <c r="E8" i="19" l="1"/>
  <c r="G8" i="19" l="1"/>
  <c r="F9" i="19" s="1"/>
  <c r="F56" i="31" s="1" a="1"/>
  <c r="J56" i="31" l="1"/>
  <c r="J57" i="31" s="1"/>
  <c r="J58" i="31" s="1"/>
  <c r="J59" i="31" s="1"/>
  <c r="G56" i="31"/>
  <c r="G57" i="31" s="1"/>
  <c r="G58" i="31" s="1"/>
  <c r="G59" i="31" s="1"/>
  <c r="H56" i="31"/>
  <c r="H57" i="31" s="1"/>
  <c r="H58" i="31" s="1"/>
  <c r="H59" i="31" s="1"/>
  <c r="F56" i="31"/>
  <c r="F57" i="31" s="1"/>
  <c r="F58" i="31" s="1"/>
  <c r="F59" i="31" s="1"/>
  <c r="I56" i="31"/>
  <c r="I57" i="31" s="1"/>
  <c r="I58" i="31" s="1"/>
  <c r="I59" i="31" s="1"/>
  <c r="E9" i="19"/>
  <c r="F64" i="31" s="1" a="1"/>
  <c r="F56" i="17" a="1"/>
  <c r="F60" i="31" l="1"/>
  <c r="F61" i="31" s="1"/>
  <c r="H60" i="31"/>
  <c r="H61" i="31" s="1"/>
  <c r="I60" i="31"/>
  <c r="I61" i="31" s="1"/>
  <c r="J60" i="31"/>
  <c r="J61" i="31" s="1"/>
  <c r="G60" i="31"/>
  <c r="G61" i="31" s="1"/>
  <c r="J64" i="31"/>
  <c r="G64" i="31"/>
  <c r="H64" i="31"/>
  <c r="I64" i="31"/>
  <c r="F64" i="31"/>
  <c r="G56" i="17"/>
  <c r="H56" i="17"/>
  <c r="J56" i="17"/>
  <c r="F56" i="17"/>
  <c r="F57" i="17" s="1"/>
  <c r="F58" i="17" s="1"/>
  <c r="F59" i="17" s="1"/>
  <c r="I56" i="17"/>
  <c r="G9" i="19"/>
  <c r="F64" i="17" a="1"/>
  <c r="I65" i="31" l="1"/>
  <c r="I71" i="31" s="1"/>
  <c r="I81" i="31" s="1"/>
  <c r="J65" i="31"/>
  <c r="J71" i="31" s="1"/>
  <c r="J81" i="31" s="1"/>
  <c r="H65" i="31"/>
  <c r="H71" i="31" s="1"/>
  <c r="H81" i="31" s="1"/>
  <c r="G65" i="31"/>
  <c r="G71" i="31" s="1"/>
  <c r="G81" i="31" s="1"/>
  <c r="F65" i="31"/>
  <c r="F71" i="31" s="1"/>
  <c r="J57" i="17"/>
  <c r="I57" i="17"/>
  <c r="I58" i="17" s="1"/>
  <c r="G57" i="17"/>
  <c r="H57" i="17"/>
  <c r="H58" i="17" s="1"/>
  <c r="F60" i="17"/>
  <c r="F61" i="17" s="1"/>
  <c r="G64" i="17"/>
  <c r="I64" i="17"/>
  <c r="H64" i="17"/>
  <c r="J64" i="17"/>
  <c r="F64" i="17"/>
  <c r="F81" i="31" l="1"/>
  <c r="F82" i="31" s="1"/>
  <c r="G82" i="31" s="1"/>
  <c r="L82" i="31" s="1"/>
  <c r="M82" i="31" s="1"/>
  <c r="E73" i="31"/>
  <c r="F80" i="31"/>
  <c r="G80" i="31" s="1"/>
  <c r="H80" i="31" s="1"/>
  <c r="I80" i="31" s="1"/>
  <c r="J80" i="31" s="1"/>
  <c r="E74" i="31"/>
  <c r="F65" i="17"/>
  <c r="G58" i="17"/>
  <c r="G59" i="17" s="1"/>
  <c r="J58" i="17"/>
  <c r="J59" i="17" s="1"/>
  <c r="H59" i="17"/>
  <c r="I59" i="17"/>
  <c r="L80" i="31" l="1"/>
  <c r="M80" i="31" s="1"/>
  <c r="F71" i="17"/>
  <c r="H82" i="31"/>
  <c r="I82" i="31" s="1"/>
  <c r="J82" i="31" s="1"/>
  <c r="H60" i="17"/>
  <c r="I60" i="17"/>
  <c r="I61" i="17" s="1"/>
  <c r="I65" i="17" s="1"/>
  <c r="I71" i="17" s="1"/>
  <c r="I81" i="17" s="1"/>
  <c r="J60" i="17"/>
  <c r="J61" i="17" s="1"/>
  <c r="J65" i="17" s="1"/>
  <c r="G60" i="17"/>
  <c r="G61" i="17" s="1"/>
  <c r="J71" i="17" l="1"/>
  <c r="J81" i="17" s="1"/>
  <c r="F81" i="17"/>
  <c r="F82" i="17" s="1"/>
  <c r="F80" i="17"/>
  <c r="H61" i="17"/>
  <c r="H65" i="17" s="1"/>
  <c r="H71" i="17" s="1"/>
  <c r="H81" i="17" s="1"/>
  <c r="G65" i="17"/>
  <c r="G71" i="17" s="1"/>
  <c r="G81" i="17" s="1"/>
  <c r="E74" i="17" l="1"/>
  <c r="I5" i="44" s="1"/>
  <c r="G82" i="17"/>
  <c r="E73" i="17"/>
  <c r="G80" i="17"/>
  <c r="H82" i="17" l="1"/>
  <c r="I82" i="17" s="1"/>
  <c r="J82" i="17" s="1"/>
  <c r="L82" i="17"/>
  <c r="M82" i="17" s="1"/>
  <c r="L80" i="17"/>
  <c r="M80" i="17" s="1"/>
  <c r="H80" i="17"/>
  <c r="I80" i="17" s="1"/>
  <c r="J80" i="17" s="1"/>
</calcChain>
</file>

<file path=xl/comments1.xml><?xml version="1.0" encoding="utf-8"?>
<comments xmlns="http://schemas.openxmlformats.org/spreadsheetml/2006/main">
  <authors>
    <author>Usuario</author>
  </authors>
  <commentList>
    <comment ref="I4" author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F7" authorId="0">
      <text>
        <r>
          <rPr>
            <b/>
            <sz val="9"/>
            <color indexed="81"/>
            <rFont val="Tahoma"/>
            <family val="2"/>
          </rPr>
          <t>Usuario:</t>
        </r>
        <r>
          <rPr>
            <sz val="9"/>
            <color indexed="81"/>
            <rFont val="Tahoma"/>
            <family val="2"/>
          </rPr>
          <t xml:space="preserve">
1/12 = 8,33%</t>
        </r>
      </text>
    </comment>
  </commentList>
</comments>
</file>

<file path=xl/comments3.xml><?xml version="1.0" encoding="utf-8"?>
<comments xmlns="http://schemas.openxmlformats.org/spreadsheetml/2006/main">
  <authors>
    <author>Usuario</author>
  </authors>
  <commentList>
    <comment ref="B10" authorId="0">
      <text>
        <r>
          <rPr>
            <b/>
            <sz val="9"/>
            <color indexed="81"/>
            <rFont val="Tahoma"/>
            <family val="2"/>
          </rPr>
          <t>Usuario:</t>
        </r>
        <r>
          <rPr>
            <sz val="9"/>
            <color indexed="81"/>
            <rFont val="Tahoma"/>
            <family val="2"/>
          </rPr>
          <t xml:space="preserve">
con un 5% de inflacion anual
</t>
        </r>
      </text>
    </comment>
  </commentList>
</comments>
</file>

<file path=xl/comments4.xml><?xml version="1.0" encoding="utf-8"?>
<comments xmlns="http://schemas.openxmlformats.org/spreadsheetml/2006/main">
  <authors>
    <author>Usuario</author>
  </authors>
  <commentList>
    <comment ref="D67" authorId="0">
      <text>
        <r>
          <rPr>
            <b/>
            <sz val="9"/>
            <color indexed="81"/>
            <rFont val="Tahoma"/>
            <family val="2"/>
          </rPr>
          <t>Usuario:</t>
        </r>
        <r>
          <rPr>
            <sz val="9"/>
            <color indexed="81"/>
            <rFont val="Tahoma"/>
            <family val="2"/>
          </rPr>
          <t xml:space="preserve">
pizarra, borradoracrilico , perforadora, grapadora, sacapuntas, saca grapa</t>
        </r>
      </text>
    </comment>
  </commentList>
</comments>
</file>

<file path=xl/comments5.xml><?xml version="1.0" encoding="utf-8"?>
<comments xmlns="http://schemas.openxmlformats.org/spreadsheetml/2006/main">
  <authors>
    <author>Usuario</author>
  </authors>
  <commentList>
    <comment ref="I13" authorId="0">
      <text>
        <r>
          <rPr>
            <b/>
            <sz val="9"/>
            <color indexed="81"/>
            <rFont val="Tahoma"/>
            <family val="2"/>
          </rPr>
          <t xml:space="preserve">
las empresas</t>
        </r>
      </text>
    </comment>
    <comment ref="I14" authorId="0">
      <text>
        <r>
          <rPr>
            <b/>
            <sz val="9"/>
            <color indexed="81"/>
            <rFont val="Tahoma"/>
            <family val="2"/>
          </rPr>
          <t>Usuario:</t>
        </r>
        <r>
          <rPr>
            <sz val="9"/>
            <color indexed="81"/>
            <rFont val="Tahoma"/>
            <family val="2"/>
          </rPr>
          <t xml:space="preserve">
las empresas
</t>
        </r>
      </text>
    </comment>
    <comment ref="I22" authorId="0">
      <text>
        <r>
          <rPr>
            <b/>
            <sz val="9"/>
            <color indexed="81"/>
            <rFont val="Tahoma"/>
            <family val="2"/>
          </rPr>
          <t>Usuario:</t>
        </r>
        <r>
          <rPr>
            <sz val="9"/>
            <color indexed="81"/>
            <rFont val="Tahoma"/>
            <family val="2"/>
          </rPr>
          <t xml:space="preserve">
mi empresa</t>
        </r>
      </text>
    </comment>
    <comment ref="I23" authorId="0">
      <text>
        <r>
          <rPr>
            <b/>
            <sz val="9"/>
            <color indexed="81"/>
            <rFont val="Tahoma"/>
            <family val="2"/>
          </rPr>
          <t>Usuario:</t>
        </r>
        <r>
          <rPr>
            <sz val="9"/>
            <color indexed="81"/>
            <rFont val="Tahoma"/>
            <family val="2"/>
          </rPr>
          <t xml:space="preserve">
mi empresa</t>
        </r>
      </text>
    </comment>
    <comment ref="I25" authorId="0">
      <text>
        <r>
          <rPr>
            <b/>
            <sz val="9"/>
            <color indexed="81"/>
            <rFont val="Tahoma"/>
            <family val="2"/>
          </rPr>
          <t>Usuario:</t>
        </r>
        <r>
          <rPr>
            <sz val="9"/>
            <color indexed="81"/>
            <rFont val="Tahoma"/>
            <family val="2"/>
          </rPr>
          <t xml:space="preserve">
a 5 años
</t>
        </r>
      </text>
    </comment>
  </commentList>
</comments>
</file>

<file path=xl/comments6.xml><?xml version="1.0" encoding="utf-8"?>
<comments xmlns="http://schemas.openxmlformats.org/spreadsheetml/2006/main">
  <authors>
    <author>estudiante</author>
  </authors>
  <commentList>
    <comment ref="D79" authorId="0">
      <text>
        <r>
          <rPr>
            <b/>
            <sz val="8"/>
            <color indexed="81"/>
            <rFont val="Tahoma"/>
            <family val="2"/>
          </rPr>
          <t>estudiante:</t>
        </r>
        <r>
          <rPr>
            <sz val="8"/>
            <color indexed="81"/>
            <rFont val="Tahoma"/>
            <family val="2"/>
          </rPr>
          <t xml:space="preserve">
</t>
        </r>
      </text>
    </comment>
    <comment ref="D81" authorId="0">
      <text>
        <r>
          <rPr>
            <b/>
            <sz val="8"/>
            <color indexed="81"/>
            <rFont val="Tahoma"/>
            <family val="2"/>
          </rPr>
          <t>estudiante:</t>
        </r>
        <r>
          <rPr>
            <sz val="8"/>
            <color indexed="81"/>
            <rFont val="Tahoma"/>
            <family val="2"/>
          </rPr>
          <t xml:space="preserve">
USA VALORES ACTUALIZADOS POR ESO ES MAYOR </t>
        </r>
      </text>
    </comment>
  </commentList>
</comments>
</file>

<file path=xl/comments7.xml><?xml version="1.0" encoding="utf-8"?>
<comments xmlns="http://schemas.openxmlformats.org/spreadsheetml/2006/main">
  <authors>
    <author>estudiante</author>
  </authors>
  <commentList>
    <comment ref="D79" authorId="0">
      <text>
        <r>
          <rPr>
            <b/>
            <sz val="8"/>
            <color indexed="81"/>
            <rFont val="Tahoma"/>
            <family val="2"/>
          </rPr>
          <t>estudiante:</t>
        </r>
        <r>
          <rPr>
            <sz val="8"/>
            <color indexed="81"/>
            <rFont val="Tahoma"/>
            <family val="2"/>
          </rPr>
          <t xml:space="preserve">
</t>
        </r>
      </text>
    </comment>
    <comment ref="D81" authorId="0">
      <text>
        <r>
          <rPr>
            <b/>
            <sz val="8"/>
            <color indexed="81"/>
            <rFont val="Tahoma"/>
            <family val="2"/>
          </rPr>
          <t>estudiante:</t>
        </r>
        <r>
          <rPr>
            <sz val="8"/>
            <color indexed="81"/>
            <rFont val="Tahoma"/>
            <family val="2"/>
          </rPr>
          <t xml:space="preserve">
USA VALORES ACTUALIZADOS POR ESO ES MAYOR </t>
        </r>
      </text>
    </comment>
  </commentList>
</comments>
</file>

<file path=xl/sharedStrings.xml><?xml version="1.0" encoding="utf-8"?>
<sst xmlns="http://schemas.openxmlformats.org/spreadsheetml/2006/main" count="1032" uniqueCount="587">
  <si>
    <t>FACTOR</t>
  </si>
  <si>
    <t>Pesos</t>
  </si>
  <si>
    <t>Calif.</t>
  </si>
  <si>
    <t>Pond.</t>
  </si>
  <si>
    <t>Seguridad</t>
  </si>
  <si>
    <t>Vía de acceso</t>
  </si>
  <si>
    <t>Cercanía del mercado</t>
  </si>
  <si>
    <t>Disponibilidad de espacio</t>
  </si>
  <si>
    <t>Disponibilidad de SB</t>
  </si>
  <si>
    <t xml:space="preserve">Costo </t>
  </si>
  <si>
    <t>Tabla 17. Método Cualitativo Por Puntos</t>
  </si>
  <si>
    <t>Operarios</t>
  </si>
  <si>
    <t>Secretaria</t>
  </si>
  <si>
    <t>Guardia</t>
  </si>
  <si>
    <t>Gerente</t>
  </si>
  <si>
    <t>supervisor</t>
  </si>
  <si>
    <t>Total</t>
  </si>
  <si>
    <t>Salario Mensual</t>
  </si>
  <si>
    <t>Cargo</t>
  </si>
  <si>
    <t>Aporte al I.E.E.S</t>
  </si>
  <si>
    <t>Número de empleados</t>
  </si>
  <si>
    <t>Salario Anual</t>
  </si>
  <si>
    <t>Salario Liquido Anual</t>
  </si>
  <si>
    <t>Décimo Tercer Sueldo</t>
  </si>
  <si>
    <t>Décimo Cuarto Sueldo</t>
  </si>
  <si>
    <t>Fondo de Reserva</t>
  </si>
  <si>
    <t xml:space="preserve">Personal </t>
  </si>
  <si>
    <t>Salario Basico Unificado</t>
  </si>
  <si>
    <t>Vacaciones</t>
  </si>
  <si>
    <t>IECE 0,5%</t>
  </si>
  <si>
    <t>SECAP 0,5%</t>
  </si>
  <si>
    <t>GASTOS SERVICIOS BÁSICOS</t>
  </si>
  <si>
    <t>Concepto</t>
  </si>
  <si>
    <t>Mensual</t>
  </si>
  <si>
    <t>Anual</t>
  </si>
  <si>
    <t>Teléfonos</t>
  </si>
  <si>
    <t>Electricidad</t>
  </si>
  <si>
    <t>Agua</t>
  </si>
  <si>
    <t>Total Serv. Básicos</t>
  </si>
  <si>
    <t xml:space="preserve">GASTOS GENERALES </t>
  </si>
  <si>
    <t>Gastos mantenimiento de equipo y oficina</t>
  </si>
  <si>
    <t>Gastos de seguro</t>
  </si>
  <si>
    <t>Suministros de Oficina</t>
  </si>
  <si>
    <t>Imprevistos 5%</t>
  </si>
  <si>
    <t xml:space="preserve">Materia Prima </t>
  </si>
  <si>
    <t>Total Gastos Generales</t>
  </si>
  <si>
    <t>GASTOS DE ALQUILER</t>
  </si>
  <si>
    <t>Año 1</t>
  </si>
  <si>
    <t>Año 2</t>
  </si>
  <si>
    <t>Año 3</t>
  </si>
  <si>
    <t>Año 4</t>
  </si>
  <si>
    <t>Año 5</t>
  </si>
  <si>
    <t>Oficina</t>
  </si>
  <si>
    <t>Total Alquiler</t>
  </si>
  <si>
    <t xml:space="preserve">Flyers </t>
  </si>
  <si>
    <t>Mailing Masivo</t>
  </si>
  <si>
    <t>Acciones de Lanzamiento</t>
  </si>
  <si>
    <t>MEDIOS</t>
  </si>
  <si>
    <t>CANTIDAD</t>
  </si>
  <si>
    <t>PRECIO</t>
  </si>
  <si>
    <t xml:space="preserve">Mailing masivo </t>
  </si>
  <si>
    <t>Letrero Acrilico Led</t>
  </si>
  <si>
    <t>Flyers a5</t>
  </si>
  <si>
    <t>TOTAL</t>
  </si>
  <si>
    <t>Acciones  mantenimiento</t>
  </si>
  <si>
    <t>GASTOS DE PUBLICIDAD</t>
  </si>
  <si>
    <t>Detalle</t>
  </si>
  <si>
    <t>Cantidad</t>
  </si>
  <si>
    <t>Precio Unitario</t>
  </si>
  <si>
    <t>Valor Mensual</t>
  </si>
  <si>
    <t>Valor Anual</t>
  </si>
  <si>
    <t>Jabon (Unidades)</t>
  </si>
  <si>
    <t>Cloro (Litro)</t>
  </si>
  <si>
    <t>Escobas (Unidades)</t>
  </si>
  <si>
    <t>Trapeador (Unidades)</t>
  </si>
  <si>
    <t>Esponjas (Unidades)</t>
  </si>
  <si>
    <t>Detergentes (Unidades)</t>
  </si>
  <si>
    <t>Suministros de limpieza</t>
  </si>
  <si>
    <t>SUMINISTRO DE LIMPIEZA</t>
  </si>
  <si>
    <t>Resmas de hojas tamaño A4</t>
  </si>
  <si>
    <t>Plumas Bic (negras y rojas)</t>
  </si>
  <si>
    <t>Lápices Bic</t>
  </si>
  <si>
    <t xml:space="preserve">Saca punta </t>
  </si>
  <si>
    <t>Borrador</t>
  </si>
  <si>
    <t>Grapadora</t>
  </si>
  <si>
    <t>Cajas de grapa</t>
  </si>
  <si>
    <t>Saca grapa</t>
  </si>
  <si>
    <t>Perforadora</t>
  </si>
  <si>
    <t>Pizarra Acrilica</t>
  </si>
  <si>
    <t>Marcadores de pizarra</t>
  </si>
  <si>
    <t>Borrador acrílico</t>
  </si>
  <si>
    <t>Folders</t>
  </si>
  <si>
    <t>Carpetas y vinchas (50)</t>
  </si>
  <si>
    <t>Valor Unitario</t>
  </si>
  <si>
    <t>Toallas Microfibra</t>
  </si>
  <si>
    <t>Protector UV ml.</t>
  </si>
  <si>
    <t>Shampoo ml</t>
  </si>
  <si>
    <t>Shampoo para neumaticos ml</t>
  </si>
  <si>
    <t>COSTOS VARIABLES</t>
  </si>
  <si>
    <t>COSTOS VARIABLES PROYECTADOS</t>
  </si>
  <si>
    <t>Total Anual</t>
  </si>
  <si>
    <t>Depreciación</t>
  </si>
  <si>
    <t>Gastos Basicos</t>
  </si>
  <si>
    <t>Gasto de Publicidad</t>
  </si>
  <si>
    <t>Gastos de Sueldos y Salarios</t>
  </si>
  <si>
    <t>Activo</t>
  </si>
  <si>
    <t>Valor Contable</t>
  </si>
  <si>
    <t>Vida Contable</t>
  </si>
  <si>
    <t>Depreciación Anual</t>
  </si>
  <si>
    <t>Años Depreciandos</t>
  </si>
  <si>
    <t>Depreciación Acumulada</t>
  </si>
  <si>
    <t>Valor en Libros</t>
  </si>
  <si>
    <t>-</t>
  </si>
  <si>
    <t>Muebles y Enseres</t>
  </si>
  <si>
    <t>Equipo de Computacion</t>
  </si>
  <si>
    <t>Equipo de Oficina</t>
  </si>
  <si>
    <t>Vehiculo</t>
  </si>
  <si>
    <t>Gastos de Constitucion</t>
  </si>
  <si>
    <t>Valor de Desecho</t>
  </si>
  <si>
    <t>Carritos Moviles</t>
  </si>
  <si>
    <t>COSTOS FIJOS</t>
  </si>
  <si>
    <t>SUMINISTRO DE OFICINA</t>
  </si>
  <si>
    <t>MATERIA PRIMA DIRECTA</t>
  </si>
  <si>
    <t>GASTOS DE SUELDO Y SALARIO</t>
  </si>
  <si>
    <t>*</t>
  </si>
  <si>
    <t>Alquiler</t>
  </si>
  <si>
    <t>VAN</t>
  </si>
  <si>
    <t>Años</t>
  </si>
  <si>
    <t>Ingresos</t>
  </si>
  <si>
    <t xml:space="preserve">Balance de Personal </t>
  </si>
  <si>
    <t xml:space="preserve"># </t>
  </si>
  <si>
    <t>Unitaria</t>
  </si>
  <si>
    <t>Secretarias</t>
  </si>
  <si>
    <t>GASTOS DE SUELDO Y SALARIO PROYECTADO</t>
  </si>
  <si>
    <t>Mantenimiento de Camionetas</t>
  </si>
  <si>
    <t>Balance de Maquinarias</t>
  </si>
  <si>
    <t>Maquinarias</t>
  </si>
  <si>
    <t>Costo Unitario</t>
  </si>
  <si>
    <t>Costo Total</t>
  </si>
  <si>
    <t>Vida útil</t>
  </si>
  <si>
    <t>Valor de desecho</t>
  </si>
  <si>
    <t>Carros de servicio de lavado</t>
  </si>
  <si>
    <t>Implementos</t>
  </si>
  <si>
    <t>Inversión total en maquinaria ($)</t>
  </si>
  <si>
    <t>Computadoras</t>
  </si>
  <si>
    <t>Radios</t>
  </si>
  <si>
    <t>Escritorios</t>
  </si>
  <si>
    <t>Sillas de espera</t>
  </si>
  <si>
    <t>Sillas con manubrio</t>
  </si>
  <si>
    <t>Silla Gerencial</t>
  </si>
  <si>
    <t>Mesa</t>
  </si>
  <si>
    <t>Aire Acondicionado</t>
  </si>
  <si>
    <t>Lector de tarjeta de crédito</t>
  </si>
  <si>
    <t>Balance de Obras Físicas</t>
  </si>
  <si>
    <t>Rubro</t>
  </si>
  <si>
    <t>Instalaciones eléctricas</t>
  </si>
  <si>
    <t>Lineas telefónicas</t>
  </si>
  <si>
    <t>Oficinas</t>
  </si>
  <si>
    <t>Copiadora impresora</t>
  </si>
  <si>
    <t>Información de tasas para Máquinas de Limpieza en Seco</t>
  </si>
  <si>
    <t>Cálculo de impuestos de Aduana</t>
  </si>
  <si>
    <t>Gasto de Constitución</t>
  </si>
  <si>
    <t>Código de Producto (TNAN)</t>
  </si>
  <si>
    <t>Total Valor de Inversión</t>
  </si>
  <si>
    <t>Patente</t>
  </si>
  <si>
    <t>Antidumping</t>
  </si>
  <si>
    <t>FDI (0.5%)</t>
  </si>
  <si>
    <t>Permiso / Funcionamiento</t>
  </si>
  <si>
    <t>Advalorem</t>
  </si>
  <si>
    <t>IVA (12%)</t>
  </si>
  <si>
    <t>Organización / Puesta en Marcha</t>
  </si>
  <si>
    <t>FDI</t>
  </si>
  <si>
    <t>Agente Aduana</t>
  </si>
  <si>
    <t>Matrícula de Comercio</t>
  </si>
  <si>
    <t>ICE</t>
  </si>
  <si>
    <t>R.U.C.</t>
  </si>
  <si>
    <t>IVA</t>
  </si>
  <si>
    <t>Salvaguardia por Porcentaje</t>
  </si>
  <si>
    <t>Gastos Legalización</t>
  </si>
  <si>
    <t>Salvaguardia por Valor</t>
  </si>
  <si>
    <t>Aplicación Salvaguardia por Valor</t>
  </si>
  <si>
    <t>Techo Consolidado</t>
  </si>
  <si>
    <t>Incremento ICE</t>
  </si>
  <si>
    <t>Afecto a Derecho Específico</t>
  </si>
  <si>
    <t>Unidad de Medida</t>
  </si>
  <si>
    <t>Unidades (UN)</t>
  </si>
  <si>
    <t>Observaciones</t>
  </si>
  <si>
    <t>Diferimiento a 0% adv D.E. 1214, R.O. 399 08/08/08</t>
  </si>
  <si>
    <t>Es Producto Perecible</t>
  </si>
  <si>
    <t>NO</t>
  </si>
  <si>
    <t>Tabla de Inversión Total Requerida</t>
  </si>
  <si>
    <t>Alquiler + Garantía</t>
  </si>
  <si>
    <t>Maquinaria</t>
  </si>
  <si>
    <t>Obras Físicas</t>
  </si>
  <si>
    <t>Balance de Equipos</t>
  </si>
  <si>
    <t>Mes 1</t>
  </si>
  <si>
    <t>Mes 2</t>
  </si>
  <si>
    <t>Mes 3</t>
  </si>
  <si>
    <t>Mes 4</t>
  </si>
  <si>
    <t>Mes 5</t>
  </si>
  <si>
    <t>Mes 6</t>
  </si>
  <si>
    <t>Mes 7</t>
  </si>
  <si>
    <t>Mes 8</t>
  </si>
  <si>
    <t>Mes 9</t>
  </si>
  <si>
    <t>Mes 10</t>
  </si>
  <si>
    <t>Mes 11</t>
  </si>
  <si>
    <t>Mes 12</t>
  </si>
  <si>
    <t>Costos de ventas</t>
  </si>
  <si>
    <t>Gastos de Publicidad</t>
  </si>
  <si>
    <t>Egresos</t>
  </si>
  <si>
    <t>Saldo Mensual</t>
  </si>
  <si>
    <t>Saldo Acumulado</t>
  </si>
  <si>
    <t>Capital de Trabajo</t>
  </si>
  <si>
    <t>Enero</t>
  </si>
  <si>
    <t>Febrero</t>
  </si>
  <si>
    <t>Marzo</t>
  </si>
  <si>
    <t>Abril</t>
  </si>
  <si>
    <t>Mayo</t>
  </si>
  <si>
    <t>Junio</t>
  </si>
  <si>
    <t>Julio</t>
  </si>
  <si>
    <t>Agosto</t>
  </si>
  <si>
    <t>Septiembre</t>
  </si>
  <si>
    <t>Octubre</t>
  </si>
  <si>
    <t>Noviembre</t>
  </si>
  <si>
    <t>Diciembre</t>
  </si>
  <si>
    <t>Frecuencia de Compra Mensual</t>
  </si>
  <si>
    <t>Cantidad Demanda</t>
  </si>
  <si>
    <t>Precio</t>
  </si>
  <si>
    <t>Ingreso Mensual</t>
  </si>
  <si>
    <t>Ingreso Anual</t>
  </si>
  <si>
    <t>Ingreso Mensual Promedio</t>
  </si>
  <si>
    <t>Mano de Obra</t>
  </si>
  <si>
    <t>Gastos Generales</t>
  </si>
  <si>
    <t>suma</t>
  </si>
  <si>
    <t>Gastos de Alquiler</t>
  </si>
  <si>
    <t>BALANCE INICIAL</t>
  </si>
  <si>
    <t>ACTIVOS</t>
  </si>
  <si>
    <t>PASIVOS</t>
  </si>
  <si>
    <t>Activos Circulantes</t>
  </si>
  <si>
    <t>Pasivo Diferido</t>
  </si>
  <si>
    <t>Prestamo a Largo Plazo</t>
  </si>
  <si>
    <t>Total Pasivos</t>
  </si>
  <si>
    <t>Activos Fijos</t>
  </si>
  <si>
    <t>PATRIMONIO</t>
  </si>
  <si>
    <t>Capital Propio</t>
  </si>
  <si>
    <t>Maquinarias y Equipos</t>
  </si>
  <si>
    <t>Total Patrimonio</t>
  </si>
  <si>
    <t>Activos Diferidos</t>
  </si>
  <si>
    <t>Permiso de funcionamiento</t>
  </si>
  <si>
    <t>Organización y Puesta en Marcha</t>
  </si>
  <si>
    <t>Total Activos</t>
  </si>
  <si>
    <t>Total Pasivos y Patrimonio</t>
  </si>
  <si>
    <t>Estructura de Financiamiento</t>
  </si>
  <si>
    <t>Porcentaje de Apalancamiento</t>
  </si>
  <si>
    <t>Préstamo</t>
  </si>
  <si>
    <t>Vehículos</t>
  </si>
  <si>
    <t>Gasto Legalización</t>
  </si>
  <si>
    <t>Matrícula Comercio</t>
  </si>
  <si>
    <t>Aportacion de cada Inversionista</t>
  </si>
  <si>
    <t>METODO CONTABLE</t>
  </si>
  <si>
    <t>Valor de Compra</t>
  </si>
  <si>
    <t>DEP ANUAL</t>
  </si>
  <si>
    <t>Años Depreciados</t>
  </si>
  <si>
    <t>Ventas</t>
  </si>
  <si>
    <t>rf</t>
  </si>
  <si>
    <t>Enero-09-2012</t>
  </si>
  <si>
    <t>Fecha</t>
  </si>
  <si>
    <t>Valor</t>
  </si>
  <si>
    <t>Diciembre-31-2011</t>
  </si>
  <si>
    <t>Enero-08-2012</t>
  </si>
  <si>
    <t>Enero-07-2012</t>
  </si>
  <si>
    <t>Enero-06-2012</t>
  </si>
  <si>
    <t>Enero-05-2012</t>
  </si>
  <si>
    <t>Enero-04-2012</t>
  </si>
  <si>
    <t>Enero-03-2012</t>
  </si>
  <si>
    <t>Enero-02-2012</t>
  </si>
  <si>
    <t>Enero-01-2012</t>
  </si>
  <si>
    <t>Diciembre-30-2011</t>
  </si>
  <si>
    <t>Diciembre-29-2011</t>
  </si>
  <si>
    <t>Diciembre-28-2011</t>
  </si>
  <si>
    <t>Diciembre-27-2011</t>
  </si>
  <si>
    <t>Diciembre-26-2011</t>
  </si>
  <si>
    <t>Diciembre-25-2011</t>
  </si>
  <si>
    <t>Diciembre-24-2011</t>
  </si>
  <si>
    <t>Diciembre-23-2011</t>
  </si>
  <si>
    <t>Diciembre-22-2011</t>
  </si>
  <si>
    <t>Diciembre-21-2011</t>
  </si>
  <si>
    <t>Diciembre-20-2011</t>
  </si>
  <si>
    <t>Diciembre-19-2011</t>
  </si>
  <si>
    <t>Diciembre-18-2011</t>
  </si>
  <si>
    <t>Diciembre-17-2011</t>
  </si>
  <si>
    <t>Diciembre-16-2011</t>
  </si>
  <si>
    <t>Diciembre-15-2011</t>
  </si>
  <si>
    <t>Diciembre-14-2011</t>
  </si>
  <si>
    <t>Diciembre-13-2011</t>
  </si>
  <si>
    <t>Diciembre-12-2011</t>
  </si>
  <si>
    <t>Diciembre-11-2011</t>
  </si>
  <si>
    <t>Maximo</t>
  </si>
  <si>
    <t>Minimo</t>
  </si>
  <si>
    <t xml:space="preserve">tiempo </t>
  </si>
  <si>
    <t>kd</t>
  </si>
  <si>
    <t>AMORTIZACION DE DEUDA</t>
  </si>
  <si>
    <t>PAGO</t>
  </si>
  <si>
    <t>K</t>
  </si>
  <si>
    <t>I</t>
  </si>
  <si>
    <t>SALDO</t>
  </si>
  <si>
    <t>precio</t>
  </si>
  <si>
    <t>Incremento</t>
  </si>
  <si>
    <t>Impuestos (23%)</t>
  </si>
  <si>
    <t>Depreciación y amort (+)</t>
  </si>
  <si>
    <t>Margen bruto</t>
  </si>
  <si>
    <t>Costos de vtas</t>
  </si>
  <si>
    <t>Gastos Operativos</t>
  </si>
  <si>
    <t>Gastos de Servicios Basicos</t>
  </si>
  <si>
    <t>Gastos de suministros</t>
  </si>
  <si>
    <t>Total Gastos operativos</t>
  </si>
  <si>
    <t>Utilidad Operacional</t>
  </si>
  <si>
    <t xml:space="preserve">Depreciación y amort </t>
  </si>
  <si>
    <t>Intereses sobre prestamos</t>
  </si>
  <si>
    <t>Utilidad antes de Partcip. e Impto.</t>
  </si>
  <si>
    <t>15% Participación de Trabajadores</t>
  </si>
  <si>
    <t>Utilidad antes Impto a la Renta</t>
  </si>
  <si>
    <t>Utilidad Neta</t>
  </si>
  <si>
    <t>Pago de Capital</t>
  </si>
  <si>
    <t>(-) Inversion Inicial</t>
  </si>
  <si>
    <t>Flujo del accionista</t>
  </si>
  <si>
    <t>(-) Capital de Trabajo</t>
  </si>
  <si>
    <t>(+) Prestamo</t>
  </si>
  <si>
    <t>Recuperacion capital de trabajo</t>
  </si>
  <si>
    <t>Flujo total</t>
  </si>
  <si>
    <t>TMAR</t>
  </si>
  <si>
    <t>TIR</t>
  </si>
  <si>
    <t>USD DIARIOS</t>
  </si>
  <si>
    <t>pay back (periodo de recuperacion)</t>
  </si>
  <si>
    <t>nominal</t>
  </si>
  <si>
    <t>descontado</t>
  </si>
  <si>
    <t>acumulado</t>
  </si>
  <si>
    <t>*  Costos Fijos</t>
  </si>
  <si>
    <t>FRECUENCIA DE COMPRA</t>
  </si>
  <si>
    <t>Total ($)</t>
  </si>
  <si>
    <t>Counter</t>
  </si>
  <si>
    <t>CAPITAL DE TRABAJO</t>
  </si>
  <si>
    <t>Equipos de Computación</t>
  </si>
  <si>
    <t>Equipos de oficina</t>
  </si>
  <si>
    <t>Mueble de oficina</t>
  </si>
  <si>
    <t>Punto de Equilibrio %</t>
  </si>
  <si>
    <t>Descripción</t>
  </si>
  <si>
    <t>Costo Fijo</t>
  </si>
  <si>
    <t>Costo Variable</t>
  </si>
  <si>
    <t>P.E</t>
  </si>
  <si>
    <t>Punto de Equilibrio $</t>
  </si>
  <si>
    <t xml:space="preserve"> Flujo de Caja</t>
  </si>
  <si>
    <t>CV</t>
  </si>
  <si>
    <t>MENSUAL</t>
  </si>
  <si>
    <t xml:space="preserve">Demanda Anual </t>
  </si>
  <si>
    <t>ESTIMACIÓN DE LA DEMANDA</t>
  </si>
  <si>
    <t>POBLACION DAULE</t>
  </si>
  <si>
    <t>POBLACIÓN SAMBORONDÓN</t>
  </si>
  <si>
    <t>PEA DAULE</t>
  </si>
  <si>
    <t>PEA  SAMBORONDON</t>
  </si>
  <si>
    <t>PEA  PROMEDIO</t>
  </si>
  <si>
    <t>% ACEPTACIÓN</t>
  </si>
  <si>
    <t>TOTAL ACEPTACIÓN</t>
  </si>
  <si>
    <t>CLASE MEDIA ALTA</t>
  </si>
  <si>
    <t>CLASE ALTA</t>
  </si>
  <si>
    <t>MERCADO OBJETIVO</t>
  </si>
  <si>
    <t>FACTOR CONSERVADOR</t>
  </si>
  <si>
    <t>POBLACION OBJETIVO</t>
  </si>
  <si>
    <t>%  CAPTACIÓN</t>
  </si>
  <si>
    <t>DEMANDA ANUAL</t>
  </si>
  <si>
    <t>DEMANDA MENSUAL</t>
  </si>
  <si>
    <t>DEMANDA DIARIA</t>
  </si>
  <si>
    <t>Matricula y Soat (1)</t>
  </si>
  <si>
    <t>desifectante (Litro)</t>
  </si>
  <si>
    <t>Cartuchos de impresora laser</t>
  </si>
  <si>
    <t>Cepillos (3)</t>
  </si>
  <si>
    <t>ANUAL</t>
  </si>
  <si>
    <t>DEPRECIACIÓN  Y AMORTIZACIÓN (5 carros móviles)</t>
  </si>
  <si>
    <t>Depreciacion y Amortización Anual</t>
  </si>
  <si>
    <t>Demanda Diaria</t>
  </si>
  <si>
    <t>Suministros Varios</t>
  </si>
  <si>
    <t xml:space="preserve">Maquinarias </t>
  </si>
  <si>
    <t>Gasto de Pub. Lanzamiento</t>
  </si>
  <si>
    <t>y</t>
  </si>
  <si>
    <t>x</t>
  </si>
  <si>
    <t>Date</t>
  </si>
  <si>
    <t>DATOS</t>
  </si>
  <si>
    <t>B apal de regresion</t>
  </si>
  <si>
    <t>Endeudamiento</t>
  </si>
  <si>
    <t>Patrimonio</t>
  </si>
  <si>
    <t>Beta desap</t>
  </si>
  <si>
    <t>Riesgo pais</t>
  </si>
  <si>
    <t>Prima de riesgo</t>
  </si>
  <si>
    <t>% de deuda</t>
  </si>
  <si>
    <t>% de patrimonio</t>
  </si>
  <si>
    <t>T</t>
  </si>
  <si>
    <t>Beta apal</t>
  </si>
  <si>
    <t>ke</t>
  </si>
  <si>
    <t>WACCdi</t>
  </si>
  <si>
    <t>riesgo Pais</t>
  </si>
  <si>
    <t>Estadísticas de la regresión</t>
  </si>
  <si>
    <t>Coeficiente de correlación múltiple</t>
  </si>
  <si>
    <t>Coeficiente de determinación R^2</t>
  </si>
  <si>
    <t>R^2  ajustado</t>
  </si>
  <si>
    <t>Error típico</t>
  </si>
  <si>
    <t>ANÁLISIS DE VARIANZA</t>
  </si>
  <si>
    <t>Grados de libertad</t>
  </si>
  <si>
    <t>Suma de cuadrados</t>
  </si>
  <si>
    <t>Promedio de los cuadrados</t>
  </si>
  <si>
    <t>F</t>
  </si>
  <si>
    <t>Valor crítico de F</t>
  </si>
  <si>
    <t>Regresión</t>
  </si>
  <si>
    <t>Residuos</t>
  </si>
  <si>
    <t>Coeficientes</t>
  </si>
  <si>
    <t>Estadístico t</t>
  </si>
  <si>
    <t>Probabilidad</t>
  </si>
  <si>
    <t>Inferior 95%</t>
  </si>
  <si>
    <t>Superior 95%</t>
  </si>
  <si>
    <t>Inferior 95,0%</t>
  </si>
  <si>
    <t>Superior 95,0%</t>
  </si>
  <si>
    <t>Intercepción</t>
  </si>
  <si>
    <t>Variable X 1</t>
  </si>
  <si>
    <t xml:space="preserve">Empresas de Estados Unidos </t>
  </si>
  <si>
    <t>Chevrolet Luv D</t>
  </si>
  <si>
    <t>Impuestos (22%)</t>
  </si>
  <si>
    <t>Demanda Promedio Mensual</t>
  </si>
  <si>
    <t>Demanda Proyectada</t>
  </si>
  <si>
    <t>Total Costos Variables</t>
  </si>
  <si>
    <t xml:space="preserve">CAPACIDAD DE PRODUCCIÓN </t>
  </si>
  <si>
    <t>OPCIÓN TECNOLOGÍA 
Coches de Servicio</t>
  </si>
  <si>
    <t>CAPACIDAD DE LAVADA</t>
  </si>
  <si>
    <t>COSTO FIJO</t>
  </si>
  <si>
    <t xml:space="preserve">INVERSIÓN </t>
  </si>
  <si>
    <t>DEPRECIACIÓN  Y AMORTIZACIÓN (10 carros móviles)</t>
  </si>
  <si>
    <t>DEPRECIACIÓN  Y AMORTIZACIÓN (15 carros móviles)</t>
  </si>
  <si>
    <t>FLUJO DE CAJA - CAPACIDAD 5  CARRITOS MOVILES</t>
  </si>
  <si>
    <t>FLUJO DE CAJA - CAPACIDAD 10  CARRITOS MOVILES</t>
  </si>
  <si>
    <t>FLUJO DE CAJA - CAPACIDAD 15  CARRITOS MOVILES</t>
  </si>
  <si>
    <t>precio minimo</t>
  </si>
  <si>
    <t>% max de costo de vta permitido</t>
  </si>
  <si>
    <t>$E$39</t>
  </si>
  <si>
    <t>Resumen de escenario</t>
  </si>
  <si>
    <t>Celdas cambiantes:</t>
  </si>
  <si>
    <t>Valores actuales:</t>
  </si>
  <si>
    <t>Celdas de resultado:</t>
  </si>
  <si>
    <t>Notas: La columna de valores actuales representa los valores de las celdas cambiantes</t>
  </si>
  <si>
    <t>en el momento en que se creó el Informe resumen de escenario. Las celdas cambiantes de</t>
  </si>
  <si>
    <t>cada escenario se muestran en gris.</t>
  </si>
  <si>
    <t>$G$39</t>
  </si>
  <si>
    <t>Tmar max para VAN =0</t>
  </si>
  <si>
    <t>1 años y 106 dias</t>
  </si>
  <si>
    <t>1 años y 182 dias</t>
  </si>
  <si>
    <t>N° DIAS</t>
  </si>
  <si>
    <t>% COSTO DE VENTA</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</si>
  <si>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</si>
  <si>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</si>
  <si>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</si>
  <si>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</si>
  <si>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</si>
  <si>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</si>
  <si>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</si>
  <si>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</si>
  <si>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</si>
  <si>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</si>
  <si>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</si>
  <si>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</si>
  <si>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3afef2ef-4015-4888-809f-ed7a807941a3</t>
  </si>
  <si>
    <t>CB_Block_0</t>
  </si>
  <si>
    <t>㜸〱敤㕣㕤㙣ㅣ搷㜵摥ㄹ㜲㤷㍢㑢慥㐸㡢戲㙣㌹㡥挳挴㜶攲㠴挲㐶㤴慤捡㑡慡挸晣ㄱ㈵挶㤴㐸㙢㈹㈹㑥㥣㔰挳摤ㄹ㜲慣㥤㔹㙡㘶㐸㠹㠹㕢扢愹㤳搴㑤搲〷愳㑤攳晣㌹㐹㤱㠷扥㈴〸摡㍡㑤敢㍣〴㙤搱㈰㜰㡡㍥〴〱昲㔰挰つ㡣昶愱㐵㈱愰㉦㝥〸㤰㝥摦戹㌳扢戳㑢敥㤰㕥摢㉤㕤㜰攴㍤扣㜳敥扤㌳昷摥昳㝢捦戹攳㡣㤶挹㘴㝥㠳㡢㝦㜹昵戲㜰㘷㜹㈳〸㉤户㌴㔹慦搵慣㑡攸搴扤愰㌴敥晢收挶慣ㄳ㠴㍤㘸㤰㕢㜴㔰ㅦ㘴ㄷ〳攷㤳㔶㝥㜱摤昲〳㌴捡㘶㌲昹扣愱愳㥥て攱㙦㈸扥㌱搸㙢愰ㄷ愰㍣㌹㌱户昴㌸㥥㕡づ敢扥㜵㜸攴㤲敡㝢㜲㙣慣㌴㔶㍡㝡晣㔸改挸攱㤱挹戵㕡戸收㕢㈷㍤㙢㉤昴捤摡攱㤱昹戵愵㥡㔳㜹搸摡㔸愸㕦戵扣㤳搶搲㤱晢㤷捣〷ㅥㅣ㝢攰搸㌱晢挴㠹〷〷昰收捣戹挹㠹㜹摦戲㠳㌷收㤱㔹づ昸㠱㈹慢攲㜰㘶㤶攵㍢摥㜲㘹㜲〲晦㈵㐶㡦扢攳愵昲㡡㘵㠵㝣戳攵㕢㕥挵ちっ㜴散㜷挷㠳㘰捤㕤攵搲ㄹ敥㌴㈶㕡㌱㠳㌰敢㑥㕡戵㥡攱挶㑦捤扢㜳㔸戹㥡戹㌱攰㤶㉤㉦㜰㐲㘷摤〹㌷㜲敥〲ㅥ㔴㉤扡ㄷ〳敢㠲改㉤㕢攷㑤搷捡扡㘷搶㥣㙡慦扡㌲㍤敦㠹ㅦ㤱ㅣ㤸捣扥㌴ㅥ戸㤳㉢愶㉦㈳ち戸㉥㈹㙤愷晤㑡㙢摢扢㍢㍦㤷㐳㤷㌷昰㤹昷㜶㙥㠷㥡㑢愶摦㘸㌹摡戹㘵㌴昹搶ㄱ扣扦㜳晢挴ㅡ戵昶㜹㙦攷㍥戲㤴慤慤戵晥㠸扢㘵㐵㌱ㄹ㈳㐷搰㐷㤰㈷㈰〱㡤〲㐱㍦挱〰㠰搶晢摦㤰㤱㘴㐷㔶改㡢愶扥戸愴㉦㔶昴挵慡扥㘸改㡢戶扥戸慣㉦慥攸㡢㡥扥昸戸扥㜸ㄵ㙤攲㉢摦搷愷㐷㔷昱攰昳挷㕦㌹晥捡散搳摦㤹㕥㜹收搵㝤㈳〳晢搰攸㤱㘸㔰㔳扥㜹ㅤ慣搶㘴攲愳愵㈳晣户扤㔰㐰㈶散㘳昶㜱㝢㙣慣㝡散㠸㜹扦㤹攵戴㔲㠸摦挲㈸㐳㘸㍢㘰㕦㜶扣㙡晤扡搰敥捥〹㌳戰㥡ぢ㌷ㅡ搵㑤搴搷扣㙡昰戶慤㉢换愱ㄹ㕡㜷戴搷㌵ㅦ戲愹㕢ㄹ㘲㘵〵昲扥扢摡扢㕤㌲㙢㙢搶昸つ㐷㔵扦扤慤摡㥤昷敢㑢㥤㙢愷㝤敢㕡愳㜶搳㠸挶愱搲搶攵搹㥢㘶愹慡搴戸㐶㈶㔷敡㠱攵挹昰㐶摤㜹愷㜲搵昲换ㄶㄵ愲㔵㤵愹摥捡慡㐸敡㐷攷㍣㑣ㄴ搲㕡㝤㔷ㄲ㙢㥦扥ㄱ㐲㤸慤㉡挶扢㙡昹攱挶㠲戹㔴戳づ戶㌴㔱敦㐴挵愱ㄶ昴㜴扤戲ㄶ㑣搶扤搰慦搷㕡㙢挶慢敢㈶㌴㑤昵㕣扤㙡昵昶㘶㐴㈹㐰摤昶昴㘸㕡收㝤㥤㘵㐱〸㤱㈰㌱〵昹昶㔶戶㉢㕤挰散㌰㡢㥡㐵㥥搴敦搹收㘱ㅣ慦攸㤸ㄴ〹㑣捣㠹搶㠳㉦扤㙦㥢挷㌶㈸昷收㌶搶昵攱㘸昶愷搷㉤㉦㍣㙢㝡搵㥡攵愷摡㍥㡤㈳㌲〶〱戲㌷愱㄰㍡慥ㅥつ㥤㜶㐳摢挸㕥㜷慡攱㑡㙥挵㜲㤶㔷㐲攰㘰ㅦ昳㜹㉥敤愶换戸〵㈸㘳㍦挱㌰㐰愱㤰挹ㅤ㘰愳㕣〱㔷㈶㑢敤㤴㈲换㉤㡡㥣晤㕡㘴㜹挰㥥㜶㙡愱愵㤴昲愰つ㡡㈸慢㈶攴㉢㤲㐵㝤戳愲っ挶〱㝢ㄲ㕣㙡㍡㕥戸搱㤴摢㑤㔲愲㤸㘸㑦ㄷ散㍡㕤㐰㔵搰慡て㔲㘴つ㑣搳愶つ搲ㅢ㈷㤸㠸㘲㤰㘲搹昱攴㔶㈶㘳晢ㄴㅤ㠱昶㐹㈶㘴敢㈳㥤㜵〴㤹㝤㌳㤳戲㔳㐷㜹摣搳㘶㕢㜹昲㑡㥢摤㡡㠵㌳づㄲ摣㐶㜰㍢挱㈱〰敤摦愰攱愸攵㔰㙥扤㡣户攱摥戸㤳攰敤〰搰㑦〶㜵㑥愴慡攸㐳敤挴㡦㘴扢㈲晣㘴㜱㡡㤵㉡愲㘷摣昰㌳㡢慥㄰㍡昲㍡㜷㠷慤敤ㄵㅢ晢敥捥扣㤹㥣づ㌹㌲愵㘹㜲慥摢㌴㑤㉥〴㥢㜶㘹户摥㠱慥挶〸挱㍢〱㤴㘱愱戳扢㌳㙦㥥敥攴㕢挲㈵㔲㡥㔰㤷挶㍤㘲㘲扡晦㈹ち㙥搳搶㘵捦㝦愶㉢㌸㙡扦攵晤攷挳㥤㘵㍢㈲㝡㥢捤摣戳㌹㡣ㄴ扤㐶て晡㕤㄰㉦敤㕦㍡摡㤷㝢㔰㙤摣㑢昰㙥㠰㌶晢挲㥤昷㙢㡤ㄲ㠸㑢散㈶㈸户㥦ㄱㄷ昱㜰ㄷ㌶㔶㉤戱㍥〳昶㠲改㉦㕢㈱愲ㄷ㌳㔳昰㠳敢扥㙦搵戰愱慤ち㠲㝢㤷摢㕡㤱挱戴㕦㜷㠹摦昳㡦㠳户㠴㘱攸敤搵㝢㌲㙤晥㜱㡡㥦㤹㠸㌷㈵㌸㠷昶昷晥捥㑡㈲搱愹㤵扤搸㉦㝤㙦戹愷㐹扡搰㈴昷㘱㔹㡤昷〲㐰㑢㘸扦攸愸㔱㐶搹散戰㌴㙢昵㔶ㄹ摤㑢搹㤹戴挵て㌷改㤱㝥ㄵ慣㥤㐰散㈰㈸扡㘵挷㙤㈸㡢㝥㜷摥昲㉢㠸㉢㌸㌵慢愰㐲戲㔴㌵㝢扡攲㉤愲㉢㝡㝡㌶敤愵㔳㘲㙢挲㈷㙤㕡㈲㔵摡㔳㉢㔳昶攱㑤愶㘲〸㤲㑡㈵㈵㉣搴搰㐰攴㍣戶摤㔳㌱㕤愸㤸ㄲㄶ捥㜸㍦挱ㄱ㠲㌱㠰散㍦㐱搳散㜴攱㤹〸敢㕢㘷㌸㝢㜱㌱㤳㈷ㄹ㈴㍣昸戳㡥捡敡〱扥收ㄸ挱㙦〱戴戹㍦っ㍥愶㌰愲㤰㍣挱㠸昴㤶っ晢㤲㘳㕤㈷て散戳㤱㔴㥡㕣ぢ挲扡换慣㔲搱㥥慡㥦慦㠷㔳㑥戰㡡㉣搴戰ㅤㄵ㉥慦㔸ㅥ戸换㠷敦搳㠶慢慦慥㕡㔵挳㉥搷搷愰摡㘶愶㜶挳愶ㅣ昳㠳㉦㈹晢㜲㕤挳搵摤摥ㄸ㡦搰㘴㐷㡣㔸㉢㈳戱㍢㡡㝣㜳搳㌷搸㕣搱〵㈷慣㔹晤戶ㄲ㍡㤶昳㌶㔶ㄱ㔹㠳㙡㥦扤戰攲㕢搶㔴搱㍥攳㍢搵㥡攳㔹㈴〶㝣㑣㈶敡㘶慤㘵㘴〸收敢捣晦搵扤愲扤攰㥢㕥戰㙡㌲㤹戸戱扦攵㑥㔲㈲㔹㝢挲昱〲扣㐶愸挸昲愰㕤㕥愹㕦㐷慥㜶捤昵捥㤸慢挱慥愰ち㤹㕥㕤㐲ㅡ㑤搷㜴㕤换敢昹㙥改挳つ㜹㈶㜳ㄴ扦㕥〲愱㔵㈶换㜸㜹㡡昵愶㕦ㅦ攵㘷攸愷㜳㑣〳挸ㅣ㌵㤰㍤愹㕡㤸㤲㙡㍣挸㍥㈷〰㘶捥㕣㥣㘹㘶攵㕥㑦戶㍡换〰㝦㡡㡡ㄷ慥㘸攴㐰ㄸ㥥摢愷㌸㠵㌸㌲づ〴㄰〴攷㕤㍢昷ㄵ㙣㘹㐳收摢搷㉣㑥㈳㠹㌴㘰捦㥡㑢㔶つ愹㘸搷っ昷愹ㅢ㝡戱慥㔹ぢ愲扡挹扡敢㥡攴㉣㜲㘵戹㘲㤲㠱挷搷挲晡㌹挷㌳㙣〰㘱扦〸㘵摥〰捡扣㈱愸〱晢〲戳㠲㔲收戳敡换愶敦㠴㉢慥㔳挹昳㠶㤹扢㕤挱㤲㤰㜱㉡摥昸㡡㔵挶㐸㥢㌳㝦ㄱㅥ㕢㔰〲戵㑢㔰愳㕣㍡㔲ㅦ㡣慢㙢㌹晣搳扡㡣㉢㐱扦㐸㤰搴昸㈰㥥㤶㤵㘳ㄱ搰㌸㜲摤㡣て㕦摣㝣ㄲㄸㄵ㤶㈳搵㔳㔸〴〱挱㠴㡥㘷㜴㍢㘷㕦昴㥣㄰搴㈳挵愶㥤㜰㉡〰挹〱㔰㤴摤敤ㅤ㐲搵㐴愷搱㠶㔱㜸挷收慡ㄶ㉢㜱搷收晡愴搹戸㘷㡢㙡㘵㔰ㄲ㜶㘴扢㐶㘲㔸戶ㄸ攳㙥戲㌴㥡搸敤搸搸㘸㘹㔱搳收扡㔳㠹扣づ扢㈴㍣㤳㌱㑥ち愳㈰挷㑢敥㠰㠹㘲戸㍥㥤㍤ㄲ挹ㅡ扡〰〵㥡㈹㠵㉢㐶搹挰ㄹ㥣㌸愹㕡㠵攸づ昲扤㉦㉡捥慤㠵㉤㌵收㡤攱愸㘶扣㔶㥢昳攰㈴㔴㑣扦扡㑢㐴ㅡ㜳㔳〶㐶愴戳㕢攳慦㤶㌷㈱㠸㤱ㄸ㌲㈳㤲ㄲ〶㠶ㄸ㐲戸ㄲ挹㔴㍡㘷㐵㉥㜵〳㥤攷摤㌹换昴㠴〲攵戰㍡㘵慤㡢ㄷ搶㜴攴㠷愵㐳㘳戳㈸㝡搴戰挷㤷〲㔸昴㤰㝡㍣㉡㠹㠰ㅢ昶〵㐶愵㜰㝥〱㙡㌷㉡捤㔷㐲㘴㜵ㅢて攰挶㘰昷㔰〷㉢愲戲㈶㜴捥愸㐱㜳㈹㡣摢㍡〹捡㑥㤷ㄴ㠵㈲戵攵晡慦㔳摡㔷㥥攳昵攷愷㌲㜱㈱ㄲ㈲㘶扡㔲㥣〷㄰㌷㤹㤴愴ㄴつ挷戹㜲愵搹㐴㘹つ挴㌸㝡ㄸ㐵㝡㝣㝥㠸〳㍣㑣㘳つ㔲㙣㙡㌸攰ㄶ㍡戰愶戵㡤㝤昶㡣㔷愹慤㔵㉤㌱挵戱慥ㄶ㡢扣㉢攸㈵㘷晦㤴㌴愵慣㑢戴㈸㌳搸㐹㜱捡㈴㔲昷㙥户昱㈱㜴ㄷ㈵㠷㘷㈸摤挶摣㘳㑡㔴㑥㜲㘱㥢㡥㈸搰㍤摣摦㍣扢㈰攷收愰搲㌶愱愸换㘶㜱ㄴ慦㤱㐰ㄶ㘹㑢㌴㥢慤捦搶改戲㈷㔰㘷ㅤ㠵摡ㄵ㌴挲㍣㤵挲换攵攰㡣㜴㈹ㅤ㝣㐸收㘶㤴搸扤昹愴摣㘶㙥㥥㡡㥣て㡤改㕤㙥㠲㌲㔸㔵〸ㄲ晤㙤扤改㜴㙢㑣晣搲昱㌶ㅥ〲搰㤸〱愶㐳㡢㤶捡挱㤹㐰㜹㝢〷㠷戹挸㤴攴㘸㌲㡦捡ㄴ攵㌰攲昵㈰ㅡ愴㠹晢攸㠵㍡㡣㔰㜸㐰捥㠴挵挷ㄲ㐷㕤散㠰敡晥挱㌶攴扣ㄹ攲攴㡢㜷愸つ㍤㕥慤搲摤㐵㜸㙥㔷㔰ㄵ愷㌶㤴㍢㝡愰敤㍣㤶捣㠹晥摤摤㙤ㄵ搱㌹挱愳㔳愵戳㘶㔸㔹㈹㠷ㅢ敡捣㔶户㉣㤱晤ㄱ挲ㄱ㕢扥㥤㍥㜳慦挷㌳愸敢㕣晢挲㔵慦㝥摤㤳㜱㘵〳ㅥ昸愳ㄷ㙢昴昵㜱㤰㠵捣㙦昰㑦㉥㍤㤳㝤ㄱ㑦摣挹戰昹㠰㘶㝣㠴捦㤱慢㘰㥣挶㕦㝡㍢㈳昸㥢挲㉢昰摦ㅢ㠷〶挸㉢〷摡㜸㐵㤴挱ㅥ戳㜸换㙦ㄸ戳㘸㝦〳搲㤲㘱㐰昰昸㝣㠸㥥搱㝥㠸ㅢㄲㅤ㌴〰攱㡣戳㠴㈰摦㍢昱㌷㠵㝣愲搰愳㔳ㅥ㍣ㄳ昲晦㠷㔲戱㔴㙦㈹㔶晦ぢ㐲慤晤〰挴㄰㌲㠱㈶つ戹搴㕥㘸㈵搳挳ㄱ㤹㤸㤳㝤㑤搹㙦捥㘰㙦摢昹愶㥦昰晤㍦摣㜶㥥〳㠵㜹㠹㘷㠶晣摡㍤㈸㌷ㅣ〳㝤㤳㘳㜰㉦慡挵㌱㌸捦㍥㑣摤㉢挷㈰㡡㝣捣〳戱扤㘳挰㠴㕥㡡晢㤷挸慦㈶㠲ㄹ摣㜷ㅤ㜴ㄹㄵ㍢㡢㤳戶㔶㠰㈴㍥㑣㔵㌰㠹㌸搴㙤㥢搱昳愶㙦扡㠷〴㝦挶户㘰挲晣〵ㅣ摤㤶㉥散㜱挷㤶㌵搲㘹㡢〸㐵ㅣ㕡摦㡢愲散散挰㍡㈸愵㉥ㄵ戳搷昲㕡敥㜵挴㐷㌴敥ㄶ㌲㥦㍡昰摤㌳晦晡挹愷㑦昱㠸㕡挴慢㔹收㠴扢挹搳搳㠳㐰㈶㌷㜱㍡攴㔶㝥㠹㜳づ㥦㈴㌹慢㌵㙢挲昴挵昷〹っ㌷㉥㉡挶㑢㌰愶㘲扥摤攰㔸攲戰㠳㜲㉣㑢㙤㐱㑥昹㤲㐹〲㠳愵挴挰㈵㤲ㄷ攷ち戵㡥㘶慢㑢ㅦ㌳晢㍤ㄸ㥥搷㌸㤰㔶摦㤰㝢㑤㕥㥡昶摤搸戲㈹㐴㈶㜳っ晢て戵㠱搴㐶㠱㡢戵ㄴ㤲づ攴㤰攴昶㠵愷〰㐴㑢㤵㔱挸㤶〰㔲搲㘹敤㜹㕤㐶〱昶㤴㠰搵㌸改搷攵㔷㉢㔸㐵㔰㌱㡥挰㜷扢㡦攵愶㍦㌶㑤捣捦捡㑥㘴〱〵搹戲㄰挱㠴慤㘰㉦愲㄰㕦搹㌱㤴㜶ㅣ㠴攲㑢㡡慥捡戶㈹挱捥扡㡣戰ㄵ摣搳摥ㅡ㡥㝢挰捥攴挴㘰㜸晢㠹挶㌶㔴ㄲ㜳慡㘹㐱愱〸〷㔵戱搱愹㍦慡㠲捤昲づ㘱㉦㡡㡣ㅦ㍦つ㘲晤㘸昳搱户戶搷搰挶㜹㝤㤸㈰㝦昰扦敥㑡ㄱ㙣扣㤵ㄲ〳つ扢愳㔶㜹㜵ㅥ晣ㄲ扡㜰搲ㄹ捤㘸ㄶ攵㕥㘳㘲㍡㤶慣㥥捤昶㥦㈹㙢㤱慣换散捤摣㜵㡢晤㝦ㄴ㠸㙤敤扦挶㠴㥢㤰散愳㔱㠱㌷㔹㘶㑤戶㑤搴㜰㐵㄰捦㐶捡㐶戶挳㠶ㄴ㤹攷㔶愵㌲扥㔵㔵搵愲挱ㄱ敤敡㙤㍦て搱攸㑢摦戶扦愳〲㍣挱㈱㝤〷㉡愸㘳㝦づ㝡昳㥥㌶昷ㄸ搰〷捥㌹ㄵ扦ㅥ搴敤㜰愴㡣㑣敦〸㍦㌶戳攱昳㡣㙢㝦搶慥搴敥挶㑡っ㝣〲㝤捥捤㐱㘱㥦户挲㌷㈸〱挹㜴挲捥搲ㄷ晣敥㘸㈸㤱㔳愲㜱〸㙥戱ㅦ㔹㌳㙢昸㔴㜵づ〱捥㤰愸㕤㘱敢㔴㤸戹晤㔴〶㔷づ攷戲ㅥ㐶㄰挸慡㤵㤰ㄱ㤳㈹㝣散攳㕣搶昶㌵㘸㙤ㅢ捤㉤㘰换敥〲㙤㠵散户㐰搲㥤扤愵㤵㘳昸㑥㝥㠱㕣㌰慥㄰㘲ㄷ晤㈱晣摤㜹㔴㤶㑦ㅢ〶㥢㐷㥦㙦㌳晡㌵㕡㐳捣㙣〷ㄹ㙦ㄳ㕤戵㠷〸昰㌳㤶愲〲㙦㌴㠶昶㈸㠹摡搷㌱㉤昲㍦捡㤹㕣ㄵ愰㌳㔳㝦㜵㉢愶搶ㄸ摡㤱攷㠳昳㌳㜴摢挴㜵㘳挴㐰戰换㐹㉣㌷愸㠲㕤㐹㘲戹㌷㈱ㅦㄷ戴㍦挵ㅢ戸捥㙡扤ㅥ㈷づ㝢ㄵ搹㠳愰㙣㕣〵㠸㉦㡤㝢㄰㤹挱ㅦ愳㐳㘳〶㉥戰㥤㘷昰散㤶㌳愰昷㈰愳㑡㍥㝦㈸戶㍥挶㉡慡㡤㙢〴㍥㐱〰㌰ㄴㅢ愱㐱敡㔵㉡慢㥣捡㐸晣昰ㄴ捡戸晥㌹晡晢昲愹㥦扤挴敢㍦㑦㘹愲㐹㔱搵㍡ぢ㙡㔲㤹挵攷㤳戳㔸〷戶昳㉣㥥搹㙡ㄶ㐳㔴戲ㅣ㠹㜱〳愰搸愳㕤挱ㅦ㤹搵〶ち㕣㔰晥㌴㌳挶戶捣㤵慣㈱㝤㍦㠵㐲戱㘷㠸愴㘴〰挷㜸㠲攰㜷〸㝥㤷攰㐹㠲愷〸㝥て愰愸て㤱扡搲昰搳㐴晥㍥挱搳〴㥦㈱昸㉣挱攷〰搰㤰〴㤷㠶㝦㐰攴㌳〴㝦㐸昰㜹㠲㉦㄰㝣ㄱ愰愸㙢㈴扡っ晢㡦㔰㠸㠷㍤ㄴ㡦㌶㑢㘲愴㝣㤲㈴㑥ㅥ㡦㜰昲㕤㌹ㄵ㐷捥㈹搳㥥㜷愳〰昲慥搰㜰㤸ㅢ扦昱敤㘸㤷㜲㕤ㅥ㑥搰慥挵捣㜱昶㙣ㄴ扥换攸㔱扡っ捣㈹㜹ㄹ㡤捣捣㠵搴㔶攳挶摦㝦愱ㄹ㔵㐲〵㉥㜰戰㙡㑣愶㤷挶昵戸昱㔱㝣㑢㈶㙤昰㘴㜵扤ㅣ㌷愶㜰㐸㘳㉦㙥晣ㅦ㐷て㌵ㅡ挷戲愰㥥㥣㈵愳愶㌸散戲㠵㐹㝣㔷捥挸㐰搶愶ㄳ搰㙦㉢㌴昵扦㘴扤㙢攲〶っ攰ㅣ㡢㡦㉦扢㘷㜱㉡ぢ愷㔷㘰㉡搴晦攰㘱〶愷戵愶捣搰挴㠷摢敢挸㤳晢㠶摣戱㜳捥㥥昳㠱攸戳㘷〲㙣っ慢扢㡡㐵攰搳昴慡昵摤㈶㥦㤰攲晦㌶搷㈳捥敦改㍣晥搲㥤〹㤴㥣㔰慦㔶㡢㈹㥢㜹慡挹㌳挶㥦㠰㌸㔰搵㠰㉣ㄸ㕦〲㔴㌹愴〳㐴っ㔱〷㠹㠲昹㌲㉢㥥㈳昸ち㐰㐱愳挲㈱ㅦ攴扥ち㌰ㄸ晦敦㌵㐶搶㈵攸愳㙢搵昸㘵㐹㌶㌲扥捥づ摦〰攸㐱挴㔹㡢㤸戰㘰㍣て㑣攲愵㔹㉡慦て㜶㜶慡戹㘷㡥㍦昹㐷㈶戴攵摢晥搳昸㔶㝦㠳て敥挱晦愹㈴㉢㍢㠰㕥晤〳摤㍤㡢㡣㐶攷㕤㝥㡢㤸搰敢㜸づㄷ戸改㡣昲㠹㔴㤱〵㡤㉡㥡搳搵㍥㠱攷昳ㅤ昴敤ぢㅡ㤵戶愰㍦ㅥ愱てち㥡㙡㕣搰㡦㐵㘸ㅥ㡥㈸㘸㑦挵攸㡦㐵攸晢〴㑤㔵㉦慤㍦ㅡ愱ㄹ㡦㈹㘸㥦㡥搱㡦㐶㘸㌵ㄲ摡〰㘹晤㤱〸慤㐶㐲慢㈰攸换ㄱ㕡㡤攴㌳㌱晡㔲㠴㔶㈳愱攵㤰搶ㄷ㈳戴ㅡ〹㙤㠹愰ㄷ㈲戴ㅡ〹㑤㡡愰换ㄱ㕡㡤㠴㐶㐶搰ㄷ㈲戴ㅡ〹捤㡥愰ㅦ㠹搰㙡㈴㌴㐴㠲㥥㡦搰㙡㈴㌴㑤㠲㥥㡢搰㙡㈴㌴㔶㠲㍥ㅦ愱㘵㈴㐳戴㔹挲收㝦㠱㠲昱㤷〴㝦〵㔰挸㔲㍣㜶㉣愷㈴㜲㤷ㅥ摦ぢ攸慡㝤㠹〰㍦攳〷㔱㠱㌷ㅡ㈵㑦㠶っ扢㈰㉣昲摢㐰攴昵㥣㐶㘹㤴㡡㌳㔱〵㝤戱㍣㈲㜹㤴㔰愹㤸㡥㉡㑥〱㘱晣㉤㠰㐶〹攴㥣㡣ㄷ㜹㐷挱㤳ㄷ晥㈸㉡挸ぢ戹〶搲㝤愲敤㠵㕣ㄷ愹ㄸ㙦㝢㈱搷㑡㉡ㅥ㑡扥昰挷㝣愸㑣っ㠵ㄶ敦㘹㠸ㄳ㤴昵晥㍢ㄴ㡡㍤㠳ㅣ摢㘵晣昴ㅢ㕡攵㑡昵捡㤵㔷〷㝢㐷敥攸晤挸㐳〳捦扤晣搳㕦㍤晢昳挷㑥晥晢慦扦昶戵㥦扦昲散㑢扦㝥㜱改攴㍦㝥晢摢㝦晦攱攷㕦晡搵㝥晢㥢晡ぢ慦捥㝥昳㠹戱慢㑦㕣戳㉦扥敦捣ㄳ㡦㍥晥挸搸晣㉤愳㍤㍤㝤㝤敦ㄹ晥挹敤昷つ㍤㜵敤慦戵ㅦ晦昲㌶㑦㤳改攲〵慤挳攰戴㘵ㄸ晦㠰〲㠶挱ㄱ扦愹挳攰㜴㘵愱㍥㄰㉤搴〴㄰㜹㠴捤㌸〰愹㌸搱㕡搱晦㍦㝤㤷㔵摦</t>
  </si>
  <si>
    <t>Decisioneering:7.0.0.0</t>
  </si>
  <si>
    <t>b7624161-1922-4c10-9272-d77d0799c8f2</t>
  </si>
  <si>
    <t>CB_Block_7.0.0.0:1</t>
  </si>
  <si>
    <t>Crystal Ball Report - Full</t>
  </si>
  <si>
    <t>Run preferences:</t>
  </si>
  <si>
    <t>Number of trials run</t>
  </si>
  <si>
    <t>Extreme speed</t>
  </si>
  <si>
    <t>Monte Carlo</t>
  </si>
  <si>
    <t>Random seed</t>
  </si>
  <si>
    <t>Precision control on</t>
  </si>
  <si>
    <t xml:space="preserve">   Confidence level</t>
  </si>
  <si>
    <t>Run statistics:</t>
  </si>
  <si>
    <t>Total running time (sec)</t>
  </si>
  <si>
    <t>Trials/second (average)</t>
  </si>
  <si>
    <t>Random numbers per sec</t>
  </si>
  <si>
    <t>Crystal Ball data:</t>
  </si>
  <si>
    <t>Assumptions</t>
  </si>
  <si>
    <t xml:space="preserve">   Correlations</t>
  </si>
  <si>
    <t xml:space="preserve">   Correlated groups</t>
  </si>
  <si>
    <t>Decision variables</t>
  </si>
  <si>
    <t>Forecasts</t>
  </si>
  <si>
    <t>Forecast: van</t>
  </si>
  <si>
    <t>Summary:</t>
  </si>
  <si>
    <t>Statistics:</t>
  </si>
  <si>
    <t>Forecast values</t>
  </si>
  <si>
    <t>Trials</t>
  </si>
  <si>
    <t>Mean</t>
  </si>
  <si>
    <t>Median</t>
  </si>
  <si>
    <t>Mode</t>
  </si>
  <si>
    <t>---</t>
  </si>
  <si>
    <t>Standard Deviation</t>
  </si>
  <si>
    <t>Variance</t>
  </si>
  <si>
    <t>Skewness</t>
  </si>
  <si>
    <t>Kurtosis</t>
  </si>
  <si>
    <t>Coeff. of Variability</t>
  </si>
  <si>
    <t>Minimum</t>
  </si>
  <si>
    <t>Maximum</t>
  </si>
  <si>
    <t>Range Width</t>
  </si>
  <si>
    <t>Mean Std. Error</t>
  </si>
  <si>
    <t>Forecast: van (cont'd)</t>
  </si>
  <si>
    <t>Percentiles:</t>
  </si>
  <si>
    <t>0%</t>
  </si>
  <si>
    <t>10%</t>
  </si>
  <si>
    <t>20%</t>
  </si>
  <si>
    <t>30%</t>
  </si>
  <si>
    <t>40%</t>
  </si>
  <si>
    <t>50%</t>
  </si>
  <si>
    <t>60%</t>
  </si>
  <si>
    <t>70%</t>
  </si>
  <si>
    <t>80%</t>
  </si>
  <si>
    <t>90%</t>
  </si>
  <si>
    <t>100%</t>
  </si>
  <si>
    <t>End of Forecasts</t>
  </si>
  <si>
    <t>Assumption: CV</t>
  </si>
  <si>
    <t>Cell: G39</t>
  </si>
  <si>
    <t>Triangular distribution with parameters:</t>
  </si>
  <si>
    <t>Likeliest</t>
  </si>
  <si>
    <t>Assumption: Incremento</t>
  </si>
  <si>
    <t>Cell: F39</t>
  </si>
  <si>
    <t>Assumption: precio</t>
  </si>
  <si>
    <t>Cell: E39</t>
  </si>
  <si>
    <t>Normal distribution with parameters:</t>
  </si>
  <si>
    <t>Std. Dev.</t>
  </si>
  <si>
    <t>End of Assumptions</t>
  </si>
  <si>
    <t>Carritos Moviles (t3)</t>
  </si>
  <si>
    <t>Equipo de Computacion(t3)</t>
  </si>
  <si>
    <t>Carritos Moviles (t0-t3)</t>
  </si>
  <si>
    <t>Equipo de Computacion(t0-t3)</t>
  </si>
  <si>
    <t>producción</t>
  </si>
  <si>
    <t>㜸〱敤㕣㕤㙣ㅣ搷㜵摥ㄹ㜲㤷㍢㑢㔲愴㐵㔹戶ㅣ挷㘱㘲㍢㔱㐲㘱㈳捡㔶㙤㌹㔵㘴晥㠸ㄲ㙢㐹愴戵㤴ㄴ㈷㑥㔶挳摤ㄹ㜲慣㥤㔹㙡㘶㐸㠹㠹㕢扢㘹搲㌶㜵搲〷愳㑤敢晣㌴㍦㐵㠱收㈵㐵搱搶㘹㕡攷㈱㐸㠲ㄴ㠵ㄳ〴㐸㄰愰て〵摣愰㘸ㅦ㕡ㄴ〲晡㤲㠷〰改昷㥤㍢戳㍢扢换ㅤ搲㙢扢愵ぢ㡥扣㠷㜷捥扤㜷收摥㝢㝥敦㌹㜷㥣搱㌲㤹捣㉦㜱昱㉦慦㝥ㄶ敥㉥㙤〶愱攵ㄶ㘷敡戵㥡㔵〹㥤扡ㄷㄴ愷㝣摦摣㍣攷〴㘱ㅦㅡ攴捡づ敡㠳㙣㌹㜰㍥㙡攵换ㅢ㤶ㅦ愰㔱㌶㤳挹攷つㅤ昵㝣〸㝦愳昱㡤挱㕥㐳晤〰愵㤹改㠵攵愷昰搴㔲㔸昷慤㈳攳㤷㔵摦㤳㤳㤳挵挹攲戱㠷㡥ㄷ㡦ㅥㄹ㥦㔹慦㠵敢扥㜵搲戳搶㐳摦慣ㅤㄹ㕦㕣㕦慥㌹㤵挷慣捤愵晡㌵换㍢㘹㉤ㅦ㝤㘰搹㝣昰攱挹〷㡦ㅦ户㑦㥣㜸㜸〸㙦捥㥣㥦㤹㕥昴㉤㍢㜸㝤ㅥ㤹攵㠰ㅦ㥣戵㉡づ㘷㘶㔹扥攳慤ㄴ㘷愶昱㕦㘲昴戸㝢愸㔸㕡戵慣㤰㙦戶㝣换慢㔸㠱㠱㡥㠳敥㔴㄰慣扢㙢㕣㍡挳㥤挳㐴㉢㘶㄰㘶摤ㄹ慢㔶㌳摣昸愹㜹㜷〱㉢㔷㌳㌷㠷摣㤲攵〵㑥攸㙣㌸攱㘶捥㕤挲㠳慡挳敥愵挰扡㘸㝡㉢搶〵搳戵戲敥㤹㜵愷摡慦慥㑣摦扢攲㐷㈴〷㈶戳㉦㑥〵敥捣慡改换㠸〲慥㑢㑡摢㌹扦搲摡昶摥敥捦攵搰攵つ㝣收晤摤摢愱收戲改㌷㕡㑥㜴㙦ㄹ㑤扥㜵〴敦敤摥㍥戱㐶慤㝤摥摤扤㡦㉣㘵㙢㙢㙤㌰攲㙥㔹㔱㑣挶挸ㄱっ㄰攴〹㐸㐰愳㐰㌰㐸㌰〴愰昵晦㌷㘴㈴搹㤱㔵㝡搹搴换换㝡戹愲㤷慢㝡搹搲换戶㕥㕥搱换慢㝡搹搱换㑦改攵㙢㘸ㄳ㕦昹㠱〱㍤扡扥㌶昳挸换㍦扥㔵㥣晦捡戸㝤昸攰㥦㍦㜷㘲㘸ㅦㅡ㍤ㅥつ㙡搶㌷㙦㠰搵㥡㑣㝣慣㜸㤴晦戶ㄷち挸㠴㝤摣㝥挸㥥㥣慣ㅥ㍦㙡㍥㘰㘶㌹慤ㄴ攲户㌰捡㈸摡づ搹㔷ㅣ慦㕡扦㈱戴扢㝢摡っ慣收挲㑤㐴㜵搳昵㜵慦ㅡ扣㘵敢捡㔲㘸㠶搶㕤敤㜵捤㠷㜴㜴㉢㐱慣慣㐰摥㜷㑦㝢户换㘶㙤摤㥡扡改愸敡户戶㔵扢㡢㝥㝤戹㝢敤㥣㙦㕤㙦搴㜶㡣㘸ち㉡㙤㐳㥥摤㌱㑢㔵愵挶㌵㍥戳㕡て㉣㑦㠶㌷攱㉥㍡㤵㙢㤶㕦戲愸㄰慤慡㑣昵㜶㔶㐵㔲㍦戱攰㘱愲㤰搶敡㍢㤲㔸晢昴捤㄰挲㙣㔵㌱摥㌵换て㌷㤷捣攵㥡㜵戰愵㠹㝡㈷㉡づ戵愰攷敡㤵昵㘰愶敥㠵㝥扤搶㕡㌳㔵摤㌰愱㘹慡攷敢㔵慢扦㍦㈳㑡〱敡戶慦㑦搳㌲敦改㉥ぢ㐲㠸〴㠹㈹挸㜷戶戲㕤昱㈲㘶㠷㔹搴㉣昲愴㝥摦㌶て攳㜸㐵挷愴㐸㘰㘲㑥戴ㅥ㝣改攱㙤ㅥ摢愰摣ㅢ摢㔸搷挷愲搹㥦摥戰扣昰慣改㔵㙢㤶㥦㙡晢㌴㡥挸ㄸ〱挸摥㠲㐲攸扡㝡㌴㜴摡㑤㙤㌳㝢挳愹㠶慢戹㔵换㔹㔹つ㠱㠳㝤捣攷戹戴ㅤ㤷㜱ㅢ㔰挶㝥㠲㌱㠰㐲㈱㤳㍢挰㐶戹〲慥㑣㤶摡㈹㐵㤶㕢ㄴ㌹晢戵挸昲㤰㍤攷搴㐲㑢㈹攵ㄱㅢㄴ㔱㔶㑤挸㌷㑣ㄶ昵捤㡡㌲ㄸ〷散ㄹ㜰愹改㜸攱㘶㔳㙥㍢愴㐴㌱搱㥥㉥搸㜵扡㠰慡愰㔵ㅦ愴挸ㅡ㤸愶㑤ㅢ愴㌷㑥㌰ㄱ挵㈰挵戲攳挹慤㑣挶昶㈹㍡〲敤㤳㑣挸搶㐷扢敢〸㌲㝢㈷㤳戲㔳㔷㜹摣搳㘶㕢㜹昲㑡㥢摤㡥㠵㌳づㄲ摣㐱㜰㈷挱㈱〰敤摦愰攱愸攵㔰㙥扤㡣户攰摥戸㥢攰慤〰搰㑦〶㜵㑥愴慡攸㐳敤挴㡦㘴扢㘱昸挹攲ㄴ㉢㔵㐴捦戸攱㘷づ扢㐲攸挸敢摣ㅤ戶戶㕦㙣散㍢扢昳㘶㜲㍡攴挸㤴愶挹戹㙥搳㌴戹㄰㙣摡愳摤㝡ㅢ扡ㅡ攳〴㙦〷㔰㠶㠵捥敥捥扣㜹扡㤳㙦ち㤷㐸㌹㐲㍤ㅡ昷㠸㠹改晥愷㈸戸㡥慤换㥥晦㑣㔷㜰挲㝥搳晢捦㐷扡换㜶㐴昴㌶㥢戹㘷㜳ㄸ㈹㝡㤵ㅥ昴㍢㈰㕥摡㍦㜷戵㉦昷愱摡戸㥦攰㥤〰㙤昶㠵㍢敦㔷ㅢ㈵㄰㤷搸㑤㔰㙥㍦㈳㉥攲攱㉥㙤慥㔹㘲㝤㠶散㈵搳㕦戱㐲㐴㉦收㘷攱〷搷㝤摦慡㘱㐳㕢ㄵ〴昷㉥㜷戴㈲㠳㌹扦敥ㄲ扦攷ㅦ〷㙦ち挳搰摦慦昷㘵摡晣攳ㄴ㍦㌳ㄱ㙦㑡㜰づ敤敦〳摤㤵㐴愲㔳㉢㝢戱㕦晡摥㜲㑦㤳昴愰㐹づ㘳㔹㡤㜷〳㐰㑢㘸㍦敤慡㔱㈶搸散㠸㌴㙢昵㔶ㄹ摤㑢搹㤹戴挵て㍢昴挸愰ち搶㑥㈳㜶㄰っ扢㈵挷㙤㈸㡢㐱㜷搱昲㉢㠸㉢㌸㌵慢愰㐲戲㔴㌵㝢扡攲㑤愲㉢晡晡㍡昶搲㈹戱㌵攱㤳㌶㉤㤱㉡敤愹㤵㈹晢昰㈶㔳㌱〴㐹愵㤲ㄲㄶ㙡㘸㈰㜲ㅥ摢敥愹㤸ㅥ㔴㑣ㄱぢ㘷扣㤷攰㈸挱㈴㐰昶㠷搰㌴㍢㕤㜸㈶挲〶㌶ㄸ捥㉥㤷㌳㜹㤲㐱挲㠳㍦攸慡慣ㅥ攴㙢㡥ㄳ晣ち㐰㥢晢挳攰㘳ち㈳ち挹ㄳ㡣㐸㙦挹戰㉦㍢搶つ昲挰㍥ㅢ㐹愵㤹昵㈰慣扢捣㉡つ摢戳昵ぢ昵㜰搶〹搶㤰㠵ㅡ戳愳挲㤵㔵换〳㜷昹昰㝤摡㜰昵戵㌵慢㙡搸愵晡㍡㔴摢晣散㙥搸㤴㘳㝥昰㈵㘵㕦慥㙢戸㝡摢ㅢ攳ㄱ㥡散㠸ㄱ㙢㘵㈴㜶㐷㤱㙦㙥晡㐶㥡㉢扡攴㠴㌵㙢搰㔶㐲挷㜲摥挶㉡㈲㙢㔰ㅤ戰㤷㔶㝤换㥡ㅤ戶捦昸㑥戵收㜸ㄶ㠹〱ㅦ㤳㠹扡㜳搶ち㌲〴㡢㜵收晦敡摥戰扤攴㥢㕥戰㘶㌲㤹戸戹扦攵㑥㔲㈲㔹㝢摡昱〲扣㐶愸挸昲㠸㕤㕡慤摦㐰慥㜶摤昵捥㤸㙢挱慥愰ち㤹㕥㕤㐲ㅡ㑤搷㜴㕤换敢昹㕥改挳つ㜹㈶㜳っ扦㝥〲愱㔵㈶换㜸㜹㡡昵愶㕦ㅦ攵㘷攸愷㜳㑣㐳挸ㅣ㌵㤰㝤愹㕡㤸㤲㙡㍣捣㍥㈷〰收捦㕣㥡㙦㘶攵㕥㑢戶㍡换〰㝦㡡㡡ㄷ慥㘸攴㐰ㄸ㥥摢愷㌸㠵㌸㌲づ〴㄰〴攷㕤㍢昷ㄵ㙣㘹㐳收摢搷㉣捥㈱㠹㌴㘴㥦㌳㤷慤ㅡ㔲搱慥ㄹ敥㔳㌷昴㘲㕤戳ㄶ㐴㜵㌳㜵搷㌵挹㔹攴捡㔲挵㈴〳㑦慤㠷昵昳㡥㘷搸〰挲㝥ㄱ捡扣〹㤴㜹㔳㔰㐳昶㐵㘶〵愵捣㘷搵㔷㑣摦〹㔷㕤愷㤲攷つ㌳㜷扢㠲㈵㈱攳㔴扣昱ㄵ慢㡣昱㌶㘷晥ㄲ㍣戶愰〸㙡ㄷ愱㐶戹㜴愴㍥ㄸ㔷搷㜲昸愷昵ㄸ㔷㠲㝥㤱㈰愹昱㍥㍣㉤㉢挷㈲愰㜱攴扡ㄵㅦ扥戸昵っ㌰㉡㉣㐷慡愷戰〸〲㠲〹ㅤ捦攸㜶捥扥攴㌹㈱愸㐷㡡捤㌹攱㙣〰㤲〳愰㈸扢摢扢㠴慡㠹㑥ㄳつ愳昰戶捥慡ㄶ㉢㜱㑦㘷㝤搲㙣摣户㐵戵㌲㈸〹㍢戲㕤㈳㌱㉣㕢㡣㜱㌷㔹ㅡ㑤散㜶㙣㙣戴戴愸㘹㜳摤愹㐴㕥㠳㕤ㄲ㥥挹ㄸ㈷㠵㔱㤰攳㈵㜷挰㐴㌱㕣㥦捥ㅥ㠹㘴つ㕤㠰〲捤㤴挲つ㐷搹挰㜹㥣㌸愹㕡㠵攸づ昲扤㉦㉡㉥慣㠷㉤㌵收捤戱愸㘶慡㔶㕢昰攰㈴㔴㑣扦扡㑢㐴ㅡ㜳㔳〶㐶愴戳㔷攳慦㤶㌷㈱㠸㤱ㄸ㌲㈳㤲ㄲ〶㠶ㄸ㐲戸ㄲ挹㔴㍡㘷挳㕣敡〶㍡捦扢昳㤶改〹〵㑡㘱㜵搶摡㄰㉦慣改挸㡦㐹㠷挶㘶㔱昴愸㘱㑦㉤〷戰攸㈱昵㜸㔴ㄲ〱㌷散㡢㡣㑡攱晣〲搴㙥㔴㕡慣㠴挸敡㌶ㅥ挰㡤挱敥愱づ㔶㐴㘵㑤攸㥣㔱㠳收㔲ㄸ户㜵ㄲ㤴㥤ㅥ㈹ち㐵㙡换昵㕦愷戴捦扤挰敢㙢愷㌲㜱㈱ㄲ㈲㘶扡㔲㥣〷㄰㌷㤹㤴愴ㄴ㡤挵戹㜲愵搹㐴㘹つ挵㌸㝡ㄸ挳昴昸晣㄰〷㜸㤸挶ㅡ愱搸搴㜰挰㉤㜴㘰㑤㙢㥢晢散㜹慦㔲㕢慦㕡㘲㡡㘳㕤㉤ㄶ㜹㔷搰㑢捥晥㈹㘹㑡㔹㤷㘸㔱收戱㤳攲㤴㐹愴摥摤㙥攳晤攸㉥㑡づ捦㔰扡㡤戹挷㤴愸㥣攴挲㍡㡥㈸搰㍤摣摦㍣扢㈰攷收愰搲㍡㔰搴㘵攷㜰ㄴ慦㤱㐰ㄶ㘹㑢㌴㍢㔷㍦㔷愷换㥥㐰㥤㜵ㄴ㙡㔷搰〸昳㔴ち㉦㤷㠳㌳搲愳㜴昰㈱㤹㕢㔱㘲昷搶㌳㜲㥢戹㜵㉡㜲㍥㌴愶㜷戹〹捡㘰㔵㈱㐸昴户昵愶搳慤㌱昱㑢挷摢㜸ㄴ㐰㘳〶㤸づ㉤㕡㉡〷㘷ㅡ攵敤ㅤㅣ收㈲㔳㤲愳挹㍣㉡㔳㤴㘳㠸搷㠳㘸㤰㈶敥愳㤷敡㌰㐲攱〱㌹ㄳㄶㅦ㑢㥣㜰戱〳慡晢〷摢㤰㡢㘶㠸㤳㉦摥愱㌶昴㔴戵㑡㜷ㄷ攱戹㕤㐱㔵㥣摡㔰敥攸㠱戶昳㔸㌲㈷晡㜷昷戶㔵㐴攷〴㡦捤ㄶ捦㥡㘱㘵戵ㄴ㙥慡㌳㕢扤戲㐴昶㕢〸㐷㙣昹㜶晡捣晤ㅥ捦愰㙥㜰敤ぢ搷扣晡つ㑦挶㤵つ㜸攰㡦㕥慣㌱㌰挰㐱ㄶ㌲扦挴㍦戹昴㑣昶㈵㍣㜱㈷挳收〳㥡昱ㄱ㍥㐷慥㠲㜱ㅡ㝦改敤㡣攳㙦ち慦挰㝦㙦ㅣㅡ㈰慦ㅣ㘸攳ㄵ㔱〶㝢捣攲慤扣㙥捣愲晤ㅤ㐸㑢㠶〱挱攳昳㈱㝡㐶晢㈶㙥㐸㜴搰〰㠴㌳捥ㄲ㠲㝣㙦挷摦ㄴ昲㠹㐲㡦㑥㜹昰㑣挸晦ㅦ㑡挵㔲扤愵㔸晤㉦〸戵昶つ㄰㐳挸〴㥡㌴攴㔲㝢戱㤵㑣㡦㐵㘴㘲㑥昶㔵㘵扦㌹㠳扤㙤攷ㅢ㝥挲昷晦㜰摢㜹ㅥㄴ收㈵㥥ㄹ昲㙢昷愱摣㜰っ昴づ挷攰㝥㔴㡢㘳㜰㠱㝤㤸扡㔷㡥㐱ㄴ昹㔸〴㘲㝢挷㠰〹扤ㄴ昷㉦㤱㕦㑤〴㌳戸敦㍡攸㌲㉡㜶ㄶ㈷㙤慤〰㐹㝣㤸慡㘰〶㜱愸㍢㍡搱㡢愶㙦扡㠷〴㝦挶户㘰挲晣㈵ㅣ摤㤶㉥散㜱搷㤶㌵搲㘹㡢〸㐵ㅣ㕡摦㡢愲散散挰㍡㈸愵㉥ㄵ戳搷昲㕡敥㌵挴㐷㌴敥ㄶ㌲ㅦ㍢昰昵㌳晦昲搱㑦㥣攲ㄱ戵㠸㔷戳捣〹昷㤲愷愷〷㠱㑣㙥攲㜴挸敤晣ㄲ攷㍣㍥㐹㜲搶㙡搶戴改㡢敦ㄳㄸ㙥㕣㔴㡣㤷㘰㑣挵㝣扢挱戱挴㘱〷攵㔸ㄶ摢㠲㥣昲㈵㤳〴〶㡢㠹㠱㑢㈴㉦捥ㄵ㙡㕤捤㔶㡦㍥㘶昶㉦㘰㜸㕥攵㐰㕡㝤㐳敥㌵㜹㘹摡搷㘳换愶㄰㤹捣㜱散㍦搴〶㔲㥢〰㉥搶㔲㐸㍡㤰㐳㤲摢ㄷ㥥〲㄰㉤㔵㐲㈱㕢〴㐸㐹愷戵攷㜵ㄹ〵搸㔳〲㔶攳愴㕦㡦㕦慤㘰ㄵ㐱挵㌸〲摦敢㍥㤶㥢晥搸㌴㌱㍦㉢㍢㤱㈵ㄴ㘴换㐲〴ㄳ戶㠲扤㠴㐲㝣㘵㈷㔱摡㜱㄰㡡㉦ㄹ㜶㔵戶㑤〹㜶搶㘵㠴慤攰㥥昶搶㜱摣〳㜶㈶㈷〶挳摢㑦㌴戶愱㤲㤸㔳㑤ぢち㐵㌸愲㡡㡤㑥㠳㔱ㄵ㙣㤶㜷〸㝢㔱㘴晣昸㘹㄰敢㈷㥡㡦扥扤扤㠶㌶捥ㅢ挰〴昹㠳晦㜵㑦㡡㘰攳慤㤴ㄸ㘸搸ㅤ戵捡慢昳攰㤷搱㠵㤳捥㘸㐶戳㈸昷ㅡㄳ搳戱㘴昵㜵摡㝦愶慣㐵戲慥戰㌷㜳搷㉤昶晦〹㈰戶戵晦ㅡㄳ㙥㐲戲て㐶〵摥㘴㤹㌵搹㌶㔱挳ㄵ㐱㍣ㅢ㈹ㅢ搹づㅢ㔲㘴㥥㕢㤵㑡昸㔶㔵㔵㡢〶㐷戴慢扦晤㍣㐴愳㉦㝤摢挱慥ち昰〴㠷昴㘷㔰㐱㕤晢㜳搰㥤㝢摡摣㤳㐰ㅦ㌸敦㔴晣㝡㔰户挳昱ㄲ㌲扤攳晣搸捣㠶捦㌳愵晤㘹扢㔲扢ㄷ㉢㌱昴ㄱ昴㌹扦〰㠵㝤挱ち㕦愷〴㈴搳〹㍢㑢㕦昰扢愳搱㐴㑥㠹挶㈱戸捤㝥㝣摤慣攱㔳搵〵〴㌸㐳愲㜶㠵慤㔳㘱收昶㔳ㄹ㕣㌹㥣换㝡っ㐱㈰慢㔶㐴㐶㑣愶昰愱て㜳㔹摢搷愰戵㙤㌴户㠰㉤㝢ぢ戴ㄵ戲㕦〱㐹㜷昶㤶㔶㡥攱㍢昹〵㜲挱戸㑡㠸㕤昴晢昱㜷攷㔱㔹㍥㙤っ㙣ㅥ㝤扥捤攸搷㐴つ㌱戳ㅤ㘴扣㑤㜴搵ㅥ㈵挰捦㔸㡥ち扣搱ㄸ摡愳㈴㙡㕦挴戴挸晦㈸㘷㜲㔵㠰敥㑣晤昹慤㤸㕡㘳㘸㐷㥥て捥捦搰㙤ㄳ搷㡤ㄱ〳挱慥㈴戱摣愰ち㜶㌵㠹攵摥㠴㝣㕣搰晥〸㙦攰㍡慢昵㝡㡡㌸散㔵㘴て㠲戲㜱つ㈰扥㌴敥㐱㘴〶㝦㠰づ㡤ㄹ戸挰㜶㥦挱昳㕢捥㠰摥㠳㡣㉡昹晣搱搸晡ㄸ㙢愸㌶慥ㄳ昸〴〱挰㘸㙣㠴㐶愸㔷愹慣㜲㉡㈳昱捤㔳㈸攳晡㔱昴昷㤵㔳㍦㜸㤹搷㝦㥥搲㐴㤳愲慡㜵ㄶ搴愴㌲㡢攷㤲戳搸〰戶晢㉣㍥戵搵㉣㐶愹㘴㌹ㄲ攳㈶挰㜰㥦㜶ㄵ㝦㘴㔶㥢㈸㜰㐱昹搳捣ㄸ摢㌲㔷戲㠶昴晤ㄸち挳㝤愳㈴㈵〳㌸挶搳〴扦㑥昰ㅢ〴捦㄰㍣㑢昰㥢〰挳晡㈸愹㉢つ㍦㑥攴㙦ㄱ㝣㠲攰㤳〴扦㑤昰㍢〰㘸㐸㠲㑢挳摦㈵昲㔳〴扦㐷昰ㅣ挱愷〹㍥〳㌰慣㙢㈴扡っ晢昷㔱㠸㠷㍤ㅡ㡦㌶㑢㘲愴㝣㤲㈴㑥ㅥ㡦㜰昲㕤㌹ㄵ㐷捥㈹搳㥥㜷愳〰昲慥搰㜰㤸ㅢ扦昱敤㙡㤷㜲㍤ㅥ㑥搰慥挷捣㜱昶㙣ㄴ扥换攸㔱扡っ捣㈹㜹ㄹ㡤捣捣㠵搴搶攲挶㝦昹㘲㌳慡㠴ち㕣攰㘰搵㤸㑣㉦㡤敢㜱攳㘳昸㤶㑣摡攰挹敡㝡㈵㙥㑣攱㤰挶㕥摣昸㍦㡥ㅤ㙡㌴㡥㘵㐱㍤㌹㑢㐶㑤㜱搸㘵ぢ㤳昸慥㥣㤱㠱慣㑤㈷㘰搰㔶㘸敡㝦挹㝡搷挴つㄸ挲㌹ㄶㅦ㕦㜶㥦挳愹㉣㥣㕥㠱愹㔰晦㠳㠷㜹㥣搶㥡㌵㐳ㄳㅦ㙥㙦㈰㑦敥ㅢ㜲挷捥㌹㝢挱〷㘲挰㥥て戰㌱慣敥㉡ㄶ㠱㑦搳慦搶㜷㥢㝣㐲㡡晦摢㕣㡦㌸扦愷昳昸㑢㙦㈶㔰㜲㐲晤㕡㉤愶㙣收搹㈶捦ㄸ㝦〸攲㐰㔵〳戲㘰㝣ㄶ㔰攵㤰づ㄰㌱㑡ㅤ㈴ち收㡦㔹昱〲挱攷〰ちㅡㄵづ昹㈰昷㜹㠰㤱昸㝦慦㌱扥㈱㐱ㅦ㕤慢挶㉦㑢戲㤱昱㐵㜶昸ㄳ㠰㍥㐴㥣戵㠸〹ぢ挶㤷㠰㐹扣㌴㑢攵昵扥敥㑥㌵昷捣昱㈷晦挸㠴戶㝣摢㝦ㅡ摦敡㙦昲挱㝤昸㍦㤵㘴㘵〷搰慦㍦搲摢戳挸㘸㜴摥攵㔷挶㠴㕥挳㜳戸挰㑤㘷㤴㑦愴㡡㉣㘸㔴搱㥣慥昶ㄱ㍣㥦敦愰㙦㕦搰愸戴〵晤攱〸㝤㔰搰㔴攳㠲㝥㌲㐲昳㜰㐴㐱㝢㌶㐶㝦㈸㐲ㅦㄶ㌴㔵扤戴晥㘰㠴㘶㍣愶愰㝤㍣㐶㍦ㄱ愱搵㐸㘸〳愴昵〷㈲戴ㅡ〹慤㠲愰慦㐴㘸㌵㤲㑦挶攸换ㄱ㕡㡤㠴㤶㐳㕡㕦㡡搰㙡㈴戴㈵㠲㕥㡡搰㙡㈴㌴㈹㠲㉥㐵㘸㌵ㄲㅡㄹ㐱㕦㡣搰㙡㈴㌴㍢㠲㝥㍣㐲慢㤱搰㄰〹㝡㌱㐲慢㤱搰㌴〹㝡㈱㐲慢㤱搰㔸〹晡㐲㠴㤶㤱㡣搲㘶〹㥢晦ㄵち挶㕦ㄳ晣つ㐰㈱㑢昱搸戱㥣㤲挸㍤㝡㝣㉦愲慢昶㔹〲晣㡣㙦㐴〵摥㘸㤴㍣ㄹ㌲散㠲戰挸慦〲㤱搷㜳ㅡ愵㔱㉡捥㐴ㄵ昴挵昲㠸攴㔱㐲愵㘲㉥慡㌸〵㠴昱昷〰ㅡ㈵㤰㜳㌲㕥攲ㅤ〵㑦㕥昸慤愸㈰㉦攴ㅡ㐸昷改戶ㄷ㜲㕤愴㘲慡敤㠵㕣㉢愹㜸㌴昹挲㙦昳愱㌲㌱ㄴ㕡扣愷㔱㑥㔰搶晢㍢㈸っ昷㡤㜰㙣㔷昰搳㙦㙡㤵慢搵慢㔷㝦㍥搲㍦㝥㔷晦〷ㅥㅤ㝡攱㤵㝦晣搹昳㍦㜹昲攴扦晦攲ぢ㕦昸挹扦㍥晦昲㉦㕥㕡㍥昹晤慦㝥昵扢扦昶愵㤷㝦戶摦晥戲晥攲捦捦㝤昹改挹㙢㑦㕦户㉦扤攷捣搳㑦㍣昵昸攴攲㙤ㄳ㝤㝤〳〳敦ㅡ晢㠷㍢て㡦㍥㝢晤㙦戵㙦晦搳ㅤ㥥㈶搳挵ぢ㕡㠷挱㘹换㌰扥㠷〲㠶挱ㄱ扦愱挳攰㜴㘵愱ㅥ㠹ㄶ㙡ㅡ㠸㍣挲㘶ㅣ㠰㔴㥣㘸慤ㄸ晣ㅦ㤸㤱㔶ㄲ</t>
  </si>
  <si>
    <t>Lognormal distribution with parameters:</t>
  </si>
  <si>
    <t>Location</t>
  </si>
  <si>
    <t>Assumption: producción</t>
  </si>
  <si>
    <t>Cell: D39</t>
  </si>
  <si>
    <t>Logistic distribution with parameters:</t>
  </si>
  <si>
    <t>Scale</t>
  </si>
  <si>
    <t>Impuestos (23% - 22%)</t>
  </si>
  <si>
    <t>Resumen</t>
  </si>
  <si>
    <t>AutoZone Inc</t>
  </si>
  <si>
    <t>Certainty range is from $0,00  to Infinito</t>
  </si>
  <si>
    <t>https://www.portfoliopersonal.com/Tasa_Interes/hTB_TIR.asp</t>
  </si>
  <si>
    <t>Rf</t>
  </si>
  <si>
    <t>Referencia</t>
  </si>
  <si>
    <t>Cell: E74</t>
  </si>
  <si>
    <t>$E$74</t>
  </si>
  <si>
    <t>Nominal</t>
  </si>
  <si>
    <t>Descontado</t>
  </si>
  <si>
    <t>Acumulado</t>
  </si>
  <si>
    <t>Pay Back (Periodo de Recuperacion)</t>
  </si>
  <si>
    <t>S&amp;P 500</t>
  </si>
  <si>
    <t>T eeuu</t>
  </si>
  <si>
    <t>Uniformes</t>
  </si>
  <si>
    <t>Gorra(5)</t>
  </si>
  <si>
    <t>Camisetas (5)</t>
  </si>
  <si>
    <t>Calentador (5)</t>
  </si>
  <si>
    <t>Urb Castilla</t>
  </si>
  <si>
    <t>Alrededores de Piazza Villa Club</t>
  </si>
  <si>
    <t>Urb. Lagos de Batan</t>
  </si>
  <si>
    <t>Mantenimiento de Camioneta</t>
  </si>
  <si>
    <t xml:space="preserve"> </t>
  </si>
  <si>
    <t>Worksheet: [Tesis Final.xlsx]ANALISIS DE SENSIBILIDAD&amp;SOLVER</t>
  </si>
  <si>
    <t>Simulation started on 2/9/2012 at 13:16:54</t>
  </si>
  <si>
    <t>Simulation stopped on 2/9/2012 at 13:17:08</t>
  </si>
  <si>
    <t>INVERSIÓN</t>
  </si>
  <si>
    <t>OPCIÓN TECNOLOGÍA</t>
  </si>
  <si>
    <t>Coches de servicio</t>
  </si>
  <si>
    <t>CAPACIDAD DE</t>
  </si>
  <si>
    <t xml:space="preserve"> LAVADA</t>
  </si>
  <si>
    <t>COSTOS</t>
  </si>
  <si>
    <t>VARIABLES</t>
  </si>
  <si>
    <t xml:space="preserve">van </t>
  </si>
  <si>
    <t>Certainty level is 83,7043%</t>
  </si>
  <si>
    <t xml:space="preserve">Entire range is from ($344.674,10) to $422.745,85 </t>
  </si>
  <si>
    <t xml:space="preserve">Base case is $48.102,43 </t>
  </si>
  <si>
    <t xml:space="preserve">After 1.000.000 trials, the std. error of the mean is $44,24 </t>
  </si>
  <si>
    <t>㜸〱敤㕣㝢㜴ㅣ㔷㜹摦扢摡ㅤ敤㕤扤搶戱ㄳ昲㈰㐱〴攷攴㈱㔵㤵㙣㌹㜶〰ㅤ㑢㤶晣㄰㤱ㅦ戱散愴㍤㈴㔵㐶扢㌳搶摡晢㔰㘶㐶戲〴愱㑥て㠵愶愷㈱〱㠷㐷搳㠶㈶㈷㐰㠰挰㐹ち愴㄰㜲㤲ㄶ㑡㈰㈱〴捡㈱攱㔱ち㍤㐹㐸㐹换慢〹㤴ㅥ攰昰攸敦昷捤㡣㌴㍢扢㤲㙣㘳㑥晤〷搷摡㙦扦晢摤挷摣晢㝤昷昱扢摦摣㜵㐲㈵ㄲ㠹摦㈰昰㥢㈱㐵收愵攳昳慥㘷㤵㝢㠶慢愵㤲㤵昷㡡搵㡡摢㌳攴㌸收晣㔸搱昵㥡㤰挱㤸㈸㈲摤㑤㑦戸挵搷㔹㤹㠹㔹换㜱㤱㈹㥤㐸㘴㌲㍡㠹㜴㜰昲挹㠵ㄱ捤㔲㍡㐵挲㌴㙤㤰㌴㠳戴㘶㐰挶㠷户散㥥㍣㠸㈷㡤㝢㔵挷敡敥扣搲慦㙦愰慦慦愷慦㘷摤挶つ㍤扤摤㥤挳㌳㈵㙦挶戱〶㉡搶㡣攷㤸愵敥捥㍤㌳㤳愵㘲晥㜲㙢㝥㕦昵㤰㔵ㄹ戰㈶㝢搷㑦㥡晤㥢晡晡㌷㙣戰㉦扢㙣㔳慢㐶挵㍢㠷户散㜱㉣摢㍤㐹㔵㘶㔹攵敥攱㉤㍤扢㉣敦㈴㔵搹㠲㉡㜷つ㙦ㄹ愹㤶捤㘲攵攴搴㤹愶慥㌷㡣㔸昹㈲㡤㘲㔹㑥戱㜲愰〷㡤慥㔱㌲㘲ㅢ㝢㠶㕣㜷愶㍣㑤晢づ㕢愵搲㕥换愶㌱㜴㜹挴昵昶㤸㑥搹㙤㉤㔳㜹㤶㘳㔵昲㤶摢㕥摥㍡㤷户㑡㐱㐶㌷㔳扥搲㜴㜶㤹㘵㉢㐵愶愳散摢㙦戴㘰㔵扣愲㌷摦㔶摥敦㕡㝢捤捡〱㡢㔹搲攵敤㌳挵㠲㑡愵昰㤷㘸扡戰㔱换挴㑡㘸㑦㜹㜸捡㜴㍣㠹搱㝥㝤㡤昲㐶㠶㡡昴愲戶㕤㈸搵ㄹ㉢㐵㡢㡤ㄷ换㤷㕢㑥挵㉡昱㈱戴㘳㔷㉣㤳㈸挸㌷挳㠲愶挲敥搰㐸慡㈵㤸ㄴ散ぢ昵㘴戴㠲㥣㌷㔶㍤㠰㌹㔱捣㜷敦戴捣捡㐰㕦敦愶摥晥敥昱扣㔹戲挰昷昶敡㌶攴搱敤捣摤〱搲㌲敤㔴ぢ㌳昹㝣昱㌳ㅦ慢攸ㅣ㤳㔶㠱愸搴㡦㌰〱愳搵昳㜹挹〹㌳㌹㌱㤹㥣挸㈷㈷ち挹〹㉢㌹㘱㈷㈷づ㈴㈷愶㤲ㄳ挵攴挴挱攴挴㈱攴〹㐳愶戹㌹ㄹ㠴㙦摤晥㤳扢㝦㜸搹摣㙢摥晢㘲㘲攲慥捦戴㕦愵㌸攷㘴捡慥〶㜳挱㍥愷〸慢捣㤴㑣愷㝢㘷㤱敤敤ㅥ㉢ㅥ戲㑡㐵换昵〶晡搶㜵敦㌴攷〶晡㌶攸㌵挸慡㑦〷㌱捥㈰㤹㜶㌰㤶慡晡㈵㤴㥥〹愲搴昳㘸㌰ㅢ晤㠵㥢慦㝤戰昲㠳㉦っ扥昹戲ㅤ㜷ㄶ㝦昱攲扢搳㥣摣敢ㅢ㘹㌶㙥戴㙤㤸攸㜹搳昵㠲昱㈴㑢挱㐹ㅤ㙥㉢㡦戶㙤㑥晥㜷㍦摡昰㤰㤳㌲摡昴搹搴晥㌹㈰挶㑢㐱㥡㘶捤㡡㍥㤷愲昳㐰㤴㝡㈶㌰挸晣慦㕦㌹㘸摦晡慢挱户扣㝡敥昱ㅤ㜷摦晤㉡挵㠵㔶捣摦〹愶ㅢ愳㜵㔷搵㈹㘳昹㤴攱摡摢扤扥㝢摣㉢㡣㔸戳〳扤摤扤戰晦㔸㌵㙦㜲㌹㐰戴㑦扦ㅣ㈵昴昹㈰挶㉢㐰㤲挳㔷敡戵㤴㕣〰愲搴㌷㠳〷㍥扦戶攳摢昷摣㌸户敢㝤㐳捦㜷扥昲搹㌵敦㔴戴愴㍣昰㐲㌰攷搶㍥慤㜷㐳攴㜱扤ㅢ昴㐵慣敦㘲㄰攳ㄲ㤰散㘸㈵敦㔸㘵慣㈰㔵摤挵㤴㙥㄰愵㥥っ㥥昴戶㍦晦挰㘳㌷摥晦攲戶㑦晣攰㕤㜷㍣晦攱户㝤慣戵〷挹㔷〴㤳㜲挴㌱て㘳㤹㕢㕣㐰搷昵昴昲摦捡晢〶戶つ㝢㠳扤搱敥敢㉢㙣攸㌵搷㥢㘹㑥搹㘳㕤愳㌸㠷㕢敤慢㡡㤵㐲昵戰㉣㕡㉦摤㘲扡搶攲愸敡ち搲戶㔴㘷㉡〵昷㥣挶㠹攳㥥改㔹㘷挷搳ㄶ㉢愹㉢㌶㡥㈵摤㜲攵㜹攷挵㡢㕤㘹㤶㘶慣愱戹愲㥦㝣㙥㉣ㄹ㌳慣㍡戹㜴敡㌶挷扡㙥㈱戵慥㐵㐳㐰〲戳㔲㜷㕤㉦晤㈴扦㕤㥤挳㔳㔵搷慡㐸昳扡捡㝢㡡昹㐳㤶㌳㙥ㄱ㐷㔸〵改敡改㑣ち㜶㤵慥摤ㄵ㜴ㄴ晢㐴攱晣愸搴摥㍡攷㔹㤵㠲㔵㐰㝢愷㉤挷㥢摦㘷㑥㤶慣㌳㙡戲昸捦㐴挲㔹㌵攲㙤搵晣㡣㍢㕣慤㜸㑥戵㔴㥢㌲㔴挰愴挹㕢㠵㥤搵㠲㠵㡤㈸挵㤰㔰㠹愶㈶愵ㄲ㤷㌴㕡戳㔸慦摢㈳㠶㠸㤸㤸晢搲㤹戵挳慥㘷㉦㝡㠷㕥㤴㉣㡥挹攴摡ㄵ㉡㤳㝡㔹捤挵㑢㘷㡣昴㠹愰㡢戹㉦㕡㍡户戴㜱挱㜲扦摢捣挹攴敡愰昷㕢㘷㌱㔷㜷㤸㤵㐲挹㜲㤶㠵㡣㡡㉤搲㝦〸㤲晥㌲㘶昳㤲摡攳㕥愵收搴㝣晡㜰戱攰㑤ㄹ㔳㔶昱挰㤴〷ㄹ㘰㘵㈶㐳搵搶〵摤〷㤱㕥㐷戲ㅥ㈴㥢㑤ㄸ晤捣㘴㘴昵〶㍦㥥收敥㝢晣㌸㠲挰㔵ぢ㙥〱挲㜴搳㘵散㔷㙥㔳㔳愳㕥敥㌰摤㈹㡦挳㜳搹㐴㐱㔶㤷戲搲㡤㈰㘹㉥ㅣ㉢挲ㄴ㐲㠶ㄴ搱㔸㕢㜹挴戲㑤〰㘰㤹摤捡㑣㤷㝤㔸㌵㘲戹㜹㑤晣㌵㡡戹㌲㘷㠰挳攴㙦㉤㜳昴㕢㜳摥㠸改㤹捤㘵㈰㌹㔸㐹㈳㔳㤷㤴昲㌹㤶㙣ㄳ㔹㔸㍡ㅢ挴㔰㐳㑥搸㐸㉤㉤㈲昰㙢挲挴挱㝣㐹㌴〵㜴昹㑥愰敤摣晤㡣昸㐰慦㐵㘴〰㡡㠵敤㔶㘵摦晣戴攵㌲㝢挶㔸㔶㤵昱改挵捡㜶攷㈷昷㝢挵㤲摢㠳㤶㙥㜷慡㌳搳㈷戳ㅥ搶愵㌷㠱㠴㈱晤㈸㐶昱戱昷㠹㐷慡收㔹摡㘶㘲㈲㤱㘱㙤㤴㘸㥡㔷㜳戴愲戲摦攰㑢㠲㝥㌵扥戲换愵愵㠹ㄹ㡦〷扤ㄲ㤳戵㤶愱愱㝤㡥㈵㜸㍣㈳ㄱ㘸扢慤㝣㔵搵㌹㌴㔹慤ㅥ攲㜸㙡㤷㤸㍢㘵㔹ㅥ㌱㙥㑢㠰改〵扢㉢搵搴㔴㠳㔰㈳㘰㤸㘸搵ㄸ〴㘹ㅢ㉡㤵㍡挳ㅡ㕤㘳〸愲㈶愰㙤㘳ぢ㤸摣㍥换㉤扡㥤摢㡡ㄵ戳搴㌳㔷㜲攷搴挳攸㌵㌱愴㌹㌴昹㠹昳捦捡㡤ㅤ㜵扥晥㠶收摢ㅥ晢戱㝡㈸㐸愸㠳戲㠴愵〲愸户㠲㔱て㈲ㅢ㔷ㄳ昰戵㐱㙦㐷㕣敦㈰ㄹ〵挱㥡㈰㕡挶㤲㜰戹ㅦ㔵㠴戶㕣ㄶ昴ㄸ挹㑥㄰㐵㜰㉢㠸㝣ㄷ㤸㌰愸㡦愰㝥摡㕡散㐵㉣㕣㙦慦扤㤰㘶昵㌲㘹㡡㤰㤹㌶搳㠳㈴搴㡡愶㐶搴晢㔱㜱㐳〵摣ㅤ㈴搴愱㙢㘲挰㘵愰㐹つ愰愵戲㙡愰㐹慢扤慤㔸昲㉣㐷㜶㥦づㅢ㕦晥〱㔱攲㙤摣㜱ㅤ㌳敦ㅦ扤搶搸挳搸㜴㜱㈰昵收㘵㘷㤱㉣㜵㥢扥扦㈷晥ㅥ摡㥣㜲搰㐶㠰㑤つ扣㔹〶㍡㘰搰挴挰捤昲㤹㈳㠳㠸扢㝡挳㠵㐸挶㑢て㙡慥ㅤ㘴捣ㅦ㕦㌵攵搸扤㤰㍦㍡〸㤹扢㜷㘹挸挳挱㕥㍦㐸㔹㘸㐹㜸㐱〴昱㝢㜰ㄶ昷攷昹攰散戵搰㡤扥㥡攴ㅡ㤲㍦㈱㤹〰㔱㜷㘲㌱攲㌲换戵㤳㥦ㅥ㈰愳㕢㘵㍤㌴㤹㘷㤲㈴てㄲ㔹㘶㉤㐴つㅢ愴㜵㘸挶慢㜶〶㐶捤㉡挵攳慢慣扢〷挰攸㈹收㈸㠲散摣㘱㤵㠰昲㑦㤲㤷㉥捤㘳昱昲戰〴㘳攷㌴㘴㍡愳㍣㍥㕦挹㑦㌹搵ち扣㤸㐴㑢㐳㜹㌸扡㕣㘵ㅡ攵戱敡昰㡣㘷㤴㜷ㄴ昱搵㕡摥㙢㑤㕢愶㌷㡣㐳ㅣ愰搸ㄸ扣ㄶ〲戴㐶ぢ㜳晦㥦㐰㉣㐱戴㡣昳昱㈲ㄶ㔳昱㤹敢㐳愲㐰扢㍤㈳㔵㜸㑣㉤昱攳㔲敢㠶〱㔰㝤ち㈲慤㠴㍥㠸搶摤昱攲㍤慦扡攰摤昷晤㈶昸㍥㠲ㄱ㈸㐱搳晢㔱扦ぢ㤷㈱捤㉥㤷愶攸㈷㔹搸㠵つ〷戱㈶っ〳㝦㈷扥〹㔵㌷摣㠹晦㉡㐸愸㜳慢扣ㅣ攵〵㡡捣㠲㔱㝦㠹㙣㡤愱挸ㅣ㤲昵㍣挹敢㐰㈲㜳攴㝡㍦慡捥挷户㑣㠹㌷㌰搳㥦㠲㈸㝡㔹〴㡡ㅣ〱ㄳ〶㜵〳㥥戱〰㐵攸㤰愹㔷挲ㅢ㈱捤敡㘵搲ㄴ㝤㌷ぢ㑡㠸㐰㤱搹愵ㄴ㌰ㄳ㈴搴戹㜹攸扡ㄱ〵摣〴㐶戹㑢㉡攰㘶㈴敢㕢㐸摥ちㄲ㔱挰㔱㍦慡㉥挶户㈸攰㔶㘶㝡㍢㠸敡〲ㄱ〵扣〳㑣ㄸ搴挱愸〲㉥㠱戸㕥〱户㐱㥡搵换愴㈹扡㤴ㅡ㈹攰摡愵ㄴ㌰ㄱ㈴挴扤㑦㘹㥥㘶㡦挳㙢搰挲〶摢㔷ㄶ慤挳㍣收戴摢昰㡦て捦戸㕥㔵捥㘴㙤昶㐸㜵㔷搵ㅢ㈹扡搳㈵㜳㝥戵ㅤ㌰㔷㑤㔹ㄵ㜸㑣ㅣ㌸㑥㘲戲敡昴戴㔵搰昶㜸㜵挶挹㕢愳㈳愷㠲㐷〵晤㠳改挴㤹㤲㔴〸㈷收㈴挰㝡愶㌰㑡㄰ㄲ改㍥㔴ㄸ㍦敢㐵攰挲㈲㌲攵㔸改㔸搴攸扥愲㔷戲㕡㙣㐹ㄷ㍥㘳㐳㡢㜰㐳ㄵ㥡敤㝤㔳㌸〳㡤戴搹摢㥤㘲愱㔴慣㔸㌴〶搰㉥㕦㍡㡣㔹〷攰㜲摡㔳㜵㡢昴㠰戶搹晢ㅣ戳攲㑥昳昴㥣㥦㍦慤㈶㈶慢㝦摡摥㔲慣戸㜸㡣㔸㤱㝣㠷㍤㍥㔵㍤㡣㜷㘶㌳攵捡㜶㜳摡㍤㈵慣挲㥤摡て㘲ㅡ㤵㔴挹愴捡㈴㌳㈷㙡ㅦ攳㉥搴㜶㝡昸搶愳ㄳ㈳搵㜳㡡㤳㌳㔴㤹㍣㘶ㅤ㘸㡡㐴慣㤸㐸㤳㕤〶昳ㄱ昹〵慥㐰扡戹搸摡㥡户㑥つ㍤㉥ぢ慦㈲㠹昶昴㝢㔸收扤㈰愳摢昷㡦㉥㍡㠰㝦㥢㜷㠷㘹晡㤲攲㥢㘹㝣攸㉤戸摢攴㌴改㡦㈱捡㌸愴㌰㌵㌱ㄴㄸ㡢㡦换慣㉤㜹㌸㐴摢ㄷ搹㙤昰搸戴摡㘳收愴㔵㠲愳愹㙣㝡敤㝥㠴昰ㄷ摥㝡㌷㐸ㅢ慥㤶换㈶挷ㅣ挷慢扣㘵捡搸㠴㔸㜸㤵愳㙤㄰ㄹ㤸㠱挸㥣㠳挸㥣ㄳ㔱慢扤㤷づ㘸攱㔹㔷昵㠰改ㄴ扤愹㜲㌱㥦㘱㠴㑥攲㔳㘲戰㘲〱ㄱ㔰〳敤㌳㠴㡢㐹ㅣ捣昹戰〶搶敥挱挹㠵慡愳昵㌱愴㤳捡挰㍦㜵㠲晥㐹㉣㍤戲愳攸扢㔱㕢ㅡ㈸㔷搶㈲㝣㈵ㄲ㉦㠴慦挷㕦㌸㠲ㄱ㉡慢㤳愲㝢㤱挳㔵扦㍦㘰ㄸ㐹搱挳户慣昳慡ㄹㄹ戲㘳㔵戳戰つ㠷敤慡搳ㅣ扣敡捥挰戴㕣㙢㥣ㅣ摤㠹挳昰㔰挳昳㍤㕢㉣㔸㑥㠶㠲㜱〰搴ㄴㅤ㤱㠶㙦㐳敡㈶㤱㑥户㘴ㅡ㍤㙢㌴慣㙢㙤攰愴㠹扥挶ㅦ慤慢晦〷㔷㙣摡㡣㐶愱㕢戲㐷㝤〰慣晥㈰㠸愲愳㤲晤㠹㘵戸㠷ㄹ㍥〴㤲愶㑢㉣㙥㥢㕡捦ㅥ晣㝦㥣愳㈹㜹㔱㑣㥦㘳〶晥㌹㜱㔶愶愵㈳㉤ㄱ㈷愳攱晢ㄷ㌳攱摢㘷㘳ㅣ愳摣㉡㘴晤〵㤶昰㥣㔸㌷㤹㑣挱搴㐶摣ぢ㔲昷㔸㔴㔶ㅥ户挴晢愸戲㘸㠲昱㘱㤰搵㥣㉣愸㝦㈲晡ㅥ㌶敥㠱换㘶昵扤挸㥢挸㉡扡攲㐲〵昰敤㘹愰愱晢挰敡扦〷㔱昴㐳ㄱ〷㐴㜶㉤㐵攷ㄳ㜷慥㠴昱ㄱ㤰㤷㉣扥㜰㕤㜱慤㔴㜴㔹㜱扤搴ㅦ〵㔱愳㈰㕣㠷ㄶ挶攵晤攰㔷ㅥ㤷㤷戳〴㍥晡ㅦ〲㠶ㄱ㐵㐷㔷搸ㄵ戰㘱㔷㍥づ㔶㝦〲㐴搱〹搶㈰挳〳捣昰㐹㘶搸〵㐲㠳ㅢて㠲戴㉦㉡㔲㕥つ㌷搰攱㐳挸〶ㅤ敥〵つ敢㈵捣ぢ㜴昸㌰㔸晤㡦㈰㘹ㅥ㍣㤷㔹㙡㠱搱㈳敥〹搶㘰搸晢㉢㐵て慢㈰摢戰慤攸挱㥥慤㌶〸㔸昱㈳㥣㉤慢㘳愴㔰搷〲散㝡㔹㝤㔲つづ㍢慦㍥㍤ち捣搶㌶㐸昶㈱㕢〴愹慤㤴㐹愰㕢㠳㌶㥥㑡㔸㑥昹㘷换〰捥愹ぢ㤶昶挲㐴昴捥㠹晥㕢㈰㍦攳㥦㔰㍥㠷晢㍢扤敢扡晢搷昷㙤散敦㕦摦扢㘹㔳㐲㝦ち㘲っ攸〵㔴㜸㌵愲换㡦㤷㠸㠷㡡㉢㕡㤶挸搰㤷戵〵㉥搰搱㡡㡢愵㌵ㅢ挴戰㜱戶〷散敥ㄹ慦㈶挵㥣㕢ㅤ愴挰戵扤扢〲戴㤳㌷㥤挲㈹戲㔷愲㙦㍥愶㤳㙤敦〴昱㌶㉡㘱㠸散㜰㤸愲㐴摦㜴〳ㅤ㡦㜳慦〳昹摢愸敡〵㥦㕦㠶㌱摥㌳㄰ぢ昸昷っ攴攰戳挷挲愹〵昷㠴㑡搶㙡㈹戰㄰㤵㍤㐱摢㐳㤳㉥㐰戴㐷㠰ㄴ㜰㌲攳戵扤搷㉡攱㝡挲慣〵㍣ㄳ㜰㝢昲ㅥ㕣搹ぢㄵ昰晤昲愹㘳ㅤ㘸㈴ㄵ㔸㐸㠹㡤㡣㘵〶㙥㙤㈷㌸㤹㑥搰愲㤸㉢戶㠴ㅦ㙤㔶㝦㜳ㅢ挳〷㌷㈷㐲㠶戶㠵㜱改摥㕢〶㤵㘳搱㡤㝡㘲㌹㡢㔶㠷㉦〸晣愵㑥㔶戱搶㔰㐶攸摥挶㐳㤶攳攱ㄲ〶慦昴㜴㜰摡㤴〰㙥㜰㌵捡㉣㤵收摢㙤㕣敥㈸捤ㄴ㉣挱戸攱攲㉤㔰昷㤴戰㤷㕣㝢昴㙤戵㡣㕥〲愵㡣攲敥㘳昸㔲晥挴㑦扡晡搳㔰慢㈰㑥搴攱㥢㠵づ搷攳㜶㜹ㄳ摤㥣戶昸挲㐶㙥摤㘱㐹慢ㄳ㜱㉤愳敦㜲挱㙢㉥戳㉤㤲㙤慣㡡敢㍦㌸㈵㐷㐴㍢㡡扥攸㤴戰ㄱ晡改㉦㜸㠶〱㤴㝦㠲戳㠳㤵㉣㠴ㄷ㡥摣㜵㔵晥搹昶捦㝦㙦戳扦扤㈴㤴㠹㌴㐱㙦攲㑢攴挶㈳㠸㉣㐹㔸收㉦㡣㡡ㅥ㙦㐱㘹㡦㠰㔱㜹㄰ㅦ愵㈵㌴㜷㌰晤㌹㤰㤵㔱ㅡ㕤攴〴㘶晡搱㠰㘱㐴ㅤ〰〹挱ㄲ〵〱㔸㝡っ慣晥㍣㌳㑣㌵捥昰㌸㌳㝣〱㈴㝤㄰㈴扥挸㉣改〵㙥㘲㠹㌲㤱㜵愶捣ㄳ〶愶愸㠱换〳昰㜲攳㤴㘲戴㘴㡡慣昶〹㤰㉦㍥昱挴〰扥ㄲ㡡㙥搶戰㠱ㄱ㌴昷㐵㠸昵㤷㤸㘱ㄶ㈴㡥㠸改〳昵ㄱ昱扦㠰㍢〳〷捥㡡摣㐱㕢ㄹ㄰搳㜱㉡慡晥㌲ㄸ㐵て㙡つ㈰晥ち〴㉢慢㥡㥥㔶㔱昵㤳〱㈳慡愶扢㌵散〹搸㔰搵㑦㠱搵㕦〵㔱㜴挵㌶挸昰㌵㘶昸㍡㌳ㅣ〱ㄱ㐰晣つ㌰搹㄰㄰攳㤶㕣〳㌰晣㑤㘴〱ㄸ㝥㈳㘸㔸㘷㐴㝤晦〶戱晥ㄶ㠸扡〹㈴慥扥㥢㈱昳搵昷㙤㜰慢晤ㅢ㜵㉢敢敥ㄶ㘴ㄶ摤晤㍢ㄸ昵㔶㤰ㅡ摤㍤つ挱捡扡㍢捡戲昸攸㘷〲㐶㜴㜷㉢㈲㘱㌷挰㠶扡㝢ㄶ慣晥づ㠸㝡㍢㐸㠳っ捦㌱挳㝦㌰挳㍢㐰㐴㜷摦〵㜳㕡愸扢挸晤扦〶㍡晣㑦㘴㠵づ改攳つ敢㡥攸昰扦㈰搶摦〳㔱敦㈱㘱散晢〱㈳挳㥣㠷晡昸㔹戵捥㡦㐰攷〳㔰㈱㍣ち攳摥㝣〹㕥ㅣ戲㍣扢晡ㅣ攷㠸㥦㡣ㄳ㜵搵挱㥥㤱㡡扦㙢㕣㈸摢㠳慡㕡搶挴慥㠹㐹㌱愶搰㘱㤱㕥〳搷昲㤲攵搹㠳挵㍢㈳㉣挳㘰晣㄰㘴捤捥㘲摥愹扡㔵摢敢ㅣ㠷㡢戲㤳搷敥㙣㙣ㅣ㐳改搳㔰㘳挳㘷戲㘳愹ち慦㘲捦昲ㅡ㑡昶㔰愵㝡戸㈲慤㐹扢扣㝤㈸晡㙡㙥收㘳戸㥤㐸㜸〵戴㤸㝢㍦㔸ㄶ搶晦つ搲搶㤴晢㠰㈴〱愸㝦㌰㘴敥〹㤹て〵㑣晡㕥㌰挷㝡㍥㘷摤㙡㔲攵㔵㐱㔹愹收收扡愳㐶摤戹㝥攱㤲㤰㘱戰愵改ㅣ扡ㅣ㍦㥦㌴㉥㔴慢㔱ㄶ搶晣扣㐸昲㘳㤰㙣敥㍥㔰づㄶ攳㈷㈰慢㠶户㑣搴㕥㙡㌷晥〷攲㔶㠸㘵攳摣㡢扢㠱挶㑦㈱㘹㠷㈴攲挶捣搱㌳挰㕡昴晦㤲戴㤳戴㠱愸㡦㤲㌰昶昳㠰㘱㈶㜵㍦〸挷愶㌲㘸㍢㝣挰㈷㌴捤㑣㡢慡ㄴ㈴戴㙡慤㔵㜸戴ㄷ慢晣ちっ慣昲㜱收㐶挸昱㈸捦㤰㝢挰晦㑥攴㜸㜶㘷㔰㍣㡦搳㌲㉡㠹敡愸㌵㝡戸㌴ㅦ愷搹慣㙣敥㘱戰搲㙥昶㕥戳慦㥡摤换昱㤴㉥㜲㘲㈴戹ㄵ㉥昷挳搳㥦㠲㍣慥昹㠸㡦㌴㜲㌲挴㙥㤲挸㐵㡥敢㘲挳㔵昶ㄵ㌳㘶〹扦ㄵ搸つ愸攸㔱㜴㉡㠰㡣㤴て搸㔷ㅣ扥搲㠵搷㕥㐳戳挴㜵㔰㍢晡㠲扥挹扤戶ㄳ㠳㉣搹昴捦㝦扤搲ㄸて㥦㔲㍦挶㘹戹慣捥搰挲挰晤㥦㐶散搸昱㉤㙢㕢扤攸㍣愴㥢戸慢〴愸㝦っ㑥㜹㡤戲敡ㄱ㤴㘷ㅤ㍡换ㄸㄸ㌶㐶㝤づ㐴㐶晣㑦搱慤㜰挴ㅢ慤㐸㕦㜲㘱㔳㍦㐱搶晡㘹昰㈸㙡㤲㘹搰㡥挲㤸〶挴㐹㝣㡣搱〱㝡挱昰㤶攱扤ㄳ昹㑢晢㌷摡戸搹扥昱搲㝥慢扦㔰搸戸挹敡㥤扣搴挲㤵㙦摢㉡搸㝤晤扤戹捦〷㘵㜴づ㘵㜲㡦㠷戱㔵㡣ㄱ㔱戱㍥㐹敢㈰㄰愲扤つ㝣㑥㙡挸ㄱ㍥挹っ㡢捤扣㉦㠵昲㌳搰ち戹晢㉦扦〲㔰㠲㠶㤰愶捦㠲㥣つㄴ扤㝥〵㡣攸昵扢ㄱ扤㉥慥㈴捦㌵㔴攱㤳㈸㈴㉡㍣ㄷ昵㐰㠵㑦㈱捥㤰晢慡晦㥤挸㝤㉤㘴〸㝡ㄸㄴ挱㡣慣㈴捦愲㑡慥㈴㔲挱换搸挶㑥㤰㙣㡥㜸愶㔱㝦〸㜱㐴扥㤶㜹捦㐷㑣㝥㘳愰〴愱㌰㜶㈱攴昸昳晢昳㌴ㄸ改捦㌷ㅡ昶攷㙢つ晢昳っち㐹㜳扡㔰て晡㐳㑣挲㤰晢㡥晦㥤挸㍤ㄷ㌲〴㈲っ㡡挰㐲晡昳㔴搰ㅦ㘹攳ㅦ愰〲摤〳㤲捤ㄱ㕢㌴敡捦昷㐲昹㍡收扤ㄸ㌱昹㐵㐳㡥挰㐳ㅡ戱㐱ㅡ㤱收摥昹慡愵㝤㘸㤱捤愳ぢ㈷捣㥡㝢敦㕢㜱㡦㝤㥥㉢㜵ㄳ扣晦扥捦㍣㤵㝣攵㠹搵挵㌵㑢戶㍣㔴㤷㝥ㅣ㝤晤㉤敡㐱挷㈲昰㠴戵扥っㅦ扤ㄱ昲づ敥愸㘹㝣㘲ㄳ攵㠵捤㤰㌱っち㑤㘴㠲敦摣㘰〷户㕦㈹㜱㡤㝡昹搱愱昴搳㐷攲户㍦愴挴搹㥦昵㑢っ摥㌲愸戸户慥挲㐷㔳ㄴ戹挸昰㔹㜴慢攱㑤㡥㐷㠲㠴昸愵搲ㅣ㜷㘳㌱搶㠰ㄸ㑢㜱㑢愵挱搴㍦愳〴戵㈴ㅤ挳〱㌱搱挱捤㤲㥤㍡收㡥㈱㉦挲㥡挱づ㡥㙡㈹戹㙣〷ㄳ㙢〷愵㐰攲愲攰扢㘷㔰㜱搳㙤搴搱㠷㤷敡攸㐳㐱㐲晣昲愸攲ㅥ㠰扦㠴摥ち捡攱捣㡦㤲㠵㥡搲㙤㑣㐳攰㔷㡥ぢ戶㈸㘵㍢㤸戶㈶挵〵㔶㤴昲㐰㔴㈹愳㤰愶戹㙥㌶昴㔹挴㝦昱ㄵ晤㤹ㅥ㜵㜱㝡㜹搴〵㠸挲扤慦㝤搵愱㠵摦ち慥ち挱㔵㔷㜸昹晥㠲㐵㐹攸づっ㡢敤㜶ㄶ捡攱㌲㍢㠰㉤ㄲ扡㜸㔵晦昴挵㔸攴つ搳㌹㡢㔲㜸㠰攱㥢戲ち㘱㡤㉥摥戲愴㤲㑤慡攱㡤㡥攰㔷㠱昰㡡㠵ㄵ㙣慤捣㤴㕢搰㠷㜳ㅡ扣㘱摢㔲昴攴〵㜵㠶捡搴摣㡡㡣换㐹〶搶㙥㕤扢戱㍦㝤㍦㌴㜸ㅣ㑦㐱挹挸㐴攳㌳㈹挹敡㥤昸㔲摣愵㔸ㅦ㐵㡡㥢挴攲㐸㜱㈰昲㉦㌷摤ㄷっ㠸扡㝢搶昷〶〹昱换㑤㌹㙥㉢㘲晤㜱㌰戰㍥昷〶戱晥㠷㔱㘲㘱㑡散㠷戴㠳慢扥っ㙣㍣㉥ㄲ攲㜳㝤捤愰㥦㜸㘶昰㝤晥㘰㐷㘷扣㘴㝣捥慦㤷昰攴收㕦晣改挱㠷扣㕢㙦摣散扢㌰㍦戹㔹㜱昷㔸散攸㄰㙡づ敥㔳㉦搵搱扢㠳㠴昸㈵愶ㅣ昷ㅢ改攸㙢挱愰愳摣㌴愴愳敦㡤㜶昴ㅡ㐸㍢戸ㅤㅣ摦愲挶扤㘳搹㐵㉤昴挹扥㝥捤扤摢㥦㜹㥤户㔹㜱ㅢ㘹搴戱㍢㤶敡搸摦〵〹㜵㤷㤳戸昱㌴ㅣ㘴昲㠶捣晦㐹㔳攴㔷㘴ㅤ搰㘱摡收㐱户挵昶挵摣㉢攴晤㐸㐹㑥㠹慤戸㑡攰攰㜷㕣㘳戸㌲㠳ぢ〴昸㌱㙤㜰㌴挲㔵ㅡ晡㡦挲㤷搵㕡㘲㉣㙣搸扢ㅤ扣扤㙥戶㐷㕤扣〵㈸㘴昰㍢ㄴて㤷捦㉢愷〲挸挷戹㍤挵㍤ㄵ㑢㈰㝦晢㤵㙣㜸㘴敥㐱㜲摣㤳ㄶ㌹摥㉣敡㈳昴〴㈷㜹〳攱挴㈰扥㤱㠷扤ㄶ㉦搵ㄴ㈲㤷㙡㔲敡㜶ㄸ搹挷扥㌷㈴戸〳㈱㈴ㄳ㥡㐷㜶挳〶㘹挲㉦㉣㘴㑤〰挹敡〳㤰昸户ㄸ晡㤹㌱捤つ㌹摥㍤扡㌱戶戱晦戱㥦㔹戵戴戰捦㘱㔰摣て㌹㡥㡣㈲㐸昴㍤㜶㙤昳摥搹戰㜹㠷㔰㐶戳㜹㡢㑤㉢㔳挴㔶〹㐹㈸㙥愹㙣㕥ㄸ㜲摣㤷㘴㌶㔶㤹㜳㥡攴㍡㤰㙣㙥㘱㙢攲㙥㈴㑤㜲挰㜴㠴㍦㈱敥㥣攵搲敦㈶搵㕢挲愶㝣㝦摤㔹㡢㥡攲愵㈲捤攵㔰㠹捤愹愵㔹㡡㈲㑤攱㐶挶愶散扢敤挱挱㕦慤扦㘶㈸挵搵㜵戹戵㥤㕢㘷㜳㜹挲攴晦㠹㤰㈹㑦㤴慣捡〱㙦㙡攱晦㐱挰㜹ㄷ㔷㙢昵ㅣ㉡攱㈳昹㔱㕣㑡愵改昳㘰㈲㍥搰㕡㘵扥㌹散㐱㈲㙡敢搷愳㐸㑣㤹㙦愰㈸搲㠳晤㠸㐷㤵愹戸愲挹昳㡥㠰〹㥤㠶戵て扢愱攱挳晥㡣㌵搷㕡敥㡤ㄴ㐵ㅥ挶〵㌱晡戰㌴〷攳㌱捦ㄵ攴㍤搱㔳攵㥢㔰㔶㜱㠸戳づ晤收㠰㘱㐴㜱挰戱ㄹ晡㉦㈸攵㔸挳㕦㐲摦ㄸ㌰㡣㈸㡥㉢㔹摥て愳攷摣挷㕥つ㘹㈶㘹㈸㡥㌵㐹㤸つㄲ〶㈴㐱㈹㡥㍦㐹㤸〹ㄲ㌶戳搲㥢㈰㔵ㅣ㔶昲挰户㌰挶ㄱ㠵扦㠴扥ㄹ㌴㌴㝡〷㐷〰愵ㄹ㠱㕡㌴愳㤴戸㠵㘲㕡㤰㘹晡慤〱挳㠸愲昶㈵捦摢㈸愵攲㈹搶㐷〳㠶ㄱ昵愶㔰ㅡ捥ぢ〸ㄳ㌹㙡㐳㘶捦摢挱㘰㉦ㄳ㍤戰㙣㑤㉥敡㐳㜲扤㔳㜲㜵戰㉢㔷㈱㔷㜲㑥攵慦㉤㕣㝢敤捦㍡㔲㥤㘷愷晥㘸戰昵戶愷ㅦ㝦昶攸㔳㔷て㍣晦换摢㙦㝦敡戹愳㑦晣昲愱挹㠱㐷敦扡敢㤱搷摣昱挴戳愷搹㜷㈶㍦晥戳戱㍢慦敦㍢㜴晤㜵昶晥㑢戶㕦晦挷〷慦攸摢戳慡慢愹愹戹昹挲搵㡦㥤㜹㔱敥㠶敢ㅥ㔰㥦晥搷㤷㔴㤴㘸㠷捤㜸ㄷ㥥挴㜰ㅥ㍥㌹㙡㐹㥡昱搷㘰昴㙤㈰㙤㐹㈵㙡㐱㙡㙤㡢愹ㅥ挹晡户捣搵愴㐴㌱㜵戹愸㈰挹昵㙥㍦ㄷ㤵㈰㠶㥢っっ户〵㐵㠰㠰ㄵ晢㉤〹㘶㙤㐲㡥敤㘳つ㙤㈹挵㐶㐹㥥㙢㙢昳㈸㌶㔴ㄲ㈶㠲㠴ㅣㅢ㜲ㄷ愴㡡慤㤳愴㙢㘲㘵搸㈰㐹戸㍡㤶挰㘲㘲敡昷戱扣㤰㜸户㕡晥て愳㈱㠴㑡</t>
  </si>
  <si>
    <t>1 año y 120dias</t>
  </si>
  <si>
    <t>1 año y 233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</si>
</sst>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7" formatCode="&quot;$&quot;#,##0.00_);\(&quot;$&quot;#,##0.00\)"/>
    <numFmt numFmtId="43" formatCode="_(* #,##0.00_);_(* \(#,##0.00\);_(* &quot;-&quot;??_);_(@_)"/>
    <numFmt numFmtId="164" formatCode="&quot;$&quot;\ #,##0_);[Red]\(&quot;$&quot;\ #,##0\)"/>
    <numFmt numFmtId="165" formatCode="&quot;$&quot;\ #,##0.00_);[Red]\(&quot;$&quot;\ #,##0.00\)"/>
    <numFmt numFmtId="166" formatCode="_(&quot;$&quot;\ * #,##0.00_);_(&quot;$&quot;\ * \(#,##0.00\);_(&quot;$&quot;\ * &quot;-&quot;??_);_(@_)"/>
    <numFmt numFmtId="167" formatCode="0.0"/>
    <numFmt numFmtId="168" formatCode="&quot;$&quot;\ #,##0;[Red]&quot;$&quot;\ \-#,##0"/>
    <numFmt numFmtId="169" formatCode="_ [$$-2C0A]\ * #,##0.00_ ;_ [$$-2C0A]\ * \-#,##0.00_ ;_ [$$-2C0A]\ * &quot;-&quot;??_ ;_ @_ "/>
    <numFmt numFmtId="170" formatCode="_ [$$-2C0A]\ * #,##0_ ;_ [$$-2C0A]\ * \-#,##0_ ;_ [$$-2C0A]\ * &quot;-&quot;??_ ;_ @_ "/>
    <numFmt numFmtId="171" formatCode="&quot;$&quot;\ #,##0.00"/>
    <numFmt numFmtId="172" formatCode="_(&quot;$&quot;\ * #,##0_);_(&quot;$&quot;\ * \(#,##0\);_(&quot;$&quot;\ * &quot;-&quot;??_);_(@_)"/>
    <numFmt numFmtId="173" formatCode="_-[$$-409]* #,##0.00_ ;_-[$$-409]* \-#,##0.00\ ;_-[$$-409]* &quot;-&quot;??_ ;_-@_ "/>
    <numFmt numFmtId="174" formatCode="_-[$$-300A]\ * #,##0.00_ ;_-[$$-300A]\ * \-#,##0.00\ ;_-[$$-300A]\ * &quot;-&quot;??_ ;_-@_ "/>
    <numFmt numFmtId="175" formatCode="#,##0.0"/>
    <numFmt numFmtId="176" formatCode="_([$$-300A]\ * #,##0.00_);_([$$-300A]\ * \(#,##0.00\);_([$$-300A]\ * &quot;-&quot;??_);_(@_)"/>
    <numFmt numFmtId="177" formatCode="&quot;$&quot;\ #,##0"/>
    <numFmt numFmtId="178" formatCode="[$$-300A]\ #,##0.00"/>
    <numFmt numFmtId="179" formatCode="_-* #,##0.00\ _€_-;\-* #,##0.00\ _€_-;_-* &quot;-&quot;??\ _€_-;_-@_-"/>
    <numFmt numFmtId="180" formatCode="_-* #,##0\ _€_-;\-* #,##0\ _€_-;_-* &quot;-&quot;??\ _€_-;_-@_-"/>
    <numFmt numFmtId="181" formatCode="_(* #,##0_);_(* \(#,##0\);_(* &quot;-&quot;??_);_(@_)"/>
    <numFmt numFmtId="182" formatCode="_-* #,##0.0\ _€_-;\-* #,##0.0\ _€_-;_-* &quot;-&quot;??\ _€_-;_-@_-"/>
    <numFmt numFmtId="183" formatCode="_(&quot;$&quot;\ * #,##0.0_);_(&quot;$&quot;\ * \(#,##0.0\);_(&quot;$&quot;\ * &quot;-&quot;??_);_(@_)"/>
    <numFmt numFmtId="184" formatCode="0.0%"/>
    <numFmt numFmtId="185" formatCode="&quot;$&quot;#,##0.00\ ;\(&quot;$&quot;#,##0.00\)"/>
    <numFmt numFmtId="186" formatCode="0.0000"/>
    <numFmt numFmtId="187" formatCode="_(* #,##0.000_);_(* \(#,##0.000\);_(*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Arial"/>
      <family val="2"/>
    </font>
    <font>
      <sz val="9"/>
      <color rgb="FF000000"/>
      <name val="Arial"/>
      <family val="2"/>
    </font>
    <font>
      <sz val="9"/>
      <color theme="1"/>
      <name val="Arial"/>
      <family val="2"/>
    </font>
    <font>
      <sz val="11"/>
      <color indexed="8"/>
      <name val="Calibri"/>
      <family val="2"/>
    </font>
    <font>
      <sz val="9"/>
      <name val="Arial"/>
      <family val="2"/>
    </font>
    <font>
      <b/>
      <i/>
      <sz val="9"/>
      <name val="Arial"/>
      <family val="2"/>
    </font>
    <font>
      <b/>
      <i/>
      <sz val="9"/>
      <color theme="0"/>
      <name val="Arial"/>
      <family val="2"/>
    </font>
    <font>
      <i/>
      <sz val="9"/>
      <name val="Arial"/>
      <family val="2"/>
    </font>
    <font>
      <sz val="10"/>
      <name val="Arial"/>
      <family val="2"/>
    </font>
    <font>
      <b/>
      <sz val="9"/>
      <name val="Arial"/>
      <family val="2"/>
    </font>
    <font>
      <b/>
      <sz val="9"/>
      <color rgb="FFFF0000"/>
      <name val="Arial"/>
      <family val="2"/>
    </font>
    <font>
      <b/>
      <sz val="9"/>
      <color indexed="8"/>
      <name val="Arial"/>
      <family val="2"/>
    </font>
    <font>
      <b/>
      <i/>
      <sz val="9"/>
      <color rgb="FFFF0000"/>
      <name val="Arial"/>
      <family val="2"/>
    </font>
    <font>
      <sz val="9"/>
      <color indexed="8"/>
      <name val="Arial"/>
      <family val="2"/>
    </font>
    <font>
      <sz val="9"/>
      <color rgb="FFFF0000"/>
      <name val="Arial"/>
      <family val="2"/>
    </font>
    <font>
      <sz val="9"/>
      <color indexed="81"/>
      <name val="Tahoma"/>
      <family val="2"/>
    </font>
    <font>
      <b/>
      <sz val="9"/>
      <color indexed="81"/>
      <name val="Tahoma"/>
      <family val="2"/>
    </font>
    <font>
      <b/>
      <sz val="9"/>
      <color theme="0"/>
      <name val="Arial"/>
      <family val="2"/>
    </font>
    <font>
      <b/>
      <sz val="9"/>
      <color rgb="FF333333"/>
      <name val="Arial"/>
      <family val="2"/>
    </font>
    <font>
      <i/>
      <sz val="11"/>
      <color theme="1"/>
      <name val="Calibri"/>
      <family val="2"/>
      <scheme val="minor"/>
    </font>
    <font>
      <b/>
      <sz val="8"/>
      <color indexed="81"/>
      <name val="Tahoma"/>
      <family val="2"/>
    </font>
    <font>
      <sz val="8"/>
      <color indexed="81"/>
      <name val="Tahoma"/>
      <family val="2"/>
    </font>
    <font>
      <sz val="9"/>
      <color theme="0"/>
      <name val="Arial"/>
      <family val="2"/>
    </font>
    <font>
      <b/>
      <sz val="9"/>
      <color theme="1"/>
      <name val="Arial"/>
      <family val="2"/>
    </font>
    <font>
      <b/>
      <u/>
      <sz val="9"/>
      <name val="Arial"/>
      <family val="2"/>
    </font>
    <font>
      <b/>
      <u/>
      <sz val="9"/>
      <color rgb="FFFFFFFF"/>
      <name val="Arial"/>
      <family val="2"/>
    </font>
    <font>
      <b/>
      <sz val="9"/>
      <color rgb="FFFFFFFF"/>
      <name val="Arial"/>
      <family val="2"/>
    </font>
    <font>
      <sz val="11"/>
      <color rgb="FFFF0000"/>
      <name val="Calibri"/>
      <family val="2"/>
      <scheme val="minor"/>
    </font>
    <font>
      <b/>
      <sz val="10"/>
      <name val="MS Sans Serif"/>
      <family val="2"/>
    </font>
    <font>
      <b/>
      <i/>
      <sz val="9"/>
      <color theme="1"/>
      <name val="Arial"/>
      <family val="2"/>
    </font>
    <font>
      <b/>
      <i/>
      <sz val="9"/>
      <color indexed="8"/>
      <name val="Arial"/>
      <family val="2"/>
    </font>
    <font>
      <i/>
      <sz val="9"/>
      <color theme="1"/>
      <name val="Arial"/>
      <family val="2"/>
    </font>
    <font>
      <b/>
      <sz val="18"/>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8"/>
      <color theme="1"/>
      <name val="Calibri"/>
      <family val="2"/>
      <scheme val="minor"/>
    </font>
    <font>
      <b/>
      <sz val="11"/>
      <color theme="0"/>
      <name val="Calibri"/>
      <family val="2"/>
      <scheme val="minor"/>
    </font>
    <font>
      <b/>
      <sz val="11"/>
      <color rgb="FFFFFFFF"/>
      <name val="Calibri"/>
      <family val="2"/>
    </font>
    <font>
      <sz val="11"/>
      <color theme="0"/>
      <name val="Calibri"/>
      <family val="2"/>
      <scheme val="minor"/>
    </font>
  </fonts>
  <fills count="24">
    <fill>
      <patternFill patternType="none"/>
    </fill>
    <fill>
      <patternFill patternType="gray125"/>
    </fill>
    <fill>
      <patternFill patternType="solid">
        <fgColor rgb="FF4BACC6"/>
        <bgColor indexed="64"/>
      </patternFill>
    </fill>
    <fill>
      <patternFill patternType="solid">
        <fgColor rgb="FFD2EAF1"/>
        <bgColor indexed="64"/>
      </patternFill>
    </fill>
    <fill>
      <patternFill patternType="solid">
        <fgColor rgb="FFDAEEF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8"/>
        <bgColor indexed="64"/>
      </patternFill>
    </fill>
    <fill>
      <patternFill patternType="solid">
        <fgColor theme="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4" tint="0.39997558519241921"/>
        <bgColor indexed="7"/>
      </patternFill>
    </fill>
    <fill>
      <patternFill patternType="solid">
        <fgColor rgb="FF31849B"/>
        <bgColor indexed="64"/>
      </patternFill>
    </fill>
    <fill>
      <patternFill patternType="solid">
        <fgColor rgb="FFB6DDE8"/>
        <bgColor indexed="64"/>
      </patternFill>
    </fill>
    <fill>
      <patternFill patternType="solid">
        <fgColor theme="3" tint="0.59999389629810485"/>
        <bgColor indexed="7"/>
      </patternFill>
    </fill>
  </fills>
  <borders count="135">
    <border>
      <left/>
      <right/>
      <top/>
      <bottom/>
      <diagonal/>
    </border>
    <border>
      <left style="medium">
        <color rgb="FF78C0D4"/>
      </left>
      <right/>
      <top style="medium">
        <color rgb="FF78C0D4"/>
      </top>
      <bottom style="medium">
        <color rgb="FF00B0F0"/>
      </bottom>
      <diagonal/>
    </border>
    <border>
      <left/>
      <right style="medium">
        <color rgb="FF78C0D4"/>
      </right>
      <top style="medium">
        <color rgb="FF78C0D4"/>
      </top>
      <bottom style="medium">
        <color rgb="FF00B0F0"/>
      </bottom>
      <diagonal/>
    </border>
    <border>
      <left/>
      <right/>
      <top style="medium">
        <color rgb="FF78C0D4"/>
      </top>
      <bottom style="medium">
        <color rgb="FF00B0F0"/>
      </bottom>
      <diagonal/>
    </border>
    <border>
      <left style="medium">
        <color rgb="FF00B0F0"/>
      </left>
      <right style="medium">
        <color rgb="FF00B0F0"/>
      </right>
      <top/>
      <bottom style="medium">
        <color rgb="FF00B0F0"/>
      </bottom>
      <diagonal/>
    </border>
    <border>
      <left/>
      <right style="medium">
        <color rgb="FF00B0F0"/>
      </right>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medium">
        <color rgb="FF00B0F0"/>
      </left>
      <right style="thin">
        <color rgb="FF00B0F0"/>
      </right>
      <top/>
      <bottom style="thin">
        <color rgb="FF00B0F0"/>
      </bottom>
      <diagonal/>
    </border>
    <border>
      <left style="thin">
        <color rgb="FF00B0F0"/>
      </left>
      <right style="thin">
        <color rgb="FF00B0F0"/>
      </right>
      <top/>
      <bottom style="thin">
        <color rgb="FF00B0F0"/>
      </bottom>
      <diagonal/>
    </border>
    <border>
      <left style="medium">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medium">
        <color rgb="FF00B0F0"/>
      </right>
      <top style="thin">
        <color rgb="FF00B0F0"/>
      </top>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thin">
        <color rgb="FF00B0F0"/>
      </left>
      <right/>
      <top style="medium">
        <color rgb="FF00B0F0"/>
      </top>
      <bottom style="thin">
        <color rgb="FF00B0F0"/>
      </bottom>
      <diagonal/>
    </border>
    <border>
      <left style="thin">
        <color rgb="FF00B0F0"/>
      </left>
      <right/>
      <top style="thin">
        <color rgb="FF00B0F0"/>
      </top>
      <bottom style="thin">
        <color rgb="FF00B0F0"/>
      </bottom>
      <diagonal/>
    </border>
    <border>
      <left style="thin">
        <color rgb="FF00B0F0"/>
      </left>
      <right/>
      <top style="thin">
        <color rgb="FF00B0F0"/>
      </top>
      <bottom style="medium">
        <color rgb="FF00B0F0"/>
      </bottom>
      <diagonal/>
    </border>
    <border>
      <left/>
      <right style="thin">
        <color rgb="FF00B0F0"/>
      </right>
      <top style="thin">
        <color rgb="FF00B0F0"/>
      </top>
      <bottom style="thin">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style="thin">
        <color rgb="FF00B0F0"/>
      </right>
      <top style="medium">
        <color rgb="FF00B0F0"/>
      </top>
      <bottom style="thin">
        <color rgb="FF00B0F0"/>
      </bottom>
      <diagonal/>
    </border>
    <border>
      <left/>
      <right/>
      <top/>
      <bottom style="thin">
        <color rgb="FF00B0F0"/>
      </bottom>
      <diagonal/>
    </border>
    <border>
      <left/>
      <right style="thin">
        <color rgb="FF00B0F0"/>
      </right>
      <top style="medium">
        <color rgb="FF00B0F0"/>
      </top>
      <bottom style="medium">
        <color rgb="FF00B0F0"/>
      </bottom>
      <diagonal/>
    </border>
    <border>
      <left style="thin">
        <color rgb="FF00B0F0"/>
      </left>
      <right style="thin">
        <color rgb="FF00B0F0"/>
      </right>
      <top/>
      <bottom style="medium">
        <color rgb="FF00B0F0"/>
      </bottom>
      <diagonal/>
    </border>
    <border>
      <left/>
      <right/>
      <top style="medium">
        <color rgb="FF00B0F0"/>
      </top>
      <bottom style="medium">
        <color rgb="FF00B0F0"/>
      </bottom>
      <diagonal/>
    </border>
    <border>
      <left/>
      <right/>
      <top style="medium">
        <color rgb="FF00B0F0"/>
      </top>
      <bottom/>
      <diagonal/>
    </border>
    <border>
      <left style="thin">
        <color rgb="FF00B0F0"/>
      </left>
      <right/>
      <top style="medium">
        <color rgb="FF00B0F0"/>
      </top>
      <bottom style="medium">
        <color rgb="FF00B0F0"/>
      </bottom>
      <diagonal/>
    </border>
    <border>
      <left style="thin">
        <color indexed="64"/>
      </left>
      <right style="thin">
        <color indexed="64"/>
      </right>
      <top style="thin">
        <color indexed="64"/>
      </top>
      <bottom style="thin">
        <color indexed="64"/>
      </bottom>
      <diagonal/>
    </border>
    <border>
      <left/>
      <right/>
      <top/>
      <bottom style="medium">
        <color rgb="FF78C0D4"/>
      </bottom>
      <diagonal/>
    </border>
    <border>
      <left/>
      <right style="medium">
        <color rgb="FF78C0D4"/>
      </right>
      <top style="medium">
        <color rgb="FF78C0D4"/>
      </top>
      <bottom style="medium">
        <color rgb="FF78C0D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rgb="FF78C0D4"/>
      </left>
      <right style="thin">
        <color rgb="FF78C0D4"/>
      </right>
      <top style="medium">
        <color rgb="FF78C0D4"/>
      </top>
      <bottom style="thin">
        <color rgb="FF78C0D4"/>
      </bottom>
      <diagonal/>
    </border>
    <border>
      <left style="thin">
        <color rgb="FF78C0D4"/>
      </left>
      <right style="thin">
        <color rgb="FF78C0D4"/>
      </right>
      <top style="medium">
        <color rgb="FF78C0D4"/>
      </top>
      <bottom style="thin">
        <color rgb="FF78C0D4"/>
      </bottom>
      <diagonal/>
    </border>
    <border>
      <left style="thin">
        <color rgb="FF78C0D4"/>
      </left>
      <right style="medium">
        <color rgb="FF78C0D4"/>
      </right>
      <top style="medium">
        <color rgb="FF78C0D4"/>
      </top>
      <bottom style="thin">
        <color rgb="FF78C0D4"/>
      </bottom>
      <diagonal/>
    </border>
    <border>
      <left style="medium">
        <color rgb="FF78C0D4"/>
      </left>
      <right style="thin">
        <color rgb="FF78C0D4"/>
      </right>
      <top style="thin">
        <color rgb="FF78C0D4"/>
      </top>
      <bottom style="thin">
        <color rgb="FF78C0D4"/>
      </bottom>
      <diagonal/>
    </border>
    <border>
      <left style="thin">
        <color rgb="FF78C0D4"/>
      </left>
      <right style="thin">
        <color rgb="FF78C0D4"/>
      </right>
      <top style="thin">
        <color rgb="FF78C0D4"/>
      </top>
      <bottom style="thin">
        <color rgb="FF78C0D4"/>
      </bottom>
      <diagonal/>
    </border>
    <border>
      <left style="thin">
        <color rgb="FF78C0D4"/>
      </left>
      <right style="medium">
        <color rgb="FF78C0D4"/>
      </right>
      <top style="thin">
        <color rgb="FF78C0D4"/>
      </top>
      <bottom style="thin">
        <color rgb="FF78C0D4"/>
      </bottom>
      <diagonal/>
    </border>
    <border>
      <left style="medium">
        <color rgb="FF78C0D4"/>
      </left>
      <right style="thin">
        <color rgb="FF78C0D4"/>
      </right>
      <top style="thin">
        <color rgb="FF78C0D4"/>
      </top>
      <bottom style="medium">
        <color rgb="FF78C0D4"/>
      </bottom>
      <diagonal/>
    </border>
    <border>
      <left style="thin">
        <color rgb="FF78C0D4"/>
      </left>
      <right style="thin">
        <color rgb="FF78C0D4"/>
      </right>
      <top style="thin">
        <color rgb="FF78C0D4"/>
      </top>
      <bottom style="medium">
        <color rgb="FF78C0D4"/>
      </bottom>
      <diagonal/>
    </border>
    <border>
      <left style="thin">
        <color rgb="FF78C0D4"/>
      </left>
      <right style="medium">
        <color rgb="FF78C0D4"/>
      </right>
      <top style="thin">
        <color rgb="FF78C0D4"/>
      </top>
      <bottom style="medium">
        <color rgb="FF78C0D4"/>
      </bottom>
      <diagonal/>
    </border>
    <border>
      <left style="medium">
        <color rgb="FF78C0D4"/>
      </left>
      <right style="thin">
        <color rgb="FF78C0D4"/>
      </right>
      <top/>
      <bottom style="thin">
        <color rgb="FF78C0D4"/>
      </bottom>
      <diagonal/>
    </border>
    <border>
      <left style="thin">
        <color rgb="FF78C0D4"/>
      </left>
      <right style="thin">
        <color rgb="FF78C0D4"/>
      </right>
      <top/>
      <bottom style="thin">
        <color rgb="FF78C0D4"/>
      </bottom>
      <diagonal/>
    </border>
    <border>
      <left style="medium">
        <color rgb="FF78C0D4"/>
      </left>
      <right style="thin">
        <color rgb="FF78C0D4"/>
      </right>
      <top style="thin">
        <color rgb="FF78C0D4"/>
      </top>
      <bottom/>
      <diagonal/>
    </border>
    <border>
      <left style="thin">
        <color rgb="FF78C0D4"/>
      </left>
      <right style="thin">
        <color rgb="FF78C0D4"/>
      </right>
      <top style="thin">
        <color rgb="FF78C0D4"/>
      </top>
      <bottom/>
      <diagonal/>
    </border>
    <border>
      <left style="thin">
        <color rgb="FF78C0D4"/>
      </left>
      <right style="medium">
        <color rgb="FF78C0D4"/>
      </right>
      <top style="thin">
        <color rgb="FF78C0D4"/>
      </top>
      <bottom/>
      <diagonal/>
    </border>
    <border>
      <left style="medium">
        <color rgb="FF78C0D4"/>
      </left>
      <right style="thin">
        <color rgb="FF78C0D4"/>
      </right>
      <top style="medium">
        <color rgb="FF78C0D4"/>
      </top>
      <bottom style="medium">
        <color rgb="FF78C0D4"/>
      </bottom>
      <diagonal/>
    </border>
    <border>
      <left style="thin">
        <color rgb="FF78C0D4"/>
      </left>
      <right style="thin">
        <color rgb="FF78C0D4"/>
      </right>
      <top style="medium">
        <color rgb="FF78C0D4"/>
      </top>
      <bottom style="medium">
        <color rgb="FF78C0D4"/>
      </bottom>
      <diagonal/>
    </border>
    <border>
      <left style="thin">
        <color rgb="FF78C0D4"/>
      </left>
      <right style="medium">
        <color rgb="FF78C0D4"/>
      </right>
      <top style="medium">
        <color rgb="FF78C0D4"/>
      </top>
      <bottom style="medium">
        <color rgb="FF78C0D4"/>
      </bottom>
      <diagonal/>
    </border>
    <border>
      <left style="medium">
        <color rgb="FF78C0D4"/>
      </left>
      <right style="thin">
        <color rgb="FF78C0D4"/>
      </right>
      <top style="thin">
        <color rgb="FF78C0D4"/>
      </top>
      <bottom style="medium">
        <color rgb="FF00B0F0"/>
      </bottom>
      <diagonal/>
    </border>
    <border>
      <left style="thin">
        <color rgb="FF78C0D4"/>
      </left>
      <right style="thin">
        <color rgb="FF78C0D4"/>
      </right>
      <top style="thin">
        <color rgb="FF78C0D4"/>
      </top>
      <bottom style="medium">
        <color rgb="FF00B0F0"/>
      </bottom>
      <diagonal/>
    </border>
    <border>
      <left style="thin">
        <color rgb="FF78C0D4"/>
      </left>
      <right style="medium">
        <color rgb="FF78C0D4"/>
      </right>
      <top style="thin">
        <color rgb="FF78C0D4"/>
      </top>
      <bottom style="medium">
        <color rgb="FF00B0F0"/>
      </bottom>
      <diagonal/>
    </border>
    <border>
      <left style="thin">
        <color rgb="FF78C0D4"/>
      </left>
      <right style="medium">
        <color rgb="FF00B0F0"/>
      </right>
      <top style="medium">
        <color rgb="FF78C0D4"/>
      </top>
      <bottom style="thin">
        <color rgb="FF78C0D4"/>
      </bottom>
      <diagonal/>
    </border>
    <border>
      <left style="thin">
        <color rgb="FF78C0D4"/>
      </left>
      <right style="medium">
        <color rgb="FF00B0F0"/>
      </right>
      <top style="thin">
        <color rgb="FF78C0D4"/>
      </top>
      <bottom style="thin">
        <color rgb="FF78C0D4"/>
      </bottom>
      <diagonal/>
    </border>
    <border>
      <left style="thin">
        <color rgb="FF78C0D4"/>
      </left>
      <right style="medium">
        <color rgb="FF00B0F0"/>
      </right>
      <top style="thin">
        <color rgb="FF78C0D4"/>
      </top>
      <bottom style="medium">
        <color rgb="FF00B0F0"/>
      </bottom>
      <diagonal/>
    </border>
    <border>
      <left style="medium">
        <color rgb="FF78C0D4"/>
      </left>
      <right/>
      <top style="medium">
        <color rgb="FF78C0D4"/>
      </top>
      <bottom style="thin">
        <color rgb="FF78C0D4"/>
      </bottom>
      <diagonal/>
    </border>
    <border>
      <left/>
      <right style="medium">
        <color rgb="FF78C0D4"/>
      </right>
      <top style="medium">
        <color rgb="FF78C0D4"/>
      </top>
      <bottom style="thin">
        <color rgb="FF78C0D4"/>
      </bottom>
      <diagonal/>
    </border>
    <border>
      <left/>
      <right/>
      <top/>
      <bottom style="medium">
        <color rgb="FF00B0F0"/>
      </bottom>
      <diagonal/>
    </border>
    <border>
      <left style="thin">
        <color rgb="FF00B0F0"/>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right/>
      <top style="thin">
        <color rgb="FF00B0F0"/>
      </top>
      <bottom/>
      <diagonal/>
    </border>
    <border>
      <left style="medium">
        <color rgb="FF00B0F0"/>
      </left>
      <right/>
      <top style="thin">
        <color rgb="FF00B0F0"/>
      </top>
      <bottom/>
      <diagonal/>
    </border>
    <border>
      <left style="medium">
        <color rgb="FF00B0F0"/>
      </left>
      <right/>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style="thin">
        <color rgb="FF00B0F0"/>
      </bottom>
      <diagonal/>
    </border>
    <border>
      <left style="medium">
        <color rgb="FF00B0F0"/>
      </left>
      <right/>
      <top/>
      <bottom/>
      <diagonal/>
    </border>
    <border>
      <left/>
      <right style="medium">
        <color rgb="FF00B0F0"/>
      </right>
      <top/>
      <bottom/>
      <diagonal/>
    </border>
    <border>
      <left style="thin">
        <color rgb="FF78C0D4"/>
      </left>
      <right style="medium">
        <color rgb="FF00B0F0"/>
      </right>
      <top style="thin">
        <color rgb="FF78C0D4"/>
      </top>
      <bottom/>
      <diagonal/>
    </border>
    <border>
      <left style="medium">
        <color rgb="FF78C0D4"/>
      </left>
      <right/>
      <top style="medium">
        <color rgb="FF78C0D4"/>
      </top>
      <bottom style="medium">
        <color rgb="FF78C0D4"/>
      </bottom>
      <diagonal/>
    </border>
    <border>
      <left style="medium">
        <color rgb="FF78C0D4"/>
      </left>
      <right style="medium">
        <color rgb="FF78C0D4"/>
      </right>
      <top/>
      <bottom style="medium">
        <color rgb="FF78C0D4"/>
      </bottom>
      <diagonal/>
    </border>
    <border>
      <left/>
      <right style="medium">
        <color rgb="FF78C0D4"/>
      </right>
      <top/>
      <bottom style="medium">
        <color rgb="FF78C0D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rgb="FF00B0F0"/>
      </left>
      <right/>
      <top style="medium">
        <color rgb="FF00B0F0"/>
      </top>
      <bottom style="thin">
        <color rgb="FF00B0F0"/>
      </bottom>
      <diagonal/>
    </border>
    <border>
      <left/>
      <right style="medium">
        <color rgb="FF00B0F0"/>
      </right>
      <top style="medium">
        <color rgb="FF00B0F0"/>
      </top>
      <bottom style="thin">
        <color rgb="FF00B0F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diagonal/>
    </border>
    <border>
      <left/>
      <right style="double">
        <color rgb="FF00B0F0"/>
      </right>
      <top/>
      <bottom/>
      <diagonal/>
    </border>
    <border>
      <left style="double">
        <color rgb="FF00B0F0"/>
      </left>
      <right style="thin">
        <color rgb="FF00B0F0"/>
      </right>
      <top style="medium">
        <color rgb="FF00B0F0"/>
      </top>
      <bottom style="thin">
        <color rgb="FF00B0F0"/>
      </bottom>
      <diagonal/>
    </border>
    <border>
      <left style="thin">
        <color rgb="FF00B0F0"/>
      </left>
      <right style="double">
        <color rgb="FF00B0F0"/>
      </right>
      <top style="medium">
        <color rgb="FF00B0F0"/>
      </top>
      <bottom style="thin">
        <color rgb="FF00B0F0"/>
      </bottom>
      <diagonal/>
    </border>
    <border>
      <left style="double">
        <color rgb="FF00B0F0"/>
      </left>
      <right style="thin">
        <color rgb="FF00B0F0"/>
      </right>
      <top style="thin">
        <color rgb="FF00B0F0"/>
      </top>
      <bottom style="thin">
        <color rgb="FF00B0F0"/>
      </bottom>
      <diagonal/>
    </border>
    <border>
      <left style="thin">
        <color rgb="FF00B0F0"/>
      </left>
      <right style="double">
        <color rgb="FF00B0F0"/>
      </right>
      <top style="thin">
        <color rgb="FF00B0F0"/>
      </top>
      <bottom style="thin">
        <color rgb="FF00B0F0"/>
      </bottom>
      <diagonal/>
    </border>
    <border>
      <left style="double">
        <color rgb="FF00B0F0"/>
      </left>
      <right style="thin">
        <color rgb="FF00B0F0"/>
      </right>
      <top style="thin">
        <color rgb="FF00B0F0"/>
      </top>
      <bottom style="medium">
        <color rgb="FF00B0F0"/>
      </bottom>
      <diagonal/>
    </border>
    <border>
      <left style="thin">
        <color rgb="FF00B0F0"/>
      </left>
      <right style="double">
        <color rgb="FF00B0F0"/>
      </right>
      <top style="thin">
        <color rgb="FF00B0F0"/>
      </top>
      <bottom style="medium">
        <color rgb="FF00B0F0"/>
      </bottom>
      <diagonal/>
    </border>
    <border>
      <left style="double">
        <color rgb="FF00B0F0"/>
      </left>
      <right style="thin">
        <color rgb="FF00B0F0"/>
      </right>
      <top style="thin">
        <color rgb="FF00B0F0"/>
      </top>
      <bottom/>
      <diagonal/>
    </border>
    <border>
      <left style="double">
        <color rgb="FF00B0F0"/>
      </left>
      <right/>
      <top style="medium">
        <color rgb="FF00B0F0"/>
      </top>
      <bottom/>
      <diagonal/>
    </border>
    <border>
      <left/>
      <right style="double">
        <color rgb="FF00B0F0"/>
      </right>
      <top style="medium">
        <color rgb="FF00B0F0"/>
      </top>
      <bottom/>
      <diagonal/>
    </border>
    <border>
      <left style="double">
        <color rgb="FF00B0F0"/>
      </left>
      <right/>
      <top style="thin">
        <color rgb="FF00B0F0"/>
      </top>
      <bottom style="thin">
        <color rgb="FF00B0F0"/>
      </bottom>
      <diagonal/>
    </border>
    <border>
      <left style="double">
        <color rgb="FF00B0F0"/>
      </left>
      <right/>
      <top/>
      <bottom style="double">
        <color rgb="FF00B0F0"/>
      </bottom>
      <diagonal/>
    </border>
    <border>
      <left/>
      <right/>
      <top/>
      <bottom style="double">
        <color rgb="FF00B0F0"/>
      </bottom>
      <diagonal/>
    </border>
    <border>
      <left/>
      <right style="double">
        <color rgb="FF00B0F0"/>
      </right>
      <top/>
      <bottom style="double">
        <color rgb="FF00B0F0"/>
      </bottom>
      <diagonal/>
    </border>
    <border>
      <left style="double">
        <color rgb="FF00B0F0"/>
      </left>
      <right style="medium">
        <color rgb="FF00B0F0"/>
      </right>
      <top/>
      <bottom style="medium">
        <color rgb="FF00B0F0"/>
      </bottom>
      <diagonal/>
    </border>
    <border>
      <left style="double">
        <color rgb="FF00B0F0"/>
      </left>
      <right style="medium">
        <color rgb="FF00B0F0"/>
      </right>
      <top/>
      <bottom/>
      <diagonal/>
    </border>
    <border>
      <left/>
      <right style="double">
        <color rgb="FF00B0F0"/>
      </right>
      <top/>
      <bottom style="medium">
        <color rgb="FF00B0F0"/>
      </bottom>
      <diagonal/>
    </border>
    <border>
      <left style="medium">
        <color rgb="FF00B0F0"/>
      </left>
      <right style="medium">
        <color rgb="FF00B0F0"/>
      </right>
      <top style="medium">
        <color rgb="FF00B0F0"/>
      </top>
      <bottom/>
      <diagonal/>
    </border>
    <border>
      <left style="medium">
        <color rgb="FF00B0F0"/>
      </left>
      <right style="double">
        <color rgb="FF00B0F0"/>
      </right>
      <top style="medium">
        <color rgb="FF00B0F0"/>
      </top>
      <bottom/>
      <diagonal/>
    </border>
    <border>
      <left style="medium">
        <color rgb="FF00B0F0"/>
      </left>
      <right style="double">
        <color rgb="FF00B0F0"/>
      </right>
      <top/>
      <bottom style="medium">
        <color rgb="FF00B0F0"/>
      </bottom>
      <diagonal/>
    </border>
  </borders>
  <cellStyleXfs count="7">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11" fillId="0" borderId="0"/>
  </cellStyleXfs>
  <cellXfs count="658">
    <xf numFmtId="0" fontId="0" fillId="0" borderId="0" xfId="0"/>
    <xf numFmtId="0" fontId="3" fillId="3" borderId="4" xfId="0" applyFont="1" applyFill="1" applyBorder="1" applyAlignment="1">
      <alignment vertical="top"/>
    </xf>
    <xf numFmtId="0" fontId="3" fillId="3" borderId="5" xfId="0" applyFont="1" applyFill="1" applyBorder="1" applyAlignment="1">
      <alignment horizontal="center" vertical="top"/>
    </xf>
    <xf numFmtId="0" fontId="3" fillId="0" borderId="4" xfId="0" applyFont="1" applyBorder="1" applyAlignment="1">
      <alignment vertical="top"/>
    </xf>
    <xf numFmtId="9" fontId="4" fillId="0" borderId="5" xfId="0" applyNumberFormat="1" applyFont="1" applyBorder="1" applyAlignment="1">
      <alignment horizontal="right" vertical="top"/>
    </xf>
    <xf numFmtId="0" fontId="4" fillId="0" borderId="5" xfId="0" applyFont="1" applyBorder="1" applyAlignment="1">
      <alignment horizontal="center" vertical="top"/>
    </xf>
    <xf numFmtId="2" fontId="4" fillId="0" borderId="5" xfId="0" applyNumberFormat="1" applyFont="1" applyBorder="1" applyAlignment="1">
      <alignment horizontal="center" vertical="top"/>
    </xf>
    <xf numFmtId="9" fontId="4" fillId="4" borderId="5" xfId="0" applyNumberFormat="1" applyFont="1" applyFill="1" applyBorder="1" applyAlignment="1">
      <alignment horizontal="right" vertical="top"/>
    </xf>
    <xf numFmtId="0" fontId="4" fillId="4" borderId="5" xfId="0" applyFont="1" applyFill="1" applyBorder="1" applyAlignment="1">
      <alignment horizontal="center" vertical="top"/>
    </xf>
    <xf numFmtId="2" fontId="4" fillId="4" borderId="5" xfId="0" applyNumberFormat="1" applyFont="1" applyFill="1" applyBorder="1" applyAlignment="1">
      <alignment horizontal="center" vertical="top"/>
    </xf>
    <xf numFmtId="2" fontId="7" fillId="0" borderId="17" xfId="0" applyNumberFormat="1" applyFont="1" applyFill="1" applyBorder="1" applyAlignment="1">
      <alignment horizontal="left"/>
    </xf>
    <xf numFmtId="2" fontId="7" fillId="0" borderId="11" xfId="0" applyNumberFormat="1" applyFont="1" applyFill="1" applyBorder="1" applyAlignment="1">
      <alignment horizontal="left"/>
    </xf>
    <xf numFmtId="2" fontId="7" fillId="0" borderId="19" xfId="0" applyNumberFormat="1" applyFont="1" applyFill="1" applyBorder="1" applyAlignment="1">
      <alignment horizontal="left"/>
    </xf>
    <xf numFmtId="2" fontId="8" fillId="9" borderId="22" xfId="0" applyNumberFormat="1" applyFont="1" applyFill="1" applyBorder="1" applyAlignment="1">
      <alignment horizontal="center" vertical="center"/>
    </xf>
    <xf numFmtId="10" fontId="8" fillId="5" borderId="15" xfId="3" applyNumberFormat="1" applyFont="1" applyFill="1" applyBorder="1" applyAlignment="1">
      <alignment horizontal="center" vertical="center"/>
    </xf>
    <xf numFmtId="166" fontId="8" fillId="9" borderId="23" xfId="2" applyFont="1" applyFill="1" applyBorder="1" applyAlignment="1">
      <alignment horizontal="center" vertical="center"/>
    </xf>
    <xf numFmtId="0" fontId="7" fillId="0" borderId="0" xfId="0" applyFont="1"/>
    <xf numFmtId="0" fontId="12" fillId="5" borderId="12" xfId="0" applyFont="1" applyFill="1" applyBorder="1" applyAlignment="1">
      <alignment horizontal="center"/>
    </xf>
    <xf numFmtId="168" fontId="12" fillId="5" borderId="12" xfId="0" applyNumberFormat="1" applyFont="1" applyFill="1" applyBorder="1" applyAlignment="1">
      <alignment horizontal="center"/>
    </xf>
    <xf numFmtId="169" fontId="7" fillId="0" borderId="12" xfId="0" applyNumberFormat="1" applyFont="1" applyFill="1" applyBorder="1" applyAlignment="1">
      <alignment horizontal="left"/>
    </xf>
    <xf numFmtId="170" fontId="7" fillId="0" borderId="12" xfId="0" applyNumberFormat="1" applyFont="1" applyFill="1" applyBorder="1" applyAlignment="1">
      <alignment horizontal="center"/>
    </xf>
    <xf numFmtId="170" fontId="7" fillId="0" borderId="12" xfId="0" applyNumberFormat="1" applyFont="1" applyFill="1" applyBorder="1"/>
    <xf numFmtId="169" fontId="7" fillId="0" borderId="12" xfId="0" applyNumberFormat="1" applyFont="1" applyFill="1" applyBorder="1"/>
    <xf numFmtId="170" fontId="7" fillId="0" borderId="12" xfId="1" applyNumberFormat="1" applyFont="1" applyFill="1" applyBorder="1"/>
    <xf numFmtId="169" fontId="12" fillId="6" borderId="12" xfId="0" applyNumberFormat="1" applyFont="1" applyFill="1" applyBorder="1" applyAlignment="1">
      <alignment horizontal="left"/>
    </xf>
    <xf numFmtId="170" fontId="12" fillId="6" borderId="12" xfId="0" applyNumberFormat="1" applyFont="1" applyFill="1" applyBorder="1"/>
    <xf numFmtId="169" fontId="7" fillId="0" borderId="12" xfId="0" applyNumberFormat="1" applyFont="1" applyBorder="1" applyAlignment="1">
      <alignment horizontal="left" wrapText="1"/>
    </xf>
    <xf numFmtId="170" fontId="7" fillId="0" borderId="12" xfId="0" applyNumberFormat="1" applyFont="1" applyBorder="1"/>
    <xf numFmtId="170" fontId="12" fillId="6" borderId="12" xfId="0" applyNumberFormat="1" applyFont="1" applyFill="1" applyBorder="1" applyAlignment="1">
      <alignment horizontal="center"/>
    </xf>
    <xf numFmtId="169" fontId="12" fillId="5" borderId="12" xfId="0" applyNumberFormat="1" applyFont="1" applyFill="1" applyBorder="1" applyAlignment="1">
      <alignment horizontal="left"/>
    </xf>
    <xf numFmtId="170" fontId="12" fillId="5" borderId="12" xfId="0" applyNumberFormat="1" applyFont="1" applyFill="1" applyBorder="1"/>
    <xf numFmtId="0" fontId="14" fillId="5" borderId="12" xfId="0" applyFont="1" applyFill="1" applyBorder="1" applyAlignment="1">
      <alignment horizontal="center"/>
    </xf>
    <xf numFmtId="0" fontId="7" fillId="10" borderId="12" xfId="0" applyFont="1" applyFill="1" applyBorder="1"/>
    <xf numFmtId="3" fontId="7" fillId="10" borderId="12" xfId="0" applyNumberFormat="1" applyFont="1" applyFill="1" applyBorder="1" applyAlignment="1">
      <alignment horizontal="center"/>
    </xf>
    <xf numFmtId="164" fontId="7" fillId="10" borderId="12" xfId="0" applyNumberFormat="1" applyFont="1" applyFill="1" applyBorder="1"/>
    <xf numFmtId="0" fontId="7" fillId="10" borderId="12" xfId="0" applyFont="1" applyFill="1" applyBorder="1" applyAlignment="1">
      <alignment horizontal="center"/>
    </xf>
    <xf numFmtId="0" fontId="14" fillId="5" borderId="12" xfId="0" applyFont="1" applyFill="1" applyBorder="1"/>
    <xf numFmtId="0" fontId="7" fillId="5" borderId="12" xfId="0" applyFont="1" applyFill="1" applyBorder="1"/>
    <xf numFmtId="0" fontId="15" fillId="0" borderId="0" xfId="0" applyFont="1" applyFill="1"/>
    <xf numFmtId="0" fontId="7" fillId="0" borderId="0" xfId="0" applyFont="1" applyFill="1"/>
    <xf numFmtId="0" fontId="16" fillId="0" borderId="12" xfId="0" applyFont="1" applyFill="1" applyBorder="1" applyAlignment="1">
      <alignment horizontal="center" vertical="center" wrapText="1"/>
    </xf>
    <xf numFmtId="171" fontId="5" fillId="0" borderId="12" xfId="0" applyNumberFormat="1" applyFont="1" applyFill="1" applyBorder="1"/>
    <xf numFmtId="0" fontId="5" fillId="0" borderId="12" xfId="0" applyFont="1" applyFill="1" applyBorder="1" applyAlignment="1">
      <alignment horizontal="center" vertical="center"/>
    </xf>
    <xf numFmtId="0" fontId="12" fillId="5" borderId="9" xfId="0" applyFont="1" applyFill="1" applyBorder="1" applyAlignment="1">
      <alignment horizontal="center"/>
    </xf>
    <xf numFmtId="170" fontId="12" fillId="6" borderId="15" xfId="0" applyNumberFormat="1" applyFont="1" applyFill="1" applyBorder="1" applyAlignment="1">
      <alignment horizontal="center"/>
    </xf>
    <xf numFmtId="169" fontId="12" fillId="6" borderId="15" xfId="0" applyNumberFormat="1" applyFont="1" applyFill="1" applyBorder="1" applyAlignment="1">
      <alignment horizontal="center"/>
    </xf>
    <xf numFmtId="0" fontId="13" fillId="0" borderId="0" xfId="0" applyFont="1" applyFill="1" applyBorder="1" applyAlignment="1"/>
    <xf numFmtId="0" fontId="5" fillId="0" borderId="0" xfId="0" applyFont="1"/>
    <xf numFmtId="0" fontId="5" fillId="0" borderId="12" xfId="0" applyFont="1" applyBorder="1"/>
    <xf numFmtId="0" fontId="17" fillId="0" borderId="0" xfId="0" applyFont="1"/>
    <xf numFmtId="172" fontId="7" fillId="0" borderId="12" xfId="2" applyNumberFormat="1" applyFont="1" applyFill="1" applyBorder="1" applyAlignment="1">
      <alignment horizontal="center"/>
    </xf>
    <xf numFmtId="172" fontId="12" fillId="6" borderId="12" xfId="2" applyNumberFormat="1" applyFont="1" applyFill="1" applyBorder="1" applyAlignment="1">
      <alignment horizontal="center"/>
    </xf>
    <xf numFmtId="164" fontId="7" fillId="10" borderId="12" xfId="0" applyNumberFormat="1" applyFont="1" applyFill="1" applyBorder="1" applyAlignment="1">
      <alignment horizontal="right"/>
    </xf>
    <xf numFmtId="3" fontId="7" fillId="5" borderId="12" xfId="0" applyNumberFormat="1" applyFont="1" applyFill="1" applyBorder="1"/>
    <xf numFmtId="172" fontId="7" fillId="10" borderId="12" xfId="2" applyNumberFormat="1" applyFont="1" applyFill="1" applyBorder="1" applyAlignment="1">
      <alignment horizontal="right"/>
    </xf>
    <xf numFmtId="172" fontId="5" fillId="0" borderId="12" xfId="2" applyNumberFormat="1" applyFont="1" applyBorder="1"/>
    <xf numFmtId="169" fontId="7" fillId="0" borderId="0" xfId="0" applyNumberFormat="1" applyFont="1" applyBorder="1" applyAlignment="1">
      <alignment horizontal="left" wrapText="1"/>
    </xf>
    <xf numFmtId="169" fontId="7" fillId="0" borderId="0" xfId="0" applyNumberFormat="1" applyFont="1" applyFill="1" applyBorder="1"/>
    <xf numFmtId="0" fontId="12" fillId="5" borderId="8" xfId="0" applyFont="1" applyFill="1" applyBorder="1" applyAlignment="1">
      <alignment horizontal="center"/>
    </xf>
    <xf numFmtId="0" fontId="12" fillId="5" borderId="10" xfId="0" applyFont="1" applyFill="1" applyBorder="1" applyAlignment="1">
      <alignment horizontal="center"/>
    </xf>
    <xf numFmtId="0" fontId="15" fillId="0" borderId="0" xfId="0" applyFont="1" applyFill="1" applyBorder="1" applyAlignment="1">
      <alignment horizontal="center" vertical="center"/>
    </xf>
    <xf numFmtId="0" fontId="5" fillId="0" borderId="0" xfId="0" applyFont="1" applyBorder="1"/>
    <xf numFmtId="166" fontId="12" fillId="5" borderId="12" xfId="2" applyFont="1" applyFill="1" applyBorder="1" applyAlignment="1">
      <alignment horizontal="center"/>
    </xf>
    <xf numFmtId="0" fontId="7" fillId="4" borderId="4" xfId="0" applyFont="1" applyFill="1" applyBorder="1" applyAlignment="1">
      <alignment vertical="top"/>
    </xf>
    <xf numFmtId="0" fontId="7" fillId="4" borderId="5" xfId="0" applyFont="1" applyFill="1" applyBorder="1" applyAlignment="1">
      <alignment horizontal="center" vertical="top"/>
    </xf>
    <xf numFmtId="164" fontId="12" fillId="5" borderId="12" xfId="0" applyNumberFormat="1" applyFont="1" applyFill="1" applyBorder="1"/>
    <xf numFmtId="167" fontId="7" fillId="0" borderId="32" xfId="0" applyNumberFormat="1" applyFont="1" applyFill="1" applyBorder="1" applyAlignment="1">
      <alignment horizontal="center"/>
    </xf>
    <xf numFmtId="167" fontId="5" fillId="0" borderId="25" xfId="2" applyNumberFormat="1" applyFont="1" applyBorder="1" applyAlignment="1">
      <alignment horizontal="center"/>
    </xf>
    <xf numFmtId="167" fontId="7" fillId="0" borderId="25" xfId="2" applyNumberFormat="1" applyFont="1" applyFill="1" applyBorder="1" applyAlignment="1">
      <alignment horizontal="center" vertical="center"/>
    </xf>
    <xf numFmtId="167" fontId="7" fillId="0" borderId="9" xfId="2" applyNumberFormat="1" applyFont="1" applyFill="1" applyBorder="1" applyAlignment="1">
      <alignment horizontal="center" vertical="center"/>
    </xf>
    <xf numFmtId="167" fontId="7" fillId="0" borderId="10" xfId="2" applyNumberFormat="1" applyFont="1" applyFill="1" applyBorder="1" applyAlignment="1">
      <alignment horizontal="center" vertical="center"/>
    </xf>
    <xf numFmtId="167" fontId="5" fillId="0" borderId="26" xfId="2" applyNumberFormat="1" applyFont="1" applyBorder="1" applyAlignment="1">
      <alignment horizontal="center"/>
    </xf>
    <xf numFmtId="167" fontId="7" fillId="0" borderId="26" xfId="2" applyNumberFormat="1" applyFont="1" applyFill="1" applyBorder="1" applyAlignment="1">
      <alignment horizontal="center" vertical="center"/>
    </xf>
    <xf numFmtId="167" fontId="7" fillId="0" borderId="12" xfId="2" applyNumberFormat="1" applyFont="1" applyFill="1" applyBorder="1" applyAlignment="1">
      <alignment horizontal="center" vertical="center"/>
    </xf>
    <xf numFmtId="167" fontId="7" fillId="0" borderId="13" xfId="2" applyNumberFormat="1" applyFont="1" applyFill="1" applyBorder="1" applyAlignment="1">
      <alignment horizontal="center" vertical="center"/>
    </xf>
    <xf numFmtId="167" fontId="5" fillId="0" borderId="27" xfId="2" applyNumberFormat="1" applyFont="1" applyBorder="1" applyAlignment="1">
      <alignment horizontal="center"/>
    </xf>
    <xf numFmtId="167" fontId="7" fillId="0" borderId="27" xfId="2" applyNumberFormat="1" applyFont="1" applyFill="1" applyBorder="1" applyAlignment="1">
      <alignment horizontal="center" vertical="center"/>
    </xf>
    <xf numFmtId="167" fontId="7" fillId="0" borderId="15" xfId="2" applyNumberFormat="1" applyFont="1" applyFill="1" applyBorder="1" applyAlignment="1">
      <alignment horizontal="center" vertical="center"/>
    </xf>
    <xf numFmtId="0" fontId="21" fillId="0" borderId="0" xfId="0" applyFont="1" applyAlignment="1">
      <alignment vertical="center" wrapText="1"/>
    </xf>
    <xf numFmtId="0" fontId="25" fillId="0" borderId="0" xfId="0" applyFont="1"/>
    <xf numFmtId="0" fontId="3" fillId="0" borderId="0" xfId="0" applyFont="1" applyFill="1" applyBorder="1" applyAlignment="1"/>
    <xf numFmtId="1" fontId="20" fillId="7" borderId="63" xfId="0" applyNumberFormat="1" applyFont="1" applyFill="1" applyBorder="1" applyAlignment="1">
      <alignment horizontal="center" vertical="top"/>
    </xf>
    <xf numFmtId="0" fontId="20" fillId="7" borderId="64" xfId="0" applyFont="1" applyFill="1" applyBorder="1" applyAlignment="1">
      <alignment horizontal="center" vertical="top"/>
    </xf>
    <xf numFmtId="0" fontId="20" fillId="7" borderId="65" xfId="0" applyFont="1" applyFill="1" applyBorder="1" applyAlignment="1">
      <alignment horizontal="center" vertical="top"/>
    </xf>
    <xf numFmtId="0" fontId="3" fillId="0" borderId="66" xfId="0" applyFont="1" applyBorder="1" applyAlignment="1">
      <alignment vertical="top"/>
    </xf>
    <xf numFmtId="9" fontId="3" fillId="0" borderId="67" xfId="3" applyFont="1" applyBorder="1" applyAlignment="1">
      <alignment vertical="top"/>
    </xf>
    <xf numFmtId="9" fontId="3" fillId="0" borderId="68" xfId="3" applyFont="1" applyBorder="1" applyAlignment="1">
      <alignment vertical="top"/>
    </xf>
    <xf numFmtId="0" fontId="3" fillId="0" borderId="80" xfId="0" applyFont="1" applyBorder="1" applyAlignment="1">
      <alignment vertical="top"/>
    </xf>
    <xf numFmtId="0" fontId="3" fillId="5" borderId="63" xfId="0" applyFont="1" applyFill="1" applyBorder="1" applyAlignment="1">
      <alignment vertical="top"/>
    </xf>
    <xf numFmtId="0" fontId="3" fillId="5" borderId="66" xfId="0" applyFont="1" applyFill="1" applyBorder="1" applyAlignment="1">
      <alignment vertical="top"/>
    </xf>
    <xf numFmtId="166" fontId="3" fillId="9" borderId="6" xfId="2" applyFont="1" applyFill="1" applyBorder="1" applyAlignment="1">
      <alignment vertical="top"/>
    </xf>
    <xf numFmtId="166" fontId="5" fillId="0" borderId="0" xfId="2" applyFont="1" applyBorder="1"/>
    <xf numFmtId="0" fontId="3" fillId="5" borderId="80" xfId="0" applyFont="1" applyFill="1" applyBorder="1" applyAlignment="1">
      <alignment vertical="top"/>
    </xf>
    <xf numFmtId="166" fontId="5" fillId="0" borderId="0" xfId="0" applyNumberFormat="1" applyFont="1" applyBorder="1"/>
    <xf numFmtId="0" fontId="3" fillId="7" borderId="63" xfId="0" applyFont="1" applyFill="1" applyBorder="1" applyAlignment="1">
      <alignment vertical="top"/>
    </xf>
    <xf numFmtId="0" fontId="3" fillId="9" borderId="69" xfId="0" applyFont="1" applyFill="1" applyBorder="1" applyAlignment="1">
      <alignment vertical="top"/>
    </xf>
    <xf numFmtId="166" fontId="3" fillId="9" borderId="70" xfId="2" applyFont="1" applyFill="1" applyBorder="1" applyAlignment="1">
      <alignment vertical="top"/>
    </xf>
    <xf numFmtId="166" fontId="3" fillId="9" borderId="71" xfId="2" applyFont="1" applyFill="1" applyBorder="1" applyAlignment="1">
      <alignment vertical="top"/>
    </xf>
    <xf numFmtId="0" fontId="3" fillId="0" borderId="72" xfId="0" applyFont="1" applyBorder="1" applyAlignment="1">
      <alignment vertical="top"/>
    </xf>
    <xf numFmtId="166" fontId="4" fillId="0" borderId="73" xfId="2" applyFont="1" applyBorder="1" applyAlignment="1">
      <alignment vertical="top"/>
    </xf>
    <xf numFmtId="166" fontId="4" fillId="0" borderId="67" xfId="2" applyFont="1" applyBorder="1" applyAlignment="1">
      <alignment vertical="top"/>
    </xf>
    <xf numFmtId="166" fontId="4" fillId="0" borderId="68" xfId="2" applyFont="1" applyBorder="1" applyAlignment="1">
      <alignment vertical="top"/>
    </xf>
    <xf numFmtId="0" fontId="3" fillId="0" borderId="74" xfId="0" applyFont="1" applyBorder="1" applyAlignment="1">
      <alignment vertical="top"/>
    </xf>
    <xf numFmtId="166" fontId="4" fillId="0" borderId="75" xfId="2" applyFont="1" applyBorder="1" applyAlignment="1">
      <alignment vertical="top"/>
    </xf>
    <xf numFmtId="166" fontId="4" fillId="0" borderId="76" xfId="2" applyFont="1" applyBorder="1" applyAlignment="1">
      <alignment vertical="top"/>
    </xf>
    <xf numFmtId="0" fontId="3" fillId="9" borderId="77" xfId="0" applyFont="1" applyFill="1" applyBorder="1" applyAlignment="1">
      <alignment vertical="top"/>
    </xf>
    <xf numFmtId="166" fontId="3" fillId="9" borderId="78" xfId="2" applyFont="1" applyFill="1" applyBorder="1" applyAlignment="1">
      <alignment vertical="top"/>
    </xf>
    <xf numFmtId="166" fontId="3" fillId="9" borderId="79" xfId="2" applyFont="1" applyFill="1" applyBorder="1" applyAlignment="1">
      <alignment vertical="top"/>
    </xf>
    <xf numFmtId="0" fontId="26" fillId="0" borderId="64" xfId="0" applyFont="1" applyFill="1" applyBorder="1" applyAlignment="1">
      <alignment vertical="top"/>
    </xf>
    <xf numFmtId="0" fontId="26" fillId="0" borderId="65" xfId="0" applyFont="1" applyFill="1" applyBorder="1" applyAlignment="1">
      <alignment vertical="top"/>
    </xf>
    <xf numFmtId="0" fontId="3" fillId="5" borderId="69" xfId="0" applyFont="1" applyFill="1" applyBorder="1" applyAlignment="1">
      <alignment vertical="top"/>
    </xf>
    <xf numFmtId="166" fontId="26" fillId="0" borderId="70" xfId="2" applyFont="1" applyFill="1" applyBorder="1" applyAlignment="1">
      <alignment vertical="top"/>
    </xf>
    <xf numFmtId="166" fontId="26" fillId="0" borderId="71" xfId="2" applyFont="1" applyFill="1" applyBorder="1" applyAlignment="1">
      <alignment vertical="top"/>
    </xf>
    <xf numFmtId="0" fontId="3" fillId="5" borderId="12" xfId="0" applyFont="1" applyFill="1" applyBorder="1" applyAlignment="1">
      <alignment vertical="top"/>
    </xf>
    <xf numFmtId="166" fontId="26" fillId="0" borderId="12" xfId="2" applyFont="1" applyFill="1" applyBorder="1" applyAlignment="1">
      <alignment vertical="top"/>
    </xf>
    <xf numFmtId="0" fontId="12" fillId="9" borderId="12" xfId="0" applyFont="1" applyFill="1" applyBorder="1"/>
    <xf numFmtId="0" fontId="12" fillId="0" borderId="0" xfId="0" applyFont="1" applyFill="1" applyBorder="1" applyAlignment="1">
      <alignment horizontal="justify" vertical="top"/>
    </xf>
    <xf numFmtId="0" fontId="7" fillId="9" borderId="12" xfId="0"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xf>
    <xf numFmtId="0" fontId="12" fillId="9" borderId="12" xfId="0" applyFont="1" applyFill="1" applyBorder="1" applyAlignment="1">
      <alignment horizontal="right"/>
    </xf>
    <xf numFmtId="0" fontId="7" fillId="0" borderId="0" xfId="0" applyFont="1" applyFill="1" applyBorder="1"/>
    <xf numFmtId="0" fontId="5" fillId="0" borderId="0" xfId="0" applyFont="1" applyFill="1" applyBorder="1"/>
    <xf numFmtId="0" fontId="12" fillId="0" borderId="0" xfId="0"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Fill="1" applyBorder="1" applyAlignment="1">
      <alignment horizontal="center" vertical="top"/>
    </xf>
    <xf numFmtId="3" fontId="7" fillId="0" borderId="0" xfId="0" applyNumberFormat="1" applyFont="1" applyFill="1" applyBorder="1" applyAlignment="1">
      <alignment horizontal="center" vertical="top"/>
    </xf>
    <xf numFmtId="3" fontId="7" fillId="0" borderId="12" xfId="0" applyNumberFormat="1" applyFont="1" applyBorder="1" applyAlignment="1">
      <alignment horizontal="center" vertical="top"/>
    </xf>
    <xf numFmtId="0" fontId="5" fillId="0" borderId="12" xfId="0" applyFont="1" applyBorder="1" applyAlignment="1">
      <alignment horizontal="center"/>
    </xf>
    <xf numFmtId="0" fontId="3" fillId="3" borderId="66" xfId="0" applyFont="1" applyFill="1" applyBorder="1" applyAlignment="1">
      <alignment vertical="top"/>
    </xf>
    <xf numFmtId="0" fontId="3" fillId="3" borderId="68" xfId="0" applyFont="1" applyFill="1" applyBorder="1" applyAlignment="1">
      <alignment vertical="top"/>
    </xf>
    <xf numFmtId="0" fontId="3" fillId="0" borderId="68" xfId="0" applyFont="1" applyBorder="1" applyAlignment="1">
      <alignment vertical="top"/>
    </xf>
    <xf numFmtId="0" fontId="3" fillId="0" borderId="66" xfId="0" applyFont="1" applyBorder="1" applyAlignment="1">
      <alignment vertical="center"/>
    </xf>
    <xf numFmtId="0" fontId="3" fillId="0" borderId="68" xfId="0" applyFont="1" applyBorder="1" applyAlignment="1">
      <alignment horizontal="center" vertical="center" wrapText="1"/>
    </xf>
    <xf numFmtId="0" fontId="3" fillId="6" borderId="66" xfId="0" applyFont="1" applyFill="1" applyBorder="1" applyAlignment="1">
      <alignment vertical="top"/>
    </xf>
    <xf numFmtId="0" fontId="3" fillId="6" borderId="68" xfId="0" applyFont="1" applyFill="1" applyBorder="1" applyAlignment="1">
      <alignment vertical="top"/>
    </xf>
    <xf numFmtId="0" fontId="3" fillId="6" borderId="80" xfId="0" applyFont="1" applyFill="1" applyBorder="1" applyAlignment="1">
      <alignment vertical="top"/>
    </xf>
    <xf numFmtId="0" fontId="3" fillId="6" borderId="82" xfId="0" applyFont="1" applyFill="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3" fillId="6" borderId="14" xfId="0" applyFont="1" applyFill="1" applyBorder="1" applyAlignment="1">
      <alignment vertical="top"/>
    </xf>
    <xf numFmtId="166" fontId="3" fillId="6" borderId="16" xfId="2" applyFont="1" applyFill="1" applyBorder="1" applyAlignment="1">
      <alignment vertical="top"/>
    </xf>
    <xf numFmtId="166" fontId="3" fillId="6" borderId="82" xfId="2" applyFont="1" applyFill="1" applyBorder="1" applyAlignment="1">
      <alignment vertical="top"/>
    </xf>
    <xf numFmtId="166" fontId="3" fillId="6" borderId="80" xfId="2" applyFont="1" applyFill="1" applyBorder="1" applyAlignment="1">
      <alignment vertical="top"/>
    </xf>
    <xf numFmtId="0" fontId="7" fillId="0" borderId="38" xfId="0" applyFont="1" applyFill="1" applyBorder="1"/>
    <xf numFmtId="0" fontId="7" fillId="0" borderId="58" xfId="0" applyFont="1" applyFill="1" applyBorder="1"/>
    <xf numFmtId="0" fontId="7" fillId="0" borderId="60" xfId="0" applyFont="1" applyFill="1" applyBorder="1"/>
    <xf numFmtId="0" fontId="7" fillId="0" borderId="46" xfId="0" applyFont="1" applyFill="1" applyBorder="1"/>
    <xf numFmtId="10" fontId="7" fillId="0" borderId="61" xfId="3" applyNumberFormat="1" applyFont="1" applyFill="1" applyBorder="1"/>
    <xf numFmtId="0" fontId="8" fillId="5" borderId="59" xfId="0" applyFont="1" applyFill="1" applyBorder="1" applyAlignment="1">
      <alignment wrapText="1"/>
    </xf>
    <xf numFmtId="0" fontId="8" fillId="5" borderId="45" xfId="0" applyFont="1" applyFill="1" applyBorder="1" applyAlignment="1">
      <alignment wrapText="1"/>
    </xf>
    <xf numFmtId="0" fontId="8" fillId="5" borderId="51" xfId="0" applyFont="1" applyFill="1" applyBorder="1" applyAlignment="1">
      <alignment wrapText="1"/>
    </xf>
    <xf numFmtId="166" fontId="20" fillId="7" borderId="23" xfId="2" applyFont="1" applyFill="1" applyBorder="1" applyAlignment="1">
      <alignment horizontal="center"/>
    </xf>
    <xf numFmtId="166" fontId="20" fillId="7" borderId="24" xfId="2" applyFont="1" applyFill="1" applyBorder="1" applyAlignment="1">
      <alignment horizontal="center"/>
    </xf>
    <xf numFmtId="0" fontId="7" fillId="0" borderId="30" xfId="0" applyFont="1" applyFill="1" applyBorder="1" applyAlignment="1">
      <alignment horizontal="center" vertical="top"/>
    </xf>
    <xf numFmtId="3" fontId="7" fillId="0" borderId="30" xfId="0" applyNumberFormat="1" applyFont="1" applyFill="1" applyBorder="1" applyAlignment="1">
      <alignment horizontal="center" vertical="top"/>
    </xf>
    <xf numFmtId="0" fontId="7" fillId="0" borderId="32" xfId="0" applyFont="1" applyFill="1" applyBorder="1" applyAlignment="1">
      <alignment horizontal="left" vertical="top"/>
    </xf>
    <xf numFmtId="0" fontId="7" fillId="0" borderId="93" xfId="0" applyFont="1" applyFill="1" applyBorder="1" applyAlignment="1">
      <alignment horizontal="left" vertical="top"/>
    </xf>
    <xf numFmtId="3" fontId="12" fillId="0" borderId="12" xfId="0" applyNumberFormat="1" applyFont="1" applyBorder="1" applyAlignment="1">
      <alignment horizontal="center" vertical="top"/>
    </xf>
    <xf numFmtId="0" fontId="5" fillId="0" borderId="13" xfId="0" applyFont="1" applyBorder="1"/>
    <xf numFmtId="0" fontId="7" fillId="0" borderId="94" xfId="0" applyFont="1" applyFill="1" applyBorder="1" applyAlignment="1">
      <alignment horizontal="left" vertical="top"/>
    </xf>
    <xf numFmtId="3" fontId="12" fillId="0" borderId="13" xfId="0" applyNumberFormat="1" applyFont="1" applyBorder="1" applyAlignment="1">
      <alignment horizontal="right" vertical="top"/>
    </xf>
    <xf numFmtId="0" fontId="7" fillId="0" borderId="95" xfId="0" applyFont="1" applyFill="1" applyBorder="1" applyAlignment="1">
      <alignment horizontal="left" vertical="top"/>
    </xf>
    <xf numFmtId="0" fontId="5" fillId="0" borderId="96" xfId="0" applyFont="1" applyFill="1" applyBorder="1"/>
    <xf numFmtId="0" fontId="5" fillId="0" borderId="98" xfId="0" applyFont="1" applyBorder="1"/>
    <xf numFmtId="0" fontId="5" fillId="0" borderId="99" xfId="0" applyFont="1" applyBorder="1"/>
    <xf numFmtId="3" fontId="12" fillId="9" borderId="23" xfId="0" applyNumberFormat="1" applyFont="1" applyFill="1" applyBorder="1" applyAlignment="1">
      <alignment horizontal="center"/>
    </xf>
    <xf numFmtId="3" fontId="12" fillId="9" borderId="24" xfId="0" applyNumberFormat="1" applyFont="1" applyFill="1" applyBorder="1" applyAlignment="1">
      <alignment horizontal="center"/>
    </xf>
    <xf numFmtId="0" fontId="4" fillId="0" borderId="68" xfId="0" applyFont="1" applyBorder="1" applyAlignment="1">
      <alignment vertical="top"/>
    </xf>
    <xf numFmtId="0" fontId="26" fillId="0" borderId="0" xfId="0" applyFont="1" applyFill="1" applyBorder="1"/>
    <xf numFmtId="0" fontId="4" fillId="0" borderId="82" xfId="0" applyFont="1" applyBorder="1" applyAlignment="1">
      <alignment vertical="top"/>
    </xf>
    <xf numFmtId="10" fontId="3" fillId="0" borderId="68" xfId="3" applyNumberFormat="1" applyFont="1" applyBorder="1" applyAlignment="1">
      <alignment vertical="top"/>
    </xf>
    <xf numFmtId="1" fontId="3" fillId="0" borderId="85" xfId="0" applyNumberFormat="1" applyFont="1" applyBorder="1" applyAlignment="1">
      <alignment vertical="top"/>
    </xf>
    <xf numFmtId="2" fontId="3" fillId="0" borderId="81" xfId="0" applyNumberFormat="1" applyFont="1" applyBorder="1" applyAlignment="1">
      <alignment vertical="top"/>
    </xf>
    <xf numFmtId="2" fontId="3" fillId="0" borderId="82" xfId="0" applyNumberFormat="1" applyFont="1" applyBorder="1" applyAlignment="1">
      <alignment vertical="top"/>
    </xf>
    <xf numFmtId="166" fontId="3" fillId="3" borderId="68" xfId="2" applyFont="1" applyFill="1" applyBorder="1" applyAlignment="1">
      <alignment vertical="top"/>
    </xf>
    <xf numFmtId="166" fontId="3" fillId="0" borderId="10" xfId="2" applyFont="1" applyBorder="1" applyAlignment="1">
      <alignment vertical="top"/>
    </xf>
    <xf numFmtId="166" fontId="3" fillId="0" borderId="13" xfId="2" applyFont="1" applyBorder="1" applyAlignment="1">
      <alignment vertical="top"/>
    </xf>
    <xf numFmtId="2" fontId="5" fillId="0" borderId="0" xfId="0" applyNumberFormat="1" applyFont="1"/>
    <xf numFmtId="0" fontId="3" fillId="5" borderId="74" xfId="0" applyFont="1" applyFill="1" applyBorder="1" applyAlignment="1">
      <alignment vertical="top"/>
    </xf>
    <xf numFmtId="0" fontId="26" fillId="3" borderId="102" xfId="0" applyFont="1" applyFill="1" applyBorder="1" applyAlignment="1">
      <alignment horizontal="left" vertical="center" wrapText="1" indent="3"/>
    </xf>
    <xf numFmtId="3" fontId="5" fillId="3" borderId="103" xfId="0" applyNumberFormat="1" applyFont="1" applyFill="1" applyBorder="1" applyAlignment="1">
      <alignment horizontal="justify" vertical="center" wrapText="1"/>
    </xf>
    <xf numFmtId="0" fontId="26" fillId="0" borderId="102" xfId="0" applyFont="1" applyBorder="1" applyAlignment="1">
      <alignment horizontal="left" vertical="center" wrapText="1" indent="3"/>
    </xf>
    <xf numFmtId="3" fontId="5" fillId="0" borderId="103" xfId="0" applyNumberFormat="1" applyFont="1" applyBorder="1" applyAlignment="1">
      <alignment horizontal="justify" vertical="center" wrapText="1"/>
    </xf>
    <xf numFmtId="3" fontId="26" fillId="3" borderId="103" xfId="0" applyNumberFormat="1" applyFont="1" applyFill="1" applyBorder="1" applyAlignment="1">
      <alignment horizontal="justify" vertical="center" wrapText="1"/>
    </xf>
    <xf numFmtId="9" fontId="5" fillId="0" borderId="103" xfId="0" applyNumberFormat="1" applyFont="1" applyBorder="1" applyAlignment="1">
      <alignment horizontal="justify" vertical="center" wrapText="1"/>
    </xf>
    <xf numFmtId="9" fontId="5" fillId="3" borderId="103" xfId="0" applyNumberFormat="1" applyFont="1" applyFill="1" applyBorder="1" applyAlignment="1">
      <alignment horizontal="justify" vertical="center" wrapText="1"/>
    </xf>
    <xf numFmtId="2" fontId="5" fillId="3" borderId="103" xfId="0" applyNumberFormat="1" applyFont="1" applyFill="1" applyBorder="1" applyAlignment="1">
      <alignment horizontal="justify" vertical="center" wrapText="1"/>
    </xf>
    <xf numFmtId="1" fontId="5" fillId="0" borderId="103" xfId="0" applyNumberFormat="1" applyFont="1" applyBorder="1" applyAlignment="1">
      <alignment horizontal="justify" vertical="center" wrapText="1"/>
    </xf>
    <xf numFmtId="0" fontId="5" fillId="0" borderId="20" xfId="0" applyFont="1" applyFill="1" applyBorder="1" applyAlignment="1">
      <alignment horizontal="center" vertical="center"/>
    </xf>
    <xf numFmtId="171" fontId="5" fillId="0" borderId="20" xfId="0" applyNumberFormat="1" applyFont="1" applyFill="1" applyBorder="1"/>
    <xf numFmtId="166" fontId="5" fillId="0" borderId="12" xfId="2" applyFont="1" applyFill="1" applyBorder="1" applyAlignment="1">
      <alignment horizontal="right" vertical="center"/>
    </xf>
    <xf numFmtId="0" fontId="5" fillId="0" borderId="0" xfId="0" applyFont="1" applyAlignment="1">
      <alignment horizontal="right"/>
    </xf>
    <xf numFmtId="183" fontId="3" fillId="0" borderId="84" xfId="2" applyNumberFormat="1" applyFont="1" applyBorder="1" applyAlignment="1">
      <alignment vertical="top"/>
    </xf>
    <xf numFmtId="172" fontId="3" fillId="0" borderId="83" xfId="2" applyNumberFormat="1" applyFont="1" applyBorder="1" applyAlignment="1">
      <alignment vertical="top"/>
    </xf>
    <xf numFmtId="172" fontId="3" fillId="9" borderId="84" xfId="2" applyNumberFormat="1" applyFont="1" applyFill="1" applyBorder="1" applyAlignment="1">
      <alignment vertical="top"/>
    </xf>
    <xf numFmtId="1" fontId="3" fillId="0" borderId="100" xfId="2" applyNumberFormat="1" applyFont="1" applyBorder="1" applyAlignment="1">
      <alignment vertical="top"/>
    </xf>
    <xf numFmtId="0" fontId="3" fillId="0" borderId="19" xfId="0" applyFont="1" applyBorder="1" applyAlignment="1">
      <alignment vertical="top"/>
    </xf>
    <xf numFmtId="166" fontId="3" fillId="0" borderId="21" xfId="2" applyFont="1" applyBorder="1" applyAlignment="1">
      <alignment vertical="top"/>
    </xf>
    <xf numFmtId="0" fontId="12" fillId="0" borderId="89" xfId="0" applyFont="1" applyFill="1" applyBorder="1" applyAlignment="1">
      <alignment horizontal="center"/>
    </xf>
    <xf numFmtId="170" fontId="7" fillId="0" borderId="89" xfId="0" applyNumberFormat="1" applyFont="1" applyFill="1" applyBorder="1"/>
    <xf numFmtId="170" fontId="12" fillId="0" borderId="89" xfId="0" applyNumberFormat="1" applyFont="1" applyFill="1" applyBorder="1"/>
    <xf numFmtId="164" fontId="4" fillId="0" borderId="67" xfId="2" applyNumberFormat="1" applyFont="1" applyBorder="1" applyAlignment="1">
      <alignment vertical="top"/>
    </xf>
    <xf numFmtId="10" fontId="0" fillId="0" borderId="0" xfId="3" applyNumberFormat="1" applyFont="1"/>
    <xf numFmtId="9" fontId="0" fillId="0" borderId="38" xfId="0" applyNumberFormat="1" applyBorder="1"/>
    <xf numFmtId="10" fontId="0" fillId="0" borderId="38" xfId="0" applyNumberFormat="1" applyBorder="1"/>
    <xf numFmtId="0" fontId="0" fillId="0" borderId="0" xfId="0" applyAlignment="1">
      <alignment horizontal="center"/>
    </xf>
    <xf numFmtId="10" fontId="0" fillId="0" borderId="0" xfId="3" applyNumberFormat="1" applyFont="1" applyAlignment="1">
      <alignment horizontal="center"/>
    </xf>
    <xf numFmtId="0" fontId="0" fillId="0" borderId="38" xfId="0" applyBorder="1" applyAlignment="1">
      <alignment horizontal="center"/>
    </xf>
    <xf numFmtId="10" fontId="0" fillId="0" borderId="38" xfId="3" applyNumberFormat="1" applyFont="1" applyBorder="1" applyAlignment="1">
      <alignment horizontal="center"/>
    </xf>
    <xf numFmtId="0" fontId="22" fillId="0" borderId="104" xfId="0" applyFont="1" applyFill="1" applyBorder="1" applyAlignment="1">
      <alignment horizontal="centerContinuous"/>
    </xf>
    <xf numFmtId="0" fontId="0" fillId="0" borderId="0" xfId="0" applyFill="1" applyBorder="1" applyAlignment="1"/>
    <xf numFmtId="0" fontId="0" fillId="0" borderId="49" xfId="0" applyFill="1" applyBorder="1" applyAlignment="1"/>
    <xf numFmtId="0" fontId="22" fillId="0" borderId="104" xfId="0" applyFont="1" applyFill="1" applyBorder="1" applyAlignment="1">
      <alignment horizontal="center"/>
    </xf>
    <xf numFmtId="0" fontId="26" fillId="5" borderId="12" xfId="0" applyFont="1" applyFill="1" applyBorder="1" applyAlignment="1">
      <alignment horizontal="center"/>
    </xf>
    <xf numFmtId="1" fontId="5" fillId="0" borderId="12" xfId="0" applyNumberFormat="1" applyFont="1" applyBorder="1" applyAlignment="1">
      <alignment horizontal="center"/>
    </xf>
    <xf numFmtId="166" fontId="5" fillId="0" borderId="12" xfId="2" applyFont="1" applyBorder="1" applyAlignment="1">
      <alignment horizontal="center"/>
    </xf>
    <xf numFmtId="0" fontId="7" fillId="0" borderId="12" xfId="0" applyFont="1" applyBorder="1" applyAlignment="1">
      <alignment horizontal="center"/>
    </xf>
    <xf numFmtId="175" fontId="7" fillId="0" borderId="12" xfId="0" applyNumberFormat="1" applyFont="1" applyBorder="1"/>
    <xf numFmtId="166" fontId="4" fillId="0" borderId="12" xfId="2" applyFont="1" applyFill="1" applyBorder="1" applyAlignment="1">
      <alignment vertical="top"/>
    </xf>
    <xf numFmtId="166" fontId="7" fillId="0" borderId="12" xfId="2" applyFont="1" applyFill="1" applyBorder="1" applyAlignment="1">
      <alignment horizontal="center"/>
    </xf>
    <xf numFmtId="167" fontId="4" fillId="0" borderId="12" xfId="2" applyNumberFormat="1" applyFont="1" applyFill="1" applyBorder="1" applyAlignment="1">
      <alignment horizontal="center" vertical="top"/>
    </xf>
    <xf numFmtId="2" fontId="9" fillId="8" borderId="31" xfId="0" applyNumberFormat="1" applyFont="1" applyFill="1" applyBorder="1" applyAlignment="1">
      <alignment horizontal="center" vertical="center" wrapText="1"/>
    </xf>
    <xf numFmtId="2" fontId="8" fillId="5" borderId="12" xfId="0" applyNumberFormat="1" applyFont="1" applyFill="1" applyBorder="1" applyAlignment="1">
      <alignment horizontal="center" vertical="center" wrapText="1"/>
    </xf>
    <xf numFmtId="0" fontId="13" fillId="0" borderId="0" xfId="0" applyFont="1" applyFill="1" applyBorder="1" applyAlignment="1">
      <alignment horizontal="center"/>
    </xf>
    <xf numFmtId="0" fontId="5" fillId="0" borderId="12" xfId="0" applyFont="1" applyFill="1" applyBorder="1" applyAlignment="1">
      <alignment horizontal="left" vertical="center"/>
    </xf>
    <xf numFmtId="169" fontId="12" fillId="6" borderId="12" xfId="0" applyNumberFormat="1" applyFont="1" applyFill="1" applyBorder="1" applyAlignment="1">
      <alignment horizontal="center"/>
    </xf>
    <xf numFmtId="0" fontId="12" fillId="5" borderId="12" xfId="0" applyFont="1" applyFill="1" applyBorder="1" applyAlignment="1">
      <alignment horizontal="center" vertical="center"/>
    </xf>
    <xf numFmtId="0" fontId="20" fillId="7" borderId="0" xfId="0" applyFont="1" applyFill="1" applyAlignment="1">
      <alignment horizontal="center"/>
    </xf>
    <xf numFmtId="0" fontId="12" fillId="9" borderId="12" xfId="0" applyFont="1" applyFill="1" applyBorder="1" applyAlignment="1">
      <alignment horizontal="center"/>
    </xf>
    <xf numFmtId="0" fontId="12" fillId="0" borderId="0" xfId="0" applyFont="1" applyFill="1" applyBorder="1" applyAlignment="1">
      <alignment horizontal="center"/>
    </xf>
    <xf numFmtId="0" fontId="5" fillId="0" borderId="89" xfId="0" applyFont="1" applyFill="1" applyBorder="1"/>
    <xf numFmtId="0" fontId="27" fillId="0" borderId="0" xfId="0" applyFont="1" applyBorder="1" applyAlignment="1"/>
    <xf numFmtId="10" fontId="0" fillId="17" borderId="38" xfId="3" applyNumberFormat="1" applyFont="1" applyFill="1" applyBorder="1"/>
    <xf numFmtId="4" fontId="5" fillId="0" borderId="0" xfId="0" applyNumberFormat="1" applyFont="1" applyBorder="1" applyAlignment="1"/>
    <xf numFmtId="0" fontId="5" fillId="0" borderId="0" xfId="0" applyFont="1" applyBorder="1" applyAlignment="1"/>
    <xf numFmtId="167" fontId="5" fillId="0" borderId="0" xfId="0" applyNumberFormat="1" applyFont="1" applyBorder="1" applyAlignment="1"/>
    <xf numFmtId="0" fontId="2" fillId="0" borderId="0" xfId="0" applyFont="1"/>
    <xf numFmtId="0" fontId="0" fillId="0" borderId="0" xfId="0" quotePrefix="1"/>
    <xf numFmtId="7" fontId="0" fillId="0" borderId="0" xfId="0" applyNumberFormat="1"/>
    <xf numFmtId="0" fontId="31" fillId="0" borderId="0" xfId="0" applyFont="1" applyAlignment="1">
      <alignment horizontal="center"/>
    </xf>
    <xf numFmtId="0" fontId="0" fillId="0" borderId="0" xfId="0" applyAlignment="1">
      <alignment horizontal="right" vertical="top"/>
    </xf>
    <xf numFmtId="10" fontId="0" fillId="0" borderId="0" xfId="0" applyNumberFormat="1"/>
    <xf numFmtId="0" fontId="31" fillId="0" borderId="0" xfId="0" applyFont="1"/>
    <xf numFmtId="0" fontId="31" fillId="0" borderId="0" xfId="0" applyFont="1" applyAlignment="1">
      <alignment horizontal="right" vertical="top"/>
    </xf>
    <xf numFmtId="0" fontId="0" fillId="0" borderId="0" xfId="0" applyAlignment="1">
      <alignment horizontal="right"/>
    </xf>
    <xf numFmtId="185" fontId="0" fillId="0" borderId="0" xfId="0" applyNumberFormat="1"/>
    <xf numFmtId="9" fontId="0" fillId="0" borderId="0" xfId="0" applyNumberFormat="1" applyAlignment="1">
      <alignment horizontal="right"/>
    </xf>
    <xf numFmtId="4" fontId="0" fillId="0" borderId="0" xfId="0" applyNumberFormat="1" applyAlignment="1">
      <alignment horizontal="right"/>
    </xf>
    <xf numFmtId="0" fontId="5" fillId="0" borderId="11" xfId="0" applyFont="1" applyFill="1" applyBorder="1"/>
    <xf numFmtId="0" fontId="5" fillId="0" borderId="43" xfId="0" applyFont="1" applyBorder="1"/>
    <xf numFmtId="0" fontId="5" fillId="0" borderId="40" xfId="0" applyFont="1" applyBorder="1"/>
    <xf numFmtId="0" fontId="32" fillId="0" borderId="0" xfId="0" applyFont="1"/>
    <xf numFmtId="177" fontId="5" fillId="0" borderId="0" xfId="0" applyNumberFormat="1" applyFont="1" applyBorder="1"/>
    <xf numFmtId="0" fontId="8" fillId="9" borderId="90" xfId="0" applyFont="1" applyFill="1" applyBorder="1" applyAlignment="1">
      <alignment horizontal="left"/>
    </xf>
    <xf numFmtId="0" fontId="5" fillId="9" borderId="91" xfId="0" applyFont="1" applyFill="1" applyBorder="1"/>
    <xf numFmtId="0" fontId="5" fillId="9" borderId="62" xfId="0" applyFont="1" applyFill="1" applyBorder="1"/>
    <xf numFmtId="0" fontId="5" fillId="0" borderId="38" xfId="0" applyFont="1" applyBorder="1"/>
    <xf numFmtId="0" fontId="7" fillId="13" borderId="43" xfId="0" applyFont="1" applyFill="1" applyBorder="1"/>
    <xf numFmtId="43" fontId="12" fillId="13" borderId="0" xfId="0" applyNumberFormat="1" applyFont="1" applyFill="1" applyBorder="1" applyAlignment="1">
      <alignment horizontal="center"/>
    </xf>
    <xf numFmtId="0" fontId="12" fillId="13" borderId="0" xfId="0" applyFont="1" applyFill="1" applyBorder="1" applyAlignment="1">
      <alignment horizontal="center"/>
    </xf>
    <xf numFmtId="0" fontId="7" fillId="13" borderId="47" xfId="0" applyFont="1" applyFill="1" applyBorder="1" applyAlignment="1">
      <alignment horizontal="left"/>
    </xf>
    <xf numFmtId="0" fontId="5" fillId="13" borderId="0" xfId="0" applyFont="1" applyFill="1" applyBorder="1"/>
    <xf numFmtId="178" fontId="5" fillId="13" borderId="42" xfId="0" applyNumberFormat="1" applyFont="1" applyFill="1" applyBorder="1"/>
    <xf numFmtId="10" fontId="5" fillId="0" borderId="0" xfId="0" applyNumberFormat="1" applyFont="1"/>
    <xf numFmtId="179" fontId="5" fillId="0" borderId="38" xfId="0" applyNumberFormat="1" applyFont="1" applyBorder="1"/>
    <xf numFmtId="0" fontId="8" fillId="9" borderId="43" xfId="0" applyFont="1" applyFill="1" applyBorder="1"/>
    <xf numFmtId="43" fontId="8" fillId="9" borderId="0" xfId="0" applyNumberFormat="1" applyFont="1" applyFill="1" applyBorder="1" applyAlignment="1">
      <alignment horizontal="center"/>
    </xf>
    <xf numFmtId="0" fontId="32" fillId="9" borderId="0" xfId="0" applyFont="1" applyFill="1" applyBorder="1"/>
    <xf numFmtId="0" fontId="33" fillId="9" borderId="47" xfId="0" applyFont="1" applyFill="1" applyBorder="1"/>
    <xf numFmtId="178" fontId="32" fillId="9" borderId="42" xfId="0" applyNumberFormat="1" applyFont="1" applyFill="1" applyBorder="1"/>
    <xf numFmtId="179" fontId="5" fillId="0" borderId="38" xfId="1" applyNumberFormat="1" applyFont="1" applyBorder="1"/>
    <xf numFmtId="43" fontId="5" fillId="0" borderId="38" xfId="0" applyNumberFormat="1" applyFont="1" applyBorder="1"/>
    <xf numFmtId="178" fontId="5" fillId="0" borderId="0" xfId="0" applyNumberFormat="1" applyFont="1" applyFill="1" applyBorder="1" applyAlignment="1">
      <alignment horizontal="right" vertical="center"/>
    </xf>
    <xf numFmtId="0" fontId="5" fillId="0" borderId="47" xfId="0" applyFont="1" applyBorder="1"/>
    <xf numFmtId="178" fontId="5" fillId="0" borderId="42" xfId="0" applyNumberFormat="1" applyFont="1" applyBorder="1"/>
    <xf numFmtId="178" fontId="5" fillId="9" borderId="0" xfId="0" applyNumberFormat="1" applyFont="1" applyFill="1" applyBorder="1" applyAlignment="1">
      <alignment horizontal="right" vertical="center"/>
    </xf>
    <xf numFmtId="0" fontId="5" fillId="9" borderId="0" xfId="0" applyFont="1" applyFill="1" applyBorder="1"/>
    <xf numFmtId="178" fontId="5" fillId="13" borderId="0" xfId="0" applyNumberFormat="1" applyFont="1" applyFill="1" applyBorder="1" applyAlignment="1">
      <alignment horizontal="right" vertical="center"/>
    </xf>
    <xf numFmtId="0" fontId="5" fillId="13" borderId="47" xfId="0" applyFont="1" applyFill="1" applyBorder="1"/>
    <xf numFmtId="178" fontId="33" fillId="9" borderId="42" xfId="0" applyNumberFormat="1" applyFont="1" applyFill="1" applyBorder="1"/>
    <xf numFmtId="180" fontId="5" fillId="0" borderId="38" xfId="0" applyNumberFormat="1" applyFont="1" applyBorder="1"/>
    <xf numFmtId="178" fontId="33" fillId="9" borderId="0" xfId="0" applyNumberFormat="1" applyFont="1" applyFill="1" applyBorder="1"/>
    <xf numFmtId="0" fontId="16" fillId="0" borderId="0" xfId="0" applyFont="1" applyFill="1" applyBorder="1" applyAlignment="1">
      <alignment horizontal="center" wrapText="1"/>
    </xf>
    <xf numFmtId="0" fontId="34" fillId="9" borderId="0" xfId="0" applyFont="1" applyFill="1" applyBorder="1"/>
    <xf numFmtId="2" fontId="5" fillId="0" borderId="0" xfId="0" applyNumberFormat="1" applyFont="1" applyFill="1" applyBorder="1"/>
    <xf numFmtId="0" fontId="5" fillId="13" borderId="43" xfId="0" applyFont="1" applyFill="1" applyBorder="1" applyAlignment="1">
      <alignment horizontal="left" vertical="center"/>
    </xf>
    <xf numFmtId="0" fontId="5" fillId="13" borderId="0" xfId="0" applyFont="1" applyFill="1" applyBorder="1" applyAlignment="1">
      <alignment vertical="center"/>
    </xf>
    <xf numFmtId="0" fontId="33" fillId="9" borderId="43" xfId="0" applyFont="1" applyFill="1" applyBorder="1" applyAlignment="1">
      <alignment horizontal="left" vertical="center"/>
    </xf>
    <xf numFmtId="178" fontId="32" fillId="9" borderId="0" xfId="0" applyNumberFormat="1" applyFont="1" applyFill="1" applyBorder="1"/>
    <xf numFmtId="0" fontId="33" fillId="12" borderId="48" xfId="0" applyFont="1" applyFill="1" applyBorder="1" applyAlignment="1">
      <alignment horizontal="left" vertical="center"/>
    </xf>
    <xf numFmtId="178" fontId="33" fillId="12" borderId="49" xfId="0" applyNumberFormat="1" applyFont="1" applyFill="1" applyBorder="1"/>
    <xf numFmtId="0" fontId="5" fillId="12" borderId="49" xfId="0" applyFont="1" applyFill="1" applyBorder="1"/>
    <xf numFmtId="0" fontId="33" fillId="12" borderId="50" xfId="0" applyFont="1" applyFill="1" applyBorder="1" applyAlignment="1">
      <alignment horizontal="left" vertical="center"/>
    </xf>
    <xf numFmtId="178" fontId="33" fillId="12" borderId="92" xfId="0" applyNumberFormat="1" applyFont="1" applyFill="1" applyBorder="1"/>
    <xf numFmtId="0" fontId="16" fillId="13" borderId="52" xfId="0" applyFont="1" applyFill="1" applyBorder="1" applyAlignment="1">
      <alignment horizontal="center"/>
    </xf>
    <xf numFmtId="0" fontId="33" fillId="5" borderId="45" xfId="0" applyFont="1" applyFill="1" applyBorder="1" applyAlignment="1">
      <alignment horizontal="center"/>
    </xf>
    <xf numFmtId="171" fontId="32" fillId="12" borderId="51" xfId="0" applyNumberFormat="1" applyFont="1" applyFill="1" applyBorder="1" applyAlignment="1">
      <alignment horizontal="center"/>
    </xf>
    <xf numFmtId="171" fontId="33" fillId="0" borderId="0" xfId="0" applyNumberFormat="1" applyFont="1" applyAlignment="1">
      <alignment horizontal="center"/>
    </xf>
    <xf numFmtId="0" fontId="5" fillId="0" borderId="0" xfId="0" applyFont="1" applyAlignment="1">
      <alignment horizontal="center"/>
    </xf>
    <xf numFmtId="0" fontId="33" fillId="5" borderId="47" xfId="0" applyFont="1" applyFill="1" applyBorder="1" applyAlignment="1"/>
    <xf numFmtId="0" fontId="20" fillId="0" borderId="0" xfId="0" applyFont="1" applyFill="1" applyBorder="1"/>
    <xf numFmtId="0" fontId="5" fillId="0" borderId="0" xfId="0" applyFont="1" applyFill="1" applyBorder="1" applyAlignment="1">
      <alignment wrapText="1"/>
    </xf>
    <xf numFmtId="10" fontId="5" fillId="0" borderId="0" xfId="0" applyNumberFormat="1" applyFont="1" applyFill="1" applyBorder="1" applyAlignment="1">
      <alignment horizontal="center"/>
    </xf>
    <xf numFmtId="10" fontId="5" fillId="0" borderId="0" xfId="0" applyNumberFormat="1" applyFont="1" applyFill="1" applyBorder="1"/>
    <xf numFmtId="0" fontId="25" fillId="7" borderId="38" xfId="0" applyFont="1" applyFill="1" applyBorder="1" applyAlignment="1">
      <alignment horizontal="center"/>
    </xf>
    <xf numFmtId="0" fontId="25" fillId="7" borderId="38" xfId="0" applyFont="1" applyFill="1" applyBorder="1"/>
    <xf numFmtId="0" fontId="5" fillId="9" borderId="38" xfId="0" applyFont="1" applyFill="1" applyBorder="1"/>
    <xf numFmtId="0" fontId="5" fillId="18" borderId="38" xfId="0" applyFont="1" applyFill="1" applyBorder="1" applyAlignment="1">
      <alignment horizontal="center"/>
    </xf>
    <xf numFmtId="9" fontId="5" fillId="18" borderId="38" xfId="0" applyNumberFormat="1" applyFont="1" applyFill="1" applyBorder="1"/>
    <xf numFmtId="166" fontId="5" fillId="0" borderId="0" xfId="0" applyNumberFormat="1" applyFont="1"/>
    <xf numFmtId="0" fontId="20" fillId="0" borderId="11" xfId="0" applyFont="1" applyFill="1" applyBorder="1"/>
    <xf numFmtId="0" fontId="5" fillId="0" borderId="12" xfId="0" applyFont="1" applyFill="1" applyBorder="1"/>
    <xf numFmtId="0" fontId="5" fillId="0" borderId="13" xfId="0" applyFont="1" applyFill="1" applyBorder="1"/>
    <xf numFmtId="166" fontId="5" fillId="0" borderId="0" xfId="2" applyFont="1"/>
    <xf numFmtId="166" fontId="5" fillId="0" borderId="12" xfId="2" applyFont="1" applyFill="1" applyBorder="1"/>
    <xf numFmtId="0" fontId="5" fillId="0" borderId="0" xfId="0" applyFont="1" applyFill="1"/>
    <xf numFmtId="0" fontId="8" fillId="9" borderId="11" xfId="0" applyFont="1" applyFill="1" applyBorder="1"/>
    <xf numFmtId="0" fontId="5" fillId="9" borderId="12" xfId="0" applyFont="1" applyFill="1" applyBorder="1"/>
    <xf numFmtId="166" fontId="26" fillId="9" borderId="12" xfId="2" applyFont="1" applyFill="1" applyBorder="1"/>
    <xf numFmtId="0" fontId="26" fillId="0" borderId="11" xfId="0" applyFont="1" applyFill="1" applyBorder="1"/>
    <xf numFmtId="166" fontId="5" fillId="0" borderId="13" xfId="2" applyFont="1" applyFill="1" applyBorder="1"/>
    <xf numFmtId="164" fontId="5" fillId="0" borderId="12" xfId="2" applyNumberFormat="1" applyFont="1" applyFill="1" applyBorder="1"/>
    <xf numFmtId="0" fontId="26" fillId="9" borderId="11" xfId="0" applyFont="1" applyFill="1" applyBorder="1"/>
    <xf numFmtId="0" fontId="26" fillId="9" borderId="12" xfId="0" applyFont="1" applyFill="1" applyBorder="1"/>
    <xf numFmtId="166" fontId="26" fillId="9" borderId="13" xfId="2" applyFont="1" applyFill="1" applyBorder="1"/>
    <xf numFmtId="0" fontId="32" fillId="9" borderId="11" xfId="0" applyFont="1" applyFill="1" applyBorder="1"/>
    <xf numFmtId="166" fontId="12" fillId="9" borderId="12" xfId="2" applyFont="1" applyFill="1" applyBorder="1"/>
    <xf numFmtId="0" fontId="5" fillId="0" borderId="20" xfId="0" applyFont="1" applyFill="1" applyBorder="1"/>
    <xf numFmtId="166" fontId="5" fillId="0" borderId="20" xfId="2" applyFont="1" applyFill="1" applyBorder="1"/>
    <xf numFmtId="0" fontId="26" fillId="9" borderId="14" xfId="0" applyFont="1" applyFill="1" applyBorder="1"/>
    <xf numFmtId="0" fontId="5" fillId="9" borderId="15" xfId="0" applyFont="1" applyFill="1" applyBorder="1"/>
    <xf numFmtId="166" fontId="26" fillId="9" borderId="15" xfId="0" applyNumberFormat="1" applyFont="1" applyFill="1" applyBorder="1"/>
    <xf numFmtId="166" fontId="5" fillId="0" borderId="0" xfId="0" applyNumberFormat="1" applyFont="1" applyFill="1" applyBorder="1"/>
    <xf numFmtId="0" fontId="5" fillId="0" borderId="8" xfId="0" applyFont="1" applyBorder="1"/>
    <xf numFmtId="0" fontId="5" fillId="0" borderId="9" xfId="0" applyFont="1" applyBorder="1"/>
    <xf numFmtId="166" fontId="5" fillId="0" borderId="9" xfId="0" applyNumberFormat="1" applyFont="1" applyBorder="1"/>
    <xf numFmtId="0" fontId="5" fillId="0" borderId="11" xfId="0" applyFont="1" applyBorder="1"/>
    <xf numFmtId="166" fontId="5" fillId="0" borderId="12" xfId="2" applyFont="1" applyBorder="1"/>
    <xf numFmtId="166" fontId="5" fillId="0" borderId="13" xfId="2" applyFont="1" applyBorder="1"/>
    <xf numFmtId="0" fontId="32" fillId="5" borderId="11" xfId="0" applyFont="1" applyFill="1" applyBorder="1"/>
    <xf numFmtId="0" fontId="5" fillId="5" borderId="12" xfId="0" applyFont="1" applyFill="1" applyBorder="1"/>
    <xf numFmtId="166" fontId="26" fillId="5" borderId="12" xfId="2" applyFont="1" applyFill="1" applyBorder="1"/>
    <xf numFmtId="0" fontId="8" fillId="5" borderId="11" xfId="0" applyFont="1" applyFill="1" applyBorder="1"/>
    <xf numFmtId="2" fontId="5" fillId="0" borderId="12" xfId="0" applyNumberFormat="1" applyFont="1" applyBorder="1"/>
    <xf numFmtId="2" fontId="5" fillId="0" borderId="13" xfId="0" applyNumberFormat="1" applyFont="1" applyBorder="1"/>
    <xf numFmtId="178" fontId="5" fillId="0" borderId="12" xfId="0" applyNumberFormat="1" applyFont="1" applyBorder="1"/>
    <xf numFmtId="166" fontId="5" fillId="0" borderId="13" xfId="0" applyNumberFormat="1" applyFont="1" applyBorder="1"/>
    <xf numFmtId="0" fontId="8" fillId="5" borderId="14" xfId="0" applyFont="1" applyFill="1" applyBorder="1"/>
    <xf numFmtId="166" fontId="26" fillId="0" borderId="15" xfId="0" applyNumberFormat="1" applyFont="1" applyBorder="1"/>
    <xf numFmtId="0" fontId="9" fillId="8" borderId="8" xfId="0" applyFont="1" applyFill="1" applyBorder="1" applyAlignment="1">
      <alignment horizontal="center"/>
    </xf>
    <xf numFmtId="0" fontId="9" fillId="8" borderId="11" xfId="0" applyFont="1" applyFill="1" applyBorder="1" applyAlignment="1">
      <alignment horizontal="center"/>
    </xf>
    <xf numFmtId="184" fontId="32" fillId="0" borderId="13" xfId="0" applyNumberFormat="1" applyFont="1" applyFill="1" applyBorder="1"/>
    <xf numFmtId="0" fontId="9" fillId="8" borderId="14" xfId="0" applyFont="1" applyFill="1" applyBorder="1" applyAlignment="1">
      <alignment horizontal="center"/>
    </xf>
    <xf numFmtId="165" fontId="32" fillId="19" borderId="16" xfId="0" applyNumberFormat="1" applyFont="1" applyFill="1" applyBorder="1"/>
    <xf numFmtId="0" fontId="8" fillId="0" borderId="0" xfId="0" applyFont="1" applyFill="1" applyBorder="1" applyAlignment="1">
      <alignment horizontal="center"/>
    </xf>
    <xf numFmtId="165" fontId="32" fillId="0" borderId="0" xfId="0" applyNumberFormat="1" applyFont="1" applyFill="1" applyBorder="1"/>
    <xf numFmtId="0" fontId="20" fillId="7" borderId="12" xfId="0" applyFont="1" applyFill="1" applyBorder="1"/>
    <xf numFmtId="37" fontId="5" fillId="9" borderId="12" xfId="1" applyNumberFormat="1" applyFont="1" applyFill="1" applyBorder="1"/>
    <xf numFmtId="181" fontId="5" fillId="9" borderId="12" xfId="1" applyNumberFormat="1" applyFont="1" applyFill="1" applyBorder="1"/>
    <xf numFmtId="0" fontId="25" fillId="7" borderId="0" xfId="0" applyFont="1" applyFill="1"/>
    <xf numFmtId="182" fontId="5" fillId="0" borderId="12" xfId="0" applyNumberFormat="1" applyFont="1" applyFill="1" applyBorder="1"/>
    <xf numFmtId="179" fontId="5" fillId="0" borderId="0" xfId="0" applyNumberFormat="1" applyFont="1"/>
    <xf numFmtId="179" fontId="5" fillId="9" borderId="0" xfId="0" applyNumberFormat="1" applyFont="1" applyFill="1"/>
    <xf numFmtId="0" fontId="5" fillId="9" borderId="0" xfId="0" applyFont="1" applyFill="1"/>
    <xf numFmtId="0" fontId="20" fillId="8" borderId="0" xfId="0" applyFont="1" applyFill="1" applyAlignment="1">
      <alignment horizontal="center"/>
    </xf>
    <xf numFmtId="0" fontId="15" fillId="0" borderId="0" xfId="0" applyFont="1" applyFill="1" applyBorder="1" applyAlignment="1">
      <alignment horizontal="center" wrapText="1"/>
    </xf>
    <xf numFmtId="0" fontId="7" fillId="0" borderId="11" xfId="0" applyFont="1" applyFill="1" applyBorder="1"/>
    <xf numFmtId="174" fontId="16" fillId="0" borderId="12" xfId="0" applyNumberFormat="1" applyFont="1" applyFill="1" applyBorder="1" applyAlignment="1">
      <alignment horizontal="right" wrapText="1"/>
    </xf>
    <xf numFmtId="0" fontId="16" fillId="0" borderId="12" xfId="0" applyFont="1" applyFill="1" applyBorder="1" applyAlignment="1">
      <alignment horizontal="center" wrapText="1"/>
    </xf>
    <xf numFmtId="173" fontId="16" fillId="0" borderId="12" xfId="4" applyNumberFormat="1" applyFont="1" applyFill="1" applyBorder="1" applyAlignment="1">
      <alignment horizontal="center" wrapText="1"/>
    </xf>
    <xf numFmtId="174" fontId="16" fillId="0" borderId="13" xfId="5" applyNumberFormat="1" applyFont="1" applyFill="1" applyBorder="1" applyAlignment="1">
      <alignment horizontal="center" wrapText="1"/>
    </xf>
    <xf numFmtId="0" fontId="16" fillId="0" borderId="11" xfId="0" applyFont="1" applyFill="1" applyBorder="1" applyAlignment="1">
      <alignment horizontal="left"/>
    </xf>
    <xf numFmtId="174" fontId="16" fillId="0" borderId="13" xfId="5" applyNumberFormat="1" applyFont="1" applyFill="1" applyBorder="1" applyAlignment="1">
      <alignment wrapText="1"/>
    </xf>
    <xf numFmtId="0" fontId="16" fillId="0" borderId="13" xfId="5" quotePrefix="1" applyNumberFormat="1" applyFont="1" applyFill="1" applyBorder="1" applyAlignment="1">
      <alignment horizontal="center" wrapText="1"/>
    </xf>
    <xf numFmtId="0" fontId="16" fillId="0" borderId="19" xfId="0" applyFont="1" applyFill="1" applyBorder="1" applyAlignment="1">
      <alignment horizontal="left"/>
    </xf>
    <xf numFmtId="166" fontId="16" fillId="0" borderId="20" xfId="0" applyNumberFormat="1" applyFont="1" applyFill="1" applyBorder="1"/>
    <xf numFmtId="0" fontId="16" fillId="0" borderId="20" xfId="0" applyFont="1" applyFill="1" applyBorder="1" applyAlignment="1">
      <alignment horizontal="center" wrapText="1"/>
    </xf>
    <xf numFmtId="174" fontId="16" fillId="0" borderId="20" xfId="0" applyNumberFormat="1" applyFont="1" applyFill="1" applyBorder="1" applyAlignment="1">
      <alignment horizontal="right" wrapText="1"/>
    </xf>
    <xf numFmtId="173" fontId="16" fillId="0" borderId="20" xfId="4" applyNumberFormat="1" applyFont="1" applyFill="1" applyBorder="1" applyAlignment="1">
      <alignment horizontal="center" wrapText="1"/>
    </xf>
    <xf numFmtId="174" fontId="16" fillId="0" borderId="21" xfId="5" applyNumberFormat="1" applyFont="1" applyFill="1" applyBorder="1" applyAlignment="1">
      <alignment wrapText="1"/>
    </xf>
    <xf numFmtId="0" fontId="26" fillId="5" borderId="12" xfId="0" applyFont="1" applyFill="1" applyBorder="1" applyAlignment="1">
      <alignment horizontal="center" vertical="center" wrapText="1"/>
    </xf>
    <xf numFmtId="0" fontId="26" fillId="5" borderId="12" xfId="0" applyFont="1" applyFill="1" applyBorder="1" applyAlignment="1">
      <alignment horizontal="center" vertical="center"/>
    </xf>
    <xf numFmtId="0" fontId="26" fillId="0" borderId="12" xfId="0" applyFont="1" applyFill="1" applyBorder="1" applyAlignment="1">
      <alignment horizontal="center"/>
    </xf>
    <xf numFmtId="167" fontId="5" fillId="0" borderId="12" xfId="0" applyNumberFormat="1" applyFont="1" applyFill="1" applyBorder="1" applyAlignment="1">
      <alignment horizontal="center"/>
    </xf>
    <xf numFmtId="166" fontId="7" fillId="9" borderId="12" xfId="2" applyFont="1" applyFill="1" applyBorder="1"/>
    <xf numFmtId="166" fontId="5" fillId="9" borderId="12" xfId="2" applyFont="1" applyFill="1" applyBorder="1"/>
    <xf numFmtId="166" fontId="5" fillId="0" borderId="10" xfId="0" applyNumberFormat="1" applyFont="1" applyBorder="1"/>
    <xf numFmtId="166" fontId="5" fillId="0" borderId="15" xfId="0" applyNumberFormat="1" applyFont="1" applyBorder="1"/>
    <xf numFmtId="10" fontId="32" fillId="0" borderId="10" xfId="0" applyNumberFormat="1" applyFont="1" applyFill="1" applyBorder="1"/>
    <xf numFmtId="165" fontId="32" fillId="0" borderId="16" xfId="0" applyNumberFormat="1" applyFont="1" applyFill="1" applyBorder="1"/>
    <xf numFmtId="166" fontId="5" fillId="9" borderId="15" xfId="0" applyNumberFormat="1" applyFont="1" applyFill="1" applyBorder="1"/>
    <xf numFmtId="166" fontId="7" fillId="9" borderId="13" xfId="2" applyFont="1" applyFill="1" applyBorder="1"/>
    <xf numFmtId="166" fontId="5" fillId="9" borderId="13" xfId="2" applyFont="1" applyFill="1" applyBorder="1"/>
    <xf numFmtId="166" fontId="26" fillId="5" borderId="13" xfId="2" applyFont="1" applyFill="1" applyBorder="1"/>
    <xf numFmtId="0" fontId="5" fillId="0" borderId="0" xfId="0" applyFont="1" applyFill="1" applyBorder="1" applyAlignment="1">
      <alignment horizontal="center"/>
    </xf>
    <xf numFmtId="179" fontId="5" fillId="0" borderId="12" xfId="0" applyNumberFormat="1" applyFont="1" applyBorder="1"/>
    <xf numFmtId="179" fontId="5" fillId="0" borderId="12" xfId="1" applyNumberFormat="1" applyFont="1" applyBorder="1"/>
    <xf numFmtId="43" fontId="5" fillId="0" borderId="12" xfId="0" applyNumberFormat="1" applyFont="1" applyBorder="1"/>
    <xf numFmtId="180" fontId="5" fillId="0" borderId="12" xfId="0" applyNumberFormat="1" applyFont="1" applyBorder="1"/>
    <xf numFmtId="10" fontId="5" fillId="0" borderId="12" xfId="0" applyNumberFormat="1" applyFont="1" applyBorder="1" applyAlignment="1">
      <alignment horizontal="center"/>
    </xf>
    <xf numFmtId="0" fontId="8" fillId="9" borderId="12" xfId="6" applyFont="1" applyFill="1" applyBorder="1" applyAlignment="1">
      <alignment horizontal="center"/>
    </xf>
    <xf numFmtId="0" fontId="7" fillId="0" borderId="12" xfId="6" applyFont="1" applyFill="1" applyBorder="1"/>
    <xf numFmtId="168" fontId="7" fillId="0" borderId="12" xfId="6" applyNumberFormat="1" applyFont="1" applyFill="1" applyBorder="1"/>
    <xf numFmtId="0" fontId="8" fillId="9" borderId="12" xfId="6" applyFont="1" applyFill="1" applyBorder="1"/>
    <xf numFmtId="10" fontId="8" fillId="9" borderId="12" xfId="3" applyNumberFormat="1" applyFont="1" applyFill="1" applyBorder="1"/>
    <xf numFmtId="166" fontId="8" fillId="9" borderId="12" xfId="2" applyFont="1" applyFill="1" applyBorder="1"/>
    <xf numFmtId="0" fontId="10" fillId="0" borderId="0" xfId="6" applyFont="1" applyFill="1" applyBorder="1"/>
    <xf numFmtId="0" fontId="7" fillId="0" borderId="0" xfId="6" applyFont="1" applyFill="1" applyBorder="1"/>
    <xf numFmtId="9" fontId="7" fillId="0" borderId="0" xfId="3" applyFont="1" applyFill="1" applyBorder="1"/>
    <xf numFmtId="168" fontId="5" fillId="0" borderId="0" xfId="0" applyNumberFormat="1" applyFont="1"/>
    <xf numFmtId="0" fontId="5" fillId="0" borderId="38" xfId="0" applyFont="1" applyBorder="1" applyAlignment="1">
      <alignment horizontal="center"/>
    </xf>
    <xf numFmtId="9" fontId="5" fillId="0" borderId="38" xfId="0" applyNumberFormat="1" applyFont="1" applyBorder="1"/>
    <xf numFmtId="176" fontId="26" fillId="0" borderId="15" xfId="0" applyNumberFormat="1" applyFont="1" applyBorder="1"/>
    <xf numFmtId="174" fontId="26" fillId="0" borderId="16" xfId="0" applyNumberFormat="1" applyFont="1" applyBorder="1"/>
    <xf numFmtId="9" fontId="16" fillId="13" borderId="52" xfId="3" applyFont="1" applyFill="1" applyBorder="1" applyAlignment="1">
      <alignment horizontal="center"/>
    </xf>
    <xf numFmtId="0" fontId="4" fillId="0" borderId="66" xfId="0" applyFont="1" applyBorder="1" applyAlignment="1">
      <alignment vertical="top"/>
    </xf>
    <xf numFmtId="166" fontId="32" fillId="11" borderId="0" xfId="0" applyNumberFormat="1" applyFont="1" applyFill="1" applyBorder="1"/>
    <xf numFmtId="165" fontId="5" fillId="0" borderId="0" xfId="0" applyNumberFormat="1" applyFont="1" applyFill="1" applyBorder="1"/>
    <xf numFmtId="4" fontId="5" fillId="0" borderId="0" xfId="0" applyNumberFormat="1" applyFont="1" applyFill="1" applyBorder="1"/>
    <xf numFmtId="0" fontId="34" fillId="0" borderId="0" xfId="0" applyFont="1" applyFill="1" applyBorder="1"/>
    <xf numFmtId="0" fontId="34" fillId="0" borderId="0" xfId="0" applyFont="1"/>
    <xf numFmtId="0" fontId="32" fillId="0" borderId="0" xfId="0" applyFont="1" applyBorder="1"/>
    <xf numFmtId="10" fontId="5" fillId="0" borderId="0" xfId="3" applyNumberFormat="1" applyFont="1"/>
    <xf numFmtId="0" fontId="4" fillId="0" borderId="0" xfId="0" applyFont="1" applyFill="1" applyBorder="1" applyAlignment="1">
      <alignment horizontal="center"/>
    </xf>
    <xf numFmtId="43" fontId="16" fillId="0" borderId="13" xfId="5" quotePrefix="1" applyNumberFormat="1" applyFont="1" applyFill="1" applyBorder="1" applyAlignment="1">
      <alignment horizontal="center" wrapText="1"/>
    </xf>
    <xf numFmtId="174" fontId="16" fillId="0" borderId="0" xfId="0" applyNumberFormat="1" applyFont="1" applyFill="1" applyBorder="1" applyAlignment="1">
      <alignment horizontal="right" wrapText="1"/>
    </xf>
    <xf numFmtId="174" fontId="5" fillId="0" borderId="0" xfId="0" applyNumberFormat="1" applyFont="1" applyBorder="1"/>
    <xf numFmtId="0" fontId="17" fillId="0" borderId="0" xfId="0" applyFont="1" applyFill="1"/>
    <xf numFmtId="170" fontId="7" fillId="0" borderId="0" xfId="0" applyNumberFormat="1" applyFont="1"/>
    <xf numFmtId="164" fontId="7" fillId="0" borderId="0" xfId="0" applyNumberFormat="1" applyFont="1"/>
    <xf numFmtId="0" fontId="7" fillId="0" borderId="0" xfId="0" applyFont="1" applyBorder="1"/>
    <xf numFmtId="171" fontId="7" fillId="0" borderId="0" xfId="0" applyNumberFormat="1" applyFont="1"/>
    <xf numFmtId="0" fontId="7" fillId="0" borderId="36" xfId="0" applyFont="1" applyBorder="1"/>
    <xf numFmtId="0" fontId="33" fillId="0" borderId="0" xfId="0" applyFont="1" applyFill="1" applyBorder="1" applyAlignment="1">
      <alignment horizontal="center" vertical="center"/>
    </xf>
    <xf numFmtId="0" fontId="5" fillId="0" borderId="12" xfId="0" applyNumberFormat="1" applyFont="1" applyFill="1" applyBorder="1" applyAlignment="1">
      <alignment horizontal="center" vertical="center"/>
    </xf>
    <xf numFmtId="171" fontId="5" fillId="0" borderId="12" xfId="0" applyNumberFormat="1" applyFont="1" applyFill="1" applyBorder="1" applyAlignment="1">
      <alignment horizontal="right" vertical="center"/>
    </xf>
    <xf numFmtId="0" fontId="5" fillId="0" borderId="12" xfId="0" applyFont="1" applyFill="1" applyBorder="1" applyAlignment="1">
      <alignment horizontal="center" vertical="center" wrapText="1"/>
    </xf>
    <xf numFmtId="0" fontId="33" fillId="5" borderId="30" xfId="0" applyFont="1" applyFill="1" applyBorder="1" applyAlignment="1">
      <alignment vertical="center"/>
    </xf>
    <xf numFmtId="171" fontId="32" fillId="5" borderId="12" xfId="0" applyNumberFormat="1" applyFont="1" applyFill="1" applyBorder="1" applyAlignment="1">
      <alignment horizontal="right" vertical="center"/>
    </xf>
    <xf numFmtId="0" fontId="13" fillId="0" borderId="0" xfId="0" applyFont="1"/>
    <xf numFmtId="0" fontId="7" fillId="0" borderId="12" xfId="0" applyFont="1" applyFill="1" applyBorder="1"/>
    <xf numFmtId="176" fontId="12" fillId="5" borderId="12" xfId="2" applyNumberFormat="1" applyFont="1" applyFill="1" applyBorder="1"/>
    <xf numFmtId="10" fontId="0" fillId="0" borderId="109" xfId="3" applyNumberFormat="1" applyFont="1" applyBorder="1" applyAlignment="1">
      <alignment horizontal="center"/>
    </xf>
    <xf numFmtId="0" fontId="0" fillId="0" borderId="38" xfId="0" applyBorder="1"/>
    <xf numFmtId="14" fontId="0" fillId="0" borderId="38" xfId="0" applyNumberFormat="1" applyBorder="1"/>
    <xf numFmtId="0" fontId="0" fillId="0" borderId="0" xfId="0" applyFill="1"/>
    <xf numFmtId="0" fontId="35" fillId="0" borderId="0" xfId="0" applyFont="1" applyFill="1"/>
    <xf numFmtId="0" fontId="0" fillId="17" borderId="49" xfId="0" applyFill="1" applyBorder="1" applyAlignment="1"/>
    <xf numFmtId="43" fontId="0" fillId="0" borderId="38" xfId="1" applyNumberFormat="1" applyFont="1" applyBorder="1"/>
    <xf numFmtId="10" fontId="5" fillId="18" borderId="38" xfId="0" applyNumberFormat="1" applyFont="1" applyFill="1" applyBorder="1"/>
    <xf numFmtId="9" fontId="0" fillId="0" borderId="0" xfId="0" applyNumberFormat="1" applyFill="1" applyBorder="1" applyAlignment="1"/>
    <xf numFmtId="165" fontId="0" fillId="0" borderId="49" xfId="0" applyNumberFormat="1" applyFill="1" applyBorder="1" applyAlignment="1"/>
    <xf numFmtId="0" fontId="36" fillId="14" borderId="57" xfId="0" applyFont="1" applyFill="1" applyBorder="1" applyAlignment="1">
      <alignment horizontal="left"/>
    </xf>
    <xf numFmtId="0" fontId="36" fillId="14" borderId="105" xfId="0" applyFont="1" applyFill="1" applyBorder="1" applyAlignment="1">
      <alignment horizontal="left"/>
    </xf>
    <xf numFmtId="0" fontId="0" fillId="0" borderId="106" xfId="0" applyFill="1" applyBorder="1" applyAlignment="1"/>
    <xf numFmtId="0" fontId="37" fillId="15" borderId="0" xfId="0" applyFont="1" applyFill="1" applyBorder="1" applyAlignment="1">
      <alignment horizontal="left"/>
    </xf>
    <xf numFmtId="0" fontId="38" fillId="15" borderId="106" xfId="0" applyFont="1" applyFill="1" applyBorder="1" applyAlignment="1">
      <alignment horizontal="left"/>
    </xf>
    <xf numFmtId="0" fontId="37" fillId="15" borderId="49" xfId="0" applyFont="1" applyFill="1" applyBorder="1" applyAlignment="1">
      <alignment horizontal="left"/>
    </xf>
    <xf numFmtId="0" fontId="39" fillId="14" borderId="105" xfId="0" applyFont="1" applyFill="1" applyBorder="1" applyAlignment="1">
      <alignment horizontal="right"/>
    </xf>
    <xf numFmtId="0" fontId="39" fillId="14" borderId="57" xfId="0" applyFont="1" applyFill="1" applyBorder="1" applyAlignment="1">
      <alignment horizontal="right"/>
    </xf>
    <xf numFmtId="0" fontId="40" fillId="0" borderId="0" xfId="0" applyFont="1" applyFill="1" applyBorder="1" applyAlignment="1">
      <alignment vertical="top" wrapText="1"/>
    </xf>
    <xf numFmtId="0" fontId="0" fillId="16" borderId="0" xfId="0" applyFill="1" applyBorder="1" applyAlignment="1"/>
    <xf numFmtId="3" fontId="0" fillId="0" borderId="38" xfId="0" applyNumberFormat="1" applyBorder="1" applyAlignment="1">
      <alignment horizontal="right"/>
    </xf>
    <xf numFmtId="0" fontId="0" fillId="0" borderId="38" xfId="0" applyBorder="1" applyAlignment="1">
      <alignment horizontal="right"/>
    </xf>
    <xf numFmtId="10" fontId="0" fillId="0" borderId="38" xfId="0" applyNumberFormat="1" applyBorder="1" applyAlignment="1">
      <alignment horizontal="right"/>
    </xf>
    <xf numFmtId="3" fontId="0" fillId="0" borderId="38" xfId="0" applyNumberFormat="1" applyBorder="1"/>
    <xf numFmtId="185" fontId="0" fillId="0" borderId="38" xfId="0" applyNumberFormat="1" applyBorder="1"/>
    <xf numFmtId="185" fontId="0" fillId="0" borderId="38" xfId="0" applyNumberFormat="1" applyBorder="1" applyAlignment="1">
      <alignment horizontal="right"/>
    </xf>
    <xf numFmtId="186" fontId="0" fillId="0" borderId="38" xfId="0" applyNumberFormat="1" applyBorder="1"/>
    <xf numFmtId="4" fontId="0" fillId="0" borderId="38" xfId="0" applyNumberFormat="1" applyBorder="1"/>
    <xf numFmtId="0" fontId="0" fillId="20" borderId="0" xfId="0" applyFill="1" applyBorder="1" applyAlignment="1"/>
    <xf numFmtId="9" fontId="0" fillId="16" borderId="0" xfId="0" applyNumberFormat="1" applyFill="1" applyBorder="1" applyAlignment="1"/>
    <xf numFmtId="9" fontId="39" fillId="14" borderId="57" xfId="0" applyNumberFormat="1" applyFont="1" applyFill="1" applyBorder="1" applyAlignment="1">
      <alignment horizontal="right"/>
    </xf>
    <xf numFmtId="187" fontId="0" fillId="0" borderId="38" xfId="1" applyNumberFormat="1" applyFont="1" applyBorder="1"/>
    <xf numFmtId="166" fontId="3" fillId="0" borderId="21" xfId="2" applyNumberFormat="1" applyFont="1" applyBorder="1" applyAlignment="1">
      <alignment vertical="top"/>
    </xf>
    <xf numFmtId="2" fontId="0" fillId="0" borderId="38" xfId="0" applyNumberFormat="1" applyBorder="1"/>
    <xf numFmtId="10" fontId="0" fillId="0" borderId="0" xfId="0" applyNumberFormat="1" applyAlignment="1">
      <alignment horizontal="right"/>
    </xf>
    <xf numFmtId="0" fontId="13" fillId="0" borderId="0" xfId="0" applyFont="1" applyFill="1" applyBorder="1" applyAlignment="1">
      <alignment horizontal="center"/>
    </xf>
    <xf numFmtId="0" fontId="13" fillId="0" borderId="114" xfId="0" applyFont="1" applyFill="1" applyBorder="1" applyAlignment="1">
      <alignment horizontal="center"/>
    </xf>
    <xf numFmtId="0" fontId="13" fillId="0" borderId="115" xfId="0" applyFont="1" applyFill="1" applyBorder="1" applyAlignment="1">
      <alignment horizontal="center"/>
    </xf>
    <xf numFmtId="0" fontId="12" fillId="5" borderId="116" xfId="0" applyFont="1" applyFill="1" applyBorder="1" applyAlignment="1">
      <alignment horizontal="center"/>
    </xf>
    <xf numFmtId="0" fontId="12" fillId="5" borderId="117" xfId="0" applyFont="1" applyFill="1" applyBorder="1" applyAlignment="1">
      <alignment horizontal="center"/>
    </xf>
    <xf numFmtId="0" fontId="5" fillId="0" borderId="118" xfId="0" applyFont="1" applyFill="1" applyBorder="1" applyAlignment="1">
      <alignment horizontal="left" vertical="center" wrapText="1"/>
    </xf>
    <xf numFmtId="171" fontId="5" fillId="0" borderId="119" xfId="0" applyNumberFormat="1" applyFont="1" applyFill="1" applyBorder="1"/>
    <xf numFmtId="0" fontId="5" fillId="0" borderId="118" xfId="0" applyFont="1" applyFill="1" applyBorder="1" applyAlignment="1">
      <alignment horizontal="left"/>
    </xf>
    <xf numFmtId="169" fontId="12" fillId="6" borderId="120" xfId="0" applyNumberFormat="1" applyFont="1" applyFill="1" applyBorder="1" applyAlignment="1">
      <alignment horizontal="center"/>
    </xf>
    <xf numFmtId="170" fontId="12" fillId="6" borderId="121" xfId="0" applyNumberFormat="1" applyFont="1" applyFill="1" applyBorder="1" applyAlignment="1">
      <alignment horizontal="center"/>
    </xf>
    <xf numFmtId="0" fontId="7" fillId="0" borderId="114" xfId="0" applyFont="1" applyBorder="1"/>
    <xf numFmtId="0" fontId="7" fillId="0" borderId="115" xfId="0" applyFont="1" applyBorder="1"/>
    <xf numFmtId="0" fontId="5" fillId="0" borderId="122" xfId="0" applyFont="1" applyFill="1" applyBorder="1" applyAlignment="1">
      <alignment horizontal="left"/>
    </xf>
    <xf numFmtId="0" fontId="7" fillId="0" borderId="123" xfId="0" applyFont="1" applyBorder="1"/>
    <xf numFmtId="0" fontId="7" fillId="0" borderId="124" xfId="0" applyFont="1" applyBorder="1"/>
    <xf numFmtId="0" fontId="33" fillId="0" borderId="114" xfId="0" applyFont="1" applyFill="1" applyBorder="1" applyAlignment="1">
      <alignment horizontal="center" vertical="center"/>
    </xf>
    <xf numFmtId="0" fontId="33" fillId="0" borderId="115" xfId="0" applyFont="1" applyFill="1" applyBorder="1" applyAlignment="1">
      <alignment horizontal="center" vertical="center"/>
    </xf>
    <xf numFmtId="0" fontId="14" fillId="5" borderId="118" xfId="0" applyFont="1" applyFill="1" applyBorder="1" applyAlignment="1">
      <alignment horizontal="center"/>
    </xf>
    <xf numFmtId="0" fontId="14" fillId="5" borderId="119" xfId="0" applyFont="1" applyFill="1" applyBorder="1" applyAlignment="1">
      <alignment horizontal="center"/>
    </xf>
    <xf numFmtId="0" fontId="5" fillId="0" borderId="118" xfId="0" applyFont="1" applyFill="1" applyBorder="1" applyAlignment="1">
      <alignment horizontal="left" vertical="center"/>
    </xf>
    <xf numFmtId="171" fontId="5" fillId="0" borderId="119" xfId="0" applyNumberFormat="1" applyFont="1" applyFill="1" applyBorder="1" applyAlignment="1">
      <alignment horizontal="right" vertical="center"/>
    </xf>
    <xf numFmtId="0" fontId="33" fillId="5" borderId="125" xfId="0" applyFont="1" applyFill="1" applyBorder="1" applyAlignment="1">
      <alignment horizontal="center" vertical="center"/>
    </xf>
    <xf numFmtId="171" fontId="32" fillId="5" borderId="119" xfId="0" applyNumberFormat="1" applyFont="1" applyFill="1" applyBorder="1" applyAlignment="1">
      <alignment horizontal="right" vertical="center"/>
    </xf>
    <xf numFmtId="0" fontId="7" fillId="0" borderId="126" xfId="0" applyFont="1" applyBorder="1"/>
    <xf numFmtId="0" fontId="7" fillId="0" borderId="127" xfId="0" applyFont="1" applyBorder="1"/>
    <xf numFmtId="0" fontId="7" fillId="0" borderId="128" xfId="0" applyFont="1" applyBorder="1"/>
    <xf numFmtId="0" fontId="20" fillId="7" borderId="1" xfId="0" applyFont="1" applyFill="1" applyBorder="1" applyAlignment="1">
      <alignment vertical="top"/>
    </xf>
    <xf numFmtId="0" fontId="20" fillId="7" borderId="12" xfId="0" applyFont="1" applyFill="1" applyBorder="1" applyAlignment="1">
      <alignment horizontal="center"/>
    </xf>
    <xf numFmtId="0" fontId="20" fillId="7" borderId="13" xfId="0" applyFont="1" applyFill="1" applyBorder="1" applyAlignment="1">
      <alignment horizontal="center"/>
    </xf>
    <xf numFmtId="0" fontId="20" fillId="7" borderId="8" xfId="0" applyFont="1" applyFill="1" applyBorder="1" applyAlignment="1">
      <alignment horizontal="center"/>
    </xf>
    <xf numFmtId="0" fontId="20" fillId="7" borderId="9" xfId="0" applyFont="1" applyFill="1" applyBorder="1" applyAlignment="1">
      <alignment horizontal="center"/>
    </xf>
    <xf numFmtId="0" fontId="20" fillId="7" borderId="10" xfId="0" applyFont="1" applyFill="1" applyBorder="1" applyAlignment="1">
      <alignment horizontal="center"/>
    </xf>
    <xf numFmtId="0" fontId="25" fillId="7" borderId="12" xfId="0" applyFont="1" applyFill="1" applyBorder="1"/>
    <xf numFmtId="0" fontId="41" fillId="7" borderId="38" xfId="0" applyFont="1" applyFill="1" applyBorder="1" applyAlignment="1">
      <alignment horizontal="center"/>
    </xf>
    <xf numFmtId="0" fontId="9" fillId="7" borderId="38" xfId="0" applyFont="1" applyFill="1" applyBorder="1" applyAlignment="1">
      <alignment horizontal="center" vertical="center" wrapText="1"/>
    </xf>
    <xf numFmtId="4" fontId="9" fillId="7" borderId="38" xfId="0" applyNumberFormat="1" applyFont="1" applyFill="1" applyBorder="1" applyAlignment="1">
      <alignment horizontal="center" vertical="center" wrapText="1"/>
    </xf>
    <xf numFmtId="2" fontId="5" fillId="0" borderId="12" xfId="0" applyNumberFormat="1" applyFont="1" applyBorder="1" applyAlignment="1">
      <alignment horizontal="right"/>
    </xf>
    <xf numFmtId="37" fontId="25" fillId="7" borderId="12" xfId="1" applyNumberFormat="1" applyFont="1" applyFill="1" applyBorder="1" applyAlignment="1">
      <alignment horizontal="center"/>
    </xf>
    <xf numFmtId="0" fontId="3" fillId="22" borderId="130" xfId="0" applyFont="1" applyFill="1" applyBorder="1" applyAlignment="1">
      <alignment horizontal="center" wrapText="1"/>
    </xf>
    <xf numFmtId="0" fontId="3" fillId="22" borderId="129" xfId="0" applyFont="1" applyFill="1" applyBorder="1" applyAlignment="1">
      <alignment horizontal="center" wrapText="1"/>
    </xf>
    <xf numFmtId="0" fontId="3" fillId="22" borderId="99" xfId="0" applyFont="1" applyFill="1" applyBorder="1" applyAlignment="1">
      <alignment horizontal="center" wrapText="1"/>
    </xf>
    <xf numFmtId="0" fontId="3" fillId="22" borderId="5" xfId="0" applyFont="1" applyFill="1" applyBorder="1" applyAlignment="1">
      <alignment horizontal="center" wrapText="1"/>
    </xf>
    <xf numFmtId="0" fontId="3" fillId="0" borderId="129" xfId="0" applyFont="1" applyBorder="1" applyAlignment="1">
      <alignment horizontal="center"/>
    </xf>
    <xf numFmtId="0" fontId="4" fillId="0" borderId="5" xfId="0" applyFont="1" applyBorder="1" applyAlignment="1">
      <alignment horizontal="center"/>
    </xf>
    <xf numFmtId="165" fontId="4" fillId="0" borderId="5" xfId="0" applyNumberFormat="1" applyFont="1" applyBorder="1" applyAlignment="1">
      <alignment horizontal="right"/>
    </xf>
    <xf numFmtId="165" fontId="4" fillId="0" borderId="131" xfId="0" applyNumberFormat="1" applyFont="1" applyBorder="1" applyAlignment="1">
      <alignment horizontal="right"/>
    </xf>
    <xf numFmtId="0" fontId="3" fillId="0" borderId="129" xfId="0" applyFont="1" applyBorder="1" applyAlignment="1">
      <alignment horizontal="center" wrapText="1"/>
    </xf>
    <xf numFmtId="0" fontId="4" fillId="0" borderId="5" xfId="0" applyFont="1" applyBorder="1" applyAlignment="1">
      <alignment horizontal="center" wrapText="1"/>
    </xf>
    <xf numFmtId="0" fontId="41" fillId="7" borderId="38" xfId="0" applyFont="1" applyFill="1" applyBorder="1"/>
    <xf numFmtId="0" fontId="41" fillId="0" borderId="0" xfId="0" applyFont="1"/>
    <xf numFmtId="179" fontId="5" fillId="9" borderId="12" xfId="0" applyNumberFormat="1" applyFont="1" applyFill="1" applyBorder="1"/>
    <xf numFmtId="0" fontId="43" fillId="7" borderId="38" xfId="0" applyFont="1" applyFill="1" applyBorder="1" applyAlignment="1">
      <alignment horizontal="right"/>
    </xf>
    <xf numFmtId="10" fontId="32" fillId="0" borderId="13" xfId="0" applyNumberFormat="1" applyFont="1" applyFill="1" applyBorder="1"/>
    <xf numFmtId="9" fontId="0" fillId="23" borderId="0" xfId="0" applyNumberFormat="1" applyFill="1" applyBorder="1" applyAlignment="1"/>
    <xf numFmtId="10" fontId="5" fillId="0" borderId="12" xfId="3" applyNumberFormat="1" applyFont="1" applyBorder="1" applyAlignment="1">
      <alignment horizontal="right"/>
    </xf>
    <xf numFmtId="166" fontId="4" fillId="0" borderId="5" xfId="0" applyNumberFormat="1" applyFont="1" applyBorder="1" applyAlignment="1">
      <alignment horizontal="right"/>
    </xf>
    <xf numFmtId="166" fontId="4" fillId="0" borderId="131" xfId="0" applyNumberFormat="1" applyFont="1" applyBorder="1" applyAlignment="1">
      <alignment horizontal="right"/>
    </xf>
    <xf numFmtId="43" fontId="0" fillId="0" borderId="38" xfId="1" applyFont="1" applyBorder="1"/>
    <xf numFmtId="0" fontId="3" fillId="22" borderId="132" xfId="0" applyFont="1" applyFill="1" applyBorder="1" applyAlignment="1">
      <alignment horizontal="center"/>
    </xf>
    <xf numFmtId="0" fontId="3" fillId="22" borderId="4" xfId="0" applyFont="1" applyFill="1" applyBorder="1" applyAlignment="1">
      <alignment horizontal="center"/>
    </xf>
    <xf numFmtId="0" fontId="3" fillId="22" borderId="133" xfId="0" applyFont="1" applyFill="1" applyBorder="1" applyAlignment="1">
      <alignment horizontal="center"/>
    </xf>
    <xf numFmtId="0" fontId="3" fillId="22" borderId="134" xfId="0" applyFont="1" applyFill="1" applyBorder="1" applyAlignment="1">
      <alignment horizontal="center"/>
    </xf>
    <xf numFmtId="0" fontId="42" fillId="21" borderId="88" xfId="0" applyFont="1" applyFill="1" applyBorder="1" applyAlignment="1">
      <alignment horizontal="center"/>
    </xf>
    <xf numFmtId="0" fontId="29" fillId="7" borderId="101" xfId="0" applyFont="1" applyFill="1" applyBorder="1" applyAlignment="1">
      <alignment horizontal="center" vertical="center" wrapText="1"/>
    </xf>
    <xf numFmtId="0" fontId="29" fillId="7" borderId="40" xfId="0" applyFont="1" applyFill="1" applyBorder="1" applyAlignment="1">
      <alignment horizontal="center" vertical="center" wrapText="1"/>
    </xf>
    <xf numFmtId="0" fontId="20" fillId="7" borderId="1" xfId="0" applyFont="1" applyFill="1" applyBorder="1" applyAlignment="1">
      <alignment horizontal="center" vertical="top"/>
    </xf>
    <xf numFmtId="0" fontId="20" fillId="7" borderId="2" xfId="0" applyFont="1" applyFill="1" applyBorder="1" applyAlignment="1">
      <alignment horizontal="center" vertical="top"/>
    </xf>
    <xf numFmtId="0" fontId="20" fillId="7" borderId="3" xfId="0" applyFont="1" applyFill="1" applyBorder="1" applyAlignment="1">
      <alignment horizontal="center" vertical="top"/>
    </xf>
    <xf numFmtId="0" fontId="13" fillId="0" borderId="0" xfId="0" applyFont="1" applyAlignment="1">
      <alignment horizontal="center"/>
    </xf>
    <xf numFmtId="2" fontId="9" fillId="8" borderId="25" xfId="0" applyNumberFormat="1" applyFont="1" applyFill="1" applyBorder="1" applyAlignment="1">
      <alignment horizontal="center" vertical="center" wrapText="1"/>
    </xf>
    <xf numFmtId="2" fontId="9" fillId="8" borderId="29" xfId="0" applyNumberFormat="1" applyFont="1" applyFill="1" applyBorder="1" applyAlignment="1">
      <alignment horizontal="center" vertical="center" wrapText="1"/>
    </xf>
    <xf numFmtId="2" fontId="9" fillId="8" borderId="31" xfId="0" applyNumberFormat="1" applyFont="1" applyFill="1" applyBorder="1" applyAlignment="1">
      <alignment horizontal="center" vertical="center" wrapText="1"/>
    </xf>
    <xf numFmtId="2" fontId="8" fillId="5" borderId="20" xfId="0" applyNumberFormat="1" applyFont="1" applyFill="1" applyBorder="1" applyAlignment="1">
      <alignment horizontal="center" vertical="center" wrapText="1"/>
    </xf>
    <xf numFmtId="2" fontId="8" fillId="5" borderId="34" xfId="0" applyNumberFormat="1" applyFont="1" applyFill="1" applyBorder="1" applyAlignment="1">
      <alignment horizontal="center" vertical="center" wrapText="1"/>
    </xf>
    <xf numFmtId="0" fontId="12" fillId="5" borderId="12" xfId="0" applyFont="1" applyFill="1" applyBorder="1" applyAlignment="1">
      <alignment horizontal="center"/>
    </xf>
    <xf numFmtId="2" fontId="8" fillId="5" borderId="9" xfId="0" applyNumberFormat="1" applyFont="1" applyFill="1" applyBorder="1" applyAlignment="1">
      <alignment horizontal="center" vertical="center" wrapText="1"/>
    </xf>
    <xf numFmtId="2" fontId="7" fillId="5" borderId="12" xfId="0" applyNumberFormat="1" applyFont="1" applyFill="1" applyBorder="1" applyAlignment="1">
      <alignment horizontal="center" vertical="center" wrapText="1"/>
    </xf>
    <xf numFmtId="2" fontId="7" fillId="5" borderId="15" xfId="0" applyNumberFormat="1" applyFont="1" applyFill="1" applyBorder="1" applyAlignment="1">
      <alignment horizontal="center" vertical="center" wrapText="1"/>
    </xf>
    <xf numFmtId="2" fontId="8" fillId="5" borderId="8" xfId="0" applyNumberFormat="1" applyFont="1" applyFill="1" applyBorder="1" applyAlignment="1">
      <alignment horizontal="center" vertical="center" wrapText="1"/>
    </xf>
    <xf numFmtId="2" fontId="8" fillId="5" borderId="11" xfId="0" applyNumberFormat="1" applyFont="1" applyFill="1" applyBorder="1" applyAlignment="1">
      <alignment horizontal="center" vertical="center" wrapText="1"/>
    </xf>
    <xf numFmtId="2" fontId="8" fillId="5" borderId="14" xfId="0" applyNumberFormat="1" applyFont="1" applyFill="1" applyBorder="1" applyAlignment="1">
      <alignment horizontal="center" vertical="center" wrapText="1"/>
    </xf>
    <xf numFmtId="2" fontId="8" fillId="5" borderId="10" xfId="0" applyNumberFormat="1" applyFont="1" applyFill="1" applyBorder="1" applyAlignment="1">
      <alignment horizontal="center" vertical="center" wrapText="1"/>
    </xf>
    <xf numFmtId="2" fontId="7" fillId="5" borderId="13" xfId="0" applyNumberFormat="1" applyFont="1" applyFill="1" applyBorder="1" applyAlignment="1">
      <alignment horizontal="center" vertical="center" wrapText="1"/>
    </xf>
    <xf numFmtId="2" fontId="7" fillId="5" borderId="16" xfId="0" applyNumberFormat="1" applyFont="1" applyFill="1" applyBorder="1" applyAlignment="1">
      <alignment horizontal="center" vertical="center" wrapText="1"/>
    </xf>
    <xf numFmtId="2" fontId="8" fillId="5" borderId="12" xfId="0" applyNumberFormat="1" applyFont="1" applyFill="1" applyBorder="1" applyAlignment="1">
      <alignment horizontal="center" vertical="center" wrapText="1"/>
    </xf>
    <xf numFmtId="2" fontId="10" fillId="5" borderId="15" xfId="0" applyNumberFormat="1" applyFont="1" applyFill="1" applyBorder="1" applyAlignment="1">
      <alignment horizontal="center" vertical="center" wrapText="1"/>
    </xf>
    <xf numFmtId="0" fontId="13" fillId="0" borderId="111" xfId="0" applyFont="1" applyFill="1" applyBorder="1" applyAlignment="1">
      <alignment horizontal="center"/>
    </xf>
    <xf numFmtId="0" fontId="13" fillId="0" borderId="112" xfId="0" applyFont="1" applyFill="1" applyBorder="1" applyAlignment="1">
      <alignment horizontal="center"/>
    </xf>
    <xf numFmtId="0" fontId="13" fillId="0" borderId="113" xfId="0" applyFont="1" applyFill="1" applyBorder="1" applyAlignment="1">
      <alignment horizontal="center"/>
    </xf>
    <xf numFmtId="0" fontId="13" fillId="0" borderId="0" xfId="0" applyFont="1" applyFill="1" applyBorder="1" applyAlignment="1">
      <alignment horizontal="center"/>
    </xf>
    <xf numFmtId="0" fontId="5" fillId="0" borderId="12" xfId="0" applyFont="1" applyFill="1" applyBorder="1" applyAlignment="1">
      <alignment horizontal="left" vertical="center"/>
    </xf>
    <xf numFmtId="169" fontId="12" fillId="6" borderId="12" xfId="0" applyNumberFormat="1" applyFont="1" applyFill="1" applyBorder="1" applyAlignment="1">
      <alignment horizontal="center"/>
    </xf>
    <xf numFmtId="0" fontId="5" fillId="0" borderId="26" xfId="0" applyFont="1" applyBorder="1" applyAlignment="1">
      <alignment horizontal="left"/>
    </xf>
    <xf numFmtId="0" fontId="5" fillId="0" borderId="28" xfId="0" applyFont="1" applyBorder="1" applyAlignment="1">
      <alignment horizontal="left"/>
    </xf>
    <xf numFmtId="0" fontId="13" fillId="0" borderId="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7" xfId="0" applyFont="1" applyFill="1" applyBorder="1" applyAlignment="1">
      <alignment horizontal="center"/>
    </xf>
    <xf numFmtId="0" fontId="12" fillId="5" borderId="35" xfId="0" applyFont="1" applyFill="1" applyBorder="1" applyAlignment="1">
      <alignment horizontal="center"/>
    </xf>
    <xf numFmtId="0" fontId="12" fillId="5" borderId="33" xfId="0" applyFont="1" applyFill="1" applyBorder="1" applyAlignment="1">
      <alignment horizontal="center"/>
    </xf>
    <xf numFmtId="0" fontId="12" fillId="5" borderId="37" xfId="0" applyFont="1" applyFill="1" applyBorder="1" applyAlignment="1">
      <alignment horizontal="center"/>
    </xf>
    <xf numFmtId="0" fontId="15" fillId="0" borderId="0" xfId="0" applyFont="1" applyFill="1" applyBorder="1" applyAlignment="1">
      <alignment horizontal="center" wrapText="1"/>
    </xf>
    <xf numFmtId="0" fontId="15" fillId="0" borderId="0" xfId="0" applyFont="1" applyAlignment="1">
      <alignment horizontal="center"/>
    </xf>
    <xf numFmtId="0" fontId="20" fillId="7" borderId="0" xfId="0" applyFont="1" applyFill="1" applyAlignment="1">
      <alignment horizontal="center"/>
    </xf>
    <xf numFmtId="0" fontId="13" fillId="0" borderId="39" xfId="0" applyFont="1" applyBorder="1" applyAlignment="1">
      <alignment horizontal="center"/>
    </xf>
    <xf numFmtId="0" fontId="28" fillId="0" borderId="0" xfId="0" applyFont="1" applyFill="1" applyBorder="1" applyAlignment="1">
      <alignment horizontal="center" vertical="top"/>
    </xf>
    <xf numFmtId="0" fontId="27" fillId="0" borderId="8"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7" fillId="9" borderId="97" xfId="0" applyFont="1" applyFill="1" applyBorder="1" applyAlignment="1">
      <alignment horizontal="left" vertical="top"/>
    </xf>
    <xf numFmtId="0" fontId="7" fillId="9" borderId="28" xfId="0" applyFont="1" applyFill="1" applyBorder="1" applyAlignment="1">
      <alignment horizontal="left" vertical="top"/>
    </xf>
    <xf numFmtId="0" fontId="27" fillId="0" borderId="26" xfId="0" applyFont="1" applyBorder="1" applyAlignment="1">
      <alignment horizontal="center"/>
    </xf>
    <xf numFmtId="0" fontId="27" fillId="0" borderId="30" xfId="0" applyFont="1" applyBorder="1" applyAlignment="1">
      <alignment horizontal="center"/>
    </xf>
    <xf numFmtId="0" fontId="27" fillId="0" borderId="28" xfId="0" applyFont="1" applyBorder="1" applyAlignment="1">
      <alignment horizontal="center"/>
    </xf>
    <xf numFmtId="0" fontId="20" fillId="7" borderId="12" xfId="0" applyFont="1" applyFill="1" applyBorder="1" applyAlignment="1">
      <alignment horizontal="center"/>
    </xf>
    <xf numFmtId="0" fontId="7" fillId="9" borderId="12" xfId="0" applyFont="1" applyFill="1" applyBorder="1" applyAlignment="1">
      <alignment horizontal="left"/>
    </xf>
    <xf numFmtId="0" fontId="20" fillId="7" borderId="86" xfId="0" applyFont="1" applyFill="1" applyBorder="1" applyAlignment="1">
      <alignment horizontal="center" vertical="top"/>
    </xf>
    <xf numFmtId="0" fontId="20" fillId="7" borderId="87" xfId="0" applyFont="1" applyFill="1" applyBorder="1" applyAlignment="1">
      <alignment horizontal="center" vertical="top"/>
    </xf>
    <xf numFmtId="0" fontId="20" fillId="7" borderId="11" xfId="0" applyFont="1" applyFill="1" applyBorder="1" applyAlignment="1">
      <alignment horizontal="center"/>
    </xf>
    <xf numFmtId="0" fontId="12" fillId="9" borderId="7" xfId="0" applyFont="1" applyFill="1" applyBorder="1" applyAlignment="1">
      <alignment horizontal="center"/>
    </xf>
    <xf numFmtId="0" fontId="12" fillId="9" borderId="35" xfId="0" applyFont="1" applyFill="1" applyBorder="1" applyAlignment="1">
      <alignment horizontal="center"/>
    </xf>
    <xf numFmtId="0" fontId="12" fillId="9" borderId="33" xfId="0" applyFont="1" applyFill="1" applyBorder="1" applyAlignment="1">
      <alignment horizontal="center"/>
    </xf>
    <xf numFmtId="0" fontId="7" fillId="9" borderId="11" xfId="0" applyFont="1" applyFill="1" applyBorder="1" applyAlignment="1">
      <alignment horizontal="left" vertical="top"/>
    </xf>
    <xf numFmtId="0" fontId="7" fillId="9" borderId="12" xfId="0" applyFont="1" applyFill="1" applyBorder="1" applyAlignment="1">
      <alignment horizontal="left" vertical="top"/>
    </xf>
    <xf numFmtId="0" fontId="12" fillId="9" borderId="12" xfId="0" applyFont="1" applyFill="1" applyBorder="1" applyAlignment="1">
      <alignment horizontal="center"/>
    </xf>
    <xf numFmtId="0" fontId="20" fillId="7" borderId="63" xfId="0" applyFont="1" applyFill="1" applyBorder="1" applyAlignment="1">
      <alignment horizontal="center" vertical="top"/>
    </xf>
    <xf numFmtId="0" fontId="20" fillId="7" borderId="65" xfId="0" applyFont="1" applyFill="1" applyBorder="1" applyAlignment="1">
      <alignment horizontal="center" vertical="top"/>
    </xf>
    <xf numFmtId="0" fontId="27" fillId="0" borderId="12" xfId="0" applyFont="1" applyBorder="1" applyAlignment="1">
      <alignment horizontal="center"/>
    </xf>
    <xf numFmtId="171" fontId="33" fillId="5" borderId="20" xfId="0" applyNumberFormat="1" applyFont="1" applyFill="1" applyBorder="1" applyAlignment="1">
      <alignment horizontal="center"/>
    </xf>
    <xf numFmtId="171" fontId="33" fillId="5" borderId="18" xfId="0" applyNumberFormat="1" applyFont="1" applyFill="1" applyBorder="1" applyAlignment="1">
      <alignment horizontal="center"/>
    </xf>
    <xf numFmtId="0" fontId="33" fillId="5" borderId="47" xfId="0" applyFont="1" applyFill="1" applyBorder="1" applyAlignment="1">
      <alignment horizontal="center"/>
    </xf>
    <xf numFmtId="0" fontId="33" fillId="5" borderId="0" xfId="0" applyFont="1" applyFill="1" applyBorder="1" applyAlignment="1">
      <alignment horizontal="center"/>
    </xf>
    <xf numFmtId="0" fontId="33" fillId="5" borderId="44" xfId="0" applyFont="1" applyFill="1" applyBorder="1" applyAlignment="1">
      <alignment horizontal="center"/>
    </xf>
    <xf numFmtId="9" fontId="16" fillId="13" borderId="41" xfId="3" applyFont="1" applyFill="1" applyBorder="1" applyAlignment="1">
      <alignment horizontal="center"/>
    </xf>
    <xf numFmtId="9" fontId="16" fillId="13" borderId="53" xfId="3" applyFont="1" applyFill="1" applyBorder="1" applyAlignment="1">
      <alignment horizontal="center"/>
    </xf>
    <xf numFmtId="0" fontId="33" fillId="5" borderId="38" xfId="0" applyFont="1" applyFill="1" applyBorder="1" applyAlignment="1">
      <alignment horizontal="center"/>
    </xf>
    <xf numFmtId="0" fontId="33" fillId="5" borderId="46" xfId="0" applyFont="1" applyFill="1" applyBorder="1" applyAlignment="1">
      <alignment horizontal="center"/>
    </xf>
    <xf numFmtId="171" fontId="32" fillId="12" borderId="54" xfId="0" applyNumberFormat="1" applyFont="1" applyFill="1" applyBorder="1" applyAlignment="1">
      <alignment horizontal="center"/>
    </xf>
    <xf numFmtId="171" fontId="32" fillId="12" borderId="55" xfId="0" applyNumberFormat="1" applyFont="1" applyFill="1" applyBorder="1" applyAlignment="1">
      <alignment horizontal="center"/>
    </xf>
    <xf numFmtId="171" fontId="32" fillId="12" borderId="56" xfId="0" applyNumberFormat="1" applyFont="1" applyFill="1" applyBorder="1" applyAlignment="1">
      <alignment horizontal="center"/>
    </xf>
    <xf numFmtId="0" fontId="20" fillId="7" borderId="20" xfId="0" applyFont="1" applyFill="1" applyBorder="1" applyAlignment="1">
      <alignment horizontal="center" vertical="top" wrapText="1"/>
    </xf>
    <xf numFmtId="0" fontId="20" fillId="7" borderId="18"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3" xfId="0" applyFont="1" applyFill="1" applyBorder="1" applyAlignment="1">
      <alignment horizontal="center" vertical="top" wrapText="1"/>
    </xf>
    <xf numFmtId="0" fontId="12" fillId="5" borderId="45" xfId="0" applyFont="1" applyFill="1" applyBorder="1" applyAlignment="1">
      <alignment horizontal="center"/>
    </xf>
    <xf numFmtId="0" fontId="12" fillId="5" borderId="38" xfId="0" applyFont="1" applyFill="1" applyBorder="1" applyAlignment="1">
      <alignment horizontal="center"/>
    </xf>
    <xf numFmtId="0" fontId="8" fillId="5" borderId="38" xfId="0" applyFont="1" applyFill="1" applyBorder="1" applyAlignment="1">
      <alignment horizontal="center"/>
    </xf>
    <xf numFmtId="0" fontId="8" fillId="9" borderId="43" xfId="0" applyFont="1" applyFill="1" applyBorder="1" applyAlignment="1">
      <alignment horizontal="left"/>
    </xf>
    <xf numFmtId="0" fontId="8" fillId="9" borderId="0" xfId="0" applyFont="1" applyFill="1" applyBorder="1" applyAlignment="1">
      <alignment horizontal="left"/>
    </xf>
    <xf numFmtId="0" fontId="33" fillId="5" borderId="42" xfId="0" applyFont="1" applyFill="1" applyBorder="1" applyAlignment="1">
      <alignment horizontal="center"/>
    </xf>
    <xf numFmtId="0" fontId="26" fillId="6" borderId="15" xfId="0" applyFont="1" applyFill="1" applyBorder="1" applyAlignment="1">
      <alignment horizontal="center"/>
    </xf>
    <xf numFmtId="0" fontId="13" fillId="0" borderId="88" xfId="0" applyFont="1" applyBorder="1" applyAlignment="1">
      <alignment horizontal="center"/>
    </xf>
    <xf numFmtId="0" fontId="14" fillId="6" borderId="14" xfId="0" applyFont="1" applyFill="1" applyBorder="1" applyAlignment="1">
      <alignment horizontal="center"/>
    </xf>
    <xf numFmtId="0" fontId="14" fillId="6" borderId="15" xfId="0" applyFont="1" applyFill="1" applyBorder="1" applyAlignment="1">
      <alignment horizontal="center"/>
    </xf>
    <xf numFmtId="0" fontId="2" fillId="0" borderId="57" xfId="0" applyFont="1" applyBorder="1" applyAlignment="1">
      <alignment horizontal="center"/>
    </xf>
    <xf numFmtId="0" fontId="30" fillId="0" borderId="0" xfId="0" applyFont="1" applyFill="1" applyBorder="1" applyAlignment="1">
      <alignment horizontal="center"/>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5" fillId="6" borderId="57" xfId="0" applyFont="1" applyFill="1" applyBorder="1" applyAlignment="1">
      <alignment horizontal="center"/>
    </xf>
    <xf numFmtId="0" fontId="12" fillId="0" borderId="0" xfId="0" applyFont="1" applyFill="1" applyBorder="1" applyAlignment="1">
      <alignment horizontal="center"/>
    </xf>
    <xf numFmtId="0" fontId="7" fillId="0" borderId="0" xfId="0" applyFont="1" applyFill="1" applyBorder="1" applyAlignment="1">
      <alignment horizontal="center"/>
    </xf>
    <xf numFmtId="0" fontId="16" fillId="0" borderId="0" xfId="0" applyFont="1" applyFill="1" applyBorder="1" applyAlignment="1">
      <alignment horizontal="center"/>
    </xf>
    <xf numFmtId="0" fontId="9" fillId="8" borderId="8" xfId="0" applyFont="1" applyFill="1" applyBorder="1" applyAlignment="1">
      <alignment horizontal="center"/>
    </xf>
    <xf numFmtId="0" fontId="9" fillId="8" borderId="9" xfId="0" applyFont="1" applyFill="1" applyBorder="1" applyAlignment="1">
      <alignment horizontal="center"/>
    </xf>
    <xf numFmtId="0" fontId="9" fillId="8" borderId="10" xfId="0" applyFont="1" applyFill="1" applyBorder="1" applyAlignment="1">
      <alignment horizontal="center"/>
    </xf>
    <xf numFmtId="0" fontId="16" fillId="13" borderId="41" xfId="0" applyFont="1" applyFill="1" applyBorder="1" applyAlignment="1">
      <alignment horizontal="center"/>
    </xf>
    <xf numFmtId="0" fontId="16" fillId="13" borderId="53" xfId="0" applyFont="1" applyFill="1" applyBorder="1" applyAlignment="1">
      <alignment horizontal="center"/>
    </xf>
    <xf numFmtId="0" fontId="8" fillId="6" borderId="12" xfId="6" applyFont="1" applyFill="1" applyBorder="1" applyAlignment="1">
      <alignment horizontal="center"/>
    </xf>
    <xf numFmtId="0" fontId="9" fillId="8" borderId="107" xfId="0" applyFont="1" applyFill="1" applyBorder="1" applyAlignment="1">
      <alignment horizontal="center"/>
    </xf>
    <xf numFmtId="0" fontId="9" fillId="8" borderId="29" xfId="0" applyFont="1" applyFill="1" applyBorder="1" applyAlignment="1">
      <alignment horizontal="center"/>
    </xf>
    <xf numFmtId="0" fontId="9" fillId="8" borderId="108" xfId="0" applyFont="1" applyFill="1" applyBorder="1" applyAlignment="1">
      <alignment horizontal="center"/>
    </xf>
    <xf numFmtId="0" fontId="25" fillId="8" borderId="0" xfId="0" applyFont="1" applyFill="1" applyAlignment="1">
      <alignment horizontal="center"/>
    </xf>
    <xf numFmtId="0" fontId="0" fillId="9" borderId="38" xfId="0" applyFill="1" applyBorder="1" applyAlignment="1">
      <alignment horizontal="left"/>
    </xf>
    <xf numFmtId="0" fontId="43" fillId="7" borderId="38" xfId="0" applyFont="1" applyFill="1" applyBorder="1" applyAlignment="1">
      <alignment horizontal="left"/>
    </xf>
    <xf numFmtId="0" fontId="0" fillId="5" borderId="38" xfId="0" applyFill="1" applyBorder="1" applyAlignment="1">
      <alignment horizontal="left"/>
    </xf>
    <xf numFmtId="0" fontId="0" fillId="0" borderId="110" xfId="0" applyBorder="1" applyAlignment="1">
      <alignment horizontal="center" wrapText="1"/>
    </xf>
    <xf numFmtId="0" fontId="0" fillId="0" borderId="106" xfId="0" applyBorder="1" applyAlignment="1">
      <alignment horizontal="center" wrapText="1"/>
    </xf>
    <xf numFmtId="0" fontId="0" fillId="0" borderId="109" xfId="0" applyBorder="1" applyAlignment="1">
      <alignment horizontal="center" wrapText="1"/>
    </xf>
    <xf numFmtId="0" fontId="0" fillId="0" borderId="110" xfId="0" applyBorder="1" applyAlignment="1">
      <alignment horizontal="center"/>
    </xf>
    <xf numFmtId="0" fontId="0" fillId="0" borderId="106" xfId="0" applyBorder="1" applyAlignment="1">
      <alignment horizontal="center"/>
    </xf>
    <xf numFmtId="0" fontId="0" fillId="0" borderId="109" xfId="0" applyBorder="1" applyAlignment="1">
      <alignment horizontal="center"/>
    </xf>
  </cellXfs>
  <cellStyles count="7">
    <cellStyle name="Comma" xfId="1" builtinId="3"/>
    <cellStyle name="Currency" xfId="2" builtinId="4"/>
    <cellStyle name="Millares 2" xfId="5"/>
    <cellStyle name="Moneda 2" xfId="4"/>
    <cellStyle name="Normal" xfId="0" builtinId="0"/>
    <cellStyle name="Normal 3" xfId="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PRECIO vs VAN</a:t>
            </a:r>
          </a:p>
        </c:rich>
      </c:tx>
      <c:overlay val="0"/>
    </c:title>
    <c:autoTitleDeleted val="0"/>
    <c:plotArea>
      <c:layout>
        <c:manualLayout>
          <c:layoutTarget val="inner"/>
          <c:xMode val="edge"/>
          <c:yMode val="edge"/>
          <c:x val="0.20255772368616876"/>
          <c:y val="0.19346004163272698"/>
          <c:w val="0.56511525853080402"/>
          <c:h val="0.69572377590732182"/>
        </c:manualLayout>
      </c:layout>
      <c:scatterChart>
        <c:scatterStyle val="smoothMarker"/>
        <c:varyColors val="0"/>
        <c:ser>
          <c:idx val="0"/>
          <c:order val="0"/>
          <c:xVal>
            <c:numRef>
              <c:f>'PRECIO VS VAN'!$E$11:$M$11</c:f>
              <c:numCache>
                <c:formatCode>General</c:formatCode>
                <c:ptCount val="9"/>
                <c:pt idx="0">
                  <c:v>7</c:v>
                </c:pt>
                <c:pt idx="1">
                  <c:v>8</c:v>
                </c:pt>
                <c:pt idx="2">
                  <c:v>9</c:v>
                </c:pt>
                <c:pt idx="3">
                  <c:v>10</c:v>
                </c:pt>
                <c:pt idx="4">
                  <c:v>11</c:v>
                </c:pt>
                <c:pt idx="5">
                  <c:v>12</c:v>
                </c:pt>
                <c:pt idx="6">
                  <c:v>13</c:v>
                </c:pt>
                <c:pt idx="7">
                  <c:v>14</c:v>
                </c:pt>
                <c:pt idx="8">
                  <c:v>15</c:v>
                </c:pt>
              </c:numCache>
            </c:numRef>
          </c:xVal>
          <c:yVal>
            <c:numRef>
              <c:f>'PRECIO VS VAN'!$E$12:$M$12</c:f>
              <c:numCache>
                <c:formatCode>"$"\ #,##0.00_);[Red]\("$"\ #,##0.00\)</c:formatCode>
                <c:ptCount val="9"/>
                <c:pt idx="0">
                  <c:v>-26819.346116525299</c:v>
                </c:pt>
                <c:pt idx="1">
                  <c:v>2055.1729771571299</c:v>
                </c:pt>
                <c:pt idx="2">
                  <c:v>25335.6618913981</c:v>
                </c:pt>
                <c:pt idx="3">
                  <c:v>48102.4317443088</c:v>
                </c:pt>
                <c:pt idx="4">
                  <c:v>70869.201597219406</c:v>
                </c:pt>
                <c:pt idx="5">
                  <c:v>93635.971450130004</c:v>
                </c:pt>
                <c:pt idx="6">
                  <c:v>116402.741303041</c:v>
                </c:pt>
                <c:pt idx="7">
                  <c:v>139169.51115595101</c:v>
                </c:pt>
                <c:pt idx="8">
                  <c:v>161936.28100886199</c:v>
                </c:pt>
              </c:numCache>
            </c:numRef>
          </c:yVal>
          <c:smooth val="1"/>
        </c:ser>
        <c:dLbls>
          <c:showLegendKey val="0"/>
          <c:showVal val="0"/>
          <c:showCatName val="0"/>
          <c:showSerName val="0"/>
          <c:showPercent val="0"/>
          <c:showBubbleSize val="0"/>
        </c:dLbls>
        <c:axId val="173578496"/>
        <c:axId val="173580288"/>
      </c:scatterChart>
      <c:valAx>
        <c:axId val="173578496"/>
        <c:scaling>
          <c:orientation val="minMax"/>
        </c:scaling>
        <c:delete val="0"/>
        <c:axPos val="b"/>
        <c:numFmt formatCode="General" sourceLinked="1"/>
        <c:majorTickMark val="out"/>
        <c:minorTickMark val="none"/>
        <c:tickLblPos val="nextTo"/>
        <c:txPr>
          <a:bodyPr/>
          <a:lstStyle/>
          <a:p>
            <a:pPr>
              <a:defRPr>
                <a:solidFill>
                  <a:schemeClr val="accent5">
                    <a:lumMod val="75000"/>
                  </a:schemeClr>
                </a:solidFill>
              </a:defRPr>
            </a:pPr>
            <a:endParaRPr lang="es-EC"/>
          </a:p>
        </c:txPr>
        <c:crossAx val="173580288"/>
        <c:crosses val="autoZero"/>
        <c:crossBetween val="midCat"/>
      </c:valAx>
      <c:valAx>
        <c:axId val="173580288"/>
        <c:scaling>
          <c:orientation val="minMax"/>
        </c:scaling>
        <c:delete val="0"/>
        <c:axPos val="l"/>
        <c:majorGridlines/>
        <c:numFmt formatCode="&quot;$&quot;\ #,##0.00_);[Red]\(&quot;$&quot;\ #,##0.00\)" sourceLinked="1"/>
        <c:majorTickMark val="out"/>
        <c:minorTickMark val="none"/>
        <c:tickLblPos val="nextTo"/>
        <c:crossAx val="173578496"/>
        <c:crosses val="autoZero"/>
        <c:crossBetween val="midCat"/>
      </c:valAx>
    </c:plotArea>
    <c:legend>
      <c:legendPos val="r"/>
      <c:overlay val="0"/>
    </c:legend>
    <c:plotVisOnly val="1"/>
    <c:dispBlanksAs val="gap"/>
    <c:showDLblsOverMax val="0"/>
  </c:chart>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s-EC"/>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COSTO DE VENTA vs VAN</a:t>
            </a:r>
          </a:p>
        </c:rich>
      </c:tx>
      <c:overlay val="0"/>
    </c:title>
    <c:autoTitleDeleted val="0"/>
    <c:plotArea>
      <c:layout/>
      <c:scatterChart>
        <c:scatterStyle val="smoothMarker"/>
        <c:varyColors val="0"/>
        <c:ser>
          <c:idx val="0"/>
          <c:order val="0"/>
          <c:tx>
            <c:strRef>
              <c:f>'%CV VS VAN'!$C$14</c:f>
              <c:strCache>
                <c:ptCount val="1"/>
                <c:pt idx="0">
                  <c:v>VAN</c:v>
                </c:pt>
              </c:strCache>
            </c:strRef>
          </c:tx>
          <c:xVal>
            <c:numRef>
              <c:f>'%CV VS VAN'!$D$13:$L$13</c:f>
              <c:numCache>
                <c:formatCode>0%</c:formatCode>
                <c:ptCount val="9"/>
                <c:pt idx="1">
                  <c:v>0.05</c:v>
                </c:pt>
                <c:pt idx="2">
                  <c:v>0.1</c:v>
                </c:pt>
                <c:pt idx="3">
                  <c:v>0.15</c:v>
                </c:pt>
                <c:pt idx="4">
                  <c:v>0.2</c:v>
                </c:pt>
                <c:pt idx="5">
                  <c:v>0.25</c:v>
                </c:pt>
                <c:pt idx="6">
                  <c:v>0.3</c:v>
                </c:pt>
                <c:pt idx="7">
                  <c:v>0.35</c:v>
                </c:pt>
                <c:pt idx="8">
                  <c:v>0.4</c:v>
                </c:pt>
              </c:numCache>
            </c:numRef>
          </c:xVal>
          <c:yVal>
            <c:numRef>
              <c:f>'%CV VS VAN'!$D$14:$L$14</c:f>
              <c:numCache>
                <c:formatCode>"$"\ #,##0.00_);[Red]\("$"\ #,##0.00\)</c:formatCode>
                <c:ptCount val="9"/>
                <c:pt idx="1">
                  <c:v>61068.299863835498</c:v>
                </c:pt>
                <c:pt idx="2">
                  <c:v>48102.4317443088</c:v>
                </c:pt>
                <c:pt idx="3">
                  <c:v>35136.563624782</c:v>
                </c:pt>
                <c:pt idx="4">
                  <c:v>22170.6955052552</c:v>
                </c:pt>
                <c:pt idx="5">
                  <c:v>9204.8273857284694</c:v>
                </c:pt>
                <c:pt idx="6">
                  <c:v>-5025.78262606508</c:v>
                </c:pt>
                <c:pt idx="7">
                  <c:v>-21314.922151286901</c:v>
                </c:pt>
                <c:pt idx="8">
                  <c:v>-40148.345406924404</c:v>
                </c:pt>
              </c:numCache>
            </c:numRef>
          </c:yVal>
          <c:smooth val="1"/>
        </c:ser>
        <c:dLbls>
          <c:showLegendKey val="0"/>
          <c:showVal val="0"/>
          <c:showCatName val="0"/>
          <c:showSerName val="0"/>
          <c:showPercent val="0"/>
          <c:showBubbleSize val="0"/>
        </c:dLbls>
        <c:axId val="174465408"/>
        <c:axId val="174466944"/>
      </c:scatterChart>
      <c:valAx>
        <c:axId val="174465408"/>
        <c:scaling>
          <c:orientation val="minMax"/>
        </c:scaling>
        <c:delete val="0"/>
        <c:axPos val="b"/>
        <c:numFmt formatCode="0%" sourceLinked="0"/>
        <c:majorTickMark val="out"/>
        <c:minorTickMark val="none"/>
        <c:tickLblPos val="nextTo"/>
        <c:txPr>
          <a:bodyPr/>
          <a:lstStyle/>
          <a:p>
            <a:pPr>
              <a:defRPr>
                <a:solidFill>
                  <a:schemeClr val="accent5">
                    <a:lumMod val="75000"/>
                  </a:schemeClr>
                </a:solidFill>
              </a:defRPr>
            </a:pPr>
            <a:endParaRPr lang="es-EC"/>
          </a:p>
        </c:txPr>
        <c:crossAx val="174466944"/>
        <c:crosses val="autoZero"/>
        <c:crossBetween val="midCat"/>
      </c:valAx>
      <c:valAx>
        <c:axId val="174466944"/>
        <c:scaling>
          <c:orientation val="minMax"/>
        </c:scaling>
        <c:delete val="0"/>
        <c:axPos val="l"/>
        <c:majorGridlines/>
        <c:numFmt formatCode="General" sourceLinked="1"/>
        <c:majorTickMark val="out"/>
        <c:minorTickMark val="none"/>
        <c:tickLblPos val="nextTo"/>
        <c:crossAx val="174465408"/>
        <c:crosses val="autoZero"/>
        <c:crossBetween val="midCat"/>
      </c:valAx>
    </c:plotArea>
    <c:legend>
      <c:legendPos val="r"/>
      <c:overlay val="0"/>
    </c:legend>
    <c:plotVisOnly val="1"/>
    <c:dispBlanksAs val="gap"/>
    <c:showDLblsOverMax val="0"/>
  </c:chart>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s-EC"/>
    </a:p>
  </c:txPr>
  <c:printSettings>
    <c:headerFooter/>
    <c:pageMargins b="0.75000000000000178" l="0.70000000000000062" r="0.70000000000000062" t="0.75000000000000178"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714375</xdr:colOff>
      <xdr:row>6</xdr:row>
      <xdr:rowOff>66675</xdr:rowOff>
    </xdr:from>
    <xdr:to>
      <xdr:col>10</xdr:col>
      <xdr:colOff>647700</xdr:colOff>
      <xdr:row>8</xdr:row>
      <xdr:rowOff>19050</xdr:rowOff>
    </xdr:to>
    <xdr:sp macro="" textlink="">
      <xdr:nvSpPr>
        <xdr:cNvPr id="2" name="1 Rectángulo" descr="a3e3af06-0905-488e-a062-df4bf853ebb7"/>
        <xdr:cNvSpPr/>
      </xdr:nvSpPr>
      <xdr:spPr>
        <a:xfrm>
          <a:off x="6029325" y="1219200"/>
          <a:ext cx="2657475" cy="3333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s-EC" sz="1100"/>
        </a:p>
        <a:p>
          <a:pPr algn="ctr"/>
          <a:r>
            <a:rPr lang="es-EC" sz="1100"/>
            <a:t>B apal=B desap*{1+[(%D/%K)*(1-T)]}</a:t>
          </a:r>
        </a:p>
        <a:p>
          <a:pPr algn="ctr"/>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17</xdr:row>
      <xdr:rowOff>38100</xdr:rowOff>
    </xdr:from>
    <xdr:to>
      <xdr:col>10</xdr:col>
      <xdr:colOff>0</xdr:colOff>
      <xdr:row>31</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742949</xdr:colOff>
      <xdr:row>17</xdr:row>
      <xdr:rowOff>138111</xdr:rowOff>
    </xdr:from>
    <xdr:to>
      <xdr:col>9</xdr:col>
      <xdr:colOff>295275</xdr:colOff>
      <xdr:row>34</xdr:row>
      <xdr:rowOff>85724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723900</xdr:colOff>
      <xdr:row>4</xdr:row>
      <xdr:rowOff>104775</xdr:rowOff>
    </xdr:from>
    <xdr:to>
      <xdr:col>10</xdr:col>
      <xdr:colOff>3914775</xdr:colOff>
      <xdr:row>21</xdr:row>
      <xdr:rowOff>152400</xdr:rowOff>
    </xdr:to>
    <xdr:pic>
      <xdr:nvPicPr>
        <xdr:cNvPr id="7475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924425" y="866775"/>
          <a:ext cx="5162550" cy="3286125"/>
        </a:xfrm>
        <a:prstGeom prst="rect">
          <a:avLst/>
        </a:prstGeom>
        <a:noFill/>
        <a:ln w="1">
          <a:noFill/>
          <a:miter lim="800000"/>
          <a:headEnd/>
          <a:tailEnd type="none" w="med" len="med"/>
        </a:ln>
        <a:effectLst/>
      </xdr:spPr>
    </xdr:pic>
    <xdr:clientData/>
  </xdr:twoCellAnchor>
  <xdr:twoCellAnchor editAs="oneCell">
    <xdr:from>
      <xdr:col>2</xdr:col>
      <xdr:colOff>628650</xdr:colOff>
      <xdr:row>39</xdr:row>
      <xdr:rowOff>57150</xdr:rowOff>
    </xdr:from>
    <xdr:to>
      <xdr:col>8</xdr:col>
      <xdr:colOff>94693</xdr:colOff>
      <xdr:row>51</xdr:row>
      <xdr:rowOff>180674</xdr:rowOff>
    </xdr:to>
    <xdr:pic>
      <xdr:nvPicPr>
        <xdr:cNvPr id="10" name="9 Imagen" descr="tmp4E38.tmp"/>
        <xdr:cNvPicPr>
          <a:picLocks/>
        </xdr:cNvPicPr>
      </xdr:nvPicPr>
      <xdr:blipFill>
        <a:blip xmlns:r="http://schemas.openxmlformats.org/officeDocument/2006/relationships" r:embed="rId2" cstate="print"/>
        <a:stretch>
          <a:fillRect/>
        </a:stretch>
      </xdr:blipFill>
      <xdr:spPr>
        <a:xfrm>
          <a:off x="885825" y="7486650"/>
          <a:ext cx="4457143" cy="2409524"/>
        </a:xfrm>
        <a:prstGeom prst="rect">
          <a:avLst/>
        </a:prstGeom>
      </xdr:spPr>
    </xdr:pic>
    <xdr:clientData/>
  </xdr:twoCellAnchor>
  <xdr:twoCellAnchor editAs="oneCell">
    <xdr:from>
      <xdr:col>7</xdr:col>
      <xdr:colOff>3175</xdr:colOff>
      <xdr:row>90</xdr:row>
      <xdr:rowOff>155575</xdr:rowOff>
    </xdr:from>
    <xdr:to>
      <xdr:col>8</xdr:col>
      <xdr:colOff>736377</xdr:colOff>
      <xdr:row>96</xdr:row>
      <xdr:rowOff>89723</xdr:rowOff>
    </xdr:to>
    <xdr:pic>
      <xdr:nvPicPr>
        <xdr:cNvPr id="11" name="10 Imagen" descr="tmp4E38.tmp"/>
        <xdr:cNvPicPr>
          <a:picLocks/>
        </xdr:cNvPicPr>
      </xdr:nvPicPr>
      <xdr:blipFill>
        <a:blip xmlns:r="http://schemas.openxmlformats.org/officeDocument/2006/relationships" r:embed="rId3" cstate="print"/>
        <a:stretch>
          <a:fillRect/>
        </a:stretch>
      </xdr:blipFill>
      <xdr:spPr>
        <a:xfrm>
          <a:off x="3403600" y="15214600"/>
          <a:ext cx="1780952" cy="905698"/>
        </a:xfrm>
        <a:prstGeom prst="rect">
          <a:avLst/>
        </a:prstGeom>
      </xdr:spPr>
    </xdr:pic>
    <xdr:clientData/>
  </xdr:twoCellAnchor>
  <xdr:twoCellAnchor editAs="oneCell">
    <xdr:from>
      <xdr:col>7</xdr:col>
      <xdr:colOff>3175</xdr:colOff>
      <xdr:row>101</xdr:row>
      <xdr:rowOff>0</xdr:rowOff>
    </xdr:from>
    <xdr:to>
      <xdr:col>8</xdr:col>
      <xdr:colOff>736377</xdr:colOff>
      <xdr:row>106</xdr:row>
      <xdr:rowOff>96073</xdr:rowOff>
    </xdr:to>
    <xdr:pic>
      <xdr:nvPicPr>
        <xdr:cNvPr id="12" name="11 Imagen" descr="tmp4E38.tmp"/>
        <xdr:cNvPicPr>
          <a:picLocks/>
        </xdr:cNvPicPr>
      </xdr:nvPicPr>
      <xdr:blipFill>
        <a:blip xmlns:r="http://schemas.openxmlformats.org/officeDocument/2006/relationships" r:embed="rId4" cstate="print"/>
        <a:stretch>
          <a:fillRect/>
        </a:stretch>
      </xdr:blipFill>
      <xdr:spPr>
        <a:xfrm>
          <a:off x="3403600" y="16840200"/>
          <a:ext cx="1780952" cy="905698"/>
        </a:xfrm>
        <a:prstGeom prst="rect">
          <a:avLst/>
        </a:prstGeom>
      </xdr:spPr>
    </xdr:pic>
    <xdr:clientData/>
  </xdr:twoCellAnchor>
  <xdr:twoCellAnchor editAs="oneCell">
    <xdr:from>
      <xdr:col>7</xdr:col>
      <xdr:colOff>3175</xdr:colOff>
      <xdr:row>111</xdr:row>
      <xdr:rowOff>6350</xdr:rowOff>
    </xdr:from>
    <xdr:to>
      <xdr:col>8</xdr:col>
      <xdr:colOff>736377</xdr:colOff>
      <xdr:row>116</xdr:row>
      <xdr:rowOff>102423</xdr:rowOff>
    </xdr:to>
    <xdr:pic>
      <xdr:nvPicPr>
        <xdr:cNvPr id="13" name="12 Imagen" descr="tmp4E38.tmp"/>
        <xdr:cNvPicPr>
          <a:picLocks/>
        </xdr:cNvPicPr>
      </xdr:nvPicPr>
      <xdr:blipFill>
        <a:blip xmlns:r="http://schemas.openxmlformats.org/officeDocument/2006/relationships" r:embed="rId5" cstate="print"/>
        <a:stretch>
          <a:fillRect/>
        </a:stretch>
      </xdr:blipFill>
      <xdr:spPr>
        <a:xfrm>
          <a:off x="3403600" y="18465800"/>
          <a:ext cx="1780952" cy="905698"/>
        </a:xfrm>
        <a:prstGeom prst="rect">
          <a:avLst/>
        </a:prstGeom>
      </xdr:spPr>
    </xdr:pic>
    <xdr:clientData/>
  </xdr:twoCellAnchor>
  <xdr:twoCellAnchor editAs="oneCell">
    <xdr:from>
      <xdr:col>7</xdr:col>
      <xdr:colOff>3175</xdr:colOff>
      <xdr:row>121</xdr:row>
      <xdr:rowOff>0</xdr:rowOff>
    </xdr:from>
    <xdr:to>
      <xdr:col>8</xdr:col>
      <xdr:colOff>736377</xdr:colOff>
      <xdr:row>126</xdr:row>
      <xdr:rowOff>96073</xdr:rowOff>
    </xdr:to>
    <xdr:pic>
      <xdr:nvPicPr>
        <xdr:cNvPr id="14" name="13 Imagen" descr="tmp4E38.tmp"/>
        <xdr:cNvPicPr>
          <a:picLocks/>
        </xdr:cNvPicPr>
      </xdr:nvPicPr>
      <xdr:blipFill>
        <a:blip xmlns:r="http://schemas.openxmlformats.org/officeDocument/2006/relationships" r:embed="rId6" cstate="print"/>
        <a:stretch>
          <a:fillRect/>
        </a:stretch>
      </xdr:blipFill>
      <xdr:spPr>
        <a:xfrm>
          <a:off x="3403600" y="20078700"/>
          <a:ext cx="1780952" cy="9056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esis%20semi\ESTUDIO.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xCont. (2)"/>
      <sheetName val="Dim.Maquina"/>
      <sheetName val="Maq.xCont."/>
      <sheetName val="Sueldos (3)"/>
      <sheetName val="Sueldos (2)"/>
      <sheetName val="EQUIPOS"/>
      <sheetName val="PERSONAL"/>
      <sheetName val="Tamaño Bodega"/>
      <sheetName val="Localiz.Bodega"/>
      <sheetName val="Inver.inicial"/>
      <sheetName val="Equipamiento"/>
      <sheetName val="Sueldos"/>
      <sheetName val="Gstosoper"/>
      <sheetName val="Alquiler"/>
      <sheetName val="CV"/>
      <sheetName val="Hoja6"/>
      <sheetName val="Hoja7"/>
      <sheetName val="CF"/>
      <sheetName val="Publi"/>
      <sheetName val="Depr"/>
      <sheetName val="Demanda real"/>
      <sheetName val="Dem.Maq.Mens."/>
      <sheetName val="Cap_Trab"/>
      <sheetName val="Dem.NP2"/>
      <sheetName val="Dem.NP"/>
      <sheetName val="Demproy"/>
      <sheetName val="Dem.Maq.Anual"/>
      <sheetName val="FLUJO CAJA"/>
      <sheetName val="Payback"/>
      <sheetName val="CB"/>
      <sheetName val="REPORTC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D13">
            <v>83407.051199999987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B5">
            <v>70</v>
          </cell>
        </row>
        <row r="6">
          <cell r="B6">
            <v>2790</v>
          </cell>
        </row>
        <row r="7">
          <cell r="B7">
            <v>2200</v>
          </cell>
        </row>
        <row r="8">
          <cell r="B8">
            <v>100</v>
          </cell>
        </row>
        <row r="9">
          <cell r="B9">
            <v>1731</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2:I7"/>
  <sheetViews>
    <sheetView workbookViewId="0">
      <selection activeCell="D2" sqref="D2:I7"/>
    </sheetView>
  </sheetViews>
  <sheetFormatPr defaultColWidth="11.42578125" defaultRowHeight="15" x14ac:dyDescent="0.25"/>
  <cols>
    <col min="4" max="4" width="20.5703125" customWidth="1"/>
    <col min="5" max="5" width="13.42578125" customWidth="1"/>
    <col min="6" max="6" width="13.140625" customWidth="1"/>
    <col min="7" max="7" width="18.140625" customWidth="1"/>
  </cols>
  <sheetData>
    <row r="2" spans="4:9" ht="15.75" thickBot="1" x14ac:dyDescent="0.3">
      <c r="D2" s="540" t="s">
        <v>428</v>
      </c>
      <c r="E2" s="540"/>
      <c r="F2" s="540"/>
      <c r="G2" s="540"/>
      <c r="H2" s="540"/>
      <c r="I2" s="540"/>
    </row>
    <row r="3" spans="4:9" x14ac:dyDescent="0.25">
      <c r="D3" s="516" t="s">
        <v>573</v>
      </c>
      <c r="E3" s="518" t="s">
        <v>575</v>
      </c>
      <c r="F3" s="536" t="s">
        <v>120</v>
      </c>
      <c r="G3" s="518" t="s">
        <v>577</v>
      </c>
      <c r="H3" s="538" t="s">
        <v>572</v>
      </c>
      <c r="I3" s="538" t="s">
        <v>579</v>
      </c>
    </row>
    <row r="4" spans="4:9" ht="15.75" thickBot="1" x14ac:dyDescent="0.3">
      <c r="D4" s="517" t="s">
        <v>574</v>
      </c>
      <c r="E4" s="519" t="s">
        <v>576</v>
      </c>
      <c r="F4" s="537"/>
      <c r="G4" s="519" t="s">
        <v>578</v>
      </c>
      <c r="H4" s="539"/>
      <c r="I4" s="539"/>
    </row>
    <row r="5" spans="4:9" ht="15.75" thickBot="1" x14ac:dyDescent="0.3">
      <c r="D5" s="520">
        <v>5</v>
      </c>
      <c r="E5" s="521">
        <v>10804</v>
      </c>
      <c r="F5" s="533">
        <f>+'COSTOS FIJOS'!E17</f>
        <v>82422.828633866666</v>
      </c>
      <c r="G5" s="522">
        <f>+'COSTOS VARIABLES'!D7</f>
        <v>11677.2</v>
      </c>
      <c r="H5" s="534">
        <f>+INVERSIONES!D70</f>
        <v>38971.949999999997</v>
      </c>
      <c r="I5" s="534">
        <f>+'FLUJO DE CAJA'!E74</f>
        <v>48102.431744308778</v>
      </c>
    </row>
    <row r="6" spans="4:9" ht="15.75" thickBot="1" x14ac:dyDescent="0.3">
      <c r="D6" s="524">
        <v>10</v>
      </c>
      <c r="E6" s="525">
        <v>15887.5</v>
      </c>
      <c r="F6" s="522">
        <v>118378</v>
      </c>
      <c r="G6" s="522">
        <v>33097</v>
      </c>
      <c r="H6" s="534">
        <v>59011.95</v>
      </c>
      <c r="I6" s="534">
        <v>33552.769999999997</v>
      </c>
    </row>
    <row r="7" spans="4:9" ht="15.75" thickBot="1" x14ac:dyDescent="0.3">
      <c r="D7" s="524">
        <v>15</v>
      </c>
      <c r="E7" s="525">
        <v>19988</v>
      </c>
      <c r="F7" s="522">
        <v>164410.85999999999</v>
      </c>
      <c r="G7" s="522">
        <v>42919</v>
      </c>
      <c r="H7" s="523">
        <v>88876.95</v>
      </c>
      <c r="I7" s="534">
        <v>44588.24</v>
      </c>
    </row>
  </sheetData>
  <mergeCells count="4">
    <mergeCell ref="F3:F4"/>
    <mergeCell ref="H3:H4"/>
    <mergeCell ref="I3:I4"/>
    <mergeCell ref="D2:I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20"/>
  <sheetViews>
    <sheetView showGridLines="0" topLeftCell="C1" zoomScaleNormal="100" workbookViewId="0">
      <selection activeCell="E19" sqref="E19"/>
    </sheetView>
  </sheetViews>
  <sheetFormatPr defaultColWidth="11.42578125" defaultRowHeight="12" x14ac:dyDescent="0.2"/>
  <cols>
    <col min="1" max="2" width="11.42578125" style="47"/>
    <col min="3" max="3" width="31.7109375" style="47" customWidth="1"/>
    <col min="4" max="4" width="14.140625" style="47" bestFit="1" customWidth="1"/>
    <col min="5" max="16384" width="11.42578125" style="47"/>
  </cols>
  <sheetData>
    <row r="3" spans="3:4" ht="12.75" thickBot="1" x14ac:dyDescent="0.25"/>
    <row r="4" spans="3:4" ht="30" customHeight="1" thickBot="1" x14ac:dyDescent="0.25">
      <c r="C4" s="541" t="s">
        <v>355</v>
      </c>
      <c r="D4" s="542"/>
    </row>
    <row r="5" spans="3:4" ht="12.75" thickBot="1" x14ac:dyDescent="0.25">
      <c r="C5" s="180" t="s">
        <v>356</v>
      </c>
      <c r="D5" s="181">
        <v>120326</v>
      </c>
    </row>
    <row r="6" spans="3:4" ht="12.75" thickBot="1" x14ac:dyDescent="0.25">
      <c r="C6" s="182" t="s">
        <v>357</v>
      </c>
      <c r="D6" s="183">
        <v>67590</v>
      </c>
    </row>
    <row r="7" spans="3:4" ht="12.75" thickBot="1" x14ac:dyDescent="0.25">
      <c r="C7" s="180" t="s">
        <v>358</v>
      </c>
      <c r="D7" s="181">
        <v>68934</v>
      </c>
    </row>
    <row r="8" spans="3:4" ht="12.75" thickBot="1" x14ac:dyDescent="0.25">
      <c r="C8" s="182" t="s">
        <v>359</v>
      </c>
      <c r="D8" s="183">
        <v>42487</v>
      </c>
    </row>
    <row r="9" spans="3:4" ht="12.75" thickBot="1" x14ac:dyDescent="0.25">
      <c r="C9" s="180" t="s">
        <v>360</v>
      </c>
      <c r="D9" s="184">
        <f>+AVERAGE(D7:D8)</f>
        <v>55710.5</v>
      </c>
    </row>
    <row r="10" spans="3:4" ht="12.75" thickBot="1" x14ac:dyDescent="0.25">
      <c r="C10" s="182" t="s">
        <v>361</v>
      </c>
      <c r="D10" s="185">
        <v>0.98</v>
      </c>
    </row>
    <row r="11" spans="3:4" ht="12.75" thickBot="1" x14ac:dyDescent="0.25">
      <c r="C11" s="180" t="s">
        <v>362</v>
      </c>
      <c r="D11" s="181">
        <f>+D9*D10</f>
        <v>54596.29</v>
      </c>
    </row>
    <row r="12" spans="3:4" ht="12.75" thickBot="1" x14ac:dyDescent="0.25">
      <c r="C12" s="182" t="s">
        <v>363</v>
      </c>
      <c r="D12" s="185">
        <v>0.55000000000000004</v>
      </c>
    </row>
    <row r="13" spans="3:4" ht="12.75" thickBot="1" x14ac:dyDescent="0.25">
      <c r="C13" s="180" t="s">
        <v>364</v>
      </c>
      <c r="D13" s="186">
        <v>0.15</v>
      </c>
    </row>
    <row r="14" spans="3:4" ht="12.75" thickBot="1" x14ac:dyDescent="0.25">
      <c r="C14" s="182" t="s">
        <v>365</v>
      </c>
      <c r="D14" s="183">
        <f>+D11*D12+D11*D13</f>
        <v>38217.403000000006</v>
      </c>
    </row>
    <row r="15" spans="3:4" ht="12.75" thickBot="1" x14ac:dyDescent="0.25">
      <c r="C15" s="180" t="s">
        <v>366</v>
      </c>
      <c r="D15" s="186">
        <v>0.35</v>
      </c>
    </row>
    <row r="16" spans="3:4" ht="12.75" thickBot="1" x14ac:dyDescent="0.25">
      <c r="C16" s="182" t="s">
        <v>367</v>
      </c>
      <c r="D16" s="183">
        <f>+D14*D15</f>
        <v>13376.091050000001</v>
      </c>
    </row>
    <row r="17" spans="3:4" ht="12.75" thickBot="1" x14ac:dyDescent="0.25">
      <c r="C17" s="180" t="s">
        <v>368</v>
      </c>
      <c r="D17" s="186">
        <v>0.8</v>
      </c>
    </row>
    <row r="18" spans="3:4" ht="12.75" thickBot="1" x14ac:dyDescent="0.25">
      <c r="C18" s="182" t="s">
        <v>369</v>
      </c>
      <c r="D18" s="183">
        <f>+D16*D17</f>
        <v>10700.872840000002</v>
      </c>
    </row>
    <row r="19" spans="3:4" ht="12.75" thickBot="1" x14ac:dyDescent="0.25">
      <c r="C19" s="180" t="s">
        <v>370</v>
      </c>
      <c r="D19" s="187">
        <f>+D18/12</f>
        <v>891.73940333333348</v>
      </c>
    </row>
    <row r="20" spans="3:4" ht="12.75" thickBot="1" x14ac:dyDescent="0.25">
      <c r="C20" s="182" t="s">
        <v>371</v>
      </c>
      <c r="D20" s="188">
        <f>+D19/30</f>
        <v>29.724646777777782</v>
      </c>
    </row>
  </sheetData>
  <mergeCells count="1">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zoomScaleNormal="100" workbookViewId="0">
      <selection activeCell="C21" sqref="C21"/>
    </sheetView>
  </sheetViews>
  <sheetFormatPr defaultColWidth="11.42578125" defaultRowHeight="12" x14ac:dyDescent="0.2"/>
  <cols>
    <col min="1" max="1" width="11.42578125" style="47"/>
    <col min="2" max="2" width="22.5703125" style="47" customWidth="1"/>
    <col min="3" max="3" width="13.5703125" style="47" customWidth="1"/>
    <col min="4" max="6" width="11.42578125" style="47"/>
    <col min="7" max="7" width="17.28515625" style="47" customWidth="1"/>
    <col min="8" max="16384" width="11.42578125" style="47"/>
  </cols>
  <sheetData>
    <row r="2" spans="2:9" x14ac:dyDescent="0.2">
      <c r="B2" s="546" t="s">
        <v>10</v>
      </c>
      <c r="C2" s="546"/>
      <c r="D2" s="546"/>
      <c r="E2" s="546"/>
      <c r="F2" s="546"/>
      <c r="G2" s="546"/>
      <c r="H2" s="546"/>
      <c r="I2" s="546"/>
    </row>
    <row r="3" spans="2:9" ht="12.75" thickBot="1" x14ac:dyDescent="0.25"/>
    <row r="4" spans="2:9" ht="12.75" thickBot="1" x14ac:dyDescent="0.25">
      <c r="B4" s="504"/>
      <c r="C4" s="504"/>
      <c r="D4" s="543" t="s">
        <v>564</v>
      </c>
      <c r="E4" s="544"/>
      <c r="F4" s="543" t="s">
        <v>565</v>
      </c>
      <c r="G4" s="544"/>
      <c r="H4" s="543" t="s">
        <v>566</v>
      </c>
      <c r="I4" s="545"/>
    </row>
    <row r="5" spans="2:9" ht="12.75" thickBot="1" x14ac:dyDescent="0.25">
      <c r="B5" s="1" t="s">
        <v>0</v>
      </c>
      <c r="C5" s="2" t="s">
        <v>1</v>
      </c>
      <c r="D5" s="2" t="s">
        <v>2</v>
      </c>
      <c r="E5" s="2" t="s">
        <v>3</v>
      </c>
      <c r="F5" s="2" t="s">
        <v>2</v>
      </c>
      <c r="G5" s="2" t="s">
        <v>3</v>
      </c>
      <c r="H5" s="2" t="s">
        <v>2</v>
      </c>
      <c r="I5" s="2" t="s">
        <v>3</v>
      </c>
    </row>
    <row r="6" spans="2:9" ht="12.75" thickBot="1" x14ac:dyDescent="0.25">
      <c r="B6" s="3" t="s">
        <v>4</v>
      </c>
      <c r="C6" s="4">
        <v>0.1</v>
      </c>
      <c r="D6" s="5">
        <v>5</v>
      </c>
      <c r="E6" s="5">
        <f t="shared" ref="E6:E11" si="0">+C6*D6</f>
        <v>0.5</v>
      </c>
      <c r="F6" s="5">
        <v>5</v>
      </c>
      <c r="G6" s="6">
        <f t="shared" ref="G6:G11" si="1">+C6*F6</f>
        <v>0.5</v>
      </c>
      <c r="H6" s="5">
        <v>5</v>
      </c>
      <c r="I6" s="5">
        <f t="shared" ref="I6:I11" si="2">+H6*C6</f>
        <v>0.5</v>
      </c>
    </row>
    <row r="7" spans="2:9" ht="12.75" thickBot="1" x14ac:dyDescent="0.25">
      <c r="B7" s="3" t="s">
        <v>5</v>
      </c>
      <c r="C7" s="4">
        <v>0.05</v>
      </c>
      <c r="D7" s="5">
        <v>3</v>
      </c>
      <c r="E7" s="5">
        <f t="shared" si="0"/>
        <v>0.15000000000000002</v>
      </c>
      <c r="F7" s="5">
        <v>5</v>
      </c>
      <c r="G7" s="6">
        <f t="shared" si="1"/>
        <v>0.25</v>
      </c>
      <c r="H7" s="5">
        <v>3</v>
      </c>
      <c r="I7" s="5">
        <f t="shared" si="2"/>
        <v>0.15000000000000002</v>
      </c>
    </row>
    <row r="8" spans="2:9" ht="12.75" thickBot="1" x14ac:dyDescent="0.25">
      <c r="B8" s="3" t="s">
        <v>6</v>
      </c>
      <c r="C8" s="4">
        <v>0.1</v>
      </c>
      <c r="D8" s="5">
        <v>5</v>
      </c>
      <c r="E8" s="5">
        <f t="shared" si="0"/>
        <v>0.5</v>
      </c>
      <c r="F8" s="5">
        <v>7</v>
      </c>
      <c r="G8" s="6">
        <f t="shared" si="1"/>
        <v>0.70000000000000007</v>
      </c>
      <c r="H8" s="5">
        <v>4</v>
      </c>
      <c r="I8" s="5">
        <f t="shared" si="2"/>
        <v>0.4</v>
      </c>
    </row>
    <row r="9" spans="2:9" ht="12.75" thickBot="1" x14ac:dyDescent="0.25">
      <c r="B9" s="3" t="s">
        <v>7</v>
      </c>
      <c r="C9" s="4">
        <v>0.35</v>
      </c>
      <c r="D9" s="5">
        <v>8</v>
      </c>
      <c r="E9" s="5">
        <f t="shared" si="0"/>
        <v>2.8</v>
      </c>
      <c r="F9" s="5">
        <v>10</v>
      </c>
      <c r="G9" s="6">
        <f t="shared" si="1"/>
        <v>3.5</v>
      </c>
      <c r="H9" s="5">
        <v>7</v>
      </c>
      <c r="I9" s="5">
        <f t="shared" si="2"/>
        <v>2.4499999999999997</v>
      </c>
    </row>
    <row r="10" spans="2:9" ht="12.75" thickBot="1" x14ac:dyDescent="0.25">
      <c r="B10" s="3" t="s">
        <v>8</v>
      </c>
      <c r="C10" s="4">
        <v>0.05</v>
      </c>
      <c r="D10" s="5">
        <v>3</v>
      </c>
      <c r="E10" s="5">
        <f t="shared" si="0"/>
        <v>0.15000000000000002</v>
      </c>
      <c r="F10" s="5">
        <v>8</v>
      </c>
      <c r="G10" s="6">
        <f t="shared" si="1"/>
        <v>0.4</v>
      </c>
      <c r="H10" s="5">
        <v>5</v>
      </c>
      <c r="I10" s="5">
        <f t="shared" si="2"/>
        <v>0.25</v>
      </c>
    </row>
    <row r="11" spans="2:9" ht="12.75" thickBot="1" x14ac:dyDescent="0.25">
      <c r="B11" s="3" t="s">
        <v>9</v>
      </c>
      <c r="C11" s="4">
        <v>0.35</v>
      </c>
      <c r="D11" s="5">
        <v>8</v>
      </c>
      <c r="E11" s="5">
        <f t="shared" si="0"/>
        <v>2.8</v>
      </c>
      <c r="F11" s="5">
        <v>10</v>
      </c>
      <c r="G11" s="6">
        <f t="shared" si="1"/>
        <v>3.5</v>
      </c>
      <c r="H11" s="5">
        <v>7</v>
      </c>
      <c r="I11" s="5">
        <f t="shared" si="2"/>
        <v>2.4499999999999997</v>
      </c>
    </row>
    <row r="12" spans="2:9" ht="12.75" thickBot="1" x14ac:dyDescent="0.25">
      <c r="B12" s="63"/>
      <c r="C12" s="7">
        <f>SUM(C6:C11)</f>
        <v>1</v>
      </c>
      <c r="D12" s="64"/>
      <c r="E12" s="8">
        <f>SUM(E6:E11)</f>
        <v>6.8999999999999995</v>
      </c>
      <c r="F12" s="64"/>
      <c r="G12" s="9">
        <f>SUM(G6:G11)</f>
        <v>8.8500000000000014</v>
      </c>
      <c r="H12" s="64"/>
      <c r="I12" s="8">
        <f>SUM(I6:I11)</f>
        <v>6.1999999999999993</v>
      </c>
    </row>
  </sheetData>
  <mergeCells count="4">
    <mergeCell ref="D4:E4"/>
    <mergeCell ref="F4:G4"/>
    <mergeCell ref="H4:I4"/>
    <mergeCell ref="B2:I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Q24"/>
  <sheetViews>
    <sheetView showGridLines="0" zoomScaleNormal="100" workbookViewId="0">
      <selection activeCell="F27" sqref="F27"/>
    </sheetView>
  </sheetViews>
  <sheetFormatPr defaultColWidth="11.42578125" defaultRowHeight="12" x14ac:dyDescent="0.2"/>
  <cols>
    <col min="1" max="1" width="11.42578125" style="47"/>
    <col min="2" max="2" width="5.140625" style="47" customWidth="1"/>
    <col min="3" max="3" width="20.28515625" style="47" customWidth="1"/>
    <col min="4" max="4" width="14.5703125" style="47" customWidth="1"/>
    <col min="5" max="5" width="12.42578125" style="47" customWidth="1"/>
    <col min="6" max="6" width="14.42578125" style="47" customWidth="1"/>
    <col min="7" max="7" width="14.28515625" style="47" customWidth="1"/>
    <col min="8" max="8" width="13.5703125" style="47" customWidth="1"/>
    <col min="9" max="9" width="15.7109375" style="47" customWidth="1"/>
    <col min="10" max="10" width="14.28515625" style="47" customWidth="1"/>
    <col min="11" max="11" width="14.7109375" style="47" customWidth="1"/>
    <col min="12" max="12" width="11.7109375" style="47" bestFit="1" customWidth="1"/>
    <col min="13" max="13" width="11.7109375" style="47" customWidth="1"/>
    <col min="14" max="14" width="10.85546875" style="47" customWidth="1"/>
    <col min="15" max="15" width="14.85546875" style="47" customWidth="1"/>
    <col min="16" max="16" width="12.5703125" style="47" bestFit="1" customWidth="1"/>
    <col min="17" max="16384" width="11.42578125" style="47"/>
  </cols>
  <sheetData>
    <row r="2" spans="3:17" x14ac:dyDescent="0.2">
      <c r="C2" s="546" t="s">
        <v>123</v>
      </c>
      <c r="D2" s="546"/>
      <c r="E2" s="546"/>
      <c r="F2" s="546"/>
      <c r="G2" s="546"/>
      <c r="H2" s="546"/>
      <c r="I2" s="546"/>
      <c r="J2" s="546"/>
      <c r="K2" s="546"/>
      <c r="L2" s="546"/>
      <c r="M2" s="546"/>
      <c r="N2" s="546"/>
      <c r="O2" s="546"/>
      <c r="P2" s="546"/>
    </row>
    <row r="3" spans="3:17" ht="12.75" thickBot="1" x14ac:dyDescent="0.25"/>
    <row r="4" spans="3:17" x14ac:dyDescent="0.2">
      <c r="C4" s="556" t="s">
        <v>18</v>
      </c>
      <c r="D4" s="547" t="s">
        <v>26</v>
      </c>
      <c r="E4" s="548"/>
      <c r="F4" s="548"/>
      <c r="G4" s="548"/>
      <c r="H4" s="548"/>
      <c r="I4" s="548"/>
      <c r="J4" s="549"/>
      <c r="K4" s="222"/>
      <c r="L4" s="553" t="s">
        <v>19</v>
      </c>
      <c r="M4" s="553" t="s">
        <v>19</v>
      </c>
      <c r="N4" s="553" t="s">
        <v>20</v>
      </c>
      <c r="O4" s="553" t="s">
        <v>21</v>
      </c>
      <c r="P4" s="559" t="s">
        <v>22</v>
      </c>
      <c r="Q4" s="553" t="s">
        <v>17</v>
      </c>
    </row>
    <row r="5" spans="3:17" x14ac:dyDescent="0.2">
      <c r="C5" s="557"/>
      <c r="D5" s="550" t="s">
        <v>27</v>
      </c>
      <c r="E5" s="562" t="s">
        <v>17</v>
      </c>
      <c r="F5" s="562" t="s">
        <v>23</v>
      </c>
      <c r="G5" s="562" t="s">
        <v>24</v>
      </c>
      <c r="H5" s="550" t="s">
        <v>28</v>
      </c>
      <c r="I5" s="562" t="s">
        <v>25</v>
      </c>
      <c r="J5" s="550" t="s">
        <v>29</v>
      </c>
      <c r="K5" s="550" t="s">
        <v>30</v>
      </c>
      <c r="L5" s="554"/>
      <c r="M5" s="554"/>
      <c r="N5" s="554"/>
      <c r="O5" s="554"/>
      <c r="P5" s="560"/>
      <c r="Q5" s="554"/>
    </row>
    <row r="6" spans="3:17" ht="12.75" thickBot="1" x14ac:dyDescent="0.25">
      <c r="C6" s="558"/>
      <c r="D6" s="551"/>
      <c r="E6" s="563"/>
      <c r="F6" s="563"/>
      <c r="G6" s="563"/>
      <c r="H6" s="551"/>
      <c r="I6" s="563"/>
      <c r="J6" s="551"/>
      <c r="K6" s="551"/>
      <c r="L6" s="14">
        <v>9.35E-2</v>
      </c>
      <c r="M6" s="14">
        <v>0.1115</v>
      </c>
      <c r="N6" s="555"/>
      <c r="O6" s="555"/>
      <c r="P6" s="561"/>
      <c r="Q6" s="555"/>
    </row>
    <row r="7" spans="3:17" x14ac:dyDescent="0.2">
      <c r="C7" s="10" t="s">
        <v>11</v>
      </c>
      <c r="D7" s="66">
        <f t="shared" ref="D7:D11" si="0">+E7-L7</f>
        <v>264.69799999999998</v>
      </c>
      <c r="E7" s="67">
        <v>292</v>
      </c>
      <c r="F7" s="67">
        <f>+E7*8.33%*12</f>
        <v>291.88319999999999</v>
      </c>
      <c r="G7" s="67">
        <f>+D7*12*8.33%</f>
        <v>264.59212079999998</v>
      </c>
      <c r="H7" s="67">
        <f>+E7*4.167%*12</f>
        <v>146.01168000000001</v>
      </c>
      <c r="I7" s="68">
        <f t="shared" ref="I7:I11" si="1">F7</f>
        <v>291.88319999999999</v>
      </c>
      <c r="J7" s="67">
        <f>0.5%*E7*12</f>
        <v>17.52</v>
      </c>
      <c r="K7" s="68">
        <f>0.5%*E7*12</f>
        <v>17.52</v>
      </c>
      <c r="L7" s="68">
        <f>E7*$L$6</f>
        <v>27.302</v>
      </c>
      <c r="M7" s="68">
        <f>E7*$M$6</f>
        <v>32.558</v>
      </c>
      <c r="N7" s="69">
        <v>5</v>
      </c>
      <c r="O7" s="68">
        <f>((E7*12)+SUM(F7:K7)+(L7*12+M7*12))*N7</f>
        <v>26258.651003999999</v>
      </c>
      <c r="P7" s="70">
        <f>E7*N7*12</f>
        <v>17520</v>
      </c>
      <c r="Q7" s="74">
        <f>+O7/12</f>
        <v>2188.2209170000001</v>
      </c>
    </row>
    <row r="8" spans="3:17" x14ac:dyDescent="0.2">
      <c r="C8" s="11" t="s">
        <v>12</v>
      </c>
      <c r="D8" s="66">
        <f t="shared" si="0"/>
        <v>281.01499999999999</v>
      </c>
      <c r="E8" s="71">
        <v>310</v>
      </c>
      <c r="F8" s="71">
        <f t="shared" ref="F8:F11" si="2">+E8*8.33%*12</f>
        <v>309.87599999999998</v>
      </c>
      <c r="G8" s="71">
        <f>+$D$7*12*8.33%</f>
        <v>264.59212079999998</v>
      </c>
      <c r="H8" s="71">
        <f t="shared" ref="H8:H11" si="3">+E8*4.167%*12</f>
        <v>155.01240000000001</v>
      </c>
      <c r="I8" s="72">
        <f t="shared" si="1"/>
        <v>309.87599999999998</v>
      </c>
      <c r="J8" s="71">
        <f t="shared" ref="J8:J11" si="4">0.5%*E8*12</f>
        <v>18.600000000000001</v>
      </c>
      <c r="K8" s="72">
        <f t="shared" ref="K8:K11" si="5">0.5%*E8*12</f>
        <v>18.600000000000001</v>
      </c>
      <c r="L8" s="72">
        <f>E8*$L$6</f>
        <v>28.984999999999999</v>
      </c>
      <c r="M8" s="72">
        <f t="shared" ref="M8:M11" si="6">E8*$M$6</f>
        <v>34.564999999999998</v>
      </c>
      <c r="N8" s="73">
        <v>1</v>
      </c>
      <c r="O8" s="72">
        <f t="shared" ref="O8:O11" si="7">((E8*12)+SUM(F8:K8)+(L8*12+M8*12))*N8</f>
        <v>5559.1565207999993</v>
      </c>
      <c r="P8" s="74">
        <f t="shared" ref="P8:P11" si="8">E8*N8*12</f>
        <v>3720</v>
      </c>
      <c r="Q8" s="74">
        <f t="shared" ref="Q8:Q11" si="9">+O8/12</f>
        <v>463.26304339999996</v>
      </c>
    </row>
    <row r="9" spans="3:17" x14ac:dyDescent="0.2">
      <c r="C9" s="11" t="s">
        <v>13</v>
      </c>
      <c r="D9" s="66">
        <f t="shared" si="0"/>
        <v>264.69799999999998</v>
      </c>
      <c r="E9" s="71">
        <v>292</v>
      </c>
      <c r="F9" s="71">
        <f t="shared" si="2"/>
        <v>291.88319999999999</v>
      </c>
      <c r="G9" s="71">
        <f t="shared" ref="G9:G11" si="10">+$D$7*12*8.33%</f>
        <v>264.59212079999998</v>
      </c>
      <c r="H9" s="71">
        <f t="shared" si="3"/>
        <v>146.01168000000001</v>
      </c>
      <c r="I9" s="72">
        <f t="shared" si="1"/>
        <v>291.88319999999999</v>
      </c>
      <c r="J9" s="71">
        <f t="shared" si="4"/>
        <v>17.52</v>
      </c>
      <c r="K9" s="72">
        <f t="shared" si="5"/>
        <v>17.52</v>
      </c>
      <c r="L9" s="72">
        <f t="shared" ref="L9:L11" si="11">E9*$L$6</f>
        <v>27.302</v>
      </c>
      <c r="M9" s="72">
        <f t="shared" si="6"/>
        <v>32.558</v>
      </c>
      <c r="N9" s="73">
        <v>1</v>
      </c>
      <c r="O9" s="72">
        <f t="shared" si="7"/>
        <v>5251.7302007999997</v>
      </c>
      <c r="P9" s="74">
        <f t="shared" si="8"/>
        <v>3504</v>
      </c>
      <c r="Q9" s="74">
        <f t="shared" si="9"/>
        <v>437.64418339999997</v>
      </c>
    </row>
    <row r="10" spans="3:17" x14ac:dyDescent="0.2">
      <c r="C10" s="11" t="s">
        <v>14</v>
      </c>
      <c r="D10" s="66">
        <f t="shared" si="0"/>
        <v>543.9</v>
      </c>
      <c r="E10" s="71">
        <v>600</v>
      </c>
      <c r="F10" s="71">
        <f t="shared" si="2"/>
        <v>599.76</v>
      </c>
      <c r="G10" s="71">
        <f t="shared" si="10"/>
        <v>264.59212079999998</v>
      </c>
      <c r="H10" s="71">
        <f t="shared" si="3"/>
        <v>300.024</v>
      </c>
      <c r="I10" s="72">
        <f t="shared" si="1"/>
        <v>599.76</v>
      </c>
      <c r="J10" s="71">
        <f t="shared" si="4"/>
        <v>36</v>
      </c>
      <c r="K10" s="72">
        <f t="shared" si="5"/>
        <v>36</v>
      </c>
      <c r="L10" s="72">
        <f t="shared" si="11"/>
        <v>56.1</v>
      </c>
      <c r="M10" s="72">
        <f t="shared" si="6"/>
        <v>66.900000000000006</v>
      </c>
      <c r="N10" s="73">
        <v>1</v>
      </c>
      <c r="O10" s="72">
        <f t="shared" si="7"/>
        <v>10512.1361208</v>
      </c>
      <c r="P10" s="74">
        <f t="shared" si="8"/>
        <v>7200</v>
      </c>
      <c r="Q10" s="74">
        <f t="shared" si="9"/>
        <v>876.01134339999999</v>
      </c>
    </row>
    <row r="11" spans="3:17" ht="12.75" thickBot="1" x14ac:dyDescent="0.25">
      <c r="C11" s="12" t="s">
        <v>15</v>
      </c>
      <c r="D11" s="66">
        <f t="shared" si="0"/>
        <v>362.6</v>
      </c>
      <c r="E11" s="75">
        <v>400</v>
      </c>
      <c r="F11" s="75">
        <f t="shared" si="2"/>
        <v>399.84000000000003</v>
      </c>
      <c r="G11" s="71">
        <f t="shared" si="10"/>
        <v>264.59212079999998</v>
      </c>
      <c r="H11" s="75">
        <f t="shared" si="3"/>
        <v>200.01599999999999</v>
      </c>
      <c r="I11" s="76">
        <f t="shared" si="1"/>
        <v>399.84000000000003</v>
      </c>
      <c r="J11" s="75">
        <f t="shared" si="4"/>
        <v>24</v>
      </c>
      <c r="K11" s="76">
        <f t="shared" si="5"/>
        <v>24</v>
      </c>
      <c r="L11" s="72">
        <f t="shared" si="11"/>
        <v>37.4</v>
      </c>
      <c r="M11" s="76">
        <f t="shared" si="6"/>
        <v>44.6</v>
      </c>
      <c r="N11" s="77">
        <v>1</v>
      </c>
      <c r="O11" s="72">
        <f t="shared" si="7"/>
        <v>7096.2881207999999</v>
      </c>
      <c r="P11" s="74">
        <f t="shared" si="8"/>
        <v>4800</v>
      </c>
      <c r="Q11" s="74">
        <f t="shared" si="9"/>
        <v>591.35734339999999</v>
      </c>
    </row>
    <row r="12" spans="3:17" ht="12.75" thickBot="1" x14ac:dyDescent="0.25">
      <c r="C12" s="13" t="s">
        <v>16</v>
      </c>
      <c r="D12" s="15">
        <f>SUM(D7:D11)</f>
        <v>1716.9110000000001</v>
      </c>
      <c r="E12" s="15">
        <f t="shared" ref="E12:Q12" si="12">SUM(E7:E11)</f>
        <v>1894</v>
      </c>
      <c r="F12" s="15">
        <f t="shared" si="12"/>
        <v>1893.2424000000001</v>
      </c>
      <c r="G12" s="15">
        <f t="shared" si="12"/>
        <v>1322.9606039999999</v>
      </c>
      <c r="H12" s="15">
        <f t="shared" si="12"/>
        <v>947.07576000000006</v>
      </c>
      <c r="I12" s="15">
        <f t="shared" si="12"/>
        <v>1893.2424000000001</v>
      </c>
      <c r="J12" s="15">
        <f t="shared" si="12"/>
        <v>113.64</v>
      </c>
      <c r="K12" s="15">
        <f t="shared" si="12"/>
        <v>113.64</v>
      </c>
      <c r="L12" s="15">
        <f t="shared" si="12"/>
        <v>177.089</v>
      </c>
      <c r="M12" s="15">
        <f t="shared" si="12"/>
        <v>211.18099999999998</v>
      </c>
      <c r="N12" s="15">
        <f t="shared" si="12"/>
        <v>9</v>
      </c>
      <c r="O12" s="15">
        <f t="shared" si="12"/>
        <v>54677.961967199997</v>
      </c>
      <c r="P12" s="15">
        <f t="shared" si="12"/>
        <v>36744</v>
      </c>
      <c r="Q12" s="15">
        <f t="shared" si="12"/>
        <v>4556.4968305999992</v>
      </c>
    </row>
    <row r="16" spans="3:17" x14ac:dyDescent="0.2">
      <c r="C16" s="546" t="s">
        <v>133</v>
      </c>
      <c r="D16" s="546"/>
      <c r="E16" s="546"/>
      <c r="F16" s="546"/>
      <c r="G16" s="546"/>
      <c r="H16" s="546"/>
      <c r="I16" s="546"/>
      <c r="J16" s="546"/>
      <c r="K16" s="546"/>
    </row>
    <row r="18" spans="3:10" ht="16.5" customHeight="1" x14ac:dyDescent="0.2">
      <c r="C18" s="223" t="s">
        <v>129</v>
      </c>
      <c r="D18" s="223" t="s">
        <v>130</v>
      </c>
      <c r="E18" s="223" t="s">
        <v>131</v>
      </c>
      <c r="F18" s="223" t="s">
        <v>47</v>
      </c>
      <c r="G18" s="223" t="s">
        <v>48</v>
      </c>
      <c r="H18" s="223" t="s">
        <v>49</v>
      </c>
      <c r="I18" s="223" t="s">
        <v>50</v>
      </c>
      <c r="J18" s="223" t="s">
        <v>51</v>
      </c>
    </row>
    <row r="19" spans="3:10" x14ac:dyDescent="0.2">
      <c r="C19" s="441" t="s">
        <v>11</v>
      </c>
      <c r="D19" s="217">
        <v>5</v>
      </c>
      <c r="E19" s="218">
        <f>+E7</f>
        <v>292</v>
      </c>
      <c r="F19" s="218">
        <f>+O7</f>
        <v>26258.651003999999</v>
      </c>
      <c r="G19" s="218">
        <f>+(F19)*(1+10%)</f>
        <v>28884.516104400001</v>
      </c>
      <c r="H19" s="218">
        <f t="shared" ref="H19:J19" si="13">+(G19)*(1+10%)</f>
        <v>31772.967714840004</v>
      </c>
      <c r="I19" s="218">
        <f t="shared" si="13"/>
        <v>34950.264486324006</v>
      </c>
      <c r="J19" s="218">
        <f t="shared" si="13"/>
        <v>38445.290934956407</v>
      </c>
    </row>
    <row r="20" spans="3:10" x14ac:dyDescent="0.2">
      <c r="C20" s="441" t="s">
        <v>132</v>
      </c>
      <c r="D20" s="217">
        <v>1</v>
      </c>
      <c r="E20" s="218">
        <f t="shared" ref="E20:E23" si="14">+E8</f>
        <v>310</v>
      </c>
      <c r="F20" s="218">
        <f>+O8</f>
        <v>5559.1565207999993</v>
      </c>
      <c r="G20" s="218">
        <f t="shared" ref="G20:J20" si="15">+(F20)*(1+10%)</f>
        <v>6115.0721728799999</v>
      </c>
      <c r="H20" s="218">
        <f t="shared" si="15"/>
        <v>6726.5793901680008</v>
      </c>
      <c r="I20" s="218">
        <f t="shared" si="15"/>
        <v>7399.2373291848016</v>
      </c>
      <c r="J20" s="218">
        <f t="shared" si="15"/>
        <v>8139.1610621032823</v>
      </c>
    </row>
    <row r="21" spans="3:10" x14ac:dyDescent="0.2">
      <c r="C21" s="441" t="s">
        <v>13</v>
      </c>
      <c r="D21" s="217">
        <v>1</v>
      </c>
      <c r="E21" s="218">
        <f t="shared" si="14"/>
        <v>292</v>
      </c>
      <c r="F21" s="218">
        <f t="shared" ref="F21:F23" si="16">+O9</f>
        <v>5251.7302007999997</v>
      </c>
      <c r="G21" s="218">
        <f t="shared" ref="G21:J21" si="17">+(F21)*(1+10%)</f>
        <v>5776.9032208799999</v>
      </c>
      <c r="H21" s="218">
        <f t="shared" si="17"/>
        <v>6354.5935429680003</v>
      </c>
      <c r="I21" s="218">
        <f t="shared" si="17"/>
        <v>6990.0528972648008</v>
      </c>
      <c r="J21" s="218">
        <f t="shared" si="17"/>
        <v>7689.0581869912812</v>
      </c>
    </row>
    <row r="22" spans="3:10" x14ac:dyDescent="0.2">
      <c r="C22" s="441" t="s">
        <v>14</v>
      </c>
      <c r="D22" s="217">
        <v>1</v>
      </c>
      <c r="E22" s="218">
        <f t="shared" si="14"/>
        <v>600</v>
      </c>
      <c r="F22" s="218">
        <f t="shared" si="16"/>
        <v>10512.1361208</v>
      </c>
      <c r="G22" s="218">
        <f t="shared" ref="G22:J22" si="18">+(F22)*(1+10%)</f>
        <v>11563.34973288</v>
      </c>
      <c r="H22" s="218">
        <f t="shared" si="18"/>
        <v>12719.684706168002</v>
      </c>
      <c r="I22" s="218">
        <f t="shared" si="18"/>
        <v>13991.653176784803</v>
      </c>
      <c r="J22" s="218">
        <f t="shared" si="18"/>
        <v>15390.818494463285</v>
      </c>
    </row>
    <row r="23" spans="3:10" x14ac:dyDescent="0.2">
      <c r="C23" s="441" t="s">
        <v>15</v>
      </c>
      <c r="D23" s="217">
        <v>1</v>
      </c>
      <c r="E23" s="218">
        <f t="shared" si="14"/>
        <v>400</v>
      </c>
      <c r="F23" s="218">
        <f t="shared" si="16"/>
        <v>7096.2881207999999</v>
      </c>
      <c r="G23" s="218">
        <f t="shared" ref="G23:J23" si="19">+(F23)*(1+10%)</f>
        <v>7805.9169328800008</v>
      </c>
      <c r="H23" s="218">
        <f t="shared" si="19"/>
        <v>8586.5086261680008</v>
      </c>
      <c r="I23" s="218">
        <f t="shared" si="19"/>
        <v>9445.1594887848023</v>
      </c>
      <c r="J23" s="218">
        <f t="shared" si="19"/>
        <v>10389.675437663283</v>
      </c>
    </row>
    <row r="24" spans="3:10" x14ac:dyDescent="0.2">
      <c r="C24" s="552" t="s">
        <v>16</v>
      </c>
      <c r="D24" s="552"/>
      <c r="E24" s="442">
        <f t="shared" ref="E24:J24" si="20">SUM(E19:E23)</f>
        <v>1894</v>
      </c>
      <c r="F24" s="442">
        <f>SUM(F19:F23)</f>
        <v>54677.961967199997</v>
      </c>
      <c r="G24" s="442">
        <f t="shared" si="20"/>
        <v>60145.75816392</v>
      </c>
      <c r="H24" s="442">
        <f>SUM(H19:H23)</f>
        <v>66160.333980312018</v>
      </c>
      <c r="I24" s="442">
        <f t="shared" si="20"/>
        <v>72776.367378343217</v>
      </c>
      <c r="J24" s="442">
        <f t="shared" si="20"/>
        <v>80054.004116177544</v>
      </c>
    </row>
  </sheetData>
  <mergeCells count="20">
    <mergeCell ref="C2:K2"/>
    <mergeCell ref="L2:P2"/>
    <mergeCell ref="M4:M5"/>
    <mergeCell ref="C4:C6"/>
    <mergeCell ref="L4:L5"/>
    <mergeCell ref="N4:N6"/>
    <mergeCell ref="O4:O6"/>
    <mergeCell ref="P4:P6"/>
    <mergeCell ref="E5:E6"/>
    <mergeCell ref="F5:F6"/>
    <mergeCell ref="G5:G6"/>
    <mergeCell ref="I5:I6"/>
    <mergeCell ref="D5:D6"/>
    <mergeCell ref="H5:H6"/>
    <mergeCell ref="J5:J6"/>
    <mergeCell ref="D4:J4"/>
    <mergeCell ref="K5:K6"/>
    <mergeCell ref="C24:D24"/>
    <mergeCell ref="C16:K16"/>
    <mergeCell ref="Q4:Q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5"/>
  <sheetViews>
    <sheetView showGridLines="0" zoomScaleNormal="100" workbookViewId="0">
      <selection activeCell="D20" sqref="D20"/>
    </sheetView>
  </sheetViews>
  <sheetFormatPr defaultColWidth="11.42578125" defaultRowHeight="12" x14ac:dyDescent="0.2"/>
  <cols>
    <col min="1" max="1" width="11.42578125" style="16"/>
    <col min="2" max="2" width="42.5703125" style="16" customWidth="1"/>
    <col min="3" max="4" width="13.7109375" style="16" customWidth="1"/>
    <col min="5" max="5" width="12.7109375" style="16" customWidth="1"/>
    <col min="6" max="6" width="14.85546875" style="16" customWidth="1"/>
    <col min="7" max="16384" width="11.42578125" style="16"/>
  </cols>
  <sheetData>
    <row r="2" spans="2:5" x14ac:dyDescent="0.2">
      <c r="B2" s="567" t="s">
        <v>31</v>
      </c>
      <c r="C2" s="567"/>
      <c r="D2" s="567"/>
    </row>
    <row r="3" spans="2:5" x14ac:dyDescent="0.2">
      <c r="B3" s="230"/>
      <c r="C3" s="230"/>
      <c r="D3" s="230"/>
    </row>
    <row r="4" spans="2:5" x14ac:dyDescent="0.2">
      <c r="B4" s="17" t="s">
        <v>32</v>
      </c>
      <c r="C4" s="18" t="s">
        <v>33</v>
      </c>
      <c r="D4" s="17" t="s">
        <v>34</v>
      </c>
      <c r="E4" s="39"/>
    </row>
    <row r="5" spans="2:5" x14ac:dyDescent="0.2">
      <c r="B5" s="19" t="s">
        <v>35</v>
      </c>
      <c r="C5" s="20">
        <v>65</v>
      </c>
      <c r="D5" s="21">
        <f>+C5*12</f>
        <v>780</v>
      </c>
      <c r="E5" s="428" t="s">
        <v>124</v>
      </c>
    </row>
    <row r="6" spans="2:5" x14ac:dyDescent="0.2">
      <c r="B6" s="19" t="s">
        <v>36</v>
      </c>
      <c r="C6" s="20">
        <v>150</v>
      </c>
      <c r="D6" s="21">
        <f>+C6*12</f>
        <v>1800</v>
      </c>
      <c r="E6" s="428" t="s">
        <v>124</v>
      </c>
    </row>
    <row r="7" spans="2:5" x14ac:dyDescent="0.2">
      <c r="B7" s="22" t="s">
        <v>37</v>
      </c>
      <c r="C7" s="23">
        <v>80</v>
      </c>
      <c r="D7" s="21">
        <f>+C7*12</f>
        <v>960</v>
      </c>
      <c r="E7" s="428" t="s">
        <v>124</v>
      </c>
    </row>
    <row r="8" spans="2:5" x14ac:dyDescent="0.2">
      <c r="B8" s="24" t="s">
        <v>38</v>
      </c>
      <c r="C8" s="25">
        <f>SUM(C5:C7)</f>
        <v>295</v>
      </c>
      <c r="D8" s="25">
        <f>SUM(D5:D7)</f>
        <v>3540</v>
      </c>
      <c r="E8" s="39"/>
    </row>
    <row r="9" spans="2:5" x14ac:dyDescent="0.2">
      <c r="E9" s="39"/>
    </row>
    <row r="10" spans="2:5" x14ac:dyDescent="0.2">
      <c r="B10" s="567" t="s">
        <v>39</v>
      </c>
      <c r="C10" s="567"/>
      <c r="D10" s="567"/>
      <c r="E10" s="39"/>
    </row>
    <row r="11" spans="2:5" x14ac:dyDescent="0.2">
      <c r="B11" s="230"/>
      <c r="C11" s="230"/>
      <c r="D11" s="230"/>
      <c r="E11" s="39"/>
    </row>
    <row r="12" spans="2:5" x14ac:dyDescent="0.2">
      <c r="B12" s="17" t="s">
        <v>32</v>
      </c>
      <c r="C12" s="18" t="s">
        <v>33</v>
      </c>
      <c r="D12" s="17" t="s">
        <v>34</v>
      </c>
      <c r="E12" s="428"/>
    </row>
    <row r="13" spans="2:5" x14ac:dyDescent="0.2">
      <c r="B13" s="26" t="s">
        <v>40</v>
      </c>
      <c r="C13" s="20">
        <v>100</v>
      </c>
      <c r="D13" s="27">
        <f t="shared" ref="D13:D18" si="0">+C13*12</f>
        <v>1200</v>
      </c>
      <c r="E13" s="428" t="s">
        <v>124</v>
      </c>
    </row>
    <row r="14" spans="2:5" x14ac:dyDescent="0.2">
      <c r="B14" s="22" t="s">
        <v>567</v>
      </c>
      <c r="C14" s="27">
        <v>50</v>
      </c>
      <c r="D14" s="27">
        <f>+C14*12</f>
        <v>600</v>
      </c>
      <c r="E14" s="428" t="s">
        <v>124</v>
      </c>
    </row>
    <row r="15" spans="2:5" s="39" customFormat="1" x14ac:dyDescent="0.2">
      <c r="B15" s="19" t="s">
        <v>41</v>
      </c>
      <c r="C15" s="20">
        <v>55</v>
      </c>
      <c r="D15" s="27">
        <f t="shared" si="0"/>
        <v>660</v>
      </c>
      <c r="E15" s="428" t="s">
        <v>124</v>
      </c>
    </row>
    <row r="16" spans="2:5" s="39" customFormat="1" x14ac:dyDescent="0.2">
      <c r="B16" s="19" t="s">
        <v>77</v>
      </c>
      <c r="C16" s="20">
        <f>+E53</f>
        <v>29.9</v>
      </c>
      <c r="D16" s="20">
        <f>+F53</f>
        <v>358.8</v>
      </c>
      <c r="E16" s="428"/>
    </row>
    <row r="17" spans="2:9" x14ac:dyDescent="0.2">
      <c r="B17" s="22" t="s">
        <v>42</v>
      </c>
      <c r="C17" s="20">
        <f>+E72</f>
        <v>232.1</v>
      </c>
      <c r="D17" s="27">
        <f t="shared" si="0"/>
        <v>2785.2</v>
      </c>
      <c r="E17" s="428"/>
    </row>
    <row r="18" spans="2:9" x14ac:dyDescent="0.2">
      <c r="B18" s="22" t="s">
        <v>43</v>
      </c>
      <c r="C18" s="20">
        <f>0.05*(C8+SUM(C13:C17))</f>
        <v>38.1</v>
      </c>
      <c r="D18" s="27">
        <f t="shared" si="0"/>
        <v>457.20000000000005</v>
      </c>
      <c r="E18" s="428"/>
    </row>
    <row r="19" spans="2:9" x14ac:dyDescent="0.2">
      <c r="B19" s="22" t="s">
        <v>372</v>
      </c>
      <c r="C19" s="27"/>
      <c r="D19" s="27">
        <v>200</v>
      </c>
      <c r="E19" s="428" t="s">
        <v>124</v>
      </c>
    </row>
    <row r="20" spans="2:9" x14ac:dyDescent="0.2">
      <c r="B20" s="226" t="s">
        <v>45</v>
      </c>
      <c r="C20" s="28">
        <f>SUM(C13:C19)</f>
        <v>505.1</v>
      </c>
      <c r="D20" s="28">
        <f>SUM(D13:D19)</f>
        <v>6261.2</v>
      </c>
      <c r="E20" s="49"/>
    </row>
    <row r="21" spans="2:9" x14ac:dyDescent="0.2">
      <c r="E21" s="49"/>
    </row>
    <row r="22" spans="2:9" x14ac:dyDescent="0.2">
      <c r="B22" s="567" t="s">
        <v>46</v>
      </c>
      <c r="C22" s="567"/>
      <c r="D22" s="567"/>
    </row>
    <row r="23" spans="2:9" x14ac:dyDescent="0.2">
      <c r="B23" s="230"/>
      <c r="C23" s="230"/>
      <c r="D23" s="230"/>
    </row>
    <row r="24" spans="2:9" x14ac:dyDescent="0.2">
      <c r="B24" s="17" t="s">
        <v>32</v>
      </c>
      <c r="C24" s="18" t="s">
        <v>33</v>
      </c>
      <c r="D24" s="17" t="s">
        <v>47</v>
      </c>
      <c r="E24" s="17" t="s">
        <v>48</v>
      </c>
      <c r="F24" s="17" t="s">
        <v>49</v>
      </c>
      <c r="G24" s="17" t="s">
        <v>50</v>
      </c>
      <c r="H24" s="17" t="s">
        <v>51</v>
      </c>
    </row>
    <row r="25" spans="2:9" x14ac:dyDescent="0.2">
      <c r="B25" s="19" t="s">
        <v>52</v>
      </c>
      <c r="C25" s="20">
        <v>650</v>
      </c>
      <c r="D25" s="21">
        <f>+C25*11</f>
        <v>7150</v>
      </c>
      <c r="E25" s="21">
        <f>+(C25*12)*(1.05)</f>
        <v>8190</v>
      </c>
      <c r="F25" s="21">
        <f>+E25*1.05</f>
        <v>8599.5</v>
      </c>
      <c r="G25" s="21">
        <f t="shared" ref="G25:H25" si="1">+F25*1.05</f>
        <v>9029.4750000000004</v>
      </c>
      <c r="H25" s="21">
        <f t="shared" si="1"/>
        <v>9480.9487500000014</v>
      </c>
      <c r="I25" s="428" t="s">
        <v>124</v>
      </c>
    </row>
    <row r="26" spans="2:9" x14ac:dyDescent="0.2">
      <c r="B26" s="29" t="s">
        <v>53</v>
      </c>
      <c r="C26" s="30">
        <f>SUM(C25:C25)</f>
        <v>650</v>
      </c>
      <c r="D26" s="30">
        <f t="shared" ref="D26:H26" si="2">SUM(D25:D25)</f>
        <v>7150</v>
      </c>
      <c r="E26" s="30">
        <f t="shared" si="2"/>
        <v>8190</v>
      </c>
      <c r="F26" s="30">
        <f t="shared" si="2"/>
        <v>8599.5</v>
      </c>
      <c r="G26" s="30">
        <f t="shared" si="2"/>
        <v>9029.4750000000004</v>
      </c>
      <c r="H26" s="30">
        <f t="shared" si="2"/>
        <v>9480.9487500000014</v>
      </c>
    </row>
    <row r="28" spans="2:9" x14ac:dyDescent="0.2">
      <c r="B28" s="567" t="s">
        <v>65</v>
      </c>
      <c r="C28" s="567"/>
      <c r="D28" s="567"/>
    </row>
    <row r="29" spans="2:9" x14ac:dyDescent="0.2">
      <c r="B29" s="224"/>
      <c r="C29" s="224"/>
      <c r="D29" s="224"/>
    </row>
    <row r="30" spans="2:9" x14ac:dyDescent="0.2">
      <c r="B30" s="38" t="s">
        <v>56</v>
      </c>
      <c r="C30" s="39"/>
      <c r="D30" s="39"/>
    </row>
    <row r="31" spans="2:9" x14ac:dyDescent="0.2">
      <c r="B31" s="31" t="s">
        <v>57</v>
      </c>
      <c r="C31" s="31" t="s">
        <v>58</v>
      </c>
      <c r="D31" s="31" t="s">
        <v>59</v>
      </c>
      <c r="E31" s="199"/>
    </row>
    <row r="32" spans="2:9" x14ac:dyDescent="0.2">
      <c r="B32" s="32" t="s">
        <v>60</v>
      </c>
      <c r="C32" s="33">
        <v>10000</v>
      </c>
      <c r="D32" s="34">
        <v>130</v>
      </c>
      <c r="E32" s="200"/>
    </row>
    <row r="33" spans="2:7" x14ac:dyDescent="0.2">
      <c r="B33" s="32" t="s">
        <v>61</v>
      </c>
      <c r="C33" s="35">
        <v>1</v>
      </c>
      <c r="D33" s="34">
        <v>700</v>
      </c>
      <c r="E33" s="200"/>
    </row>
    <row r="34" spans="2:7" x14ac:dyDescent="0.2">
      <c r="B34" s="32" t="s">
        <v>62</v>
      </c>
      <c r="C34" s="35">
        <v>1000</v>
      </c>
      <c r="D34" s="34">
        <v>450</v>
      </c>
      <c r="E34" s="200"/>
    </row>
    <row r="35" spans="2:7" x14ac:dyDescent="0.2">
      <c r="B35" s="36" t="s">
        <v>63</v>
      </c>
      <c r="C35" s="37"/>
      <c r="D35" s="65">
        <f>SUM(D32:D34)</f>
        <v>1280</v>
      </c>
      <c r="E35" s="201"/>
      <c r="G35" s="429"/>
    </row>
    <row r="36" spans="2:7" x14ac:dyDescent="0.2">
      <c r="G36" s="430"/>
    </row>
    <row r="37" spans="2:7" x14ac:dyDescent="0.2">
      <c r="B37" s="38" t="s">
        <v>64</v>
      </c>
      <c r="C37" s="38"/>
      <c r="D37" s="39"/>
    </row>
    <row r="38" spans="2:7" x14ac:dyDescent="0.2">
      <c r="B38" s="31" t="s">
        <v>57</v>
      </c>
      <c r="C38" s="31" t="s">
        <v>58</v>
      </c>
      <c r="D38" s="31" t="s">
        <v>353</v>
      </c>
      <c r="E38" s="17" t="s">
        <v>376</v>
      </c>
    </row>
    <row r="39" spans="2:7" x14ac:dyDescent="0.2">
      <c r="B39" s="32" t="s">
        <v>54</v>
      </c>
      <c r="C39" s="33">
        <v>100</v>
      </c>
      <c r="D39" s="54">
        <v>25</v>
      </c>
      <c r="E39" s="27">
        <f>+D39*11</f>
        <v>275</v>
      </c>
    </row>
    <row r="40" spans="2:7" x14ac:dyDescent="0.2">
      <c r="B40" s="32" t="s">
        <v>55</v>
      </c>
      <c r="C40" s="33">
        <v>5000</v>
      </c>
      <c r="D40" s="52">
        <v>120</v>
      </c>
      <c r="E40" s="27">
        <f>+D40*11</f>
        <v>1320</v>
      </c>
    </row>
    <row r="41" spans="2:7" x14ac:dyDescent="0.2">
      <c r="B41" s="36" t="s">
        <v>63</v>
      </c>
      <c r="C41" s="53"/>
      <c r="D41" s="65">
        <f>SUM(D39:D40)</f>
        <v>145</v>
      </c>
      <c r="E41" s="65">
        <f>SUM(E39:E40)</f>
        <v>1595</v>
      </c>
    </row>
    <row r="42" spans="2:7" ht="12.75" thickBot="1" x14ac:dyDescent="0.25"/>
    <row r="43" spans="2:7" ht="15.75" customHeight="1" thickTop="1" x14ac:dyDescent="0.2">
      <c r="B43" s="564" t="s">
        <v>78</v>
      </c>
      <c r="C43" s="565"/>
      <c r="D43" s="565"/>
      <c r="E43" s="565"/>
      <c r="F43" s="566"/>
    </row>
    <row r="44" spans="2:7" ht="12.75" thickBot="1" x14ac:dyDescent="0.25">
      <c r="B44" s="479"/>
      <c r="C44" s="478"/>
      <c r="D44" s="478"/>
      <c r="E44" s="478"/>
      <c r="F44" s="480"/>
    </row>
    <row r="45" spans="2:7" ht="14.25" customHeight="1" x14ac:dyDescent="0.2">
      <c r="B45" s="481" t="s">
        <v>66</v>
      </c>
      <c r="C45" s="43" t="s">
        <v>67</v>
      </c>
      <c r="D45" s="43" t="s">
        <v>68</v>
      </c>
      <c r="E45" s="43" t="s">
        <v>69</v>
      </c>
      <c r="F45" s="482" t="s">
        <v>70</v>
      </c>
    </row>
    <row r="46" spans="2:7" x14ac:dyDescent="0.2">
      <c r="B46" s="483" t="s">
        <v>71</v>
      </c>
      <c r="C46" s="40">
        <v>3</v>
      </c>
      <c r="D46" s="41">
        <v>0.8</v>
      </c>
      <c r="E46" s="41">
        <f>D46*C46</f>
        <v>2.4000000000000004</v>
      </c>
      <c r="F46" s="484">
        <f>(E46*12)</f>
        <v>28.800000000000004</v>
      </c>
    </row>
    <row r="47" spans="2:7" x14ac:dyDescent="0.2">
      <c r="B47" s="483" t="s">
        <v>373</v>
      </c>
      <c r="C47" s="40">
        <v>4</v>
      </c>
      <c r="D47" s="41">
        <v>4</v>
      </c>
      <c r="E47" s="41">
        <f t="shared" ref="E47:E52" si="3">D47*C47</f>
        <v>16</v>
      </c>
      <c r="F47" s="484">
        <f t="shared" ref="F47:F52" si="4">(E47*12)</f>
        <v>192</v>
      </c>
    </row>
    <row r="48" spans="2:7" x14ac:dyDescent="0.2">
      <c r="B48" s="483" t="s">
        <v>72</v>
      </c>
      <c r="C48" s="40">
        <v>2</v>
      </c>
      <c r="D48" s="41">
        <v>1.5</v>
      </c>
      <c r="E48" s="41">
        <f t="shared" si="3"/>
        <v>3</v>
      </c>
      <c r="F48" s="484">
        <f t="shared" si="4"/>
        <v>36</v>
      </c>
    </row>
    <row r="49" spans="2:7" x14ac:dyDescent="0.2">
      <c r="B49" s="485" t="s">
        <v>73</v>
      </c>
      <c r="C49" s="40">
        <v>1</v>
      </c>
      <c r="D49" s="41">
        <v>3</v>
      </c>
      <c r="E49" s="41">
        <f t="shared" si="3"/>
        <v>3</v>
      </c>
      <c r="F49" s="484">
        <f t="shared" si="4"/>
        <v>36</v>
      </c>
    </row>
    <row r="50" spans="2:7" x14ac:dyDescent="0.2">
      <c r="B50" s="485" t="s">
        <v>74</v>
      </c>
      <c r="C50" s="42">
        <v>1</v>
      </c>
      <c r="D50" s="41">
        <v>1.5</v>
      </c>
      <c r="E50" s="41">
        <f t="shared" si="3"/>
        <v>1.5</v>
      </c>
      <c r="F50" s="484">
        <f t="shared" si="4"/>
        <v>18</v>
      </c>
    </row>
    <row r="51" spans="2:7" x14ac:dyDescent="0.2">
      <c r="B51" s="485" t="s">
        <v>75</v>
      </c>
      <c r="C51" s="42">
        <v>2</v>
      </c>
      <c r="D51" s="41">
        <v>0.75</v>
      </c>
      <c r="E51" s="41">
        <f t="shared" si="3"/>
        <v>1.5</v>
      </c>
      <c r="F51" s="484">
        <f t="shared" si="4"/>
        <v>18</v>
      </c>
    </row>
    <row r="52" spans="2:7" x14ac:dyDescent="0.2">
      <c r="B52" s="485" t="s">
        <v>76</v>
      </c>
      <c r="C52" s="42">
        <v>2</v>
      </c>
      <c r="D52" s="41">
        <v>1.25</v>
      </c>
      <c r="E52" s="41">
        <f t="shared" si="3"/>
        <v>2.5</v>
      </c>
      <c r="F52" s="484">
        <f t="shared" si="4"/>
        <v>30</v>
      </c>
    </row>
    <row r="53" spans="2:7" ht="12.75" thickBot="1" x14ac:dyDescent="0.25">
      <c r="B53" s="486" t="s">
        <v>16</v>
      </c>
      <c r="C53" s="44"/>
      <c r="D53" s="44">
        <f>SUM(D46:D52)</f>
        <v>12.8</v>
      </c>
      <c r="E53" s="45">
        <f>SUM(E46:E52)</f>
        <v>29.9</v>
      </c>
      <c r="F53" s="487">
        <f>SUM(F46:F52)</f>
        <v>358.8</v>
      </c>
    </row>
    <row r="54" spans="2:7" ht="12.75" thickBot="1" x14ac:dyDescent="0.25">
      <c r="B54" s="488"/>
      <c r="C54" s="431"/>
      <c r="D54" s="431"/>
      <c r="E54" s="431"/>
      <c r="F54" s="489"/>
    </row>
    <row r="55" spans="2:7" ht="13.5" thickTop="1" thickBot="1" x14ac:dyDescent="0.25">
      <c r="B55" s="564" t="s">
        <v>121</v>
      </c>
      <c r="C55" s="565"/>
      <c r="D55" s="565"/>
      <c r="E55" s="565"/>
      <c r="F55" s="566"/>
    </row>
    <row r="56" spans="2:7" ht="14.25" customHeight="1" x14ac:dyDescent="0.2">
      <c r="B56" s="481" t="s">
        <v>66</v>
      </c>
      <c r="C56" s="43" t="s">
        <v>67</v>
      </c>
      <c r="D56" s="43" t="s">
        <v>68</v>
      </c>
      <c r="E56" s="43" t="s">
        <v>69</v>
      </c>
      <c r="F56" s="482" t="s">
        <v>70</v>
      </c>
    </row>
    <row r="57" spans="2:7" x14ac:dyDescent="0.2">
      <c r="B57" s="483" t="s">
        <v>79</v>
      </c>
      <c r="C57" s="40">
        <v>2</v>
      </c>
      <c r="D57" s="41">
        <v>4</v>
      </c>
      <c r="E57" s="41">
        <f t="shared" ref="E57:E66" si="5">D57*C57</f>
        <v>8</v>
      </c>
      <c r="F57" s="484">
        <f>E57*12</f>
        <v>96</v>
      </c>
    </row>
    <row r="58" spans="2:7" x14ac:dyDescent="0.2">
      <c r="B58" s="483" t="s">
        <v>374</v>
      </c>
      <c r="C58" s="40">
        <v>4</v>
      </c>
      <c r="D58" s="41">
        <v>50</v>
      </c>
      <c r="E58" s="41">
        <f t="shared" si="5"/>
        <v>200</v>
      </c>
      <c r="F58" s="484">
        <f>E58*12</f>
        <v>2400</v>
      </c>
    </row>
    <row r="59" spans="2:7" x14ac:dyDescent="0.2">
      <c r="B59" s="485" t="s">
        <v>80</v>
      </c>
      <c r="C59" s="40">
        <v>10</v>
      </c>
      <c r="D59" s="41">
        <v>0.3</v>
      </c>
      <c r="E59" s="41">
        <f t="shared" si="5"/>
        <v>3</v>
      </c>
      <c r="F59" s="484">
        <f>E59*12</f>
        <v>36</v>
      </c>
    </row>
    <row r="60" spans="2:7" x14ac:dyDescent="0.2">
      <c r="B60" s="485" t="s">
        <v>81</v>
      </c>
      <c r="C60" s="42">
        <v>10</v>
      </c>
      <c r="D60" s="41">
        <v>0.25</v>
      </c>
      <c r="E60" s="41">
        <f t="shared" si="5"/>
        <v>2.5</v>
      </c>
      <c r="F60" s="484">
        <f>E60*12</f>
        <v>30</v>
      </c>
    </row>
    <row r="61" spans="2:7" x14ac:dyDescent="0.2">
      <c r="B61" s="485" t="s">
        <v>82</v>
      </c>
      <c r="C61" s="42">
        <v>2</v>
      </c>
      <c r="D61" s="41">
        <v>15</v>
      </c>
      <c r="E61" s="41"/>
      <c r="F61" s="484">
        <f>D61*C61</f>
        <v>30</v>
      </c>
      <c r="G61" s="432"/>
    </row>
    <row r="62" spans="2:7" x14ac:dyDescent="0.2">
      <c r="B62" s="485" t="s">
        <v>83</v>
      </c>
      <c r="C62" s="42">
        <v>4</v>
      </c>
      <c r="D62" s="41">
        <v>0.1</v>
      </c>
      <c r="E62" s="41">
        <f t="shared" si="5"/>
        <v>0.4</v>
      </c>
      <c r="F62" s="484">
        <f>E62*12</f>
        <v>4.8000000000000007</v>
      </c>
    </row>
    <row r="63" spans="2:7" x14ac:dyDescent="0.2">
      <c r="B63" s="485" t="s">
        <v>84</v>
      </c>
      <c r="C63" s="42">
        <v>3</v>
      </c>
      <c r="D63" s="41">
        <v>2.4</v>
      </c>
      <c r="E63" s="41"/>
      <c r="F63" s="484">
        <f>D63*C63</f>
        <v>7.1999999999999993</v>
      </c>
    </row>
    <row r="64" spans="2:7" x14ac:dyDescent="0.2">
      <c r="B64" s="485" t="s">
        <v>85</v>
      </c>
      <c r="C64" s="42">
        <v>1</v>
      </c>
      <c r="D64" s="41">
        <v>0.6</v>
      </c>
      <c r="E64" s="41">
        <f t="shared" si="5"/>
        <v>0.6</v>
      </c>
      <c r="F64" s="484">
        <f>E64*12</f>
        <v>7.1999999999999993</v>
      </c>
    </row>
    <row r="65" spans="2:7" x14ac:dyDescent="0.2">
      <c r="B65" s="483" t="s">
        <v>86</v>
      </c>
      <c r="C65" s="40">
        <v>4</v>
      </c>
      <c r="D65" s="41">
        <v>1.5</v>
      </c>
      <c r="E65" s="41"/>
      <c r="F65" s="484">
        <f>D65*C65</f>
        <v>6</v>
      </c>
    </row>
    <row r="66" spans="2:7" x14ac:dyDescent="0.2">
      <c r="B66" s="483" t="s">
        <v>92</v>
      </c>
      <c r="C66" s="40">
        <v>1</v>
      </c>
      <c r="D66" s="41">
        <v>4</v>
      </c>
      <c r="E66" s="41">
        <f t="shared" si="5"/>
        <v>4</v>
      </c>
      <c r="F66" s="484">
        <f>E66*12</f>
        <v>48</v>
      </c>
    </row>
    <row r="67" spans="2:7" x14ac:dyDescent="0.2">
      <c r="B67" s="483" t="s">
        <v>87</v>
      </c>
      <c r="C67" s="40">
        <v>2</v>
      </c>
      <c r="D67" s="41">
        <v>2</v>
      </c>
      <c r="E67" s="41"/>
      <c r="F67" s="484">
        <f>D67*C67</f>
        <v>4</v>
      </c>
    </row>
    <row r="68" spans="2:7" x14ac:dyDescent="0.2">
      <c r="B68" s="485" t="s">
        <v>89</v>
      </c>
      <c r="C68" s="42">
        <v>4</v>
      </c>
      <c r="D68" s="41">
        <v>0.4</v>
      </c>
      <c r="E68" s="41">
        <f>D68*C68</f>
        <v>1.6</v>
      </c>
      <c r="F68" s="484">
        <f>E68*12</f>
        <v>19.200000000000003</v>
      </c>
    </row>
    <row r="69" spans="2:7" x14ac:dyDescent="0.2">
      <c r="B69" s="485" t="s">
        <v>91</v>
      </c>
      <c r="C69" s="42">
        <v>3</v>
      </c>
      <c r="D69" s="41">
        <v>4</v>
      </c>
      <c r="E69" s="41">
        <f>D69*C69</f>
        <v>12</v>
      </c>
      <c r="F69" s="484">
        <f>E69*12</f>
        <v>144</v>
      </c>
    </row>
    <row r="70" spans="2:7" x14ac:dyDescent="0.2">
      <c r="B70" s="485" t="s">
        <v>90</v>
      </c>
      <c r="C70" s="42">
        <v>1</v>
      </c>
      <c r="D70" s="41">
        <v>2.5</v>
      </c>
      <c r="E70" s="41"/>
      <c r="F70" s="484">
        <f>D70*C70</f>
        <v>2.5</v>
      </c>
    </row>
    <row r="71" spans="2:7" x14ac:dyDescent="0.2">
      <c r="B71" s="490" t="s">
        <v>88</v>
      </c>
      <c r="C71" s="189">
        <v>1</v>
      </c>
      <c r="D71" s="190">
        <v>50</v>
      </c>
      <c r="E71" s="190"/>
      <c r="F71" s="484">
        <f>D71*C71</f>
        <v>50</v>
      </c>
    </row>
    <row r="72" spans="2:7" ht="12.75" thickBot="1" x14ac:dyDescent="0.25">
      <c r="B72" s="486" t="s">
        <v>16</v>
      </c>
      <c r="C72" s="44"/>
      <c r="D72" s="44">
        <f>SUM(D57:D71)</f>
        <v>137.05000000000001</v>
      </c>
      <c r="E72" s="45">
        <f>SUM(E57:E71)</f>
        <v>232.1</v>
      </c>
      <c r="F72" s="487">
        <f>SUM(F57:F71)</f>
        <v>2884.8999999999996</v>
      </c>
    </row>
    <row r="73" spans="2:7" ht="12.75" thickBot="1" x14ac:dyDescent="0.25">
      <c r="B73" s="491"/>
      <c r="C73" s="433"/>
      <c r="D73" s="433"/>
      <c r="E73" s="433"/>
      <c r="F73" s="492"/>
    </row>
    <row r="74" spans="2:7" ht="12.75" thickTop="1" x14ac:dyDescent="0.2">
      <c r="B74" s="564" t="s">
        <v>122</v>
      </c>
      <c r="C74" s="565"/>
      <c r="D74" s="565"/>
      <c r="E74" s="565"/>
      <c r="F74" s="566"/>
      <c r="G74" s="46"/>
    </row>
    <row r="75" spans="2:7" x14ac:dyDescent="0.2">
      <c r="B75" s="493"/>
      <c r="C75" s="434"/>
      <c r="D75" s="434"/>
      <c r="E75" s="434"/>
      <c r="F75" s="494"/>
      <c r="G75" s="434"/>
    </row>
    <row r="76" spans="2:7" ht="14.25" customHeight="1" x14ac:dyDescent="0.2">
      <c r="B76" s="495" t="s">
        <v>66</v>
      </c>
      <c r="C76" s="31" t="s">
        <v>67</v>
      </c>
      <c r="D76" s="31" t="s">
        <v>93</v>
      </c>
      <c r="E76" s="31" t="s">
        <v>69</v>
      </c>
      <c r="F76" s="496" t="s">
        <v>70</v>
      </c>
    </row>
    <row r="77" spans="2:7" x14ac:dyDescent="0.2">
      <c r="B77" s="497" t="s">
        <v>96</v>
      </c>
      <c r="C77" s="435">
        <v>12</v>
      </c>
      <c r="D77" s="436">
        <v>45</v>
      </c>
      <c r="E77" s="436">
        <f>D77*C77</f>
        <v>540</v>
      </c>
      <c r="F77" s="498">
        <f>E77*12</f>
        <v>6480</v>
      </c>
    </row>
    <row r="78" spans="2:7" x14ac:dyDescent="0.2">
      <c r="B78" s="483" t="s">
        <v>94</v>
      </c>
      <c r="C78" s="437">
        <v>5</v>
      </c>
      <c r="D78" s="436">
        <v>3</v>
      </c>
      <c r="E78" s="436">
        <f t="shared" ref="E78:E81" si="6">D78*C78</f>
        <v>15</v>
      </c>
      <c r="F78" s="498">
        <f t="shared" ref="F78:F81" si="7">E78*12</f>
        <v>180</v>
      </c>
    </row>
    <row r="79" spans="2:7" x14ac:dyDescent="0.2">
      <c r="B79" s="483" t="s">
        <v>375</v>
      </c>
      <c r="C79" s="437">
        <v>5</v>
      </c>
      <c r="D79" s="436">
        <v>15</v>
      </c>
      <c r="E79" s="436">
        <f t="shared" si="6"/>
        <v>75</v>
      </c>
      <c r="F79" s="498">
        <f t="shared" si="7"/>
        <v>900</v>
      </c>
    </row>
    <row r="80" spans="2:7" x14ac:dyDescent="0.2">
      <c r="B80" s="483" t="s">
        <v>95</v>
      </c>
      <c r="C80" s="437">
        <v>3</v>
      </c>
      <c r="D80" s="436">
        <v>35</v>
      </c>
      <c r="E80" s="436">
        <f t="shared" si="6"/>
        <v>105</v>
      </c>
      <c r="F80" s="498">
        <f t="shared" si="7"/>
        <v>1260</v>
      </c>
    </row>
    <row r="81" spans="2:6" x14ac:dyDescent="0.2">
      <c r="B81" s="483" t="s">
        <v>97</v>
      </c>
      <c r="C81" s="437">
        <v>10</v>
      </c>
      <c r="D81" s="436">
        <v>20</v>
      </c>
      <c r="E81" s="436">
        <f t="shared" si="6"/>
        <v>200</v>
      </c>
      <c r="F81" s="498">
        <f t="shared" si="7"/>
        <v>2400</v>
      </c>
    </row>
    <row r="82" spans="2:6" x14ac:dyDescent="0.2">
      <c r="B82" s="499" t="s">
        <v>16</v>
      </c>
      <c r="C82" s="438"/>
      <c r="D82" s="439">
        <f>SUM(D77:D81)</f>
        <v>118</v>
      </c>
      <c r="E82" s="439">
        <f>SUM(E77:E81)</f>
        <v>935</v>
      </c>
      <c r="F82" s="500">
        <f>SUM(F77:F81)</f>
        <v>11220</v>
      </c>
    </row>
    <row r="83" spans="2:6" ht="12.75" thickBot="1" x14ac:dyDescent="0.25">
      <c r="B83" s="501"/>
      <c r="C83" s="502"/>
      <c r="D83" s="502"/>
      <c r="E83" s="502"/>
      <c r="F83" s="503"/>
    </row>
    <row r="84" spans="2:6" ht="12.75" thickTop="1" x14ac:dyDescent="0.2"/>
    <row r="85" spans="2:6" x14ac:dyDescent="0.2">
      <c r="B85" s="440" t="s">
        <v>337</v>
      </c>
    </row>
  </sheetData>
  <mergeCells count="7">
    <mergeCell ref="B74:F74"/>
    <mergeCell ref="B43:F43"/>
    <mergeCell ref="B55:F55"/>
    <mergeCell ref="B2:D2"/>
    <mergeCell ref="B10:D10"/>
    <mergeCell ref="B22:D22"/>
    <mergeCell ref="B28:D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32"/>
  <sheetViews>
    <sheetView showGridLines="0" zoomScaleNormal="100" workbookViewId="0">
      <selection activeCell="D21" sqref="D21"/>
    </sheetView>
  </sheetViews>
  <sheetFormatPr defaultColWidth="11.42578125" defaultRowHeight="12" x14ac:dyDescent="0.2"/>
  <cols>
    <col min="1" max="1" width="11.42578125" style="47"/>
    <col min="2" max="2" width="39.28515625" style="47" customWidth="1"/>
    <col min="3" max="4" width="12.5703125" style="47" bestFit="1" customWidth="1"/>
    <col min="5" max="5" width="11.5703125" style="47" bestFit="1" customWidth="1"/>
    <col min="6" max="7" width="12.42578125" style="47" bestFit="1" customWidth="1"/>
    <col min="8" max="8" width="30.7109375" style="47" customWidth="1"/>
    <col min="9" max="16384" width="11.42578125" style="47"/>
  </cols>
  <sheetData>
    <row r="2" spans="2:8" x14ac:dyDescent="0.2">
      <c r="B2" s="546" t="s">
        <v>98</v>
      </c>
      <c r="C2" s="546"/>
      <c r="D2" s="546"/>
    </row>
    <row r="4" spans="2:8" x14ac:dyDescent="0.2">
      <c r="B4" s="17" t="s">
        <v>32</v>
      </c>
      <c r="C4" s="18" t="s">
        <v>33</v>
      </c>
      <c r="D4" s="17" t="s">
        <v>34</v>
      </c>
    </row>
    <row r="5" spans="2:8" x14ac:dyDescent="0.2">
      <c r="B5" s="48" t="s">
        <v>43</v>
      </c>
      <c r="C5" s="50">
        <f>+GASTOS!C18</f>
        <v>38.1</v>
      </c>
      <c r="D5" s="50">
        <f>+GASTOS!D18</f>
        <v>457.20000000000005</v>
      </c>
    </row>
    <row r="6" spans="2:8" x14ac:dyDescent="0.2">
      <c r="B6" s="48" t="s">
        <v>44</v>
      </c>
      <c r="C6" s="50">
        <f>+GASTOS!E82</f>
        <v>935</v>
      </c>
      <c r="D6" s="50">
        <f>+GASTOS!F82</f>
        <v>11220</v>
      </c>
      <c r="H6" s="49"/>
    </row>
    <row r="7" spans="2:8" x14ac:dyDescent="0.2">
      <c r="B7" s="226" t="s">
        <v>427</v>
      </c>
      <c r="C7" s="51">
        <f>SUM(C5:C6)</f>
        <v>973.1</v>
      </c>
      <c r="D7" s="51">
        <f>SUM(D5:D6)</f>
        <v>11677.2</v>
      </c>
    </row>
    <row r="10" spans="2:8" x14ac:dyDescent="0.2">
      <c r="B10" s="546" t="s">
        <v>99</v>
      </c>
      <c r="C10" s="546"/>
      <c r="D10" s="546"/>
      <c r="E10" s="546"/>
      <c r="F10" s="546"/>
      <c r="G10" s="546"/>
    </row>
    <row r="12" spans="2:8" x14ac:dyDescent="0.2">
      <c r="B12" s="17" t="s">
        <v>32</v>
      </c>
      <c r="C12" s="17" t="s">
        <v>47</v>
      </c>
      <c r="D12" s="17" t="s">
        <v>48</v>
      </c>
      <c r="E12" s="17" t="s">
        <v>49</v>
      </c>
      <c r="F12" s="17" t="s">
        <v>50</v>
      </c>
      <c r="G12" s="17" t="s">
        <v>51</v>
      </c>
    </row>
    <row r="13" spans="2:8" x14ac:dyDescent="0.2">
      <c r="B13" s="48" t="s">
        <v>43</v>
      </c>
      <c r="C13" s="50">
        <f>+D5</f>
        <v>457.20000000000005</v>
      </c>
      <c r="D13" s="55">
        <f t="shared" ref="D13:G14" si="0">+C13*1.05</f>
        <v>480.06000000000006</v>
      </c>
      <c r="E13" s="55">
        <f t="shared" si="0"/>
        <v>504.0630000000001</v>
      </c>
      <c r="F13" s="55">
        <f t="shared" si="0"/>
        <v>529.26615000000015</v>
      </c>
      <c r="G13" s="55">
        <f t="shared" si="0"/>
        <v>555.72945750000019</v>
      </c>
    </row>
    <row r="14" spans="2:8" x14ac:dyDescent="0.2">
      <c r="B14" s="48" t="s">
        <v>44</v>
      </c>
      <c r="C14" s="50">
        <f>+D6</f>
        <v>11220</v>
      </c>
      <c r="D14" s="55">
        <f t="shared" si="0"/>
        <v>11781</v>
      </c>
      <c r="E14" s="55">
        <f t="shared" si="0"/>
        <v>12370.050000000001</v>
      </c>
      <c r="F14" s="55">
        <f t="shared" si="0"/>
        <v>12988.552500000002</v>
      </c>
      <c r="G14" s="55">
        <f t="shared" si="0"/>
        <v>13637.980125000002</v>
      </c>
    </row>
    <row r="15" spans="2:8" x14ac:dyDescent="0.2">
      <c r="B15" s="226" t="s">
        <v>427</v>
      </c>
      <c r="C15" s="28">
        <f>SUM(C13:C14)</f>
        <v>11677.2</v>
      </c>
      <c r="D15" s="28">
        <f>SUM(D13:D14)</f>
        <v>12261.06</v>
      </c>
      <c r="E15" s="28">
        <f t="shared" ref="E15:G15" si="1">SUM(E13:E14)</f>
        <v>12874.113000000001</v>
      </c>
      <c r="F15" s="28">
        <f t="shared" si="1"/>
        <v>13517.818650000001</v>
      </c>
      <c r="G15" s="28">
        <f t="shared" si="1"/>
        <v>14193.709582500001</v>
      </c>
    </row>
    <row r="19" spans="2:5" x14ac:dyDescent="0.2">
      <c r="B19" s="79"/>
      <c r="C19" s="79">
        <v>1</v>
      </c>
      <c r="D19" s="79">
        <v>1884.7604116244599</v>
      </c>
      <c r="E19" s="79"/>
    </row>
    <row r="20" spans="2:5" x14ac:dyDescent="0.2">
      <c r="B20" s="79"/>
      <c r="C20" s="79">
        <v>2</v>
      </c>
      <c r="D20" s="79">
        <f>D19*1.05</f>
        <v>1978.998432205683</v>
      </c>
      <c r="E20" s="79"/>
    </row>
    <row r="21" spans="2:5" x14ac:dyDescent="0.2">
      <c r="B21" s="79"/>
      <c r="C21" s="79">
        <v>3</v>
      </c>
      <c r="D21" s="79">
        <f t="shared" ref="D21:D30" si="2">D20*1.05</f>
        <v>2077.948353815967</v>
      </c>
      <c r="E21" s="79"/>
    </row>
    <row r="22" spans="2:5" x14ac:dyDescent="0.2">
      <c r="B22" s="79"/>
      <c r="C22" s="79">
        <v>4</v>
      </c>
      <c r="D22" s="79">
        <f t="shared" si="2"/>
        <v>2181.8457715067657</v>
      </c>
      <c r="E22" s="79"/>
    </row>
    <row r="23" spans="2:5" x14ac:dyDescent="0.2">
      <c r="B23" s="79"/>
      <c r="C23" s="79">
        <v>5</v>
      </c>
      <c r="D23" s="79">
        <f t="shared" si="2"/>
        <v>2290.9380600821041</v>
      </c>
      <c r="E23" s="79"/>
    </row>
    <row r="24" spans="2:5" x14ac:dyDescent="0.2">
      <c r="B24" s="79"/>
      <c r="C24" s="79">
        <v>6</v>
      </c>
      <c r="D24" s="79">
        <f t="shared" si="2"/>
        <v>2405.4849630862095</v>
      </c>
      <c r="E24" s="79"/>
    </row>
    <row r="25" spans="2:5" x14ac:dyDescent="0.2">
      <c r="B25" s="79"/>
      <c r="C25" s="79">
        <v>7</v>
      </c>
      <c r="D25" s="79">
        <f t="shared" si="2"/>
        <v>2525.75921124052</v>
      </c>
      <c r="E25" s="79"/>
    </row>
    <row r="26" spans="2:5" x14ac:dyDescent="0.2">
      <c r="B26" s="79"/>
      <c r="C26" s="79">
        <v>8</v>
      </c>
      <c r="D26" s="79">
        <f t="shared" si="2"/>
        <v>2652.047171802546</v>
      </c>
      <c r="E26" s="79"/>
    </row>
    <row r="27" spans="2:5" x14ac:dyDescent="0.2">
      <c r="B27" s="79"/>
      <c r="C27" s="79">
        <v>9</v>
      </c>
      <c r="D27" s="79">
        <f t="shared" si="2"/>
        <v>2784.6495303926736</v>
      </c>
      <c r="E27" s="79"/>
    </row>
    <row r="28" spans="2:5" x14ac:dyDescent="0.2">
      <c r="B28" s="79"/>
      <c r="C28" s="79">
        <v>10</v>
      </c>
      <c r="D28" s="79">
        <f t="shared" si="2"/>
        <v>2923.8820069123076</v>
      </c>
      <c r="E28" s="79"/>
    </row>
    <row r="29" spans="2:5" x14ac:dyDescent="0.2">
      <c r="B29" s="79"/>
      <c r="C29" s="79">
        <v>11</v>
      </c>
      <c r="D29" s="79">
        <f t="shared" si="2"/>
        <v>3070.076107257923</v>
      </c>
      <c r="E29" s="79"/>
    </row>
    <row r="30" spans="2:5" x14ac:dyDescent="0.2">
      <c r="B30" s="79"/>
      <c r="C30" s="79">
        <v>12</v>
      </c>
      <c r="D30" s="79">
        <f t="shared" si="2"/>
        <v>3223.5799126208194</v>
      </c>
      <c r="E30" s="79"/>
    </row>
    <row r="31" spans="2:5" x14ac:dyDescent="0.2">
      <c r="B31" s="79"/>
      <c r="C31" s="79" t="s">
        <v>233</v>
      </c>
      <c r="D31" s="79">
        <f>+SUM(D19:D30)</f>
        <v>29999.969932547978</v>
      </c>
      <c r="E31" s="79"/>
    </row>
    <row r="32" spans="2:5" x14ac:dyDescent="0.2">
      <c r="B32" s="79"/>
      <c r="C32" s="79"/>
      <c r="D32" s="79"/>
      <c r="E32" s="79"/>
    </row>
  </sheetData>
  <mergeCells count="2">
    <mergeCell ref="B2:D2"/>
    <mergeCell ref="B10:G1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7"/>
  <sheetViews>
    <sheetView showGridLines="0" zoomScaleNormal="100" workbookViewId="0">
      <selection activeCell="B5" sqref="B5:E17"/>
    </sheetView>
  </sheetViews>
  <sheetFormatPr defaultColWidth="11.42578125" defaultRowHeight="12" x14ac:dyDescent="0.2"/>
  <cols>
    <col min="1" max="2" width="11.42578125" style="47"/>
    <col min="3" max="3" width="22.42578125" style="47" customWidth="1"/>
    <col min="4" max="4" width="19.5703125" style="47" customWidth="1"/>
    <col min="5" max="5" width="14.140625" style="47" customWidth="1"/>
    <col min="6" max="16384" width="11.42578125" style="47"/>
  </cols>
  <sheetData>
    <row r="3" spans="2:9" x14ac:dyDescent="0.2">
      <c r="B3" s="572" t="s">
        <v>120</v>
      </c>
      <c r="C3" s="572"/>
      <c r="D3" s="572"/>
      <c r="E3" s="572"/>
    </row>
    <row r="4" spans="2:9" x14ac:dyDescent="0.2">
      <c r="B4" s="60"/>
      <c r="C4" s="60"/>
      <c r="D4" s="60"/>
      <c r="E4" s="60"/>
    </row>
    <row r="5" spans="2:9" ht="22.5" customHeight="1" x14ac:dyDescent="0.2">
      <c r="B5" s="573" t="s">
        <v>66</v>
      </c>
      <c r="C5" s="573"/>
      <c r="D5" s="227" t="s">
        <v>33</v>
      </c>
      <c r="E5" s="227" t="s">
        <v>100</v>
      </c>
    </row>
    <row r="6" spans="2:9" ht="15" customHeight="1" x14ac:dyDescent="0.2">
      <c r="B6" s="568" t="s">
        <v>104</v>
      </c>
      <c r="C6" s="568"/>
      <c r="D6" s="191">
        <f>+SUELDO!Q12</f>
        <v>4556.4968305999992</v>
      </c>
      <c r="E6" s="191">
        <f>+SUELDO!O12</f>
        <v>54677.961967199997</v>
      </c>
      <c r="I6" s="56"/>
    </row>
    <row r="7" spans="2:9" ht="15" customHeight="1" x14ac:dyDescent="0.2">
      <c r="B7" s="568" t="s">
        <v>102</v>
      </c>
      <c r="C7" s="568"/>
      <c r="D7" s="191">
        <f>+GASTOS!C8</f>
        <v>295</v>
      </c>
      <c r="E7" s="191">
        <f>+GASTOS!D8</f>
        <v>3540</v>
      </c>
      <c r="I7" s="57"/>
    </row>
    <row r="8" spans="2:9" ht="15" customHeight="1" x14ac:dyDescent="0.2">
      <c r="B8" s="568" t="s">
        <v>103</v>
      </c>
      <c r="C8" s="568"/>
      <c r="D8" s="191">
        <f>+GASTOS!D41</f>
        <v>145</v>
      </c>
      <c r="E8" s="191">
        <f>+GASTOS!E41</f>
        <v>1595</v>
      </c>
      <c r="I8" s="61"/>
    </row>
    <row r="9" spans="2:9" ht="15" customHeight="1" x14ac:dyDescent="0.2">
      <c r="B9" s="568" t="s">
        <v>40</v>
      </c>
      <c r="C9" s="568"/>
      <c r="D9" s="191">
        <f>+GASTOS!C13</f>
        <v>100</v>
      </c>
      <c r="E9" s="191">
        <f>+GASTOS!D13</f>
        <v>1200</v>
      </c>
    </row>
    <row r="10" spans="2:9" ht="15" customHeight="1" x14ac:dyDescent="0.2">
      <c r="B10" s="568" t="s">
        <v>134</v>
      </c>
      <c r="C10" s="568"/>
      <c r="D10" s="191">
        <f>+GASTOS!C14</f>
        <v>50</v>
      </c>
      <c r="E10" s="191">
        <f>+GASTOS!D14</f>
        <v>600</v>
      </c>
    </row>
    <row r="11" spans="2:9" ht="15" customHeight="1" x14ac:dyDescent="0.2">
      <c r="B11" s="225" t="s">
        <v>41</v>
      </c>
      <c r="C11" s="225"/>
      <c r="D11" s="191">
        <f>+GASTOS!C15</f>
        <v>55</v>
      </c>
      <c r="E11" s="191">
        <f>+GASTOS!D15</f>
        <v>660</v>
      </c>
    </row>
    <row r="12" spans="2:9" ht="15" customHeight="1" x14ac:dyDescent="0.2">
      <c r="B12" s="225" t="s">
        <v>372</v>
      </c>
      <c r="C12" s="225"/>
      <c r="D12" s="191">
        <f>+GASTOS!C19</f>
        <v>0</v>
      </c>
      <c r="E12" s="191">
        <f>+GASTOS!D19</f>
        <v>200</v>
      </c>
    </row>
    <row r="13" spans="2:9" ht="15" customHeight="1" x14ac:dyDescent="0.2">
      <c r="B13" s="568" t="s">
        <v>101</v>
      </c>
      <c r="C13" s="568"/>
      <c r="D13" s="191">
        <f>+DEPRECIACIÓN!D14</f>
        <v>0</v>
      </c>
      <c r="E13" s="191">
        <f>+DEPRECIACIÓN!E14</f>
        <v>8906.1666666666661</v>
      </c>
    </row>
    <row r="14" spans="2:9" ht="15" customHeight="1" x14ac:dyDescent="0.2">
      <c r="B14" s="48" t="s">
        <v>42</v>
      </c>
      <c r="C14" s="225"/>
      <c r="D14" s="192">
        <f>+GASTOS!E72</f>
        <v>232.1</v>
      </c>
      <c r="E14" s="191">
        <f>+GASTOS!F72</f>
        <v>2884.8999999999996</v>
      </c>
    </row>
    <row r="15" spans="2:9" ht="15" customHeight="1" x14ac:dyDescent="0.2">
      <c r="B15" s="48" t="s">
        <v>77</v>
      </c>
      <c r="C15" s="225"/>
      <c r="D15" s="191">
        <f>+GASTOS!E53</f>
        <v>29.9</v>
      </c>
      <c r="E15" s="191">
        <f>+GASTOS!F53</f>
        <v>358.8</v>
      </c>
    </row>
    <row r="16" spans="2:9" ht="15" customHeight="1" x14ac:dyDescent="0.2">
      <c r="B16" s="570" t="s">
        <v>125</v>
      </c>
      <c r="C16" s="571"/>
      <c r="D16" s="191">
        <f>+GASTOS!C25</f>
        <v>650</v>
      </c>
      <c r="E16" s="191">
        <f>+D16*12</f>
        <v>7800</v>
      </c>
    </row>
    <row r="17" spans="2:5" ht="15" customHeight="1" x14ac:dyDescent="0.2">
      <c r="B17" s="569" t="s">
        <v>16</v>
      </c>
      <c r="C17" s="569"/>
      <c r="D17" s="226">
        <f>SUM(D6:D16)</f>
        <v>6113.4968305999992</v>
      </c>
      <c r="E17" s="62">
        <f>SUM(E6:E16)</f>
        <v>82422.828633866666</v>
      </c>
    </row>
  </sheetData>
  <mergeCells count="10">
    <mergeCell ref="B7:C7"/>
    <mergeCell ref="B3:E3"/>
    <mergeCell ref="B5:C5"/>
    <mergeCell ref="B6:C6"/>
    <mergeCell ref="B8:C8"/>
    <mergeCell ref="B9:C9"/>
    <mergeCell ref="B10:C10"/>
    <mergeCell ref="B13:C13"/>
    <mergeCell ref="B17:C17"/>
    <mergeCell ref="B16:C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showGridLines="0" zoomScaleNormal="100" workbookViewId="0">
      <selection activeCell="G31" sqref="G31"/>
    </sheetView>
  </sheetViews>
  <sheetFormatPr defaultColWidth="11.42578125" defaultRowHeight="12" x14ac:dyDescent="0.2"/>
  <cols>
    <col min="1" max="1" width="11.42578125" style="47"/>
    <col min="2" max="2" width="27.7109375" style="47" customWidth="1"/>
    <col min="3" max="3" width="21.42578125" style="47" customWidth="1"/>
    <col min="4" max="4" width="19.5703125" style="47" customWidth="1"/>
    <col min="5" max="5" width="18.5703125" style="47" customWidth="1"/>
    <col min="6" max="6" width="22" style="47" customWidth="1"/>
    <col min="7" max="7" width="25" style="47" customWidth="1"/>
    <col min="8" max="8" width="15.7109375" style="47" customWidth="1"/>
    <col min="9" max="16384" width="11.42578125" style="47"/>
  </cols>
  <sheetData>
    <row r="3" spans="2:8" ht="15" customHeight="1" x14ac:dyDescent="0.2">
      <c r="B3" s="578" t="s">
        <v>377</v>
      </c>
      <c r="C3" s="578"/>
      <c r="D3" s="578"/>
      <c r="E3" s="578"/>
      <c r="F3" s="578"/>
      <c r="G3" s="578"/>
      <c r="H3" s="578"/>
    </row>
    <row r="4" spans="2:8" ht="12.75" thickBot="1" x14ac:dyDescent="0.25">
      <c r="B4" s="366"/>
      <c r="C4" s="366"/>
      <c r="D4" s="366"/>
      <c r="E4" s="366"/>
      <c r="F4" s="366"/>
      <c r="G4" s="366"/>
      <c r="H4" s="366"/>
    </row>
    <row r="5" spans="2:8" ht="15" customHeight="1" x14ac:dyDescent="0.2">
      <c r="B5" s="58" t="s">
        <v>105</v>
      </c>
      <c r="C5" s="43" t="s">
        <v>106</v>
      </c>
      <c r="D5" s="43" t="s">
        <v>107</v>
      </c>
      <c r="E5" s="43" t="s">
        <v>108</v>
      </c>
      <c r="F5" s="43" t="s">
        <v>262</v>
      </c>
      <c r="G5" s="43" t="s">
        <v>110</v>
      </c>
      <c r="H5" s="59" t="s">
        <v>111</v>
      </c>
    </row>
    <row r="6" spans="2:8" x14ac:dyDescent="0.2">
      <c r="B6" s="367" t="s">
        <v>119</v>
      </c>
      <c r="C6" s="368">
        <f>INVERSIONES!I5</f>
        <v>4800</v>
      </c>
      <c r="D6" s="369">
        <v>3</v>
      </c>
      <c r="E6" s="368">
        <f>C6/D6</f>
        <v>1600</v>
      </c>
      <c r="F6" s="369">
        <v>3</v>
      </c>
      <c r="G6" s="370">
        <f>E6*F6</f>
        <v>4800</v>
      </c>
      <c r="H6" s="371" t="s">
        <v>112</v>
      </c>
    </row>
    <row r="7" spans="2:8" x14ac:dyDescent="0.2">
      <c r="B7" s="367" t="s">
        <v>533</v>
      </c>
      <c r="C7" s="368">
        <f>INVERSIONES!I5</f>
        <v>4800</v>
      </c>
      <c r="D7" s="369">
        <v>3</v>
      </c>
      <c r="E7" s="368">
        <f t="shared" ref="E7" si="0">C7/D7</f>
        <v>1600</v>
      </c>
      <c r="F7" s="369">
        <v>2</v>
      </c>
      <c r="G7" s="370">
        <f t="shared" ref="G7" si="1">E7*F7</f>
        <v>3200</v>
      </c>
      <c r="H7" s="371">
        <f t="shared" ref="H7" si="2">C7-G7</f>
        <v>1600</v>
      </c>
    </row>
    <row r="8" spans="2:8" x14ac:dyDescent="0.2">
      <c r="B8" s="372" t="s">
        <v>113</v>
      </c>
      <c r="C8" s="368">
        <f>BALANCE!E10</f>
        <v>2240</v>
      </c>
      <c r="D8" s="369">
        <v>10</v>
      </c>
      <c r="E8" s="368">
        <f t="shared" ref="E8:E11" si="3">C8/D8</f>
        <v>224</v>
      </c>
      <c r="F8" s="369">
        <v>5</v>
      </c>
      <c r="G8" s="370">
        <f>E8*F8</f>
        <v>1120</v>
      </c>
      <c r="H8" s="373">
        <f>C8-G8</f>
        <v>1120</v>
      </c>
    </row>
    <row r="9" spans="2:8" x14ac:dyDescent="0.2">
      <c r="B9" s="372" t="s">
        <v>114</v>
      </c>
      <c r="C9" s="368">
        <f>+INVERSIONES!J20+INVERSIONES!J21</f>
        <v>2161</v>
      </c>
      <c r="D9" s="369">
        <v>3</v>
      </c>
      <c r="E9" s="368">
        <f t="shared" si="3"/>
        <v>720.33333333333337</v>
      </c>
      <c r="F9" s="369">
        <v>5</v>
      </c>
      <c r="G9" s="370">
        <f>E9*F9</f>
        <v>3601.666666666667</v>
      </c>
      <c r="H9" s="374" t="s">
        <v>112</v>
      </c>
    </row>
    <row r="10" spans="2:8" x14ac:dyDescent="0.2">
      <c r="B10" s="372" t="s">
        <v>534</v>
      </c>
      <c r="C10" s="368">
        <f>+INVERSIONES!J20+INVERSIONES!J21</f>
        <v>2161</v>
      </c>
      <c r="D10" s="369">
        <v>3</v>
      </c>
      <c r="E10" s="368">
        <f t="shared" si="3"/>
        <v>720.33333333333337</v>
      </c>
      <c r="F10" s="369">
        <v>2</v>
      </c>
      <c r="G10" s="370">
        <f t="shared" ref="G10" si="4">E10*F10</f>
        <v>1440.6666666666667</v>
      </c>
      <c r="H10" s="371">
        <f t="shared" ref="H10" si="5">C10-G10</f>
        <v>720.33333333333326</v>
      </c>
    </row>
    <row r="11" spans="2:8" x14ac:dyDescent="0.2">
      <c r="B11" s="372" t="s">
        <v>115</v>
      </c>
      <c r="C11" s="368">
        <f>BALANCE!E11</f>
        <v>1675</v>
      </c>
      <c r="D11" s="369">
        <v>10</v>
      </c>
      <c r="E11" s="368">
        <f t="shared" si="3"/>
        <v>167.5</v>
      </c>
      <c r="F11" s="369">
        <v>5</v>
      </c>
      <c r="G11" s="370">
        <f>E11*F11</f>
        <v>837.5</v>
      </c>
      <c r="H11" s="373">
        <f>C11-G11</f>
        <v>837.5</v>
      </c>
    </row>
    <row r="12" spans="2:8" x14ac:dyDescent="0.2">
      <c r="B12" s="372" t="s">
        <v>116</v>
      </c>
      <c r="C12" s="368">
        <f>BALANCE!E12</f>
        <v>18500</v>
      </c>
      <c r="D12" s="369">
        <v>5</v>
      </c>
      <c r="E12" s="368">
        <f>C12/D12</f>
        <v>3700</v>
      </c>
      <c r="F12" s="369">
        <v>5</v>
      </c>
      <c r="G12" s="370">
        <f>E12*F12</f>
        <v>18500</v>
      </c>
      <c r="H12" s="374" t="s">
        <v>112</v>
      </c>
    </row>
    <row r="13" spans="2:8" ht="12.75" thickBot="1" x14ac:dyDescent="0.25">
      <c r="B13" s="375" t="s">
        <v>117</v>
      </c>
      <c r="C13" s="376">
        <f>INVERSIONES!J50</f>
        <v>870</v>
      </c>
      <c r="D13" s="377">
        <v>5</v>
      </c>
      <c r="E13" s="378">
        <f>C13/D13</f>
        <v>174</v>
      </c>
      <c r="F13" s="377" t="s">
        <v>112</v>
      </c>
      <c r="G13" s="379" t="s">
        <v>112</v>
      </c>
      <c r="H13" s="425"/>
    </row>
    <row r="14" spans="2:8" ht="12.75" thickBot="1" x14ac:dyDescent="0.25">
      <c r="B14" s="574" t="s">
        <v>378</v>
      </c>
      <c r="C14" s="575"/>
      <c r="D14" s="576"/>
      <c r="E14" s="152">
        <f>SUM(E6:E13)</f>
        <v>8906.1666666666661</v>
      </c>
      <c r="F14" s="577" t="s">
        <v>118</v>
      </c>
      <c r="G14" s="576"/>
      <c r="H14" s="153">
        <f>SUM(H6:H13)</f>
        <v>4277.833333333333</v>
      </c>
    </row>
    <row r="15" spans="2:8" x14ac:dyDescent="0.2">
      <c r="D15" s="61"/>
      <c r="E15" s="426"/>
      <c r="F15" s="61"/>
    </row>
    <row r="16" spans="2:8" x14ac:dyDescent="0.2">
      <c r="D16" s="61"/>
      <c r="E16" s="427"/>
      <c r="F16" s="61"/>
    </row>
  </sheetData>
  <mergeCells count="3">
    <mergeCell ref="B14:D14"/>
    <mergeCell ref="F14:G14"/>
    <mergeCell ref="B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showGridLines="0" zoomScaleNormal="100" workbookViewId="0">
      <selection activeCell="E22" sqref="E22:E23"/>
    </sheetView>
  </sheetViews>
  <sheetFormatPr defaultColWidth="9.140625" defaultRowHeight="12" x14ac:dyDescent="0.2"/>
  <cols>
    <col min="1" max="1" width="28.28515625" style="47" customWidth="1"/>
    <col min="2" max="2" width="13.85546875" style="47" bestFit="1" customWidth="1"/>
    <col min="3" max="9" width="12.42578125" style="47" bestFit="1" customWidth="1"/>
    <col min="10" max="10" width="13.140625" style="47" bestFit="1" customWidth="1"/>
    <col min="11" max="12" width="12.42578125" style="47" bestFit="1" customWidth="1"/>
    <col min="13" max="13" width="12" style="47" bestFit="1" customWidth="1"/>
    <col min="14" max="16384" width="9.140625" style="47"/>
  </cols>
  <sheetData>
    <row r="2" spans="1:14" x14ac:dyDescent="0.2">
      <c r="A2" s="579" t="s">
        <v>338</v>
      </c>
      <c r="B2" s="579"/>
      <c r="C2" s="579"/>
      <c r="D2" s="579"/>
      <c r="E2" s="579"/>
      <c r="F2" s="579"/>
      <c r="G2" s="579"/>
      <c r="H2" s="579"/>
      <c r="I2" s="579"/>
      <c r="J2" s="579"/>
      <c r="K2" s="579"/>
      <c r="L2" s="579"/>
      <c r="M2" s="579"/>
    </row>
    <row r="3" spans="1:14" ht="12.75" thickBot="1" x14ac:dyDescent="0.25"/>
    <row r="4" spans="1:14" x14ac:dyDescent="0.2">
      <c r="A4" s="81">
        <v>1054</v>
      </c>
      <c r="B4" s="82" t="s">
        <v>213</v>
      </c>
      <c r="C4" s="82" t="s">
        <v>214</v>
      </c>
      <c r="D4" s="82" t="s">
        <v>215</v>
      </c>
      <c r="E4" s="82" t="s">
        <v>216</v>
      </c>
      <c r="F4" s="82" t="s">
        <v>217</v>
      </c>
      <c r="G4" s="82" t="s">
        <v>218</v>
      </c>
      <c r="H4" s="82" t="s">
        <v>219</v>
      </c>
      <c r="I4" s="82" t="s">
        <v>220</v>
      </c>
      <c r="J4" s="82" t="s">
        <v>221</v>
      </c>
      <c r="K4" s="82" t="s">
        <v>222</v>
      </c>
      <c r="L4" s="82" t="s">
        <v>223</v>
      </c>
      <c r="M4" s="83" t="s">
        <v>224</v>
      </c>
    </row>
    <row r="5" spans="1:14" x14ac:dyDescent="0.2">
      <c r="A5" s="84" t="s">
        <v>225</v>
      </c>
      <c r="B5" s="85">
        <v>0.5</v>
      </c>
      <c r="C5" s="85">
        <v>0.5</v>
      </c>
      <c r="D5" s="85">
        <v>0.75</v>
      </c>
      <c r="E5" s="85">
        <v>1</v>
      </c>
      <c r="F5" s="85">
        <v>1</v>
      </c>
      <c r="G5" s="85">
        <v>1</v>
      </c>
      <c r="H5" s="85">
        <v>1</v>
      </c>
      <c r="I5" s="85">
        <v>1</v>
      </c>
      <c r="J5" s="85">
        <v>1</v>
      </c>
      <c r="K5" s="85">
        <v>1</v>
      </c>
      <c r="L5" s="85">
        <v>1</v>
      </c>
      <c r="M5" s="86">
        <v>0.5</v>
      </c>
    </row>
    <row r="6" spans="1:14" ht="12.75" thickBot="1" x14ac:dyDescent="0.25">
      <c r="A6" s="87" t="s">
        <v>226</v>
      </c>
      <c r="B6" s="173">
        <f>$A$4*B5</f>
        <v>527</v>
      </c>
      <c r="C6" s="173">
        <f t="shared" ref="C6:L6" si="0">$A$4*C5</f>
        <v>527</v>
      </c>
      <c r="D6" s="173">
        <f t="shared" si="0"/>
        <v>790.5</v>
      </c>
      <c r="E6" s="173">
        <f>$A$4*E5</f>
        <v>1054</v>
      </c>
      <c r="F6" s="173">
        <f t="shared" si="0"/>
        <v>1054</v>
      </c>
      <c r="G6" s="173">
        <f t="shared" si="0"/>
        <v>1054</v>
      </c>
      <c r="H6" s="173">
        <f t="shared" si="0"/>
        <v>1054</v>
      </c>
      <c r="I6" s="173">
        <f t="shared" si="0"/>
        <v>1054</v>
      </c>
      <c r="J6" s="173">
        <f t="shared" si="0"/>
        <v>1054</v>
      </c>
      <c r="K6" s="173">
        <f t="shared" si="0"/>
        <v>1054</v>
      </c>
      <c r="L6" s="173">
        <f t="shared" si="0"/>
        <v>1054</v>
      </c>
      <c r="M6" s="174">
        <f>$A$4*M5</f>
        <v>527</v>
      </c>
      <c r="N6" s="178">
        <f>SUM(B6:M6)</f>
        <v>10803.5</v>
      </c>
    </row>
    <row r="7" spans="1:14" ht="12.75" thickBot="1" x14ac:dyDescent="0.25"/>
    <row r="8" spans="1:14" ht="12.75" thickBot="1" x14ac:dyDescent="0.25">
      <c r="A8" s="88" t="s">
        <v>227</v>
      </c>
      <c r="B8" s="194">
        <v>10</v>
      </c>
      <c r="C8" s="61"/>
      <c r="D8" s="61"/>
      <c r="E8" s="61"/>
      <c r="F8" s="61"/>
      <c r="G8" s="61"/>
      <c r="H8" s="61"/>
      <c r="I8" s="61"/>
      <c r="J8" s="61"/>
      <c r="K8" s="61"/>
      <c r="L8" s="61"/>
      <c r="M8" s="61"/>
    </row>
    <row r="9" spans="1:14" ht="12.75" thickBot="1" x14ac:dyDescent="0.25">
      <c r="A9" s="89" t="s">
        <v>228</v>
      </c>
      <c r="B9" s="195">
        <f>B6*$B$8</f>
        <v>5270</v>
      </c>
      <c r="C9" s="90">
        <f>C6*$B$8</f>
        <v>5270</v>
      </c>
      <c r="D9" s="90">
        <f t="shared" ref="D9:M9" si="1">D6*$B$8</f>
        <v>7905</v>
      </c>
      <c r="E9" s="90">
        <f>E6*$B$8</f>
        <v>10540</v>
      </c>
      <c r="F9" s="90">
        <f t="shared" si="1"/>
        <v>10540</v>
      </c>
      <c r="G9" s="90">
        <f t="shared" si="1"/>
        <v>10540</v>
      </c>
      <c r="H9" s="90">
        <f t="shared" si="1"/>
        <v>10540</v>
      </c>
      <c r="I9" s="90">
        <f t="shared" si="1"/>
        <v>10540</v>
      </c>
      <c r="J9" s="90">
        <f t="shared" si="1"/>
        <v>10540</v>
      </c>
      <c r="K9" s="90">
        <f t="shared" si="1"/>
        <v>10540</v>
      </c>
      <c r="L9" s="90">
        <f t="shared" si="1"/>
        <v>10540</v>
      </c>
      <c r="M9" s="90">
        <f t="shared" si="1"/>
        <v>5270</v>
      </c>
    </row>
    <row r="10" spans="1:14" x14ac:dyDescent="0.2">
      <c r="A10" s="89" t="s">
        <v>229</v>
      </c>
      <c r="B10" s="193">
        <f>SUM(B9:M9)</f>
        <v>108035</v>
      </c>
      <c r="C10" s="91"/>
      <c r="D10" s="91"/>
      <c r="E10" s="91"/>
      <c r="F10" s="91"/>
      <c r="G10" s="91"/>
      <c r="H10" s="91"/>
      <c r="I10" s="91"/>
      <c r="J10" s="91"/>
      <c r="K10" s="91"/>
      <c r="L10" s="91"/>
      <c r="M10" s="91"/>
    </row>
    <row r="11" spans="1:14" x14ac:dyDescent="0.2">
      <c r="A11" s="89" t="s">
        <v>230</v>
      </c>
      <c r="B11" s="193">
        <f>AVERAGE(B9:M9)</f>
        <v>9002.9166666666661</v>
      </c>
      <c r="C11" s="91"/>
      <c r="D11" s="91"/>
      <c r="E11" s="91"/>
      <c r="F11" s="91"/>
      <c r="G11" s="91"/>
      <c r="H11" s="91"/>
      <c r="I11" s="91"/>
      <c r="J11" s="91"/>
      <c r="K11" s="91"/>
      <c r="L11" s="91"/>
      <c r="M11" s="91"/>
    </row>
    <row r="12" spans="1:14" x14ac:dyDescent="0.2">
      <c r="A12" s="179" t="s">
        <v>354</v>
      </c>
      <c r="B12" s="196">
        <f>+N6</f>
        <v>10803.5</v>
      </c>
      <c r="C12" s="91"/>
      <c r="D12" s="91"/>
      <c r="E12" s="91"/>
      <c r="F12" s="91"/>
      <c r="G12" s="91"/>
      <c r="H12" s="91"/>
      <c r="I12" s="91"/>
      <c r="J12" s="91"/>
      <c r="K12" s="91"/>
      <c r="L12" s="91"/>
      <c r="M12" s="91"/>
    </row>
    <row r="13" spans="1:14" x14ac:dyDescent="0.2">
      <c r="A13" s="179" t="s">
        <v>425</v>
      </c>
      <c r="B13" s="196">
        <f>AVERAGE(B6:M6)</f>
        <v>900.29166666666663</v>
      </c>
      <c r="C13" s="61"/>
      <c r="D13" s="61"/>
      <c r="E13" s="61"/>
      <c r="F13" s="61"/>
      <c r="G13" s="61"/>
      <c r="H13" s="61"/>
      <c r="I13" s="61"/>
      <c r="J13" s="93"/>
      <c r="K13" s="61"/>
      <c r="L13" s="61"/>
      <c r="M13" s="61"/>
    </row>
    <row r="14" spans="1:14" ht="12.75" thickBot="1" x14ac:dyDescent="0.25">
      <c r="A14" s="92" t="s">
        <v>379</v>
      </c>
      <c r="B14" s="172">
        <f>+B13/30</f>
        <v>30.009722222222219</v>
      </c>
    </row>
    <row r="18" spans="1:3" x14ac:dyDescent="0.2">
      <c r="A18" s="580" t="s">
        <v>426</v>
      </c>
      <c r="B18" s="580"/>
      <c r="C18" s="228" t="s">
        <v>128</v>
      </c>
    </row>
    <row r="19" spans="1:3" x14ac:dyDescent="0.2">
      <c r="A19" s="214" t="s">
        <v>47</v>
      </c>
      <c r="B19" s="215">
        <f>+N6</f>
        <v>10803.5</v>
      </c>
      <c r="C19" s="216">
        <f>+B19*$B$8</f>
        <v>108035</v>
      </c>
    </row>
    <row r="20" spans="1:3" x14ac:dyDescent="0.2">
      <c r="A20" s="214" t="s">
        <v>48</v>
      </c>
      <c r="B20" s="215">
        <f>B19*(1.05)</f>
        <v>11343.675000000001</v>
      </c>
      <c r="C20" s="216">
        <f t="shared" ref="C20:C23" si="2">+B20*$B$8</f>
        <v>113436.75000000001</v>
      </c>
    </row>
    <row r="21" spans="1:3" x14ac:dyDescent="0.2">
      <c r="A21" s="214" t="s">
        <v>49</v>
      </c>
      <c r="B21" s="215">
        <f t="shared" ref="B21:B23" si="3">B20*(1.05)</f>
        <v>11910.858750000001</v>
      </c>
      <c r="C21" s="216">
        <f t="shared" si="2"/>
        <v>119108.58750000001</v>
      </c>
    </row>
    <row r="22" spans="1:3" x14ac:dyDescent="0.2">
      <c r="A22" s="214" t="s">
        <v>50</v>
      </c>
      <c r="B22" s="215">
        <f t="shared" si="3"/>
        <v>12506.401687500002</v>
      </c>
      <c r="C22" s="216">
        <f t="shared" si="2"/>
        <v>125064.01687500002</v>
      </c>
    </row>
    <row r="23" spans="1:3" x14ac:dyDescent="0.2">
      <c r="A23" s="214" t="s">
        <v>51</v>
      </c>
      <c r="B23" s="215">
        <f t="shared" si="3"/>
        <v>13131.721771875002</v>
      </c>
      <c r="C23" s="216">
        <f t="shared" si="2"/>
        <v>131317.21771875001</v>
      </c>
    </row>
    <row r="24" spans="1:3" x14ac:dyDescent="0.2">
      <c r="B24" s="178"/>
    </row>
  </sheetData>
  <mergeCells count="2">
    <mergeCell ref="A2:M2"/>
    <mergeCell ref="A18:B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showGridLines="0" zoomScaleNormal="100" workbookViewId="0">
      <selection activeCell="A2" sqref="A2:M17"/>
    </sheetView>
  </sheetViews>
  <sheetFormatPr defaultColWidth="9.140625" defaultRowHeight="12" x14ac:dyDescent="0.2"/>
  <cols>
    <col min="1" max="1" width="21.42578125" style="47" bestFit="1" customWidth="1"/>
    <col min="2" max="2" width="15.5703125" style="47" bestFit="1" customWidth="1"/>
    <col min="3" max="3" width="14.85546875" style="47" bestFit="1" customWidth="1"/>
    <col min="4" max="4" width="14.28515625" style="47" bestFit="1" customWidth="1"/>
    <col min="5" max="10" width="14.5703125" style="47" bestFit="1" customWidth="1"/>
    <col min="11" max="12" width="15.5703125" style="47" bestFit="1" customWidth="1"/>
    <col min="13" max="13" width="14.42578125" style="47" bestFit="1" customWidth="1"/>
    <col min="14" max="14" width="9.140625" style="47"/>
    <col min="15" max="15" width="14.140625" style="47" customWidth="1"/>
    <col min="16" max="16384" width="9.140625" style="47"/>
  </cols>
  <sheetData>
    <row r="2" spans="1:16" ht="12.75" thickBot="1" x14ac:dyDescent="0.25">
      <c r="A2" s="581" t="s">
        <v>341</v>
      </c>
      <c r="B2" s="581"/>
      <c r="C2" s="581"/>
      <c r="D2" s="581"/>
      <c r="E2" s="581"/>
      <c r="F2" s="581"/>
      <c r="G2" s="581"/>
      <c r="H2" s="581"/>
      <c r="I2" s="581"/>
      <c r="J2" s="581"/>
      <c r="K2" s="581"/>
      <c r="L2" s="581"/>
      <c r="M2" s="581"/>
      <c r="O2" s="304"/>
    </row>
    <row r="3" spans="1:16" x14ac:dyDescent="0.2">
      <c r="A3" s="94"/>
      <c r="B3" s="82" t="s">
        <v>195</v>
      </c>
      <c r="C3" s="82" t="s">
        <v>196</v>
      </c>
      <c r="D3" s="82" t="s">
        <v>197</v>
      </c>
      <c r="E3" s="82" t="s">
        <v>198</v>
      </c>
      <c r="F3" s="82" t="s">
        <v>199</v>
      </c>
      <c r="G3" s="82" t="s">
        <v>200</v>
      </c>
      <c r="H3" s="82" t="s">
        <v>201</v>
      </c>
      <c r="I3" s="82" t="s">
        <v>202</v>
      </c>
      <c r="J3" s="82" t="s">
        <v>203</v>
      </c>
      <c r="K3" s="82" t="s">
        <v>204</v>
      </c>
      <c r="L3" s="82" t="s">
        <v>205</v>
      </c>
      <c r="M3" s="83" t="s">
        <v>206</v>
      </c>
      <c r="N3" s="122"/>
    </row>
    <row r="4" spans="1:16" ht="12.75" thickBot="1" x14ac:dyDescent="0.25">
      <c r="A4" s="95" t="s">
        <v>128</v>
      </c>
      <c r="B4" s="96">
        <f>INGRESOS!B9</f>
        <v>5270</v>
      </c>
      <c r="C4" s="96">
        <f>INGRESOS!C9</f>
        <v>5270</v>
      </c>
      <c r="D4" s="96">
        <f>INGRESOS!D9</f>
        <v>7905</v>
      </c>
      <c r="E4" s="96">
        <f>INGRESOS!E9</f>
        <v>10540</v>
      </c>
      <c r="F4" s="96">
        <f>INGRESOS!F9</f>
        <v>10540</v>
      </c>
      <c r="G4" s="96">
        <f>INGRESOS!G9</f>
        <v>10540</v>
      </c>
      <c r="H4" s="96">
        <f>INGRESOS!H9</f>
        <v>10540</v>
      </c>
      <c r="I4" s="96">
        <f>INGRESOS!I9</f>
        <v>10540</v>
      </c>
      <c r="J4" s="96">
        <f>INGRESOS!J9</f>
        <v>10540</v>
      </c>
      <c r="K4" s="96">
        <f>INGRESOS!K9</f>
        <v>10540</v>
      </c>
      <c r="L4" s="96">
        <f>INGRESOS!L9</f>
        <v>10540</v>
      </c>
      <c r="M4" s="97">
        <f>INGRESOS!M9</f>
        <v>5270</v>
      </c>
      <c r="N4" s="252"/>
      <c r="O4" s="417">
        <f>SUM(B4:M4)</f>
        <v>108035</v>
      </c>
      <c r="P4" s="252"/>
    </row>
    <row r="5" spans="1:16" x14ac:dyDescent="0.2">
      <c r="A5" s="98" t="s">
        <v>207</v>
      </c>
      <c r="B5" s="99">
        <f>+B4*'FLUJO DE CAJA'!$G$39</f>
        <v>527</v>
      </c>
      <c r="C5" s="99">
        <f>+C4*'FLUJO DE CAJA'!$G$39</f>
        <v>527</v>
      </c>
      <c r="D5" s="99">
        <f>+D4*'FLUJO DE CAJA'!$G$39</f>
        <v>790.5</v>
      </c>
      <c r="E5" s="99">
        <f>+E4*'FLUJO DE CAJA'!$G$39</f>
        <v>1054</v>
      </c>
      <c r="F5" s="99">
        <f>+F4*'FLUJO DE CAJA'!$G$39</f>
        <v>1054</v>
      </c>
      <c r="G5" s="99">
        <f>+G4*'FLUJO DE CAJA'!$G$39</f>
        <v>1054</v>
      </c>
      <c r="H5" s="99">
        <f>+H4*'FLUJO DE CAJA'!$G$39</f>
        <v>1054</v>
      </c>
      <c r="I5" s="99">
        <f>+I4*'FLUJO DE CAJA'!$G$39</f>
        <v>1054</v>
      </c>
      <c r="J5" s="99">
        <f>+J4*'FLUJO DE CAJA'!$G$39</f>
        <v>1054</v>
      </c>
      <c r="K5" s="99">
        <f>+K4*'FLUJO DE CAJA'!$G$39</f>
        <v>1054</v>
      </c>
      <c r="L5" s="99">
        <f>+L4*'FLUJO DE CAJA'!$G$39</f>
        <v>1054</v>
      </c>
      <c r="M5" s="99">
        <f>+M4*'FLUJO DE CAJA'!$G$39</f>
        <v>527</v>
      </c>
      <c r="O5" s="356"/>
    </row>
    <row r="6" spans="1:16" x14ac:dyDescent="0.2">
      <c r="A6" s="84" t="s">
        <v>231</v>
      </c>
      <c r="B6" s="100">
        <f>+SUELDO!$Q$12</f>
        <v>4556.4968305999992</v>
      </c>
      <c r="C6" s="100">
        <f>+SUELDO!$Q$12</f>
        <v>4556.4968305999992</v>
      </c>
      <c r="D6" s="100">
        <f>+SUELDO!$Q$12</f>
        <v>4556.4968305999992</v>
      </c>
      <c r="E6" s="100">
        <f>+SUELDO!$Q$12</f>
        <v>4556.4968305999992</v>
      </c>
      <c r="F6" s="100">
        <f>+SUELDO!$Q$12</f>
        <v>4556.4968305999992</v>
      </c>
      <c r="G6" s="100">
        <f>+SUELDO!$Q$12</f>
        <v>4556.4968305999992</v>
      </c>
      <c r="H6" s="100">
        <f>+SUELDO!$Q$12</f>
        <v>4556.4968305999992</v>
      </c>
      <c r="I6" s="100">
        <f>+SUELDO!$Q$12</f>
        <v>4556.4968305999992</v>
      </c>
      <c r="J6" s="100">
        <f>+SUELDO!$Q$12</f>
        <v>4556.4968305999992</v>
      </c>
      <c r="K6" s="100">
        <f>+SUELDO!$Q$12</f>
        <v>4556.4968305999992</v>
      </c>
      <c r="L6" s="100">
        <f>+SUELDO!$Q$12</f>
        <v>4556.4968305999992</v>
      </c>
      <c r="M6" s="100">
        <f>+SUELDO!$Q$12</f>
        <v>4556.4968305999992</v>
      </c>
      <c r="N6" s="122"/>
    </row>
    <row r="7" spans="1:16" x14ac:dyDescent="0.2">
      <c r="A7" s="84" t="s">
        <v>232</v>
      </c>
      <c r="B7" s="100">
        <f>+GASTOS!$C$20</f>
        <v>505.1</v>
      </c>
      <c r="C7" s="100">
        <f>GASTOS!$C$20</f>
        <v>505.1</v>
      </c>
      <c r="D7" s="100">
        <f>GASTOS!$C$20</f>
        <v>505.1</v>
      </c>
      <c r="E7" s="100">
        <f>GASTOS!$C$20</f>
        <v>505.1</v>
      </c>
      <c r="F7" s="100">
        <f>GASTOS!$C$20</f>
        <v>505.1</v>
      </c>
      <c r="G7" s="100">
        <f>GASTOS!$C$20</f>
        <v>505.1</v>
      </c>
      <c r="H7" s="100">
        <f>GASTOS!$C$20</f>
        <v>505.1</v>
      </c>
      <c r="I7" s="100">
        <f>GASTOS!$C$20</f>
        <v>505.1</v>
      </c>
      <c r="J7" s="100">
        <f>GASTOS!$C$20</f>
        <v>505.1</v>
      </c>
      <c r="K7" s="100">
        <f>GASTOS!$C$20</f>
        <v>505.1</v>
      </c>
      <c r="L7" s="100">
        <f>GASTOS!$C$20</f>
        <v>505.1</v>
      </c>
      <c r="M7" s="101">
        <f>GASTOS!$C$20</f>
        <v>505.1</v>
      </c>
      <c r="N7" s="418"/>
    </row>
    <row r="8" spans="1:16" x14ac:dyDescent="0.2">
      <c r="A8" s="84" t="s">
        <v>102</v>
      </c>
      <c r="B8" s="100">
        <f>GASTOS!$C$8</f>
        <v>295</v>
      </c>
      <c r="C8" s="100">
        <f>GASTOS!$C$8</f>
        <v>295</v>
      </c>
      <c r="D8" s="100">
        <f>GASTOS!$C$8</f>
        <v>295</v>
      </c>
      <c r="E8" s="100">
        <f>GASTOS!$C$8</f>
        <v>295</v>
      </c>
      <c r="F8" s="100">
        <f>GASTOS!$C$8</f>
        <v>295</v>
      </c>
      <c r="G8" s="100">
        <f>GASTOS!$C$8</f>
        <v>295</v>
      </c>
      <c r="H8" s="100">
        <f>GASTOS!$C$8</f>
        <v>295</v>
      </c>
      <c r="I8" s="100">
        <f>GASTOS!$C$8</f>
        <v>295</v>
      </c>
      <c r="J8" s="100">
        <f>GASTOS!$C$8</f>
        <v>295</v>
      </c>
      <c r="K8" s="100">
        <f>GASTOS!$C$8</f>
        <v>295</v>
      </c>
      <c r="L8" s="100">
        <f>GASTOS!$C$8</f>
        <v>295</v>
      </c>
      <c r="M8" s="101">
        <f>GASTOS!$C$8</f>
        <v>295</v>
      </c>
      <c r="N8" s="418"/>
    </row>
    <row r="9" spans="1:16" x14ac:dyDescent="0.2">
      <c r="A9" s="84" t="s">
        <v>208</v>
      </c>
      <c r="B9" s="202">
        <f>GASTOS!$D$41+GASTOS!D35</f>
        <v>1425</v>
      </c>
      <c r="C9" s="100">
        <f>GASTOS!$D$41</f>
        <v>145</v>
      </c>
      <c r="D9" s="100">
        <f>GASTOS!$D$41</f>
        <v>145</v>
      </c>
      <c r="E9" s="100">
        <f>GASTOS!$D$41</f>
        <v>145</v>
      </c>
      <c r="F9" s="100">
        <f>GASTOS!$D$41</f>
        <v>145</v>
      </c>
      <c r="G9" s="100">
        <f>GASTOS!$D$41</f>
        <v>145</v>
      </c>
      <c r="H9" s="100">
        <f>GASTOS!$D$41</f>
        <v>145</v>
      </c>
      <c r="I9" s="100">
        <f>GASTOS!$D$41</f>
        <v>145</v>
      </c>
      <c r="J9" s="100">
        <f>GASTOS!$D$41</f>
        <v>145</v>
      </c>
      <c r="K9" s="100">
        <f>GASTOS!$D$41</f>
        <v>145</v>
      </c>
      <c r="L9" s="100">
        <f>GASTOS!$D$41</f>
        <v>145</v>
      </c>
      <c r="M9" s="101">
        <f>GASTOS!$D$41</f>
        <v>145</v>
      </c>
      <c r="N9" s="418"/>
    </row>
    <row r="10" spans="1:16" ht="12.75" thickBot="1" x14ac:dyDescent="0.25">
      <c r="A10" s="102" t="s">
        <v>234</v>
      </c>
      <c r="B10" s="103">
        <f>GASTOS!$C$26</f>
        <v>650</v>
      </c>
      <c r="C10" s="103">
        <f>GASTOS!$C$26</f>
        <v>650</v>
      </c>
      <c r="D10" s="103">
        <f>GASTOS!$C$26</f>
        <v>650</v>
      </c>
      <c r="E10" s="103">
        <f>GASTOS!$C$26</f>
        <v>650</v>
      </c>
      <c r="F10" s="103">
        <f>GASTOS!$C$26</f>
        <v>650</v>
      </c>
      <c r="G10" s="103">
        <f>GASTOS!$C$26</f>
        <v>650</v>
      </c>
      <c r="H10" s="103">
        <f>GASTOS!$C$26</f>
        <v>650</v>
      </c>
      <c r="I10" s="103">
        <f>GASTOS!$C$26</f>
        <v>650</v>
      </c>
      <c r="J10" s="103">
        <f>GASTOS!$C$26</f>
        <v>650</v>
      </c>
      <c r="K10" s="103">
        <f>GASTOS!$C$26</f>
        <v>650</v>
      </c>
      <c r="L10" s="103">
        <f>GASTOS!$C$26</f>
        <v>650</v>
      </c>
      <c r="M10" s="104">
        <f>GASTOS!$C$26</f>
        <v>650</v>
      </c>
      <c r="N10" s="419"/>
    </row>
    <row r="11" spans="1:16" ht="12.75" thickBot="1" x14ac:dyDescent="0.25">
      <c r="A11" s="105" t="s">
        <v>209</v>
      </c>
      <c r="B11" s="106">
        <f>SUM(B5:B10)</f>
        <v>7958.5968305999995</v>
      </c>
      <c r="C11" s="106">
        <f t="shared" ref="C11:M11" si="0">SUM(C5:C10)</f>
        <v>6678.5968305999995</v>
      </c>
      <c r="D11" s="106">
        <f t="shared" si="0"/>
        <v>6942.0968305999995</v>
      </c>
      <c r="E11" s="106">
        <f t="shared" si="0"/>
        <v>7205.5968305999995</v>
      </c>
      <c r="F11" s="106">
        <f t="shared" si="0"/>
        <v>7205.5968305999995</v>
      </c>
      <c r="G11" s="106">
        <f t="shared" si="0"/>
        <v>7205.5968305999995</v>
      </c>
      <c r="H11" s="106">
        <f t="shared" si="0"/>
        <v>7205.5968305999995</v>
      </c>
      <c r="I11" s="106">
        <f t="shared" si="0"/>
        <v>7205.5968305999995</v>
      </c>
      <c r="J11" s="106">
        <f t="shared" si="0"/>
        <v>7205.5968305999995</v>
      </c>
      <c r="K11" s="106">
        <f t="shared" si="0"/>
        <v>7205.5968305999995</v>
      </c>
      <c r="L11" s="106">
        <f t="shared" si="0"/>
        <v>7205.5968305999995</v>
      </c>
      <c r="M11" s="107">
        <f t="shared" si="0"/>
        <v>6678.5968305999995</v>
      </c>
      <c r="N11" s="252"/>
      <c r="O11" s="356"/>
      <c r="P11" s="252"/>
    </row>
    <row r="12" spans="1:16" ht="12.75" thickBot="1" x14ac:dyDescent="0.25">
      <c r="A12" s="250"/>
      <c r="B12" s="61"/>
      <c r="C12" s="61"/>
      <c r="D12" s="61"/>
      <c r="E12" s="61"/>
      <c r="F12" s="61"/>
      <c r="G12" s="61"/>
      <c r="H12" s="61"/>
      <c r="I12" s="61"/>
      <c r="J12" s="61"/>
      <c r="K12" s="61"/>
      <c r="L12" s="61"/>
      <c r="M12" s="251"/>
      <c r="N12" s="122"/>
    </row>
    <row r="13" spans="1:16" x14ac:dyDescent="0.2">
      <c r="A13" s="88" t="s">
        <v>210</v>
      </c>
      <c r="B13" s="108">
        <f t="shared" ref="B13:M13" si="1">B4-B11</f>
        <v>-2688.5968305999995</v>
      </c>
      <c r="C13" s="108">
        <f t="shared" si="1"/>
        <v>-1408.5968305999995</v>
      </c>
      <c r="D13" s="108">
        <f t="shared" si="1"/>
        <v>962.90316940000048</v>
      </c>
      <c r="E13" s="108">
        <f t="shared" si="1"/>
        <v>3334.4031694000005</v>
      </c>
      <c r="F13" s="108">
        <f t="shared" si="1"/>
        <v>3334.4031694000005</v>
      </c>
      <c r="G13" s="108">
        <f t="shared" si="1"/>
        <v>3334.4031694000005</v>
      </c>
      <c r="H13" s="108">
        <f t="shared" si="1"/>
        <v>3334.4031694000005</v>
      </c>
      <c r="I13" s="108">
        <f t="shared" si="1"/>
        <v>3334.4031694000005</v>
      </c>
      <c r="J13" s="108">
        <f t="shared" si="1"/>
        <v>3334.4031694000005</v>
      </c>
      <c r="K13" s="108">
        <f t="shared" si="1"/>
        <v>3334.4031694000005</v>
      </c>
      <c r="L13" s="108">
        <f t="shared" si="1"/>
        <v>3334.4031694000005</v>
      </c>
      <c r="M13" s="109">
        <f t="shared" si="1"/>
        <v>-1408.5968305999995</v>
      </c>
      <c r="N13" s="420"/>
      <c r="O13" s="421"/>
      <c r="P13" s="421"/>
    </row>
    <row r="14" spans="1:16" ht="12.75" thickBot="1" x14ac:dyDescent="0.25">
      <c r="A14" s="110" t="s">
        <v>211</v>
      </c>
      <c r="B14" s="111">
        <f>B13</f>
        <v>-2688.5968305999995</v>
      </c>
      <c r="C14" s="111">
        <f t="shared" ref="C14:M14" si="2">B14+C13</f>
        <v>-4097.193661199999</v>
      </c>
      <c r="D14" s="111">
        <f>C14+D13</f>
        <v>-3134.2904917999986</v>
      </c>
      <c r="E14" s="111">
        <f t="shared" si="2"/>
        <v>200.11267760000192</v>
      </c>
      <c r="F14" s="111">
        <f t="shared" si="2"/>
        <v>3534.5158470000024</v>
      </c>
      <c r="G14" s="111">
        <f t="shared" si="2"/>
        <v>6868.9190164000029</v>
      </c>
      <c r="H14" s="111">
        <f t="shared" si="2"/>
        <v>10203.322185800003</v>
      </c>
      <c r="I14" s="111">
        <f t="shared" si="2"/>
        <v>13537.725355200004</v>
      </c>
      <c r="J14" s="111">
        <f t="shared" si="2"/>
        <v>16872.128524600004</v>
      </c>
      <c r="K14" s="111">
        <f t="shared" si="2"/>
        <v>20206.531694000005</v>
      </c>
      <c r="L14" s="111">
        <f t="shared" si="2"/>
        <v>23540.934863400005</v>
      </c>
      <c r="M14" s="112">
        <f t="shared" si="2"/>
        <v>22132.338032800006</v>
      </c>
      <c r="N14" s="422"/>
      <c r="O14" s="252"/>
      <c r="P14" s="252"/>
    </row>
    <row r="17" spans="1:16" x14ac:dyDescent="0.2">
      <c r="A17" s="113" t="s">
        <v>212</v>
      </c>
      <c r="B17" s="114">
        <f>+C14</f>
        <v>-4097.193661199999</v>
      </c>
      <c r="C17" s="252"/>
      <c r="D17" s="252"/>
      <c r="E17" s="252"/>
      <c r="F17" s="252"/>
      <c r="G17" s="252"/>
      <c r="H17" s="252"/>
      <c r="I17" s="252"/>
      <c r="J17" s="252"/>
      <c r="K17" s="252"/>
      <c r="L17" s="252"/>
      <c r="M17" s="252"/>
      <c r="N17" s="252"/>
      <c r="O17" s="252"/>
      <c r="P17" s="252"/>
    </row>
    <row r="20" spans="1:16" x14ac:dyDescent="0.2">
      <c r="E20" s="80"/>
      <c r="F20" s="80"/>
      <c r="G20" s="122"/>
      <c r="H20" s="122"/>
      <c r="I20" s="122"/>
    </row>
    <row r="21" spans="1:16" x14ac:dyDescent="0.2">
      <c r="D21" s="423"/>
      <c r="E21" s="80"/>
      <c r="F21" s="80"/>
      <c r="G21" s="122"/>
      <c r="H21" s="122"/>
      <c r="I21" s="122"/>
    </row>
    <row r="22" spans="1:16" x14ac:dyDescent="0.2">
      <c r="E22" s="424"/>
      <c r="F22" s="424"/>
      <c r="G22" s="122"/>
      <c r="H22" s="122"/>
      <c r="I22" s="122"/>
    </row>
    <row r="23" spans="1:16" x14ac:dyDescent="0.2">
      <c r="E23" s="424"/>
      <c r="F23" s="424"/>
      <c r="G23" s="122"/>
      <c r="H23" s="122"/>
      <c r="I23" s="122"/>
    </row>
    <row r="24" spans="1:16" x14ac:dyDescent="0.2">
      <c r="E24" s="424"/>
      <c r="F24" s="424"/>
      <c r="G24" s="122"/>
      <c r="H24" s="122"/>
      <c r="I24" s="122"/>
    </row>
    <row r="25" spans="1:16" x14ac:dyDescent="0.2">
      <c r="E25" s="424"/>
      <c r="F25" s="424"/>
      <c r="G25" s="122"/>
      <c r="H25" s="122"/>
      <c r="I25" s="122"/>
    </row>
    <row r="26" spans="1:16" x14ac:dyDescent="0.2">
      <c r="E26" s="424"/>
      <c r="F26" s="424"/>
      <c r="G26" s="122"/>
      <c r="H26" s="122"/>
      <c r="I26" s="122"/>
    </row>
  </sheetData>
  <mergeCells count="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70"/>
  <sheetViews>
    <sheetView showGridLines="0" topLeftCell="A45" zoomScaleNormal="100" workbookViewId="0">
      <selection activeCell="D72" sqref="D72"/>
    </sheetView>
  </sheetViews>
  <sheetFormatPr defaultColWidth="11.42578125" defaultRowHeight="12" x14ac:dyDescent="0.2"/>
  <cols>
    <col min="1" max="2" width="11.42578125" style="47"/>
    <col min="3" max="3" width="33.85546875" style="47" bestFit="1" customWidth="1"/>
    <col min="4" max="4" width="16.140625" style="47" customWidth="1"/>
    <col min="5" max="5" width="11.42578125" style="47"/>
    <col min="6" max="6" width="21.42578125" style="47" customWidth="1"/>
    <col min="7" max="7" width="11.42578125" style="47"/>
    <col min="8" max="8" width="20.28515625" style="47" customWidth="1"/>
    <col min="9" max="9" width="18.42578125" style="47" customWidth="1"/>
    <col min="10" max="10" width="11.140625" style="47" customWidth="1"/>
    <col min="11" max="11" width="18.42578125" style="47" customWidth="1"/>
    <col min="12" max="12" width="24" style="47" customWidth="1"/>
    <col min="13" max="16384" width="11.42578125" style="47"/>
  </cols>
  <sheetData>
    <row r="1" spans="5:15" x14ac:dyDescent="0.2">
      <c r="G1" s="61"/>
      <c r="H1" s="61"/>
      <c r="I1" s="61"/>
      <c r="K1" s="61"/>
    </row>
    <row r="2" spans="5:15" x14ac:dyDescent="0.2">
      <c r="E2" s="588" t="s">
        <v>135</v>
      </c>
      <c r="F2" s="589"/>
      <c r="G2" s="589"/>
      <c r="H2" s="589"/>
      <c r="I2" s="589"/>
      <c r="J2" s="590"/>
      <c r="K2" s="232"/>
    </row>
    <row r="3" spans="5:15" x14ac:dyDescent="0.2">
      <c r="E3" s="591" t="s">
        <v>136</v>
      </c>
      <c r="F3" s="591"/>
      <c r="G3" s="505" t="s">
        <v>67</v>
      </c>
      <c r="H3" s="505" t="s">
        <v>137</v>
      </c>
      <c r="I3" s="505" t="s">
        <v>138</v>
      </c>
      <c r="J3" s="505" t="s">
        <v>139</v>
      </c>
      <c r="K3" s="199"/>
    </row>
    <row r="4" spans="5:15" x14ac:dyDescent="0.2">
      <c r="E4" s="592" t="s">
        <v>423</v>
      </c>
      <c r="F4" s="592"/>
      <c r="G4" s="48">
        <v>1</v>
      </c>
      <c r="H4" s="48">
        <v>18500</v>
      </c>
      <c r="I4" s="48">
        <f>G4*H4</f>
        <v>18500</v>
      </c>
      <c r="J4" s="48">
        <v>5</v>
      </c>
      <c r="K4" s="231"/>
    </row>
    <row r="5" spans="5:15" x14ac:dyDescent="0.2">
      <c r="E5" s="592" t="s">
        <v>141</v>
      </c>
      <c r="F5" s="592"/>
      <c r="G5" s="48">
        <v>5</v>
      </c>
      <c r="H5" s="48">
        <v>960</v>
      </c>
      <c r="I5" s="48">
        <f>G5*H5</f>
        <v>4800</v>
      </c>
      <c r="J5" s="48">
        <v>3</v>
      </c>
      <c r="K5" s="231"/>
    </row>
    <row r="6" spans="5:15" x14ac:dyDescent="0.2">
      <c r="E6" s="592" t="s">
        <v>142</v>
      </c>
      <c r="F6" s="592"/>
      <c r="G6" s="48"/>
      <c r="H6" s="48"/>
      <c r="I6" s="48">
        <v>250</v>
      </c>
      <c r="J6" s="48"/>
      <c r="K6" s="231"/>
    </row>
    <row r="7" spans="5:15" x14ac:dyDescent="0.2">
      <c r="G7" s="601" t="s">
        <v>143</v>
      </c>
      <c r="H7" s="601"/>
      <c r="I7" s="115">
        <f>SUM(I4:I6)</f>
        <v>23550</v>
      </c>
    </row>
    <row r="8" spans="5:15" x14ac:dyDescent="0.2">
      <c r="G8" s="61"/>
      <c r="H8" s="61"/>
      <c r="I8" s="61"/>
    </row>
    <row r="9" spans="5:15" x14ac:dyDescent="0.2">
      <c r="G9" s="61"/>
      <c r="H9" s="61"/>
      <c r="I9" s="61"/>
    </row>
    <row r="10" spans="5:15" x14ac:dyDescent="0.2">
      <c r="F10" s="604" t="s">
        <v>153</v>
      </c>
      <c r="G10" s="604"/>
      <c r="H10" s="604"/>
      <c r="I10" s="604"/>
      <c r="L10" s="582"/>
      <c r="M10" s="582"/>
      <c r="N10" s="582"/>
      <c r="O10" s="582"/>
    </row>
    <row r="11" spans="5:15" x14ac:dyDescent="0.2">
      <c r="F11" s="505" t="s">
        <v>154</v>
      </c>
      <c r="G11" s="505" t="s">
        <v>67</v>
      </c>
      <c r="H11" s="505" t="s">
        <v>137</v>
      </c>
      <c r="I11" s="505" t="s">
        <v>138</v>
      </c>
      <c r="L11" s="116"/>
      <c r="M11" s="116"/>
      <c r="N11" s="116"/>
      <c r="O11" s="116"/>
    </row>
    <row r="12" spans="5:15" x14ac:dyDescent="0.2">
      <c r="F12" s="117" t="s">
        <v>155</v>
      </c>
      <c r="G12" s="48">
        <v>1</v>
      </c>
      <c r="H12" s="48">
        <v>800</v>
      </c>
      <c r="I12" s="48">
        <f>G12*H12</f>
        <v>800</v>
      </c>
      <c r="L12" s="116"/>
      <c r="M12" s="118"/>
      <c r="N12" s="119"/>
      <c r="O12" s="119"/>
    </row>
    <row r="13" spans="5:15" x14ac:dyDescent="0.2">
      <c r="F13" s="117" t="s">
        <v>156</v>
      </c>
      <c r="G13" s="48">
        <v>3</v>
      </c>
      <c r="H13" s="48">
        <v>450</v>
      </c>
      <c r="I13" s="48">
        <f>G13*H13</f>
        <v>1350</v>
      </c>
      <c r="L13" s="116"/>
      <c r="M13" s="118"/>
      <c r="N13" s="118"/>
      <c r="O13" s="119"/>
    </row>
    <row r="14" spans="5:15" x14ac:dyDescent="0.2">
      <c r="F14" s="117" t="s">
        <v>157</v>
      </c>
      <c r="G14" s="48">
        <v>4</v>
      </c>
      <c r="H14" s="48">
        <v>625</v>
      </c>
      <c r="I14" s="48">
        <f>G14*H14</f>
        <v>2500</v>
      </c>
      <c r="L14" s="116"/>
      <c r="M14" s="118"/>
      <c r="N14" s="118"/>
      <c r="O14" s="119"/>
    </row>
    <row r="15" spans="5:15" x14ac:dyDescent="0.2">
      <c r="F15" s="61"/>
      <c r="G15" s="120" t="s">
        <v>339</v>
      </c>
      <c r="H15" s="115">
        <f>SUM(H12:H14)</f>
        <v>1875</v>
      </c>
      <c r="I15" s="115">
        <f>SUM(I12:I14)</f>
        <v>4650</v>
      </c>
      <c r="L15" s="121"/>
      <c r="M15" s="122"/>
      <c r="N15" s="122"/>
      <c r="O15" s="122"/>
    </row>
    <row r="16" spans="5:15" x14ac:dyDescent="0.2">
      <c r="L16" s="116"/>
      <c r="M16" s="118"/>
      <c r="N16" s="122"/>
      <c r="O16" s="122"/>
    </row>
    <row r="17" spans="6:15" ht="12.75" thickBot="1" x14ac:dyDescent="0.25">
      <c r="L17" s="122"/>
      <c r="M17" s="122"/>
      <c r="N17" s="122"/>
      <c r="O17" s="122"/>
    </row>
    <row r="18" spans="6:15" x14ac:dyDescent="0.2">
      <c r="F18" s="583" t="s">
        <v>194</v>
      </c>
      <c r="G18" s="584"/>
      <c r="H18" s="584"/>
      <c r="I18" s="584"/>
      <c r="J18" s="585"/>
      <c r="L18" s="582"/>
      <c r="M18" s="582"/>
      <c r="N18" s="582"/>
      <c r="O18" s="582"/>
    </row>
    <row r="19" spans="6:15" x14ac:dyDescent="0.2">
      <c r="F19" s="595" t="s">
        <v>342</v>
      </c>
      <c r="G19" s="591"/>
      <c r="H19" s="505" t="s">
        <v>67</v>
      </c>
      <c r="I19" s="505" t="s">
        <v>137</v>
      </c>
      <c r="J19" s="506" t="s">
        <v>138</v>
      </c>
      <c r="L19" s="123"/>
      <c r="M19" s="123"/>
      <c r="N19" s="123"/>
      <c r="O19" s="123"/>
    </row>
    <row r="20" spans="6:15" x14ac:dyDescent="0.2">
      <c r="F20" s="599" t="s">
        <v>144</v>
      </c>
      <c r="G20" s="600"/>
      <c r="H20" s="124">
        <v>4</v>
      </c>
      <c r="I20" s="124">
        <v>430</v>
      </c>
      <c r="J20" s="159">
        <f t="shared" ref="J20:J37" si="0">H20*I20</f>
        <v>1720</v>
      </c>
      <c r="L20" s="123"/>
      <c r="M20" s="125"/>
      <c r="N20" s="125"/>
      <c r="O20" s="126"/>
    </row>
    <row r="21" spans="6:15" x14ac:dyDescent="0.2">
      <c r="F21" s="599" t="s">
        <v>158</v>
      </c>
      <c r="G21" s="600"/>
      <c r="H21" s="124">
        <v>1</v>
      </c>
      <c r="I21" s="127">
        <v>441</v>
      </c>
      <c r="J21" s="159">
        <f>H21*I21</f>
        <v>441</v>
      </c>
      <c r="L21" s="125"/>
      <c r="M21" s="122"/>
      <c r="N21" s="126"/>
      <c r="O21" s="126"/>
    </row>
    <row r="22" spans="6:15" x14ac:dyDescent="0.2">
      <c r="F22" s="160"/>
      <c r="G22" s="157"/>
      <c r="H22" s="229" t="s">
        <v>339</v>
      </c>
      <c r="I22" s="158">
        <f>SUM(I20:I21)</f>
        <v>871</v>
      </c>
      <c r="J22" s="161">
        <f>SUM(J20:J21)</f>
        <v>2161</v>
      </c>
      <c r="L22" s="125"/>
      <c r="M22" s="122"/>
      <c r="N22" s="126"/>
      <c r="O22" s="126"/>
    </row>
    <row r="23" spans="6:15" x14ac:dyDescent="0.2">
      <c r="F23" s="162"/>
      <c r="G23" s="156"/>
      <c r="H23" s="154"/>
      <c r="I23" s="155"/>
      <c r="J23" s="163"/>
      <c r="L23" s="125"/>
      <c r="M23" s="122"/>
      <c r="N23" s="126"/>
      <c r="O23" s="126"/>
    </row>
    <row r="24" spans="6:15" x14ac:dyDescent="0.2">
      <c r="F24" s="595" t="s">
        <v>343</v>
      </c>
      <c r="G24" s="591"/>
      <c r="H24" s="505" t="s">
        <v>67</v>
      </c>
      <c r="I24" s="505" t="s">
        <v>137</v>
      </c>
      <c r="J24" s="506" t="s">
        <v>138</v>
      </c>
      <c r="L24" s="125"/>
      <c r="M24" s="122"/>
      <c r="N24" s="126"/>
      <c r="O24" s="126"/>
    </row>
    <row r="25" spans="6:15" x14ac:dyDescent="0.2">
      <c r="F25" s="599" t="s">
        <v>35</v>
      </c>
      <c r="G25" s="600"/>
      <c r="H25" s="124">
        <v>3</v>
      </c>
      <c r="I25" s="124">
        <v>50</v>
      </c>
      <c r="J25" s="159">
        <f t="shared" si="0"/>
        <v>150</v>
      </c>
      <c r="L25" s="125"/>
      <c r="M25" s="122"/>
      <c r="N25" s="125"/>
      <c r="O25" s="125"/>
    </row>
    <row r="26" spans="6:15" x14ac:dyDescent="0.2">
      <c r="F26" s="599" t="s">
        <v>145</v>
      </c>
      <c r="G26" s="600"/>
      <c r="H26" s="124">
        <v>7</v>
      </c>
      <c r="I26" s="124">
        <v>75</v>
      </c>
      <c r="J26" s="159">
        <f t="shared" si="0"/>
        <v>525</v>
      </c>
      <c r="L26" s="125"/>
      <c r="M26" s="122"/>
      <c r="N26" s="125"/>
      <c r="O26" s="125"/>
    </row>
    <row r="27" spans="6:15" x14ac:dyDescent="0.2">
      <c r="F27" s="599" t="s">
        <v>151</v>
      </c>
      <c r="G27" s="600"/>
      <c r="H27" s="128">
        <v>1</v>
      </c>
      <c r="I27" s="124">
        <v>400</v>
      </c>
      <c r="J27" s="159">
        <f>H27*I27</f>
        <v>400</v>
      </c>
      <c r="L27" s="125"/>
      <c r="M27" s="122"/>
      <c r="N27" s="125"/>
      <c r="O27" s="125"/>
    </row>
    <row r="28" spans="6:15" x14ac:dyDescent="0.2">
      <c r="F28" s="599" t="s">
        <v>152</v>
      </c>
      <c r="G28" s="600"/>
      <c r="H28" s="128">
        <v>1</v>
      </c>
      <c r="I28" s="124">
        <v>600</v>
      </c>
      <c r="J28" s="159">
        <f>H28*I28</f>
        <v>600</v>
      </c>
      <c r="L28" s="125"/>
      <c r="M28" s="122"/>
      <c r="N28" s="125"/>
      <c r="O28" s="125"/>
    </row>
    <row r="29" spans="6:15" x14ac:dyDescent="0.2">
      <c r="F29" s="160"/>
      <c r="G29" s="157"/>
      <c r="H29" s="229" t="s">
        <v>339</v>
      </c>
      <c r="I29" s="158">
        <f>SUM(I25:I28)</f>
        <v>1125</v>
      </c>
      <c r="J29" s="161">
        <f>SUM(J25:J28)</f>
        <v>1675</v>
      </c>
      <c r="L29" s="125"/>
      <c r="M29" s="122"/>
      <c r="N29" s="125"/>
      <c r="O29" s="125"/>
    </row>
    <row r="30" spans="6:15" x14ac:dyDescent="0.2">
      <c r="F30" s="162"/>
      <c r="G30" s="156"/>
      <c r="H30" s="154"/>
      <c r="I30" s="155"/>
      <c r="J30" s="163"/>
      <c r="L30" s="125"/>
      <c r="M30" s="122"/>
      <c r="N30" s="125"/>
      <c r="O30" s="125"/>
    </row>
    <row r="31" spans="6:15" x14ac:dyDescent="0.2">
      <c r="F31" s="595" t="s">
        <v>344</v>
      </c>
      <c r="G31" s="591"/>
      <c r="H31" s="505" t="s">
        <v>67</v>
      </c>
      <c r="I31" s="505" t="s">
        <v>137</v>
      </c>
      <c r="J31" s="506" t="s">
        <v>138</v>
      </c>
      <c r="L31" s="125"/>
      <c r="M31" s="122"/>
      <c r="N31" s="125"/>
      <c r="O31" s="125"/>
    </row>
    <row r="32" spans="6:15" x14ac:dyDescent="0.2">
      <c r="F32" s="599" t="s">
        <v>146</v>
      </c>
      <c r="G32" s="600"/>
      <c r="H32" s="124">
        <v>4</v>
      </c>
      <c r="I32" s="124">
        <v>200</v>
      </c>
      <c r="J32" s="159">
        <f t="shared" si="0"/>
        <v>800</v>
      </c>
      <c r="L32" s="123"/>
      <c r="M32" s="169"/>
      <c r="N32" s="125"/>
      <c r="O32" s="126"/>
    </row>
    <row r="33" spans="3:15" x14ac:dyDescent="0.2">
      <c r="F33" s="586" t="s">
        <v>340</v>
      </c>
      <c r="G33" s="587"/>
      <c r="H33" s="124">
        <v>1</v>
      </c>
      <c r="I33" s="124">
        <v>600</v>
      </c>
      <c r="J33" s="159">
        <f t="shared" si="0"/>
        <v>600</v>
      </c>
      <c r="L33" s="123"/>
      <c r="M33" s="125"/>
      <c r="N33" s="125"/>
      <c r="O33" s="126"/>
    </row>
    <row r="34" spans="3:15" x14ac:dyDescent="0.2">
      <c r="F34" s="599" t="s">
        <v>147</v>
      </c>
      <c r="G34" s="600"/>
      <c r="H34" s="124">
        <v>6</v>
      </c>
      <c r="I34" s="124">
        <v>40</v>
      </c>
      <c r="J34" s="159">
        <f t="shared" si="0"/>
        <v>240</v>
      </c>
      <c r="L34" s="123"/>
      <c r="M34" s="125"/>
      <c r="N34" s="125"/>
      <c r="O34" s="125"/>
    </row>
    <row r="35" spans="3:15" x14ac:dyDescent="0.2">
      <c r="F35" s="599" t="s">
        <v>148</v>
      </c>
      <c r="G35" s="600"/>
      <c r="H35" s="124">
        <v>4</v>
      </c>
      <c r="I35" s="124">
        <v>50</v>
      </c>
      <c r="J35" s="159">
        <f t="shared" si="0"/>
        <v>200</v>
      </c>
      <c r="L35" s="123"/>
      <c r="M35" s="125"/>
      <c r="N35" s="125"/>
      <c r="O35" s="125"/>
    </row>
    <row r="36" spans="3:15" x14ac:dyDescent="0.2">
      <c r="F36" s="599" t="s">
        <v>149</v>
      </c>
      <c r="G36" s="600"/>
      <c r="H36" s="124">
        <v>1</v>
      </c>
      <c r="I36" s="124">
        <v>150</v>
      </c>
      <c r="J36" s="159">
        <f t="shared" si="0"/>
        <v>150</v>
      </c>
      <c r="L36" s="123"/>
      <c r="M36" s="125"/>
      <c r="N36" s="125"/>
      <c r="O36" s="125"/>
    </row>
    <row r="37" spans="3:15" x14ac:dyDescent="0.2">
      <c r="F37" s="599" t="s">
        <v>150</v>
      </c>
      <c r="G37" s="600"/>
      <c r="H37" s="124">
        <v>1</v>
      </c>
      <c r="I37" s="124">
        <v>250</v>
      </c>
      <c r="J37" s="159">
        <f t="shared" si="0"/>
        <v>250</v>
      </c>
      <c r="L37" s="123"/>
      <c r="M37" s="125"/>
      <c r="N37" s="125"/>
      <c r="O37" s="125"/>
    </row>
    <row r="38" spans="3:15" x14ac:dyDescent="0.2">
      <c r="F38" s="164"/>
      <c r="G38" s="61"/>
      <c r="H38" s="229" t="s">
        <v>339</v>
      </c>
      <c r="I38" s="158">
        <f>SUM(I32:I37)</f>
        <v>1290</v>
      </c>
      <c r="J38" s="161">
        <f>SUM(J32:J37)</f>
        <v>2240</v>
      </c>
      <c r="L38" s="123"/>
      <c r="M38" s="125"/>
      <c r="N38" s="125"/>
      <c r="O38" s="125"/>
    </row>
    <row r="39" spans="3:15" ht="5.25" customHeight="1" thickBot="1" x14ac:dyDescent="0.25">
      <c r="F39" s="164"/>
      <c r="G39" s="61"/>
      <c r="H39" s="61"/>
      <c r="I39" s="61"/>
      <c r="J39" s="165"/>
      <c r="L39" s="123"/>
      <c r="M39" s="125"/>
      <c r="N39" s="125"/>
      <c r="O39" s="125"/>
    </row>
    <row r="40" spans="3:15" ht="15" customHeight="1" thickBot="1" x14ac:dyDescent="0.25">
      <c r="F40" s="596" t="s">
        <v>339</v>
      </c>
      <c r="G40" s="597"/>
      <c r="H40" s="598"/>
      <c r="I40" s="166">
        <f>+I38+I29+I22</f>
        <v>3286</v>
      </c>
      <c r="J40" s="167">
        <f>+J38+J29+J22</f>
        <v>6076</v>
      </c>
      <c r="L40" s="123"/>
      <c r="M40" s="125"/>
      <c r="N40" s="125"/>
      <c r="O40" s="125"/>
    </row>
    <row r="42" spans="3:15" ht="12.75" thickBot="1" x14ac:dyDescent="0.25"/>
    <row r="43" spans="3:15" ht="15.75" customHeight="1" x14ac:dyDescent="0.2">
      <c r="C43" s="602" t="s">
        <v>159</v>
      </c>
      <c r="D43" s="603"/>
      <c r="F43" s="593" t="s">
        <v>160</v>
      </c>
      <c r="G43" s="594"/>
      <c r="I43" s="602" t="s">
        <v>161</v>
      </c>
      <c r="J43" s="603"/>
    </row>
    <row r="44" spans="3:15" x14ac:dyDescent="0.2">
      <c r="C44" s="129" t="s">
        <v>162</v>
      </c>
      <c r="D44" s="130">
        <v>0</v>
      </c>
      <c r="F44" s="129" t="s">
        <v>163</v>
      </c>
      <c r="G44" s="175">
        <f>SUM(G45:G47)</f>
        <v>881.25</v>
      </c>
      <c r="I44" s="416" t="s">
        <v>164</v>
      </c>
      <c r="J44" s="168">
        <v>250</v>
      </c>
    </row>
    <row r="45" spans="3:15" x14ac:dyDescent="0.2">
      <c r="C45" s="84" t="s">
        <v>165</v>
      </c>
      <c r="D45" s="171">
        <v>0</v>
      </c>
      <c r="F45" s="84" t="s">
        <v>166</v>
      </c>
      <c r="G45" s="168">
        <f>+(I5+I6)*0.5%</f>
        <v>25.25</v>
      </c>
      <c r="I45" s="416" t="s">
        <v>167</v>
      </c>
      <c r="J45" s="168">
        <v>70</v>
      </c>
    </row>
    <row r="46" spans="3:15" x14ac:dyDescent="0.2">
      <c r="C46" s="84" t="s">
        <v>168</v>
      </c>
      <c r="D46" s="171">
        <v>0</v>
      </c>
      <c r="F46" s="84" t="s">
        <v>169</v>
      </c>
      <c r="G46" s="168">
        <f>+(I5+I6)*D49</f>
        <v>606</v>
      </c>
      <c r="I46" s="416" t="s">
        <v>170</v>
      </c>
      <c r="J46" s="168">
        <v>200</v>
      </c>
    </row>
    <row r="47" spans="3:15" ht="12.75" thickBot="1" x14ac:dyDescent="0.25">
      <c r="C47" s="84" t="s">
        <v>171</v>
      </c>
      <c r="D47" s="171">
        <v>5.0000000000000001E-3</v>
      </c>
      <c r="F47" s="87" t="s">
        <v>172</v>
      </c>
      <c r="G47" s="170">
        <v>250</v>
      </c>
      <c r="I47" s="416" t="s">
        <v>173</v>
      </c>
      <c r="J47" s="168">
        <v>250</v>
      </c>
    </row>
    <row r="48" spans="3:15" ht="12.75" thickBot="1" x14ac:dyDescent="0.25">
      <c r="C48" s="84" t="s">
        <v>174</v>
      </c>
      <c r="D48" s="171">
        <v>0</v>
      </c>
      <c r="G48" s="78"/>
      <c r="I48" s="416" t="s">
        <v>175</v>
      </c>
      <c r="J48" s="168">
        <v>0</v>
      </c>
    </row>
    <row r="49" spans="3:10" x14ac:dyDescent="0.2">
      <c r="C49" s="84" t="s">
        <v>176</v>
      </c>
      <c r="D49" s="171">
        <v>0.12</v>
      </c>
      <c r="F49" s="593" t="s">
        <v>560</v>
      </c>
      <c r="G49" s="594"/>
      <c r="I49" s="416" t="s">
        <v>178</v>
      </c>
      <c r="J49" s="168">
        <v>100</v>
      </c>
    </row>
    <row r="50" spans="3:10" ht="12.75" thickBot="1" x14ac:dyDescent="0.25">
      <c r="C50" s="84" t="s">
        <v>177</v>
      </c>
      <c r="D50" s="171">
        <v>0</v>
      </c>
      <c r="F50" s="416" t="s">
        <v>562</v>
      </c>
      <c r="G50" s="168">
        <f>5*18</f>
        <v>90</v>
      </c>
      <c r="I50" s="143" t="s">
        <v>16</v>
      </c>
      <c r="J50" s="142">
        <f>+SUM(J44:J49)</f>
        <v>870</v>
      </c>
    </row>
    <row r="51" spans="3:10" x14ac:dyDescent="0.2">
      <c r="C51" s="84" t="s">
        <v>179</v>
      </c>
      <c r="D51" s="171"/>
      <c r="F51" s="416" t="s">
        <v>563</v>
      </c>
      <c r="G51" s="168">
        <f>5*25</f>
        <v>125</v>
      </c>
    </row>
    <row r="52" spans="3:10" x14ac:dyDescent="0.2">
      <c r="C52" s="84" t="s">
        <v>180</v>
      </c>
      <c r="D52" s="171"/>
      <c r="F52" s="416" t="s">
        <v>561</v>
      </c>
      <c r="G52" s="168">
        <v>50</v>
      </c>
    </row>
    <row r="53" spans="3:10" ht="12.75" thickBot="1" x14ac:dyDescent="0.25">
      <c r="C53" s="134" t="s">
        <v>181</v>
      </c>
      <c r="D53" s="135">
        <v>0</v>
      </c>
      <c r="F53" s="143" t="s">
        <v>16</v>
      </c>
      <c r="G53" s="142">
        <f>+SUM(G50:G52)</f>
        <v>265</v>
      </c>
    </row>
    <row r="54" spans="3:10" x14ac:dyDescent="0.2">
      <c r="C54" s="84" t="s">
        <v>182</v>
      </c>
      <c r="D54" s="131">
        <v>0</v>
      </c>
    </row>
    <row r="55" spans="3:10" x14ac:dyDescent="0.2">
      <c r="C55" s="84" t="s">
        <v>183</v>
      </c>
      <c r="D55" s="131"/>
    </row>
    <row r="56" spans="3:10" x14ac:dyDescent="0.2">
      <c r="C56" s="84" t="s">
        <v>184</v>
      </c>
      <c r="D56" s="131" t="s">
        <v>185</v>
      </c>
    </row>
    <row r="57" spans="3:10" ht="36" x14ac:dyDescent="0.2">
      <c r="C57" s="132" t="s">
        <v>186</v>
      </c>
      <c r="D57" s="133" t="s">
        <v>187</v>
      </c>
    </row>
    <row r="58" spans="3:10" ht="12.75" thickBot="1" x14ac:dyDescent="0.25">
      <c r="C58" s="136" t="s">
        <v>188</v>
      </c>
      <c r="D58" s="137" t="s">
        <v>189</v>
      </c>
    </row>
    <row r="59" spans="3:10" ht="12.75" thickBot="1" x14ac:dyDescent="0.25"/>
    <row r="60" spans="3:10" ht="12.75" thickBot="1" x14ac:dyDescent="0.25">
      <c r="C60" s="504" t="s">
        <v>190</v>
      </c>
      <c r="D60" s="504"/>
    </row>
    <row r="61" spans="3:10" x14ac:dyDescent="0.2">
      <c r="C61" s="138" t="s">
        <v>191</v>
      </c>
      <c r="D61" s="176">
        <f>+GASTOS!C25+GASTOS!C25</f>
        <v>1300</v>
      </c>
    </row>
    <row r="62" spans="3:10" x14ac:dyDescent="0.2">
      <c r="C62" s="139" t="s">
        <v>255</v>
      </c>
      <c r="D62" s="177">
        <f>+I4</f>
        <v>18500</v>
      </c>
    </row>
    <row r="63" spans="3:10" x14ac:dyDescent="0.2">
      <c r="C63" s="139" t="s">
        <v>192</v>
      </c>
      <c r="D63" s="177">
        <f>+I5+I6+G44</f>
        <v>5931.25</v>
      </c>
    </row>
    <row r="64" spans="3:10" x14ac:dyDescent="0.2">
      <c r="C64" s="139" t="s">
        <v>161</v>
      </c>
      <c r="D64" s="177">
        <f>J50</f>
        <v>870</v>
      </c>
    </row>
    <row r="65" spans="3:4" x14ac:dyDescent="0.2">
      <c r="C65" s="139" t="s">
        <v>115</v>
      </c>
      <c r="D65" s="177">
        <f>+J40</f>
        <v>6076</v>
      </c>
    </row>
    <row r="66" spans="3:4" x14ac:dyDescent="0.2">
      <c r="C66" s="139" t="s">
        <v>193</v>
      </c>
      <c r="D66" s="177">
        <f>+I15</f>
        <v>4650</v>
      </c>
    </row>
    <row r="67" spans="3:4" x14ac:dyDescent="0.2">
      <c r="C67" s="197" t="s">
        <v>380</v>
      </c>
      <c r="D67" s="198">
        <f>+GASTOS!F61+GASTOS!F63+GASTOS!F65+GASTOS!F67+GASTOS!F70+GASTOS!F71</f>
        <v>99.7</v>
      </c>
    </row>
    <row r="68" spans="3:4" x14ac:dyDescent="0.2">
      <c r="C68" s="197" t="s">
        <v>382</v>
      </c>
      <c r="D68" s="198">
        <f>+GASTOS!D35</f>
        <v>1280</v>
      </c>
    </row>
    <row r="69" spans="3:4" x14ac:dyDescent="0.2">
      <c r="C69" s="197" t="s">
        <v>560</v>
      </c>
      <c r="D69" s="475">
        <f>+G53</f>
        <v>265</v>
      </c>
    </row>
    <row r="70" spans="3:4" ht="12.75" thickBot="1" x14ac:dyDescent="0.25">
      <c r="C70" s="140" t="s">
        <v>16</v>
      </c>
      <c r="D70" s="141">
        <f>+SUM(D61:D69)</f>
        <v>38971.949999999997</v>
      </c>
    </row>
  </sheetData>
  <mergeCells count="30">
    <mergeCell ref="F49:G49"/>
    <mergeCell ref="G7:H7"/>
    <mergeCell ref="C43:D43"/>
    <mergeCell ref="I43:J43"/>
    <mergeCell ref="F10:I10"/>
    <mergeCell ref="F34:G34"/>
    <mergeCell ref="F35:G35"/>
    <mergeCell ref="F36:G36"/>
    <mergeCell ref="F37:G37"/>
    <mergeCell ref="F27:G27"/>
    <mergeCell ref="F28:G28"/>
    <mergeCell ref="F19:G19"/>
    <mergeCell ref="F20:G20"/>
    <mergeCell ref="F21:G21"/>
    <mergeCell ref="F25:G25"/>
    <mergeCell ref="F26:G26"/>
    <mergeCell ref="F43:G43"/>
    <mergeCell ref="F24:G24"/>
    <mergeCell ref="F31:G31"/>
    <mergeCell ref="F40:H40"/>
    <mergeCell ref="F32:G32"/>
    <mergeCell ref="L10:O10"/>
    <mergeCell ref="F18:J18"/>
    <mergeCell ref="L18:O18"/>
    <mergeCell ref="F33:G33"/>
    <mergeCell ref="E2:J2"/>
    <mergeCell ref="E3:F3"/>
    <mergeCell ref="E4:F4"/>
    <mergeCell ref="E5:F5"/>
    <mergeCell ref="E6:F6"/>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K33"/>
  <sheetViews>
    <sheetView showGridLines="0" topLeftCell="A17" zoomScaleNormal="100" workbookViewId="0">
      <selection activeCell="F46" sqref="F46"/>
    </sheetView>
  </sheetViews>
  <sheetFormatPr defaultColWidth="9.140625" defaultRowHeight="12" x14ac:dyDescent="0.2"/>
  <cols>
    <col min="1" max="3" width="9.140625" style="47"/>
    <col min="4" max="4" width="30.5703125" style="47" bestFit="1" customWidth="1"/>
    <col min="5" max="5" width="12.85546875" style="47" bestFit="1" customWidth="1"/>
    <col min="6" max="6" width="9.140625" style="47"/>
    <col min="7" max="7" width="25.5703125" style="47" bestFit="1" customWidth="1"/>
    <col min="8" max="8" width="9.140625" style="47"/>
    <col min="9" max="9" width="11.85546875" style="47" bestFit="1" customWidth="1"/>
    <col min="10" max="10" width="9.140625" style="47"/>
    <col min="11" max="11" width="11.140625" style="47" bestFit="1" customWidth="1"/>
    <col min="12" max="16384" width="9.140625" style="47"/>
  </cols>
  <sheetData>
    <row r="1" spans="4:11" ht="12.75" thickBot="1" x14ac:dyDescent="0.25"/>
    <row r="2" spans="4:11" ht="12.75" thickBot="1" x14ac:dyDescent="0.25">
      <c r="D2" s="619" t="s">
        <v>235</v>
      </c>
      <c r="E2" s="620"/>
      <c r="F2" s="620"/>
      <c r="G2" s="620"/>
      <c r="H2" s="620"/>
      <c r="I2" s="620"/>
    </row>
    <row r="3" spans="4:11" x14ac:dyDescent="0.2">
      <c r="D3" s="621" t="s">
        <v>236</v>
      </c>
      <c r="E3" s="622"/>
      <c r="F3" s="622"/>
      <c r="G3" s="623" t="s">
        <v>237</v>
      </c>
      <c r="H3" s="623"/>
      <c r="I3" s="623"/>
      <c r="J3" s="253"/>
      <c r="K3" s="61"/>
    </row>
    <row r="4" spans="4:11" x14ac:dyDescent="0.2">
      <c r="D4" s="624" t="s">
        <v>238</v>
      </c>
      <c r="E4" s="625"/>
      <c r="F4" s="625"/>
      <c r="G4" s="254" t="s">
        <v>239</v>
      </c>
      <c r="H4" s="255"/>
      <c r="I4" s="256"/>
    </row>
    <row r="5" spans="4:11" x14ac:dyDescent="0.2">
      <c r="D5" s="258" t="s">
        <v>212</v>
      </c>
      <c r="E5" s="259">
        <f>'CAPITAL DE TRABAJO'!B17</f>
        <v>-4097.193661199999</v>
      </c>
      <c r="F5" s="260"/>
      <c r="G5" s="261" t="s">
        <v>240</v>
      </c>
      <c r="H5" s="262"/>
      <c r="I5" s="263">
        <f>D31</f>
        <v>8184.0169016399996</v>
      </c>
    </row>
    <row r="6" spans="4:11" x14ac:dyDescent="0.2">
      <c r="D6" s="266" t="s">
        <v>16</v>
      </c>
      <c r="E6" s="267">
        <f>E5</f>
        <v>-4097.193661199999</v>
      </c>
      <c r="F6" s="268"/>
      <c r="G6" s="269" t="s">
        <v>241</v>
      </c>
      <c r="H6" s="268"/>
      <c r="I6" s="270">
        <f>SUM(I5)</f>
        <v>8184.0169016399996</v>
      </c>
    </row>
    <row r="7" spans="4:11" x14ac:dyDescent="0.2">
      <c r="D7" s="250"/>
      <c r="E7" s="273"/>
      <c r="F7" s="61"/>
      <c r="G7" s="274"/>
      <c r="H7" s="61"/>
      <c r="I7" s="275"/>
    </row>
    <row r="8" spans="4:11" x14ac:dyDescent="0.2">
      <c r="D8" s="266" t="s">
        <v>242</v>
      </c>
      <c r="E8" s="276"/>
      <c r="F8" s="277"/>
      <c r="G8" s="607" t="s">
        <v>243</v>
      </c>
      <c r="H8" s="608"/>
      <c r="I8" s="626"/>
    </row>
    <row r="9" spans="4:11" x14ac:dyDescent="0.2">
      <c r="D9" s="258" t="s">
        <v>381</v>
      </c>
      <c r="E9" s="278">
        <f>INVERSIONES!D63</f>
        <v>5931.25</v>
      </c>
      <c r="F9" s="262"/>
      <c r="G9" s="279" t="s">
        <v>244</v>
      </c>
      <c r="H9" s="262"/>
      <c r="I9" s="263">
        <f>E31</f>
        <v>19096.039437159998</v>
      </c>
    </row>
    <row r="10" spans="4:11" x14ac:dyDescent="0.2">
      <c r="D10" s="258" t="s">
        <v>113</v>
      </c>
      <c r="E10" s="278">
        <f>+INVERSIONES!J38</f>
        <v>2240</v>
      </c>
      <c r="F10" s="262"/>
      <c r="G10" s="269" t="s">
        <v>246</v>
      </c>
      <c r="H10" s="277"/>
      <c r="I10" s="280">
        <f>SUM(I9)</f>
        <v>19096.039437159998</v>
      </c>
    </row>
    <row r="11" spans="4:11" x14ac:dyDescent="0.2">
      <c r="D11" s="258" t="s">
        <v>115</v>
      </c>
      <c r="E11" s="278">
        <f>+INVERSIONES!J29</f>
        <v>1675</v>
      </c>
      <c r="F11" s="262"/>
      <c r="G11" s="274"/>
      <c r="H11" s="61"/>
      <c r="I11" s="275"/>
    </row>
    <row r="12" spans="4:11" x14ac:dyDescent="0.2">
      <c r="D12" s="258" t="s">
        <v>116</v>
      </c>
      <c r="E12" s="278">
        <f>INVERSIONES!D62</f>
        <v>18500</v>
      </c>
      <c r="F12" s="262"/>
      <c r="G12" s="274"/>
      <c r="H12" s="61"/>
      <c r="I12" s="275"/>
    </row>
    <row r="13" spans="4:11" x14ac:dyDescent="0.2">
      <c r="D13" s="258" t="s">
        <v>114</v>
      </c>
      <c r="E13" s="278">
        <f>+INVERSIONES!J22</f>
        <v>2161</v>
      </c>
      <c r="F13" s="262"/>
      <c r="G13" s="274"/>
      <c r="H13" s="61"/>
      <c r="I13" s="275"/>
    </row>
    <row r="14" spans="4:11" x14ac:dyDescent="0.2">
      <c r="D14" s="266" t="s">
        <v>16</v>
      </c>
      <c r="E14" s="282">
        <f>SUM(E9:E13)</f>
        <v>30507.25</v>
      </c>
      <c r="F14" s="277"/>
      <c r="G14" s="274"/>
      <c r="H14" s="61"/>
      <c r="I14" s="275"/>
    </row>
    <row r="15" spans="4:11" x14ac:dyDescent="0.2">
      <c r="D15" s="250"/>
      <c r="E15" s="61"/>
      <c r="F15" s="61"/>
      <c r="G15" s="274"/>
      <c r="H15" s="61"/>
      <c r="I15" s="275"/>
    </row>
    <row r="16" spans="4:11" x14ac:dyDescent="0.2">
      <c r="D16" s="266" t="s">
        <v>247</v>
      </c>
      <c r="E16" s="284"/>
      <c r="F16" s="284"/>
      <c r="G16" s="274"/>
      <c r="H16" s="61"/>
      <c r="I16" s="275"/>
    </row>
    <row r="17" spans="4:11" x14ac:dyDescent="0.2">
      <c r="D17" s="286" t="s">
        <v>164</v>
      </c>
      <c r="E17" s="278">
        <f>INVERSIONES!J44</f>
        <v>250</v>
      </c>
      <c r="F17" s="287"/>
      <c r="G17" s="274"/>
      <c r="H17" s="61"/>
      <c r="I17" s="275"/>
    </row>
    <row r="18" spans="4:11" x14ac:dyDescent="0.2">
      <c r="D18" s="286" t="s">
        <v>256</v>
      </c>
      <c r="E18" s="278">
        <f>INVERSIONES!J49</f>
        <v>100</v>
      </c>
      <c r="F18" s="287"/>
      <c r="G18" s="274"/>
      <c r="H18" s="61"/>
      <c r="I18" s="275"/>
    </row>
    <row r="19" spans="4:11" x14ac:dyDescent="0.2">
      <c r="D19" s="286" t="s">
        <v>248</v>
      </c>
      <c r="E19" s="278">
        <f>INVERSIONES!J45</f>
        <v>70</v>
      </c>
      <c r="F19" s="287"/>
      <c r="G19" s="274"/>
      <c r="H19" s="61"/>
      <c r="I19" s="275"/>
    </row>
    <row r="20" spans="4:11" x14ac:dyDescent="0.2">
      <c r="D20" s="286" t="s">
        <v>257</v>
      </c>
      <c r="E20" s="278">
        <f>INVERSIONES!J47</f>
        <v>250</v>
      </c>
      <c r="F20" s="287"/>
      <c r="G20" s="274"/>
      <c r="H20" s="61"/>
      <c r="I20" s="275"/>
    </row>
    <row r="21" spans="4:11" x14ac:dyDescent="0.2">
      <c r="D21" s="286" t="s">
        <v>249</v>
      </c>
      <c r="E21" s="278">
        <f>INVERSIONES!J46</f>
        <v>200</v>
      </c>
      <c r="F21" s="287"/>
      <c r="G21" s="274"/>
      <c r="H21" s="61"/>
      <c r="I21" s="275"/>
    </row>
    <row r="22" spans="4:11" x14ac:dyDescent="0.2">
      <c r="D22" s="288" t="s">
        <v>16</v>
      </c>
      <c r="E22" s="289">
        <f>SUM(E17:E21)</f>
        <v>870</v>
      </c>
      <c r="F22" s="277"/>
      <c r="G22" s="274"/>
      <c r="H22" s="61"/>
      <c r="I22" s="275"/>
    </row>
    <row r="23" spans="4:11" ht="12.75" thickBot="1" x14ac:dyDescent="0.25">
      <c r="D23" s="290" t="s">
        <v>250</v>
      </c>
      <c r="E23" s="291">
        <f>E22+E14+E6</f>
        <v>27280.056338800001</v>
      </c>
      <c r="F23" s="292"/>
      <c r="G23" s="293" t="s">
        <v>251</v>
      </c>
      <c r="H23" s="292"/>
      <c r="I23" s="294">
        <f>I6+I10</f>
        <v>27280.056338799997</v>
      </c>
    </row>
    <row r="26" spans="4:11" ht="12.75" thickBot="1" x14ac:dyDescent="0.25"/>
    <row r="27" spans="4:11" ht="12.75" thickBot="1" x14ac:dyDescent="0.25">
      <c r="D27" s="619" t="s">
        <v>252</v>
      </c>
      <c r="E27" s="620"/>
      <c r="F27" s="620"/>
      <c r="G27" s="620"/>
    </row>
    <row r="28" spans="4:11" ht="15.75" customHeight="1" x14ac:dyDescent="0.2">
      <c r="D28" s="607" t="s">
        <v>253</v>
      </c>
      <c r="E28" s="608"/>
      <c r="F28" s="608"/>
      <c r="G28" s="609"/>
      <c r="I28" s="617" t="s">
        <v>258</v>
      </c>
      <c r="J28" s="617"/>
      <c r="K28" s="605">
        <f>E31/3</f>
        <v>6365.3464790533326</v>
      </c>
    </row>
    <row r="29" spans="4:11" x14ac:dyDescent="0.2">
      <c r="D29" s="415">
        <v>0.3</v>
      </c>
      <c r="E29" s="610">
        <v>0.7</v>
      </c>
      <c r="F29" s="610"/>
      <c r="G29" s="611"/>
      <c r="I29" s="618"/>
      <c r="J29" s="618"/>
      <c r="K29" s="606"/>
    </row>
    <row r="30" spans="4:11" x14ac:dyDescent="0.2">
      <c r="D30" s="296" t="s">
        <v>254</v>
      </c>
      <c r="E30" s="612" t="s">
        <v>244</v>
      </c>
      <c r="F30" s="612"/>
      <c r="G30" s="613"/>
    </row>
    <row r="31" spans="4:11" ht="12.75" thickBot="1" x14ac:dyDescent="0.25">
      <c r="D31" s="297">
        <f>E23*D29</f>
        <v>8184.0169016399996</v>
      </c>
      <c r="E31" s="614">
        <f>E23*E29</f>
        <v>19096.039437159998</v>
      </c>
      <c r="F31" s="615"/>
      <c r="G31" s="616"/>
      <c r="I31" s="298"/>
      <c r="J31" s="299"/>
    </row>
    <row r="32" spans="4:11" ht="13.5" customHeight="1" x14ac:dyDescent="0.2"/>
    <row r="33" spans="8:8" ht="25.5" customHeight="1" x14ac:dyDescent="0.2">
      <c r="H33" s="299"/>
    </row>
  </sheetData>
  <mergeCells count="12">
    <mergeCell ref="D27:G27"/>
    <mergeCell ref="D2:I2"/>
    <mergeCell ref="D3:F3"/>
    <mergeCell ref="G3:I3"/>
    <mergeCell ref="D4:F4"/>
    <mergeCell ref="G8:I8"/>
    <mergeCell ref="K28:K29"/>
    <mergeCell ref="D28:G28"/>
    <mergeCell ref="E29:G29"/>
    <mergeCell ref="E30:G30"/>
    <mergeCell ref="E31:G31"/>
    <mergeCell ref="I28:J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zoomScaleNormal="100" workbookViewId="0">
      <selection activeCell="E21" sqref="E21"/>
    </sheetView>
  </sheetViews>
  <sheetFormatPr defaultColWidth="11.42578125" defaultRowHeight="12" x14ac:dyDescent="0.2"/>
  <cols>
    <col min="1" max="1" width="27.7109375" style="47" bestFit="1" customWidth="1"/>
    <col min="2" max="2" width="17.5703125" style="47" bestFit="1" customWidth="1"/>
    <col min="3" max="4" width="22.28515625" style="47" bestFit="1" customWidth="1"/>
    <col min="5" max="5" width="17" style="47" bestFit="1" customWidth="1"/>
    <col min="6" max="6" width="21.5703125" style="47" bestFit="1" customWidth="1"/>
    <col min="7" max="7" width="13.28515625" style="47" bestFit="1" customWidth="1"/>
    <col min="8" max="16384" width="11.42578125" style="47"/>
  </cols>
  <sheetData>
    <row r="2" spans="1:7" ht="12.75" thickBot="1" x14ac:dyDescent="0.25">
      <c r="A2" s="628" t="s">
        <v>259</v>
      </c>
      <c r="B2" s="628"/>
      <c r="C2" s="628"/>
      <c r="D2" s="628"/>
      <c r="E2" s="628"/>
      <c r="F2" s="628"/>
      <c r="G2" s="628"/>
    </row>
    <row r="3" spans="1:7" x14ac:dyDescent="0.2">
      <c r="A3" s="507" t="s">
        <v>105</v>
      </c>
      <c r="B3" s="508" t="s">
        <v>260</v>
      </c>
      <c r="C3" s="508" t="s">
        <v>107</v>
      </c>
      <c r="D3" s="508" t="s">
        <v>108</v>
      </c>
      <c r="E3" s="508" t="s">
        <v>262</v>
      </c>
      <c r="F3" s="508" t="s">
        <v>110</v>
      </c>
      <c r="G3" s="509" t="s">
        <v>111</v>
      </c>
    </row>
    <row r="4" spans="1:7" x14ac:dyDescent="0.2">
      <c r="A4" s="367" t="s">
        <v>535</v>
      </c>
      <c r="B4" s="368">
        <f>INVERSIONES!I5</f>
        <v>4800</v>
      </c>
      <c r="C4" s="369">
        <v>3</v>
      </c>
      <c r="D4" s="368">
        <f t="shared" ref="D4:D10" si="0">B4/C4</f>
        <v>1600</v>
      </c>
      <c r="E4" s="369">
        <v>3</v>
      </c>
      <c r="F4" s="370">
        <f t="shared" ref="F4:F10" si="1">D4*E4</f>
        <v>4800</v>
      </c>
      <c r="G4" s="371">
        <f t="shared" ref="G4:G10" si="2">B4-F4</f>
        <v>0</v>
      </c>
    </row>
    <row r="5" spans="1:7" x14ac:dyDescent="0.2">
      <c r="A5" s="367" t="s">
        <v>533</v>
      </c>
      <c r="B5" s="368">
        <f>B4</f>
        <v>4800</v>
      </c>
      <c r="C5" s="369">
        <v>3</v>
      </c>
      <c r="D5" s="368">
        <f t="shared" si="0"/>
        <v>1600</v>
      </c>
      <c r="E5" s="369">
        <v>2</v>
      </c>
      <c r="F5" s="370">
        <f t="shared" si="1"/>
        <v>3200</v>
      </c>
      <c r="G5" s="371">
        <f t="shared" si="2"/>
        <v>1600</v>
      </c>
    </row>
    <row r="6" spans="1:7" x14ac:dyDescent="0.2">
      <c r="A6" s="372" t="s">
        <v>113</v>
      </c>
      <c r="B6" s="368">
        <f>BALANCE!E10</f>
        <v>2240</v>
      </c>
      <c r="C6" s="369">
        <v>10</v>
      </c>
      <c r="D6" s="368">
        <f t="shared" si="0"/>
        <v>224</v>
      </c>
      <c r="E6" s="369">
        <v>5</v>
      </c>
      <c r="F6" s="370">
        <f t="shared" si="1"/>
        <v>1120</v>
      </c>
      <c r="G6" s="371">
        <f t="shared" si="2"/>
        <v>1120</v>
      </c>
    </row>
    <row r="7" spans="1:7" x14ac:dyDescent="0.2">
      <c r="A7" s="372" t="s">
        <v>536</v>
      </c>
      <c r="B7" s="368">
        <f>BALANCE!E13</f>
        <v>2161</v>
      </c>
      <c r="C7" s="369">
        <v>3</v>
      </c>
      <c r="D7" s="368">
        <f t="shared" si="0"/>
        <v>720.33333333333337</v>
      </c>
      <c r="E7" s="369">
        <v>3</v>
      </c>
      <c r="F7" s="370">
        <f t="shared" si="1"/>
        <v>2161</v>
      </c>
      <c r="G7" s="371">
        <f t="shared" si="2"/>
        <v>0</v>
      </c>
    </row>
    <row r="8" spans="1:7" x14ac:dyDescent="0.2">
      <c r="A8" s="372" t="s">
        <v>534</v>
      </c>
      <c r="B8" s="368">
        <f>B7</f>
        <v>2161</v>
      </c>
      <c r="C8" s="369">
        <v>3</v>
      </c>
      <c r="D8" s="368">
        <f t="shared" si="0"/>
        <v>720.33333333333337</v>
      </c>
      <c r="E8" s="369">
        <v>2</v>
      </c>
      <c r="F8" s="370">
        <f t="shared" si="1"/>
        <v>1440.6666666666667</v>
      </c>
      <c r="G8" s="371">
        <f t="shared" si="2"/>
        <v>720.33333333333326</v>
      </c>
    </row>
    <row r="9" spans="1:7" x14ac:dyDescent="0.2">
      <c r="A9" s="372" t="s">
        <v>115</v>
      </c>
      <c r="B9" s="368">
        <f>BALANCE!E11</f>
        <v>1675</v>
      </c>
      <c r="C9" s="369">
        <v>10</v>
      </c>
      <c r="D9" s="368">
        <f t="shared" si="0"/>
        <v>167.5</v>
      </c>
      <c r="E9" s="369">
        <v>5</v>
      </c>
      <c r="F9" s="370">
        <f t="shared" si="1"/>
        <v>837.5</v>
      </c>
      <c r="G9" s="371">
        <f t="shared" si="2"/>
        <v>837.5</v>
      </c>
    </row>
    <row r="10" spans="1:7" x14ac:dyDescent="0.2">
      <c r="A10" s="372" t="s">
        <v>116</v>
      </c>
      <c r="B10" s="368">
        <f>BALANCE!E12</f>
        <v>18500</v>
      </c>
      <c r="C10" s="369">
        <v>5</v>
      </c>
      <c r="D10" s="368">
        <f t="shared" si="0"/>
        <v>3700</v>
      </c>
      <c r="E10" s="369">
        <v>5</v>
      </c>
      <c r="F10" s="370">
        <f t="shared" si="1"/>
        <v>18500</v>
      </c>
      <c r="G10" s="371">
        <f t="shared" si="2"/>
        <v>0</v>
      </c>
    </row>
    <row r="11" spans="1:7" ht="12.75" thickBot="1" x14ac:dyDescent="0.25">
      <c r="A11" s="629" t="s">
        <v>261</v>
      </c>
      <c r="B11" s="630"/>
      <c r="C11" s="630"/>
      <c r="D11" s="413">
        <f>D4+D6+D7+D9+D10</f>
        <v>6411.8333333333339</v>
      </c>
      <c r="E11" s="627" t="s">
        <v>140</v>
      </c>
      <c r="F11" s="627"/>
      <c r="G11" s="414">
        <f>SUM(G4:G10)</f>
        <v>4277.833333333333</v>
      </c>
    </row>
  </sheetData>
  <mergeCells count="3">
    <mergeCell ref="E11:F11"/>
    <mergeCell ref="A2:G2"/>
    <mergeCell ref="A11:C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workbookViewId="0">
      <selection activeCell="B29" sqref="B29"/>
    </sheetView>
  </sheetViews>
  <sheetFormatPr defaultColWidth="11.42578125" defaultRowHeight="12" x14ac:dyDescent="0.2"/>
  <cols>
    <col min="1" max="4" width="11.42578125" style="47"/>
    <col min="5" max="5" width="12.7109375" style="47" bestFit="1" customWidth="1"/>
    <col min="6" max="6" width="11.42578125" style="47"/>
    <col min="7" max="7" width="12" style="47" bestFit="1" customWidth="1"/>
    <col min="8" max="16384" width="11.42578125" style="47"/>
  </cols>
  <sheetData>
    <row r="1" spans="1:7" x14ac:dyDescent="0.2">
      <c r="A1" s="253"/>
      <c r="B1" s="61"/>
      <c r="D1" s="567" t="s">
        <v>301</v>
      </c>
      <c r="E1" s="567"/>
      <c r="F1" s="567"/>
    </row>
    <row r="2" spans="1:7" x14ac:dyDescent="0.2">
      <c r="A2" s="253"/>
      <c r="B2" s="61"/>
      <c r="D2" s="395"/>
      <c r="E2" s="395"/>
      <c r="F2" s="395"/>
    </row>
    <row r="3" spans="1:7" x14ac:dyDescent="0.2">
      <c r="C3" s="510"/>
      <c r="D3" s="510" t="s">
        <v>302</v>
      </c>
      <c r="E3" s="510" t="s">
        <v>303</v>
      </c>
      <c r="F3" s="510" t="s">
        <v>304</v>
      </c>
      <c r="G3" s="510" t="s">
        <v>305</v>
      </c>
    </row>
    <row r="4" spans="1:7" x14ac:dyDescent="0.2">
      <c r="C4" s="48">
        <v>0</v>
      </c>
      <c r="D4" s="48"/>
      <c r="E4" s="48"/>
      <c r="F4" s="48"/>
      <c r="G4" s="396">
        <f>+E11</f>
        <v>8184.0169016399996</v>
      </c>
    </row>
    <row r="5" spans="1:7" x14ac:dyDescent="0.2">
      <c r="C5" s="48">
        <v>1</v>
      </c>
      <c r="D5" s="397">
        <f>-PMT($E$13,$E$12,$E$11)</f>
        <v>2058.9321323961976</v>
      </c>
      <c r="E5" s="398">
        <f>D5-F5</f>
        <v>1390.2979515322097</v>
      </c>
      <c r="F5" s="398">
        <f>$E$13*G4</f>
        <v>668.63418086398792</v>
      </c>
      <c r="G5" s="396">
        <f>G4-E5</f>
        <v>6793.7189501077901</v>
      </c>
    </row>
    <row r="6" spans="1:7" x14ac:dyDescent="0.2">
      <c r="C6" s="48">
        <v>2</v>
      </c>
      <c r="D6" s="397">
        <f>-PMT($E$13,$E$12,$E$11)</f>
        <v>2058.9321323961976</v>
      </c>
      <c r="E6" s="398">
        <f t="shared" ref="E6:E9" si="0">D6-F6</f>
        <v>1503.8852941723912</v>
      </c>
      <c r="F6" s="398">
        <f>$E$13*G5</f>
        <v>555.04683822380639</v>
      </c>
      <c r="G6" s="396">
        <f t="shared" ref="G6:G8" si="1">G5-E6</f>
        <v>5289.8336559353993</v>
      </c>
    </row>
    <row r="7" spans="1:7" x14ac:dyDescent="0.2">
      <c r="C7" s="48">
        <v>3</v>
      </c>
      <c r="D7" s="397">
        <f>-PMT($E$13,$E$12,$E$11)</f>
        <v>2058.9321323961976</v>
      </c>
      <c r="E7" s="398">
        <f t="shared" si="0"/>
        <v>1626.7527227062756</v>
      </c>
      <c r="F7" s="398">
        <f>$E$13*G6</f>
        <v>432.17940968992207</v>
      </c>
      <c r="G7" s="396">
        <f t="shared" si="1"/>
        <v>3663.0809332291237</v>
      </c>
    </row>
    <row r="8" spans="1:7" x14ac:dyDescent="0.2">
      <c r="C8" s="48">
        <v>4</v>
      </c>
      <c r="D8" s="397">
        <f>-PMT($E$13,$E$12,$E$11)</f>
        <v>2058.9321323961976</v>
      </c>
      <c r="E8" s="398">
        <f t="shared" si="0"/>
        <v>1759.6584201513783</v>
      </c>
      <c r="F8" s="398">
        <f>$E$13*G7</f>
        <v>299.27371224481936</v>
      </c>
      <c r="G8" s="396">
        <f t="shared" si="1"/>
        <v>1903.4225130777454</v>
      </c>
    </row>
    <row r="9" spans="1:7" x14ac:dyDescent="0.2">
      <c r="C9" s="48">
        <v>5</v>
      </c>
      <c r="D9" s="397">
        <f>-PMT($E$13,$E$12,$E$11)</f>
        <v>2058.9321323961976</v>
      </c>
      <c r="E9" s="398">
        <f t="shared" si="0"/>
        <v>1903.4225130777459</v>
      </c>
      <c r="F9" s="398">
        <f>$E$13*G8</f>
        <v>155.5096193184518</v>
      </c>
      <c r="G9" s="399">
        <f>G8-E9</f>
        <v>0</v>
      </c>
    </row>
    <row r="11" spans="1:7" x14ac:dyDescent="0.2">
      <c r="C11" s="357" t="s">
        <v>240</v>
      </c>
      <c r="D11" s="357"/>
      <c r="E11" s="338">
        <f>+BALANCE!D31</f>
        <v>8184.0169016399996</v>
      </c>
    </row>
    <row r="12" spans="1:7" x14ac:dyDescent="0.2">
      <c r="C12" s="591" t="s">
        <v>299</v>
      </c>
      <c r="D12" s="591"/>
      <c r="E12" s="128">
        <v>5</v>
      </c>
    </row>
    <row r="13" spans="1:7" x14ac:dyDescent="0.2">
      <c r="C13" s="591" t="s">
        <v>300</v>
      </c>
      <c r="D13" s="591"/>
      <c r="E13" s="400">
        <f>+'TASA DE DESCUENTO'!I19</f>
        <v>8.1699999999999995E-2</v>
      </c>
    </row>
  </sheetData>
  <mergeCells count="3">
    <mergeCell ref="D1:F1"/>
    <mergeCell ref="C13:D13"/>
    <mergeCell ref="C12:D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6"/>
  <sheetViews>
    <sheetView showGridLines="0" topLeftCell="A3" workbookViewId="0">
      <selection activeCell="G57" sqref="G57:O74"/>
    </sheetView>
  </sheetViews>
  <sheetFormatPr defaultColWidth="11.42578125" defaultRowHeight="15" x14ac:dyDescent="0.25"/>
  <cols>
    <col min="2" max="2" width="12.28515625" customWidth="1"/>
    <col min="4" max="4" width="12.7109375" style="203" customWidth="1"/>
    <col min="8" max="8" width="18" bestFit="1" customWidth="1"/>
    <col min="11" max="11" width="15.7109375" customWidth="1"/>
  </cols>
  <sheetData>
    <row r="1" spans="1:14" x14ac:dyDescent="0.25">
      <c r="A1" s="631" t="s">
        <v>422</v>
      </c>
      <c r="B1" s="631"/>
      <c r="C1" s="631"/>
      <c r="D1" s="207" t="s">
        <v>383</v>
      </c>
      <c r="E1" s="206" t="s">
        <v>384</v>
      </c>
    </row>
    <row r="2" spans="1:14" x14ac:dyDescent="0.25">
      <c r="A2" s="511" t="s">
        <v>385</v>
      </c>
      <c r="B2" s="511" t="s">
        <v>547</v>
      </c>
      <c r="C2" s="511" t="s">
        <v>558</v>
      </c>
      <c r="D2" s="511" t="s">
        <v>547</v>
      </c>
      <c r="E2" s="511" t="s">
        <v>558</v>
      </c>
      <c r="G2" s="632"/>
    </row>
    <row r="3" spans="1:14" x14ac:dyDescent="0.25">
      <c r="A3" s="445">
        <v>40925</v>
      </c>
      <c r="B3" s="444">
        <v>346.28</v>
      </c>
      <c r="C3" s="444">
        <v>1293.67</v>
      </c>
      <c r="D3" s="443"/>
      <c r="E3" s="208"/>
      <c r="G3" s="632"/>
    </row>
    <row r="4" spans="1:14" x14ac:dyDescent="0.25">
      <c r="A4" s="445">
        <v>40917</v>
      </c>
      <c r="B4" s="444">
        <v>344.44</v>
      </c>
      <c r="C4" s="444">
        <v>1289.0899999999999</v>
      </c>
      <c r="D4" s="443">
        <f>+LN(B3/B4)</f>
        <v>5.3277865196085863E-3</v>
      </c>
      <c r="E4" s="209">
        <f>+LN(C3/C4)</f>
        <v>3.5465972840967364E-3</v>
      </c>
    </row>
    <row r="5" spans="1:14" x14ac:dyDescent="0.25">
      <c r="A5" s="445">
        <v>40911</v>
      </c>
      <c r="B5" s="444">
        <v>338.04</v>
      </c>
      <c r="C5" s="444">
        <v>1277.81</v>
      </c>
      <c r="D5" s="443">
        <f t="shared" ref="D5:D36" si="0">+LN(B4/B5)</f>
        <v>1.8755678151682869E-2</v>
      </c>
      <c r="E5" s="209">
        <f t="shared" ref="E5:E68" si="1">+LN(C4/C5)</f>
        <v>8.788867980408243E-3</v>
      </c>
      <c r="G5" s="446"/>
    </row>
    <row r="6" spans="1:14" ht="23.25" x14ac:dyDescent="0.35">
      <c r="A6" s="445">
        <v>40904</v>
      </c>
      <c r="B6" s="444">
        <v>324.97000000000003</v>
      </c>
      <c r="C6" s="444">
        <v>1257.5999999999999</v>
      </c>
      <c r="D6" s="443">
        <f t="shared" si="0"/>
        <v>3.9431361299468976E-2</v>
      </c>
      <c r="E6" s="209">
        <f t="shared" si="1"/>
        <v>1.5942532413531215E-2</v>
      </c>
      <c r="G6" s="447"/>
    </row>
    <row r="7" spans="1:14" x14ac:dyDescent="0.25">
      <c r="A7" s="445">
        <v>40896</v>
      </c>
      <c r="B7" s="444">
        <v>330.3</v>
      </c>
      <c r="C7" s="444">
        <v>1265.33</v>
      </c>
      <c r="D7" s="443">
        <f t="shared" si="0"/>
        <v>-1.6268462019931398E-2</v>
      </c>
      <c r="E7" s="209">
        <f t="shared" si="1"/>
        <v>-6.1278150313474099E-3</v>
      </c>
    </row>
    <row r="8" spans="1:14" x14ac:dyDescent="0.25">
      <c r="A8" s="445">
        <v>40889</v>
      </c>
      <c r="B8" s="444">
        <v>326</v>
      </c>
      <c r="C8" s="444">
        <v>1219.6600000000001</v>
      </c>
      <c r="D8" s="443">
        <f t="shared" si="0"/>
        <v>1.3103951030036361E-2</v>
      </c>
      <c r="E8" s="209">
        <f t="shared" si="1"/>
        <v>3.6760826344440556E-2</v>
      </c>
    </row>
    <row r="9" spans="1:14" x14ac:dyDescent="0.25">
      <c r="A9" s="445">
        <v>40882</v>
      </c>
      <c r="B9" s="444">
        <v>329.82</v>
      </c>
      <c r="C9" s="444">
        <v>1255.19</v>
      </c>
      <c r="D9" s="443">
        <f t="shared" si="0"/>
        <v>-1.1649669733916335E-2</v>
      </c>
      <c r="E9" s="209">
        <f t="shared" si="1"/>
        <v>-2.8714824167367314E-2</v>
      </c>
    </row>
    <row r="10" spans="1:14" x14ac:dyDescent="0.25">
      <c r="A10" s="445">
        <v>40875</v>
      </c>
      <c r="B10" s="444">
        <v>330.22</v>
      </c>
      <c r="C10" s="444">
        <v>1244.28</v>
      </c>
      <c r="D10" s="443">
        <f t="shared" si="0"/>
        <v>-1.2120479030625496E-3</v>
      </c>
      <c r="E10" s="209">
        <f t="shared" si="1"/>
        <v>8.7299061710288811E-3</v>
      </c>
    </row>
    <row r="11" spans="1:14" x14ac:dyDescent="0.25">
      <c r="A11" s="445">
        <v>40868</v>
      </c>
      <c r="B11" s="444">
        <v>322.95999999999998</v>
      </c>
      <c r="C11" s="444">
        <v>1158.67</v>
      </c>
      <c r="D11" s="443">
        <f t="shared" si="0"/>
        <v>2.2230622459001308E-2</v>
      </c>
      <c r="E11" s="209">
        <f t="shared" si="1"/>
        <v>7.128425377518674E-2</v>
      </c>
      <c r="H11" s="631" t="s">
        <v>386</v>
      </c>
      <c r="I11" s="631"/>
    </row>
    <row r="12" spans="1:14" x14ac:dyDescent="0.25">
      <c r="A12" s="445">
        <v>40861</v>
      </c>
      <c r="B12" s="444">
        <v>329.4</v>
      </c>
      <c r="C12" s="444">
        <v>1215.6500000000001</v>
      </c>
      <c r="D12" s="443">
        <f t="shared" si="0"/>
        <v>-1.9744341198854584E-2</v>
      </c>
      <c r="E12" s="209">
        <f t="shared" si="1"/>
        <v>-4.8006117565041986E-2</v>
      </c>
      <c r="H12" s="526" t="s">
        <v>387</v>
      </c>
      <c r="I12" s="474">
        <v>0.69684546726698016</v>
      </c>
    </row>
    <row r="13" spans="1:14" x14ac:dyDescent="0.25">
      <c r="A13" s="445">
        <v>40854</v>
      </c>
      <c r="B13" s="444">
        <v>337.66</v>
      </c>
      <c r="C13" s="444">
        <v>1263.8499999999999</v>
      </c>
      <c r="D13" s="443">
        <f t="shared" si="0"/>
        <v>-2.4766654305507747E-2</v>
      </c>
      <c r="E13" s="209">
        <f t="shared" si="1"/>
        <v>-3.888370463073762E-2</v>
      </c>
      <c r="H13" s="526" t="s">
        <v>388</v>
      </c>
      <c r="I13" s="204">
        <v>0.2</v>
      </c>
    </row>
    <row r="14" spans="1:14" x14ac:dyDescent="0.25">
      <c r="A14" s="445">
        <v>40847</v>
      </c>
      <c r="B14" s="444">
        <v>325</v>
      </c>
      <c r="C14" s="444">
        <v>1253.23</v>
      </c>
      <c r="D14" s="443">
        <f t="shared" si="0"/>
        <v>3.8214289719310256E-2</v>
      </c>
      <c r="E14" s="209">
        <f t="shared" si="1"/>
        <v>8.438399270385118E-3</v>
      </c>
      <c r="H14" s="526" t="s">
        <v>389</v>
      </c>
      <c r="I14" s="204">
        <v>0.8</v>
      </c>
    </row>
    <row r="15" spans="1:14" x14ac:dyDescent="0.25">
      <c r="A15" s="445">
        <v>40840</v>
      </c>
      <c r="B15" s="444">
        <v>327.82</v>
      </c>
      <c r="C15" s="444">
        <v>1285.0899999999999</v>
      </c>
      <c r="D15" s="443">
        <f t="shared" si="0"/>
        <v>-8.639494931476515E-3</v>
      </c>
      <c r="E15" s="209">
        <f t="shared" si="1"/>
        <v>-2.5104536278821074E-2</v>
      </c>
      <c r="H15" s="526" t="s">
        <v>559</v>
      </c>
      <c r="I15" s="205">
        <v>0.308</v>
      </c>
      <c r="K15" s="631" t="s">
        <v>399</v>
      </c>
      <c r="L15" s="631"/>
    </row>
    <row r="16" spans="1:14" x14ac:dyDescent="0.25">
      <c r="A16" s="445">
        <v>40833</v>
      </c>
      <c r="B16" s="444">
        <v>327.5</v>
      </c>
      <c r="C16" s="444">
        <v>1238.25</v>
      </c>
      <c r="D16" s="443">
        <f t="shared" si="0"/>
        <v>9.7662218590732568E-4</v>
      </c>
      <c r="E16" s="209">
        <f t="shared" si="1"/>
        <v>3.7129662318868974E-2</v>
      </c>
      <c r="K16" s="512" t="s">
        <v>266</v>
      </c>
      <c r="L16" s="513" t="s">
        <v>267</v>
      </c>
      <c r="N16" s="203"/>
    </row>
    <row r="17" spans="1:14" x14ac:dyDescent="0.25">
      <c r="A17" s="445">
        <v>40826</v>
      </c>
      <c r="B17" s="444">
        <v>328.12</v>
      </c>
      <c r="C17" s="444">
        <v>1224.58</v>
      </c>
      <c r="D17" s="443">
        <f t="shared" si="0"/>
        <v>-1.8913400592424981E-3</v>
      </c>
      <c r="E17" s="209">
        <f t="shared" si="1"/>
        <v>1.1101164421325027E-2</v>
      </c>
      <c r="H17" s="526" t="s">
        <v>390</v>
      </c>
      <c r="I17" s="449">
        <f>I12/(1+((I13/I14)*(1-I15)))</f>
        <v>0.59407115709034963</v>
      </c>
      <c r="K17" s="144" t="s">
        <v>265</v>
      </c>
      <c r="L17" s="144">
        <v>792</v>
      </c>
      <c r="N17" s="242"/>
    </row>
    <row r="18" spans="1:14" x14ac:dyDescent="0.25">
      <c r="A18" s="445">
        <v>40819</v>
      </c>
      <c r="B18" s="444">
        <v>324.02</v>
      </c>
      <c r="C18" s="444">
        <v>1155.46</v>
      </c>
      <c r="D18" s="443">
        <f t="shared" si="0"/>
        <v>1.2574152852276982E-2</v>
      </c>
      <c r="E18" s="209">
        <f t="shared" si="1"/>
        <v>5.8099394980667081E-2</v>
      </c>
      <c r="H18" s="527"/>
      <c r="K18" s="144" t="s">
        <v>269</v>
      </c>
      <c r="L18" s="144">
        <v>792</v>
      </c>
    </row>
    <row r="19" spans="1:14" x14ac:dyDescent="0.25">
      <c r="A19" s="445">
        <v>40812</v>
      </c>
      <c r="B19" s="444">
        <v>319.19</v>
      </c>
      <c r="C19" s="444">
        <v>1131.42</v>
      </c>
      <c r="D19" s="443">
        <f t="shared" si="0"/>
        <v>1.5018705518162459E-2</v>
      </c>
      <c r="E19" s="209">
        <f t="shared" si="1"/>
        <v>2.1025052099468727E-2</v>
      </c>
      <c r="H19" s="526" t="s">
        <v>300</v>
      </c>
      <c r="I19" s="205">
        <v>8.1699999999999995E-2</v>
      </c>
      <c r="K19" s="144" t="s">
        <v>270</v>
      </c>
      <c r="L19" s="144">
        <v>792</v>
      </c>
    </row>
    <row r="20" spans="1:14" x14ac:dyDescent="0.25">
      <c r="A20" s="445">
        <v>40805</v>
      </c>
      <c r="B20" s="444">
        <v>321.7</v>
      </c>
      <c r="C20" s="444">
        <v>1136.43</v>
      </c>
      <c r="D20" s="443">
        <f t="shared" si="0"/>
        <v>-7.8328974808709994E-3</v>
      </c>
      <c r="E20" s="209">
        <f t="shared" si="1"/>
        <v>-4.4182888199220142E-3</v>
      </c>
      <c r="H20" s="526" t="s">
        <v>391</v>
      </c>
      <c r="I20" s="205">
        <f>+L49</f>
        <v>8.3099999999999993E-2</v>
      </c>
      <c r="K20" s="144" t="s">
        <v>271</v>
      </c>
      <c r="L20" s="144">
        <v>792</v>
      </c>
    </row>
    <row r="21" spans="1:14" x14ac:dyDescent="0.25">
      <c r="A21" s="445">
        <v>40798</v>
      </c>
      <c r="B21" s="444">
        <v>331.25</v>
      </c>
      <c r="C21" s="444">
        <v>1216.01</v>
      </c>
      <c r="D21" s="443">
        <f t="shared" si="0"/>
        <v>-2.9253943055451381E-2</v>
      </c>
      <c r="E21" s="209">
        <f t="shared" si="1"/>
        <v>-6.7683237389700127E-2</v>
      </c>
      <c r="H21" s="526" t="s">
        <v>392</v>
      </c>
      <c r="I21" s="205">
        <v>0.09</v>
      </c>
      <c r="K21" s="144" t="s">
        <v>272</v>
      </c>
      <c r="L21" s="144">
        <v>791</v>
      </c>
    </row>
    <row r="22" spans="1:14" x14ac:dyDescent="0.25">
      <c r="A22" s="445">
        <v>40792</v>
      </c>
      <c r="B22" s="444">
        <v>314.49</v>
      </c>
      <c r="C22" s="444">
        <v>1154.23</v>
      </c>
      <c r="D22" s="443">
        <f t="shared" si="0"/>
        <v>5.1921098167840893E-2</v>
      </c>
      <c r="E22" s="209">
        <f t="shared" si="1"/>
        <v>5.2141552208318315E-2</v>
      </c>
      <c r="H22" s="526" t="s">
        <v>393</v>
      </c>
      <c r="I22" s="204">
        <v>0.3</v>
      </c>
      <c r="K22" s="144" t="s">
        <v>273</v>
      </c>
      <c r="L22" s="144">
        <v>790</v>
      </c>
    </row>
    <row r="23" spans="1:14" x14ac:dyDescent="0.25">
      <c r="A23" s="445">
        <v>40784</v>
      </c>
      <c r="B23" s="444">
        <v>310.85000000000002</v>
      </c>
      <c r="C23" s="444">
        <v>1173.97</v>
      </c>
      <c r="D23" s="443">
        <f t="shared" si="0"/>
        <v>1.1641798417244295E-2</v>
      </c>
      <c r="E23" s="209">
        <f t="shared" si="1"/>
        <v>-1.6957712430659494E-2</v>
      </c>
      <c r="H23" s="526" t="s">
        <v>394</v>
      </c>
      <c r="I23" s="204">
        <v>0.7</v>
      </c>
      <c r="K23" s="144" t="s">
        <v>274</v>
      </c>
      <c r="L23" s="144">
        <v>790</v>
      </c>
    </row>
    <row r="24" spans="1:14" x14ac:dyDescent="0.25">
      <c r="A24" s="445">
        <v>40777</v>
      </c>
      <c r="B24" s="444">
        <v>301.3</v>
      </c>
      <c r="C24" s="444">
        <v>1176.8</v>
      </c>
      <c r="D24" s="443">
        <f t="shared" si="0"/>
        <v>3.1204034579091086E-2</v>
      </c>
      <c r="E24" s="209">
        <f t="shared" si="1"/>
        <v>-2.4077228883780089E-3</v>
      </c>
      <c r="H24" s="526" t="s">
        <v>395</v>
      </c>
      <c r="I24" s="204">
        <v>0.23</v>
      </c>
      <c r="K24" s="144" t="s">
        <v>275</v>
      </c>
      <c r="L24" s="144">
        <v>846</v>
      </c>
    </row>
    <row r="25" spans="1:14" x14ac:dyDescent="0.25">
      <c r="A25" s="445">
        <v>40770</v>
      </c>
      <c r="B25" s="444">
        <v>291.42</v>
      </c>
      <c r="C25" s="444">
        <v>1123.53</v>
      </c>
      <c r="D25" s="443">
        <f t="shared" si="0"/>
        <v>3.3340920550546993E-2</v>
      </c>
      <c r="E25" s="209">
        <f t="shared" si="1"/>
        <v>4.6323375748650156E-2</v>
      </c>
      <c r="H25" s="526" t="s">
        <v>264</v>
      </c>
      <c r="I25" s="205">
        <v>8.6E-3</v>
      </c>
      <c r="K25" s="144" t="s">
        <v>276</v>
      </c>
      <c r="L25" s="144">
        <v>846</v>
      </c>
    </row>
    <row r="26" spans="1:14" x14ac:dyDescent="0.25">
      <c r="A26" s="445">
        <v>40763</v>
      </c>
      <c r="B26" s="444">
        <v>287.61</v>
      </c>
      <c r="C26" s="444">
        <v>1178.81</v>
      </c>
      <c r="D26" s="443">
        <f t="shared" si="0"/>
        <v>1.3160129828693542E-2</v>
      </c>
      <c r="E26" s="209">
        <f t="shared" si="1"/>
        <v>-4.8029940492237501E-2</v>
      </c>
      <c r="H26" s="527"/>
      <c r="K26" s="144" t="s">
        <v>268</v>
      </c>
      <c r="L26" s="144">
        <v>846</v>
      </c>
    </row>
    <row r="27" spans="1:14" x14ac:dyDescent="0.25">
      <c r="A27" s="445">
        <v>40756</v>
      </c>
      <c r="B27" s="444">
        <v>278.74</v>
      </c>
      <c r="C27" s="444">
        <v>1199.3800000000001</v>
      </c>
      <c r="D27" s="443">
        <f t="shared" si="0"/>
        <v>3.1325948065651463E-2</v>
      </c>
      <c r="E27" s="209">
        <f t="shared" si="1"/>
        <v>-1.7299301560396274E-2</v>
      </c>
      <c r="H27" s="526" t="s">
        <v>396</v>
      </c>
      <c r="I27" s="449">
        <f>I17*(1+((I22/I23)*(1-I24)))</f>
        <v>0.79011463893016509</v>
      </c>
      <c r="K27" s="144" t="s">
        <v>277</v>
      </c>
      <c r="L27" s="144">
        <v>846</v>
      </c>
    </row>
    <row r="28" spans="1:14" x14ac:dyDescent="0.25">
      <c r="A28" s="445">
        <v>40749</v>
      </c>
      <c r="B28" s="444">
        <v>285.45</v>
      </c>
      <c r="C28" s="444">
        <v>1292.28</v>
      </c>
      <c r="D28" s="443">
        <f t="shared" si="0"/>
        <v>-2.378743471890462E-2</v>
      </c>
      <c r="E28" s="209">
        <f t="shared" si="1"/>
        <v>-7.4603343537578595E-2</v>
      </c>
      <c r="H28" s="526" t="s">
        <v>397</v>
      </c>
      <c r="I28" s="233">
        <f>I25+(I27*(I21))+I20</f>
        <v>0.16281031750371483</v>
      </c>
      <c r="K28" s="144" t="s">
        <v>278</v>
      </c>
      <c r="L28" s="144">
        <v>843</v>
      </c>
    </row>
    <row r="29" spans="1:14" x14ac:dyDescent="0.25">
      <c r="A29" s="445">
        <v>40742</v>
      </c>
      <c r="B29" s="444">
        <v>295.85000000000002</v>
      </c>
      <c r="C29" s="444">
        <v>1345.02</v>
      </c>
      <c r="D29" s="443">
        <f t="shared" si="0"/>
        <v>-3.5785686712435025E-2</v>
      </c>
      <c r="E29" s="209">
        <f t="shared" si="1"/>
        <v>-4.0000782685069715E-2</v>
      </c>
      <c r="H29" s="526" t="s">
        <v>398</v>
      </c>
      <c r="I29" s="205">
        <f>(I19*I22*(1-I24))+(I23*I28)</f>
        <v>0.13283992225260038</v>
      </c>
      <c r="K29" s="144" t="s">
        <v>279</v>
      </c>
      <c r="L29" s="144">
        <v>840</v>
      </c>
    </row>
    <row r="30" spans="1:14" x14ac:dyDescent="0.25">
      <c r="A30" s="445">
        <v>40735</v>
      </c>
      <c r="B30" s="444">
        <v>297.27999999999997</v>
      </c>
      <c r="C30" s="444">
        <v>1316.14</v>
      </c>
      <c r="D30" s="443">
        <f t="shared" si="0"/>
        <v>-4.821886502770485E-3</v>
      </c>
      <c r="E30" s="209">
        <f t="shared" si="1"/>
        <v>2.1705672608141335E-2</v>
      </c>
      <c r="K30" s="144" t="s">
        <v>280</v>
      </c>
      <c r="L30" s="144">
        <v>836</v>
      </c>
    </row>
    <row r="31" spans="1:14" x14ac:dyDescent="0.25">
      <c r="A31" s="445">
        <v>40729</v>
      </c>
      <c r="B31" s="444">
        <v>298.27999999999997</v>
      </c>
      <c r="C31" s="444">
        <v>1343.8</v>
      </c>
      <c r="D31" s="443">
        <f t="shared" si="0"/>
        <v>-3.3581870501203834E-3</v>
      </c>
      <c r="E31" s="209">
        <f t="shared" si="1"/>
        <v>-2.0798211280331411E-2</v>
      </c>
      <c r="J31" s="242"/>
      <c r="K31" s="144" t="s">
        <v>281</v>
      </c>
      <c r="L31" s="144">
        <v>835</v>
      </c>
    </row>
    <row r="32" spans="1:14" x14ac:dyDescent="0.25">
      <c r="A32" s="445">
        <v>40721</v>
      </c>
      <c r="B32" s="444">
        <v>297.62</v>
      </c>
      <c r="C32" s="444">
        <v>1339.67</v>
      </c>
      <c r="D32" s="443">
        <f t="shared" si="0"/>
        <v>2.215137673689659E-3</v>
      </c>
      <c r="E32" s="209">
        <f t="shared" si="1"/>
        <v>3.0781065269139727E-3</v>
      </c>
      <c r="K32" s="144" t="s">
        <v>282</v>
      </c>
      <c r="L32" s="144">
        <v>835</v>
      </c>
    </row>
    <row r="33" spans="1:12" x14ac:dyDescent="0.25">
      <c r="A33" s="445">
        <v>40714</v>
      </c>
      <c r="B33" s="444">
        <v>291.60000000000002</v>
      </c>
      <c r="C33" s="444">
        <v>1268.45</v>
      </c>
      <c r="D33" s="443">
        <f t="shared" si="0"/>
        <v>2.0434504867401063E-2</v>
      </c>
      <c r="E33" s="209">
        <f t="shared" si="1"/>
        <v>5.4627632330474303E-2</v>
      </c>
      <c r="K33" s="144" t="s">
        <v>283</v>
      </c>
      <c r="L33" s="144">
        <v>835</v>
      </c>
    </row>
    <row r="34" spans="1:12" x14ac:dyDescent="0.25">
      <c r="A34" s="445">
        <v>40707</v>
      </c>
      <c r="B34" s="444">
        <v>291.70999999999998</v>
      </c>
      <c r="C34" s="444">
        <v>1271.5</v>
      </c>
      <c r="D34" s="443">
        <f t="shared" si="0"/>
        <v>-3.7715794793125262E-4</v>
      </c>
      <c r="E34" s="209">
        <f t="shared" si="1"/>
        <v>-2.4016232335131644E-3</v>
      </c>
      <c r="K34" s="144" t="s">
        <v>284</v>
      </c>
      <c r="L34" s="144">
        <v>835</v>
      </c>
    </row>
    <row r="35" spans="1:12" x14ac:dyDescent="0.25">
      <c r="A35" s="445">
        <v>40700</v>
      </c>
      <c r="B35" s="444">
        <v>290.2</v>
      </c>
      <c r="C35" s="444">
        <v>1270.98</v>
      </c>
      <c r="D35" s="443">
        <f t="shared" si="0"/>
        <v>5.1898176323469034E-3</v>
      </c>
      <c r="E35" s="209">
        <f t="shared" si="1"/>
        <v>4.0904943775410996E-4</v>
      </c>
      <c r="K35" s="144" t="s">
        <v>285</v>
      </c>
      <c r="L35" s="144">
        <v>840</v>
      </c>
    </row>
    <row r="36" spans="1:12" x14ac:dyDescent="0.25">
      <c r="A36" s="445">
        <v>40694</v>
      </c>
      <c r="B36" s="444">
        <v>285.48</v>
      </c>
      <c r="C36" s="444">
        <v>1300.1600000000001</v>
      </c>
      <c r="D36" s="443">
        <f t="shared" si="0"/>
        <v>1.639836634722068E-2</v>
      </c>
      <c r="E36" s="209">
        <f t="shared" si="1"/>
        <v>-2.2699077374941774E-2</v>
      </c>
      <c r="K36" s="144" t="s">
        <v>286</v>
      </c>
      <c r="L36" s="144">
        <v>840</v>
      </c>
    </row>
    <row r="37" spans="1:12" x14ac:dyDescent="0.25">
      <c r="A37" s="445">
        <v>40686</v>
      </c>
      <c r="B37" s="444">
        <v>296.70999999999998</v>
      </c>
      <c r="C37" s="444">
        <v>1331.1</v>
      </c>
      <c r="D37" s="443">
        <f t="shared" ref="D37:D68" si="2">+LN(B36/B37)</f>
        <v>-3.8583256704133193E-2</v>
      </c>
      <c r="E37" s="209">
        <f t="shared" si="1"/>
        <v>-2.3518334253611484E-2</v>
      </c>
      <c r="K37" s="144" t="s">
        <v>287</v>
      </c>
      <c r="L37" s="144">
        <v>844</v>
      </c>
    </row>
    <row r="38" spans="1:12" x14ac:dyDescent="0.25">
      <c r="A38" s="445">
        <v>40679</v>
      </c>
      <c r="B38" s="444">
        <v>276.60000000000002</v>
      </c>
      <c r="C38" s="444">
        <v>1333.27</v>
      </c>
      <c r="D38" s="443">
        <f t="shared" si="2"/>
        <v>7.0182811576341847E-2</v>
      </c>
      <c r="E38" s="209">
        <f t="shared" si="1"/>
        <v>-1.628903252783781E-3</v>
      </c>
      <c r="K38" s="144" t="s">
        <v>288</v>
      </c>
      <c r="L38" s="144">
        <v>847</v>
      </c>
    </row>
    <row r="39" spans="1:12" x14ac:dyDescent="0.25">
      <c r="A39" s="445">
        <v>40672</v>
      </c>
      <c r="B39" s="444">
        <v>286.3</v>
      </c>
      <c r="C39" s="444">
        <v>1337.77</v>
      </c>
      <c r="D39" s="443">
        <f t="shared" si="2"/>
        <v>-3.4467792873411521E-2</v>
      </c>
      <c r="E39" s="209">
        <f t="shared" si="1"/>
        <v>-3.3694772504459206E-3</v>
      </c>
      <c r="K39" s="144" t="s">
        <v>289</v>
      </c>
      <c r="L39" s="144">
        <v>848</v>
      </c>
    </row>
    <row r="40" spans="1:12" x14ac:dyDescent="0.25">
      <c r="A40" s="445">
        <v>40665</v>
      </c>
      <c r="B40" s="444">
        <v>281.56</v>
      </c>
      <c r="C40" s="444">
        <v>1340.2</v>
      </c>
      <c r="D40" s="443">
        <f t="shared" si="2"/>
        <v>1.6694643364138589E-2</v>
      </c>
      <c r="E40" s="209">
        <f t="shared" si="1"/>
        <v>-1.8148079828672573E-3</v>
      </c>
      <c r="K40" s="144" t="s">
        <v>290</v>
      </c>
      <c r="L40" s="144">
        <v>848</v>
      </c>
    </row>
    <row r="41" spans="1:12" x14ac:dyDescent="0.25">
      <c r="A41" s="445">
        <v>40658</v>
      </c>
      <c r="B41" s="444">
        <v>282.38</v>
      </c>
      <c r="C41" s="444">
        <v>1363.61</v>
      </c>
      <c r="D41" s="443">
        <f t="shared" si="2"/>
        <v>-2.9081128414481009E-3</v>
      </c>
      <c r="E41" s="209">
        <f t="shared" si="1"/>
        <v>-1.7316738226681502E-2</v>
      </c>
      <c r="K41" s="144" t="s">
        <v>291</v>
      </c>
      <c r="L41" s="144">
        <v>848</v>
      </c>
    </row>
    <row r="42" spans="1:12" x14ac:dyDescent="0.25">
      <c r="A42" s="445">
        <v>40651</v>
      </c>
      <c r="B42" s="444">
        <v>284.85000000000002</v>
      </c>
      <c r="C42" s="444">
        <v>1337.38</v>
      </c>
      <c r="D42" s="443">
        <f t="shared" si="2"/>
        <v>-8.7090443450256565E-3</v>
      </c>
      <c r="E42" s="209">
        <f t="shared" si="1"/>
        <v>1.9423118646804748E-2</v>
      </c>
      <c r="K42" s="144" t="s">
        <v>292</v>
      </c>
      <c r="L42" s="144">
        <v>845</v>
      </c>
    </row>
    <row r="43" spans="1:12" x14ac:dyDescent="0.25">
      <c r="A43" s="445">
        <v>40644</v>
      </c>
      <c r="B43" s="444">
        <v>280.08</v>
      </c>
      <c r="C43" s="444">
        <v>1319.68</v>
      </c>
      <c r="D43" s="443">
        <f t="shared" si="2"/>
        <v>1.6887449279994384E-2</v>
      </c>
      <c r="E43" s="209">
        <f t="shared" si="1"/>
        <v>1.3323193170461335E-2</v>
      </c>
      <c r="K43" s="144" t="s">
        <v>293</v>
      </c>
      <c r="L43" s="144">
        <v>845</v>
      </c>
    </row>
    <row r="44" spans="1:12" x14ac:dyDescent="0.25">
      <c r="A44" s="445">
        <v>40637</v>
      </c>
      <c r="B44" s="444">
        <v>276.26</v>
      </c>
      <c r="C44" s="444">
        <v>1328.17</v>
      </c>
      <c r="D44" s="443">
        <f t="shared" si="2"/>
        <v>1.373282537459645E-2</v>
      </c>
      <c r="E44" s="209">
        <f t="shared" si="1"/>
        <v>-6.4127719432431783E-3</v>
      </c>
      <c r="K44" s="144" t="s">
        <v>294</v>
      </c>
      <c r="L44" s="144">
        <v>846</v>
      </c>
    </row>
    <row r="45" spans="1:12" x14ac:dyDescent="0.25">
      <c r="A45" s="445">
        <v>40630</v>
      </c>
      <c r="B45" s="444">
        <v>274.67</v>
      </c>
      <c r="C45" s="444">
        <v>1332.41</v>
      </c>
      <c r="D45" s="443">
        <f t="shared" si="2"/>
        <v>5.7720741817612799E-3</v>
      </c>
      <c r="E45" s="209">
        <f t="shared" si="1"/>
        <v>-3.1872776533090671E-3</v>
      </c>
      <c r="K45" s="144" t="s">
        <v>295</v>
      </c>
      <c r="L45" s="144">
        <v>846</v>
      </c>
    </row>
    <row r="46" spans="1:12" ht="15.75" thickBot="1" x14ac:dyDescent="0.3">
      <c r="A46" s="445">
        <v>40623</v>
      </c>
      <c r="B46" s="444">
        <v>275.49</v>
      </c>
      <c r="C46" s="444">
        <v>1313.8</v>
      </c>
      <c r="D46" s="443">
        <f t="shared" si="2"/>
        <v>-2.9809532034880968E-3</v>
      </c>
      <c r="E46" s="209">
        <f t="shared" si="1"/>
        <v>1.4065631086665347E-2</v>
      </c>
      <c r="K46" s="145" t="s">
        <v>296</v>
      </c>
      <c r="L46" s="145">
        <v>844</v>
      </c>
    </row>
    <row r="47" spans="1:12" x14ac:dyDescent="0.25">
      <c r="A47" s="445">
        <v>40616</v>
      </c>
      <c r="B47" s="444">
        <v>262.98</v>
      </c>
      <c r="C47" s="444">
        <v>1279.21</v>
      </c>
      <c r="D47" s="443">
        <f t="shared" si="2"/>
        <v>4.6473346634767689E-2</v>
      </c>
      <c r="E47" s="209">
        <f t="shared" si="1"/>
        <v>2.6681001583317526E-2</v>
      </c>
      <c r="K47" s="149" t="s">
        <v>297</v>
      </c>
      <c r="L47" s="146">
        <f>+MAX(L17:L46)</f>
        <v>848</v>
      </c>
    </row>
    <row r="48" spans="1:12" x14ac:dyDescent="0.25">
      <c r="A48" s="445">
        <v>40609</v>
      </c>
      <c r="B48" s="444">
        <v>265.93</v>
      </c>
      <c r="C48" s="444">
        <v>1304.28</v>
      </c>
      <c r="D48" s="443">
        <f t="shared" si="2"/>
        <v>-1.115513259607469E-2</v>
      </c>
      <c r="E48" s="209">
        <f t="shared" si="1"/>
        <v>-1.9408464488040719E-2</v>
      </c>
      <c r="K48" s="150" t="s">
        <v>298</v>
      </c>
      <c r="L48" s="147">
        <f>+MIN(L17:L46)</f>
        <v>790</v>
      </c>
    </row>
    <row r="49" spans="1:12" ht="15.75" thickBot="1" x14ac:dyDescent="0.3">
      <c r="A49" s="445">
        <v>40602</v>
      </c>
      <c r="B49" s="444">
        <v>265.42</v>
      </c>
      <c r="C49" s="444">
        <v>1321.15</v>
      </c>
      <c r="D49" s="443">
        <f t="shared" si="2"/>
        <v>1.9196392457442215E-3</v>
      </c>
      <c r="E49" s="209">
        <f t="shared" si="1"/>
        <v>-1.2851405053528641E-2</v>
      </c>
      <c r="K49" s="151" t="s">
        <v>399</v>
      </c>
      <c r="L49" s="148">
        <v>8.3099999999999993E-2</v>
      </c>
    </row>
    <row r="50" spans="1:12" x14ac:dyDescent="0.25">
      <c r="A50" s="445">
        <v>40596</v>
      </c>
      <c r="B50" s="444">
        <v>255.39</v>
      </c>
      <c r="C50" s="444">
        <v>1319.88</v>
      </c>
      <c r="D50" s="443">
        <f t="shared" si="2"/>
        <v>3.8521688445027936E-2</v>
      </c>
      <c r="E50" s="209">
        <f t="shared" si="1"/>
        <v>9.6174605959873088E-4</v>
      </c>
    </row>
    <row r="51" spans="1:12" x14ac:dyDescent="0.25">
      <c r="A51" s="445">
        <v>40588</v>
      </c>
      <c r="B51" s="444">
        <v>255.64</v>
      </c>
      <c r="C51" s="444">
        <v>1343.01</v>
      </c>
      <c r="D51" s="443">
        <f t="shared" si="2"/>
        <v>-9.7841621800569007E-4</v>
      </c>
      <c r="E51" s="209">
        <f t="shared" si="1"/>
        <v>-1.7372540154871663E-2</v>
      </c>
    </row>
    <row r="52" spans="1:12" x14ac:dyDescent="0.25">
      <c r="A52" s="445">
        <v>40581</v>
      </c>
      <c r="B52" s="444">
        <v>260.88</v>
      </c>
      <c r="C52" s="444">
        <v>1329.15</v>
      </c>
      <c r="D52" s="443">
        <f t="shared" si="2"/>
        <v>-2.0290326698982748E-2</v>
      </c>
      <c r="E52" s="209">
        <f t="shared" si="1"/>
        <v>1.0373723350476292E-2</v>
      </c>
    </row>
    <row r="53" spans="1:12" x14ac:dyDescent="0.25">
      <c r="A53" s="445">
        <v>40574</v>
      </c>
      <c r="B53" s="444">
        <v>258.7</v>
      </c>
      <c r="C53" s="444">
        <v>1310.87</v>
      </c>
      <c r="D53" s="443">
        <f t="shared" si="2"/>
        <v>8.3914422890802812E-3</v>
      </c>
      <c r="E53" s="209">
        <f t="shared" si="1"/>
        <v>1.3848601260336005E-2</v>
      </c>
    </row>
    <row r="54" spans="1:12" x14ac:dyDescent="0.25">
      <c r="A54" s="445">
        <v>40567</v>
      </c>
      <c r="B54" s="444">
        <v>251.06</v>
      </c>
      <c r="C54" s="444">
        <v>1276.3399999999999</v>
      </c>
      <c r="D54" s="443">
        <f t="shared" si="2"/>
        <v>2.997713480192099E-2</v>
      </c>
      <c r="E54" s="209">
        <f t="shared" si="1"/>
        <v>2.6694431809642243E-2</v>
      </c>
    </row>
    <row r="55" spans="1:12" x14ac:dyDescent="0.25">
      <c r="A55" s="445">
        <v>40561</v>
      </c>
      <c r="B55" s="444">
        <v>252.13</v>
      </c>
      <c r="C55" s="444">
        <v>1283.3499999999999</v>
      </c>
      <c r="D55" s="443">
        <f t="shared" si="2"/>
        <v>-4.2528731204942568E-3</v>
      </c>
      <c r="E55" s="209">
        <f t="shared" si="1"/>
        <v>-5.4772394509335388E-3</v>
      </c>
    </row>
    <row r="56" spans="1:12" x14ac:dyDescent="0.25">
      <c r="A56" s="445">
        <v>40553</v>
      </c>
      <c r="B56" s="444">
        <v>252.62</v>
      </c>
      <c r="C56" s="444">
        <v>1293.24</v>
      </c>
      <c r="D56" s="443">
        <f t="shared" si="2"/>
        <v>-1.941555835272634E-3</v>
      </c>
      <c r="E56" s="209">
        <f t="shared" si="1"/>
        <v>-7.6768508543640307E-3</v>
      </c>
    </row>
    <row r="57" spans="1:12" x14ac:dyDescent="0.25">
      <c r="A57" s="445">
        <v>40546</v>
      </c>
      <c r="B57" s="444">
        <v>250.67</v>
      </c>
      <c r="C57" s="444">
        <v>1271.5</v>
      </c>
      <c r="D57" s="443">
        <f t="shared" si="2"/>
        <v>7.7490502801745307E-3</v>
      </c>
      <c r="E57" s="209">
        <f t="shared" si="1"/>
        <v>1.6953391534566285E-2</v>
      </c>
      <c r="G57" t="s">
        <v>546</v>
      </c>
    </row>
    <row r="58" spans="1:12" ht="15.75" thickBot="1" x14ac:dyDescent="0.3">
      <c r="A58" s="445">
        <v>40539</v>
      </c>
      <c r="B58" s="444">
        <v>272.58999999999997</v>
      </c>
      <c r="C58" s="444">
        <v>1257.6400000000001</v>
      </c>
      <c r="D58" s="443">
        <f t="shared" si="2"/>
        <v>-8.3831501738144326E-2</v>
      </c>
      <c r="E58" s="209">
        <f t="shared" si="1"/>
        <v>1.0960357077275636E-2</v>
      </c>
    </row>
    <row r="59" spans="1:12" x14ac:dyDescent="0.25">
      <c r="A59" s="445">
        <v>40532</v>
      </c>
      <c r="B59" s="444">
        <v>271.89999999999998</v>
      </c>
      <c r="C59" s="444">
        <v>1256.77</v>
      </c>
      <c r="D59" s="443">
        <f t="shared" si="2"/>
        <v>2.534483165373943E-3</v>
      </c>
      <c r="E59" s="209">
        <f t="shared" si="1"/>
        <v>6.9201127478713974E-4</v>
      </c>
      <c r="G59" s="210" t="s">
        <v>400</v>
      </c>
      <c r="H59" s="210"/>
    </row>
    <row r="60" spans="1:12" x14ac:dyDescent="0.25">
      <c r="A60" s="445">
        <v>40525</v>
      </c>
      <c r="B60" s="444">
        <v>269.99</v>
      </c>
      <c r="C60" s="444">
        <v>1243.9100000000001</v>
      </c>
      <c r="D60" s="443">
        <f t="shared" si="2"/>
        <v>7.0494303629751046E-3</v>
      </c>
      <c r="E60" s="209">
        <f t="shared" si="1"/>
        <v>1.028529309505727E-2</v>
      </c>
      <c r="G60" s="211" t="s">
        <v>401</v>
      </c>
      <c r="H60" s="211">
        <v>0.58053518477810029</v>
      </c>
    </row>
    <row r="61" spans="1:12" x14ac:dyDescent="0.25">
      <c r="A61" s="445">
        <v>40518</v>
      </c>
      <c r="B61" s="444">
        <v>264.74</v>
      </c>
      <c r="C61" s="444">
        <v>1240.4000000000001</v>
      </c>
      <c r="D61" s="443">
        <f t="shared" si="2"/>
        <v>1.9636708989824985E-2</v>
      </c>
      <c r="E61" s="209">
        <f t="shared" si="1"/>
        <v>2.82573618876016E-3</v>
      </c>
      <c r="G61" s="211" t="s">
        <v>402</v>
      </c>
      <c r="H61" s="211">
        <v>0.33702110076534303</v>
      </c>
    </row>
    <row r="62" spans="1:12" x14ac:dyDescent="0.25">
      <c r="A62" s="445">
        <v>40511</v>
      </c>
      <c r="B62" s="444">
        <v>265.2</v>
      </c>
      <c r="C62" s="444">
        <v>1224.71</v>
      </c>
      <c r="D62" s="443">
        <f t="shared" si="2"/>
        <v>-1.736046026082584E-3</v>
      </c>
      <c r="E62" s="209">
        <f t="shared" si="1"/>
        <v>1.2729826967424975E-2</v>
      </c>
      <c r="G62" s="211" t="s">
        <v>403</v>
      </c>
      <c r="H62" s="211">
        <v>0.33448095172612979</v>
      </c>
    </row>
    <row r="63" spans="1:12" x14ac:dyDescent="0.25">
      <c r="A63" s="445">
        <v>40504</v>
      </c>
      <c r="B63" s="444">
        <v>259.48</v>
      </c>
      <c r="C63" s="444">
        <v>1189.4000000000001</v>
      </c>
      <c r="D63" s="443">
        <f t="shared" si="2"/>
        <v>2.1804629966852705E-2</v>
      </c>
      <c r="E63" s="209">
        <f t="shared" si="1"/>
        <v>2.9255102986375559E-2</v>
      </c>
      <c r="G63" s="211" t="s">
        <v>404</v>
      </c>
      <c r="H63" s="211">
        <v>3.2141454879419717E-2</v>
      </c>
    </row>
    <row r="64" spans="1:12" ht="15.75" thickBot="1" x14ac:dyDescent="0.3">
      <c r="A64" s="445">
        <v>40497</v>
      </c>
      <c r="B64" s="444">
        <v>251.2</v>
      </c>
      <c r="C64" s="444">
        <v>1199.73</v>
      </c>
      <c r="D64" s="443">
        <f t="shared" si="2"/>
        <v>3.2430193750811222E-2</v>
      </c>
      <c r="E64" s="209">
        <f t="shared" si="1"/>
        <v>-8.6475531873008334E-3</v>
      </c>
      <c r="G64" s="212" t="s">
        <v>186</v>
      </c>
      <c r="H64" s="212">
        <v>263</v>
      </c>
    </row>
    <row r="65" spans="1:15" x14ac:dyDescent="0.25">
      <c r="A65" s="445">
        <v>40490</v>
      </c>
      <c r="B65" s="444">
        <v>250.68</v>
      </c>
      <c r="C65" s="444">
        <v>1199.21</v>
      </c>
      <c r="D65" s="443">
        <f t="shared" si="2"/>
        <v>2.0722092375687405E-3</v>
      </c>
      <c r="E65" s="209">
        <f t="shared" si="1"/>
        <v>4.3352481357939821E-4</v>
      </c>
    </row>
    <row r="66" spans="1:15" ht="15.75" thickBot="1" x14ac:dyDescent="0.3">
      <c r="A66" s="445">
        <v>40483</v>
      </c>
      <c r="B66" s="444">
        <v>239.87</v>
      </c>
      <c r="C66" s="444">
        <v>1225.8499999999999</v>
      </c>
      <c r="D66" s="443">
        <f t="shared" si="2"/>
        <v>4.4080115435535937E-2</v>
      </c>
      <c r="E66" s="209">
        <f t="shared" si="1"/>
        <v>-2.1971474261906706E-2</v>
      </c>
      <c r="G66" t="s">
        <v>405</v>
      </c>
    </row>
    <row r="67" spans="1:15" x14ac:dyDescent="0.25">
      <c r="A67" s="445">
        <v>40476</v>
      </c>
      <c r="B67" s="444">
        <v>237.63</v>
      </c>
      <c r="C67" s="444">
        <v>1183.26</v>
      </c>
      <c r="D67" s="443">
        <f t="shared" si="2"/>
        <v>9.3822677766407757E-3</v>
      </c>
      <c r="E67" s="209">
        <f t="shared" si="1"/>
        <v>3.536113985808878E-2</v>
      </c>
      <c r="G67" s="213"/>
      <c r="H67" s="213" t="s">
        <v>406</v>
      </c>
      <c r="I67" s="213" t="s">
        <v>407</v>
      </c>
      <c r="J67" s="213" t="s">
        <v>408</v>
      </c>
      <c r="K67" s="213" t="s">
        <v>409</v>
      </c>
      <c r="L67" s="213" t="s">
        <v>410</v>
      </c>
    </row>
    <row r="68" spans="1:15" x14ac:dyDescent="0.25">
      <c r="A68" s="445">
        <v>40469</v>
      </c>
      <c r="B68" s="444">
        <v>234.72</v>
      </c>
      <c r="C68" s="444">
        <v>1183.08</v>
      </c>
      <c r="D68" s="443">
        <f t="shared" si="2"/>
        <v>1.2321527749626334E-2</v>
      </c>
      <c r="E68" s="209">
        <f t="shared" si="1"/>
        <v>1.5213367508247694E-4</v>
      </c>
      <c r="G68" s="211" t="s">
        <v>411</v>
      </c>
      <c r="H68" s="211">
        <v>1</v>
      </c>
      <c r="I68" s="211">
        <v>0.13706575295142032</v>
      </c>
      <c r="J68" s="211">
        <v>0.13706575295142032</v>
      </c>
      <c r="K68" s="211">
        <v>132.67768763274137</v>
      </c>
      <c r="L68" s="211">
        <v>4.2844653980804295E-25</v>
      </c>
    </row>
    <row r="69" spans="1:15" x14ac:dyDescent="0.25">
      <c r="A69" s="445">
        <v>40462</v>
      </c>
      <c r="B69" s="444">
        <v>232.96</v>
      </c>
      <c r="C69" s="444">
        <v>1176.19</v>
      </c>
      <c r="D69" s="443">
        <f t="shared" ref="D69:D132" si="3">+LN(B68/B69)</f>
        <v>7.5265493863504113E-3</v>
      </c>
      <c r="E69" s="209">
        <f t="shared" ref="E69:E132" si="4">+LN(C68/C69)</f>
        <v>5.8408063406860814E-3</v>
      </c>
      <c r="G69" s="211" t="s">
        <v>412</v>
      </c>
      <c r="H69" s="211">
        <v>261</v>
      </c>
      <c r="I69" s="211">
        <v>0.26963208478086692</v>
      </c>
      <c r="J69" s="211">
        <v>1.0330731217657737E-3</v>
      </c>
      <c r="K69" s="211"/>
      <c r="L69" s="211"/>
    </row>
    <row r="70" spans="1:15" ht="15.75" thickBot="1" x14ac:dyDescent="0.3">
      <c r="A70" s="445">
        <v>40455</v>
      </c>
      <c r="B70" s="444">
        <v>232.81</v>
      </c>
      <c r="C70" s="444">
        <v>1165.1500000000001</v>
      </c>
      <c r="D70" s="443">
        <f t="shared" si="3"/>
        <v>6.4409474713154229E-4</v>
      </c>
      <c r="E70" s="209">
        <f t="shared" si="4"/>
        <v>9.4305669579168271E-3</v>
      </c>
      <c r="G70" s="212" t="s">
        <v>16</v>
      </c>
      <c r="H70" s="212">
        <v>262</v>
      </c>
      <c r="I70" s="212">
        <v>0.40669783773228724</v>
      </c>
      <c r="J70" s="212"/>
      <c r="K70" s="212"/>
      <c r="L70" s="212"/>
    </row>
    <row r="71" spans="1:15" ht="15.75" thickBot="1" x14ac:dyDescent="0.3">
      <c r="A71" s="445">
        <v>40448</v>
      </c>
      <c r="B71" s="444">
        <v>228.83</v>
      </c>
      <c r="C71" s="444">
        <v>1146.24</v>
      </c>
      <c r="D71" s="443">
        <f t="shared" si="3"/>
        <v>1.7243300469757118E-2</v>
      </c>
      <c r="E71" s="209">
        <f t="shared" si="4"/>
        <v>1.6362813644054997E-2</v>
      </c>
    </row>
    <row r="72" spans="1:15" x14ac:dyDescent="0.25">
      <c r="A72" s="445">
        <v>40441</v>
      </c>
      <c r="B72" s="444">
        <v>225.73</v>
      </c>
      <c r="C72" s="444">
        <v>1148.67</v>
      </c>
      <c r="D72" s="443">
        <f t="shared" si="3"/>
        <v>1.3639774995946343E-2</v>
      </c>
      <c r="E72" s="209">
        <f t="shared" si="4"/>
        <v>-2.1177308985266081E-3</v>
      </c>
      <c r="G72" s="213"/>
      <c r="H72" s="213" t="s">
        <v>413</v>
      </c>
      <c r="I72" s="213" t="s">
        <v>404</v>
      </c>
      <c r="J72" s="213" t="s">
        <v>414</v>
      </c>
      <c r="K72" s="213" t="s">
        <v>415</v>
      </c>
      <c r="L72" s="213" t="s">
        <v>416</v>
      </c>
      <c r="M72" s="213" t="s">
        <v>417</v>
      </c>
      <c r="N72" s="213" t="s">
        <v>418</v>
      </c>
      <c r="O72" s="213" t="s">
        <v>419</v>
      </c>
    </row>
    <row r="73" spans="1:15" x14ac:dyDescent="0.25">
      <c r="A73" s="445">
        <v>40434</v>
      </c>
      <c r="B73" s="444">
        <v>220.88</v>
      </c>
      <c r="C73" s="444">
        <v>1125.5899999999999</v>
      </c>
      <c r="D73" s="443">
        <f t="shared" si="3"/>
        <v>2.1720027173587272E-2</v>
      </c>
      <c r="E73" s="209">
        <f t="shared" si="4"/>
        <v>2.0297408720779137E-2</v>
      </c>
      <c r="G73" s="211" t="s">
        <v>420</v>
      </c>
      <c r="H73" s="211">
        <v>4.294347632383586E-3</v>
      </c>
      <c r="I73" s="211">
        <v>1.9820255113034029E-3</v>
      </c>
      <c r="J73" s="211">
        <v>2.1666459931484803</v>
      </c>
      <c r="K73" s="211">
        <v>3.1166886479345558E-2</v>
      </c>
      <c r="L73" s="211">
        <v>3.9155177015565059E-4</v>
      </c>
      <c r="M73" s="211">
        <v>8.1971434946115224E-3</v>
      </c>
      <c r="N73" s="211">
        <v>3.9155177015565059E-4</v>
      </c>
      <c r="O73" s="211">
        <v>8.1971434946115224E-3</v>
      </c>
    </row>
    <row r="74" spans="1:15" ht="15.75" thickBot="1" x14ac:dyDescent="0.3">
      <c r="A74" s="445">
        <v>40428</v>
      </c>
      <c r="B74" s="444">
        <v>217.9</v>
      </c>
      <c r="C74" s="444">
        <v>1109.55</v>
      </c>
      <c r="D74" s="443">
        <f t="shared" si="3"/>
        <v>1.3583325671324795E-2</v>
      </c>
      <c r="E74" s="209">
        <f t="shared" si="4"/>
        <v>1.4352814908053324E-2</v>
      </c>
      <c r="G74" s="212" t="s">
        <v>421</v>
      </c>
      <c r="H74" s="448">
        <v>0.69684546726698016</v>
      </c>
      <c r="I74" s="212">
        <v>6.049751453056406E-2</v>
      </c>
      <c r="J74" s="212">
        <v>11.518580104888864</v>
      </c>
      <c r="K74" s="212">
        <v>4.2844653980804285E-25</v>
      </c>
      <c r="L74" s="212">
        <v>0.57772013409723122</v>
      </c>
      <c r="M74" s="212">
        <v>0.81597080043672909</v>
      </c>
      <c r="N74" s="212">
        <v>0.57772013409723122</v>
      </c>
      <c r="O74" s="212">
        <v>0.81597080043672909</v>
      </c>
    </row>
    <row r="75" spans="1:15" x14ac:dyDescent="0.25">
      <c r="A75" s="445">
        <v>40420</v>
      </c>
      <c r="B75" s="444">
        <v>218.45</v>
      </c>
      <c r="C75" s="444">
        <v>1104.51</v>
      </c>
      <c r="D75" s="443">
        <f t="shared" si="3"/>
        <v>-2.5209134468705736E-3</v>
      </c>
      <c r="E75" s="209">
        <f t="shared" si="4"/>
        <v>4.5527300122707786E-3</v>
      </c>
    </row>
    <row r="76" spans="1:15" x14ac:dyDescent="0.25">
      <c r="A76" s="445">
        <v>40413</v>
      </c>
      <c r="B76" s="444">
        <v>214.65</v>
      </c>
      <c r="C76" s="444">
        <v>1064.5899999999999</v>
      </c>
      <c r="D76" s="443">
        <f t="shared" si="3"/>
        <v>1.7548360726875122E-2</v>
      </c>
      <c r="E76" s="209">
        <f t="shared" si="4"/>
        <v>3.6812049194498674E-2</v>
      </c>
    </row>
    <row r="77" spans="1:15" x14ac:dyDescent="0.25">
      <c r="A77" s="445">
        <v>40406</v>
      </c>
      <c r="B77" s="444">
        <v>213.07</v>
      </c>
      <c r="C77" s="444">
        <v>1071.69</v>
      </c>
      <c r="D77" s="443">
        <f t="shared" si="3"/>
        <v>7.3880444532946413E-3</v>
      </c>
      <c r="E77" s="209">
        <f t="shared" si="4"/>
        <v>-6.6470932107130995E-3</v>
      </c>
      <c r="G77" s="237" t="s">
        <v>551</v>
      </c>
    </row>
    <row r="78" spans="1:15" x14ac:dyDescent="0.25">
      <c r="A78" s="445">
        <v>40399</v>
      </c>
      <c r="B78" s="444">
        <v>207.86</v>
      </c>
      <c r="C78" s="444">
        <v>1079.25</v>
      </c>
      <c r="D78" s="443">
        <f t="shared" si="3"/>
        <v>2.4755974056999374E-2</v>
      </c>
      <c r="E78" s="209">
        <f t="shared" si="4"/>
        <v>-7.0295137296569254E-3</v>
      </c>
      <c r="G78" t="s">
        <v>549</v>
      </c>
      <c r="L78" t="s">
        <v>550</v>
      </c>
    </row>
    <row r="79" spans="1:15" x14ac:dyDescent="0.25">
      <c r="A79" s="445">
        <v>40392</v>
      </c>
      <c r="B79" s="444">
        <v>207.39</v>
      </c>
      <c r="C79" s="444">
        <v>1121.6400000000001</v>
      </c>
      <c r="D79" s="443">
        <f t="shared" si="3"/>
        <v>2.2636975349924976E-3</v>
      </c>
      <c r="E79" s="209">
        <f t="shared" si="4"/>
        <v>-3.8525544546905516E-2</v>
      </c>
    </row>
    <row r="80" spans="1:15" x14ac:dyDescent="0.25">
      <c r="A80" s="445">
        <v>40385</v>
      </c>
      <c r="B80" s="444">
        <v>211.57</v>
      </c>
      <c r="C80" s="444">
        <v>1101.5999999999999</v>
      </c>
      <c r="D80" s="443">
        <f t="shared" si="3"/>
        <v>-1.9954834369942834E-2</v>
      </c>
      <c r="E80" s="209">
        <f t="shared" si="4"/>
        <v>1.8028231568047358E-2</v>
      </c>
    </row>
    <row r="81" spans="1:5" x14ac:dyDescent="0.25">
      <c r="A81" s="445">
        <v>40378</v>
      </c>
      <c r="B81" s="444">
        <v>207</v>
      </c>
      <c r="C81" s="444">
        <v>1102.6600000000001</v>
      </c>
      <c r="D81" s="443">
        <f t="shared" si="3"/>
        <v>2.1837119729857097E-2</v>
      </c>
      <c r="E81" s="209">
        <f t="shared" si="4"/>
        <v>-9.6177409353649776E-4</v>
      </c>
    </row>
    <row r="82" spans="1:5" x14ac:dyDescent="0.25">
      <c r="A82" s="445">
        <v>40371</v>
      </c>
      <c r="B82" s="444">
        <v>202.25</v>
      </c>
      <c r="C82" s="444">
        <v>1064.8800000000001</v>
      </c>
      <c r="D82" s="443">
        <f t="shared" si="3"/>
        <v>2.3214237326768028E-2</v>
      </c>
      <c r="E82" s="209">
        <f t="shared" si="4"/>
        <v>3.4863325769217635E-2</v>
      </c>
    </row>
    <row r="83" spans="1:5" x14ac:dyDescent="0.25">
      <c r="A83" s="445">
        <v>40365</v>
      </c>
      <c r="B83" s="444">
        <v>200.12</v>
      </c>
      <c r="C83" s="444">
        <v>1077.96</v>
      </c>
      <c r="D83" s="443">
        <f t="shared" si="3"/>
        <v>1.058736931859678E-2</v>
      </c>
      <c r="E83" s="209">
        <f t="shared" si="4"/>
        <v>-1.2208249290351733E-2</v>
      </c>
    </row>
    <row r="84" spans="1:5" x14ac:dyDescent="0.25">
      <c r="A84" s="445">
        <v>40357</v>
      </c>
      <c r="B84" s="444">
        <v>195.01</v>
      </c>
      <c r="C84" s="444">
        <v>1022.58</v>
      </c>
      <c r="D84" s="443">
        <f t="shared" si="3"/>
        <v>2.5866347319855029E-2</v>
      </c>
      <c r="E84" s="209">
        <f t="shared" si="4"/>
        <v>5.2741520563915303E-2</v>
      </c>
    </row>
    <row r="85" spans="1:5" x14ac:dyDescent="0.25">
      <c r="A85" s="445">
        <v>40350</v>
      </c>
      <c r="B85" s="444">
        <v>196.13</v>
      </c>
      <c r="C85" s="444">
        <v>1076.76</v>
      </c>
      <c r="D85" s="443">
        <f t="shared" si="3"/>
        <v>-5.7268653732702188E-3</v>
      </c>
      <c r="E85" s="209">
        <f t="shared" si="4"/>
        <v>-5.1627686632766435E-2</v>
      </c>
    </row>
    <row r="86" spans="1:5" x14ac:dyDescent="0.25">
      <c r="A86" s="445">
        <v>40343</v>
      </c>
      <c r="B86" s="444">
        <v>195.31</v>
      </c>
      <c r="C86" s="444">
        <v>1117.51</v>
      </c>
      <c r="D86" s="443">
        <f t="shared" si="3"/>
        <v>4.1896648246195489E-3</v>
      </c>
      <c r="E86" s="209">
        <f t="shared" si="4"/>
        <v>-3.7146463895580524E-2</v>
      </c>
    </row>
    <row r="87" spans="1:5" x14ac:dyDescent="0.25">
      <c r="A87" s="445">
        <v>40336</v>
      </c>
      <c r="B87" s="444">
        <v>189.3</v>
      </c>
      <c r="C87" s="444">
        <v>1091.5999999999999</v>
      </c>
      <c r="D87" s="443">
        <f t="shared" si="3"/>
        <v>3.1254981633522701E-2</v>
      </c>
      <c r="E87" s="209">
        <f t="shared" si="4"/>
        <v>2.345848615936378E-2</v>
      </c>
    </row>
    <row r="88" spans="1:5" x14ac:dyDescent="0.25">
      <c r="A88" s="445">
        <v>40330</v>
      </c>
      <c r="B88" s="444">
        <v>188.89</v>
      </c>
      <c r="C88" s="444">
        <v>1064.8800000000001</v>
      </c>
      <c r="D88" s="443">
        <f t="shared" si="3"/>
        <v>2.1682231715489872E-3</v>
      </c>
      <c r="E88" s="209">
        <f t="shared" si="4"/>
        <v>2.4782393095419523E-2</v>
      </c>
    </row>
    <row r="89" spans="1:5" x14ac:dyDescent="0.25">
      <c r="A89" s="445">
        <v>40322</v>
      </c>
      <c r="B89" s="444">
        <v>190.88</v>
      </c>
      <c r="C89" s="444">
        <v>1089.4100000000001</v>
      </c>
      <c r="D89" s="443">
        <f t="shared" si="3"/>
        <v>-1.0480123305877722E-2</v>
      </c>
      <c r="E89" s="209">
        <f t="shared" si="4"/>
        <v>-2.2774148533468215E-2</v>
      </c>
    </row>
    <row r="90" spans="1:5" x14ac:dyDescent="0.25">
      <c r="A90" s="445">
        <v>40315</v>
      </c>
      <c r="B90" s="444">
        <v>183.47</v>
      </c>
      <c r="C90" s="444">
        <v>1087.69</v>
      </c>
      <c r="D90" s="443">
        <f t="shared" si="3"/>
        <v>3.9593791958977685E-2</v>
      </c>
      <c r="E90" s="209">
        <f t="shared" si="4"/>
        <v>1.5800839261911356E-3</v>
      </c>
    </row>
    <row r="91" spans="1:5" x14ac:dyDescent="0.25">
      <c r="A91" s="445">
        <v>40308</v>
      </c>
      <c r="B91" s="444">
        <v>180.31</v>
      </c>
      <c r="C91" s="444">
        <v>1135.68</v>
      </c>
      <c r="D91" s="443">
        <f t="shared" si="3"/>
        <v>1.7373574602351203E-2</v>
      </c>
      <c r="E91" s="209">
        <f t="shared" si="4"/>
        <v>-4.3175409112090869E-2</v>
      </c>
    </row>
    <row r="92" spans="1:5" x14ac:dyDescent="0.25">
      <c r="A92" s="445">
        <v>40301</v>
      </c>
      <c r="B92" s="444">
        <v>176.08</v>
      </c>
      <c r="C92" s="444">
        <v>1110.8800000000001</v>
      </c>
      <c r="D92" s="443">
        <f t="shared" si="3"/>
        <v>2.3739154570070562E-2</v>
      </c>
      <c r="E92" s="209">
        <f t="shared" si="4"/>
        <v>2.2079096453168308E-2</v>
      </c>
    </row>
    <row r="93" spans="1:5" x14ac:dyDescent="0.25">
      <c r="A93" s="445">
        <v>40294</v>
      </c>
      <c r="B93" s="444">
        <v>185.01</v>
      </c>
      <c r="C93" s="444">
        <v>1186.69</v>
      </c>
      <c r="D93" s="443">
        <f t="shared" si="3"/>
        <v>-4.9471440453304746E-2</v>
      </c>
      <c r="E93" s="209">
        <f t="shared" si="4"/>
        <v>-6.6015424901038747E-2</v>
      </c>
    </row>
    <row r="94" spans="1:5" x14ac:dyDescent="0.25">
      <c r="A94" s="445">
        <v>40287</v>
      </c>
      <c r="B94" s="444">
        <v>184.05</v>
      </c>
      <c r="C94" s="444">
        <v>1217.28</v>
      </c>
      <c r="D94" s="443">
        <f t="shared" si="3"/>
        <v>5.2024178464808932E-3</v>
      </c>
      <c r="E94" s="209">
        <f t="shared" si="4"/>
        <v>-2.5450942570914018E-2</v>
      </c>
    </row>
    <row r="95" spans="1:5" x14ac:dyDescent="0.25">
      <c r="A95" s="445">
        <v>40280</v>
      </c>
      <c r="B95" s="444">
        <v>180.11</v>
      </c>
      <c r="C95" s="444">
        <v>1192.1300000000001</v>
      </c>
      <c r="D95" s="443">
        <f t="shared" si="3"/>
        <v>2.1639684476064118E-2</v>
      </c>
      <c r="E95" s="209">
        <f t="shared" si="4"/>
        <v>2.0877238395589779E-2</v>
      </c>
    </row>
    <row r="96" spans="1:5" x14ac:dyDescent="0.25">
      <c r="A96" s="445">
        <v>40273</v>
      </c>
      <c r="B96" s="444">
        <v>175.29</v>
      </c>
      <c r="C96" s="444">
        <v>1194.3699999999999</v>
      </c>
      <c r="D96" s="443">
        <f t="shared" si="3"/>
        <v>2.7126030114510907E-2</v>
      </c>
      <c r="E96" s="209">
        <f t="shared" si="4"/>
        <v>-1.8772266145479332E-3</v>
      </c>
    </row>
    <row r="97" spans="1:5" x14ac:dyDescent="0.25">
      <c r="A97" s="445">
        <v>40266</v>
      </c>
      <c r="B97" s="444">
        <v>174.88</v>
      </c>
      <c r="C97" s="444">
        <v>1178.0999999999999</v>
      </c>
      <c r="D97" s="443">
        <f t="shared" si="3"/>
        <v>2.3417208062270069E-3</v>
      </c>
      <c r="E97" s="209">
        <f t="shared" si="4"/>
        <v>1.3715878443800756E-2</v>
      </c>
    </row>
    <row r="98" spans="1:5" x14ac:dyDescent="0.25">
      <c r="A98" s="445">
        <v>40259</v>
      </c>
      <c r="B98" s="444">
        <v>174.22</v>
      </c>
      <c r="C98" s="444">
        <v>1166.5899999999999</v>
      </c>
      <c r="D98" s="443">
        <f t="shared" si="3"/>
        <v>3.7811560374825409E-3</v>
      </c>
      <c r="E98" s="209">
        <f t="shared" si="4"/>
        <v>9.8180078876707825E-3</v>
      </c>
    </row>
    <row r="99" spans="1:5" x14ac:dyDescent="0.25">
      <c r="A99" s="445">
        <v>40252</v>
      </c>
      <c r="B99" s="444">
        <v>172.28</v>
      </c>
      <c r="C99" s="444">
        <v>1159.9000000000001</v>
      </c>
      <c r="D99" s="443">
        <f t="shared" si="3"/>
        <v>1.1197808204836141E-2</v>
      </c>
      <c r="E99" s="209">
        <f t="shared" si="4"/>
        <v>5.7511688765721908E-3</v>
      </c>
    </row>
    <row r="100" spans="1:5" x14ac:dyDescent="0.25">
      <c r="A100" s="445">
        <v>40245</v>
      </c>
      <c r="B100" s="444">
        <v>168.89</v>
      </c>
      <c r="C100" s="444">
        <v>1149.99</v>
      </c>
      <c r="D100" s="443">
        <f t="shared" si="3"/>
        <v>1.9873444756080057E-2</v>
      </c>
      <c r="E100" s="209">
        <f t="shared" si="4"/>
        <v>8.5805478205162062E-3</v>
      </c>
    </row>
    <row r="101" spans="1:5" x14ac:dyDescent="0.25">
      <c r="A101" s="445">
        <v>40238</v>
      </c>
      <c r="B101" s="444">
        <v>168.79</v>
      </c>
      <c r="C101" s="444">
        <v>1138.7</v>
      </c>
      <c r="D101" s="443">
        <f t="shared" si="3"/>
        <v>5.9227672899338885E-4</v>
      </c>
      <c r="E101" s="209">
        <f t="shared" si="4"/>
        <v>9.8659858507551892E-3</v>
      </c>
    </row>
    <row r="102" spans="1:5" x14ac:dyDescent="0.25">
      <c r="A102" s="445">
        <v>40231</v>
      </c>
      <c r="B102" s="444">
        <v>165.93</v>
      </c>
      <c r="C102" s="444">
        <v>1104.49</v>
      </c>
      <c r="D102" s="443">
        <f t="shared" si="3"/>
        <v>1.7089326026140054E-2</v>
      </c>
      <c r="E102" s="209">
        <f t="shared" si="4"/>
        <v>3.050357086790359E-2</v>
      </c>
    </row>
    <row r="103" spans="1:5" x14ac:dyDescent="0.25">
      <c r="A103" s="445">
        <v>40225</v>
      </c>
      <c r="B103" s="444">
        <v>163.66999999999999</v>
      </c>
      <c r="C103" s="444">
        <v>1109.17</v>
      </c>
      <c r="D103" s="443">
        <f t="shared" si="3"/>
        <v>1.3713807156903981E-2</v>
      </c>
      <c r="E103" s="209">
        <f t="shared" si="4"/>
        <v>-4.2282979071891691E-3</v>
      </c>
    </row>
    <row r="104" spans="1:5" x14ac:dyDescent="0.25">
      <c r="A104" s="445">
        <v>40217</v>
      </c>
      <c r="B104" s="444">
        <v>160.85</v>
      </c>
      <c r="C104" s="444">
        <v>1075.51</v>
      </c>
      <c r="D104" s="443">
        <f t="shared" si="3"/>
        <v>1.7379951832757111E-2</v>
      </c>
      <c r="E104" s="209">
        <f t="shared" si="4"/>
        <v>3.081702019035646E-2</v>
      </c>
    </row>
    <row r="105" spans="1:5" x14ac:dyDescent="0.25">
      <c r="A105" s="445">
        <v>40210</v>
      </c>
      <c r="B105" s="444">
        <v>155.38</v>
      </c>
      <c r="C105" s="444">
        <v>1066.19</v>
      </c>
      <c r="D105" s="443">
        <f t="shared" si="3"/>
        <v>3.4598524162760699E-2</v>
      </c>
      <c r="E105" s="209">
        <f t="shared" si="4"/>
        <v>8.7034214241695339E-3</v>
      </c>
    </row>
    <row r="106" spans="1:5" x14ac:dyDescent="0.25">
      <c r="A106" s="445">
        <v>40203</v>
      </c>
      <c r="B106" s="444">
        <v>155.03</v>
      </c>
      <c r="C106" s="444">
        <v>1073.8699999999999</v>
      </c>
      <c r="D106" s="443">
        <f t="shared" si="3"/>
        <v>2.2550829440039334E-3</v>
      </c>
      <c r="E106" s="209">
        <f t="shared" si="4"/>
        <v>-7.1773996706763462E-3</v>
      </c>
    </row>
    <row r="107" spans="1:5" x14ac:dyDescent="0.25">
      <c r="A107" s="445">
        <v>40197</v>
      </c>
      <c r="B107" s="444">
        <v>155.87</v>
      </c>
      <c r="C107" s="444">
        <v>1091.76</v>
      </c>
      <c r="D107" s="443">
        <f t="shared" si="3"/>
        <v>-5.4036799226888565E-3</v>
      </c>
      <c r="E107" s="209">
        <f t="shared" si="4"/>
        <v>-1.6522127017863077E-2</v>
      </c>
    </row>
    <row r="108" spans="1:5" x14ac:dyDescent="0.25">
      <c r="A108" s="445">
        <v>40189</v>
      </c>
      <c r="B108" s="444">
        <v>155.08000000000001</v>
      </c>
      <c r="C108" s="444">
        <v>1136.03</v>
      </c>
      <c r="D108" s="443">
        <f t="shared" si="3"/>
        <v>5.0812136982312291E-3</v>
      </c>
      <c r="E108" s="209">
        <f t="shared" si="4"/>
        <v>-3.9748655453245588E-2</v>
      </c>
    </row>
    <row r="109" spans="1:5" x14ac:dyDescent="0.25">
      <c r="A109" s="445">
        <v>40182</v>
      </c>
      <c r="B109" s="444">
        <v>155.28</v>
      </c>
      <c r="C109" s="444">
        <v>1144.98</v>
      </c>
      <c r="D109" s="443">
        <f t="shared" si="3"/>
        <v>-1.2888260580263553E-3</v>
      </c>
      <c r="E109" s="209">
        <f t="shared" si="4"/>
        <v>-7.8474412037736613E-3</v>
      </c>
    </row>
    <row r="110" spans="1:5" x14ac:dyDescent="0.25">
      <c r="A110" s="445">
        <v>40175</v>
      </c>
      <c r="B110" s="444">
        <v>158.07</v>
      </c>
      <c r="C110" s="444">
        <v>1115.0999999999999</v>
      </c>
      <c r="D110" s="443">
        <f t="shared" si="3"/>
        <v>-1.7808034028549278E-2</v>
      </c>
      <c r="E110" s="209">
        <f t="shared" si="4"/>
        <v>2.6443082615561598E-2</v>
      </c>
    </row>
    <row r="111" spans="1:5" x14ac:dyDescent="0.25">
      <c r="A111" s="445">
        <v>40168</v>
      </c>
      <c r="B111" s="444">
        <v>159.91</v>
      </c>
      <c r="C111" s="444">
        <v>1126.48</v>
      </c>
      <c r="D111" s="443">
        <f t="shared" si="3"/>
        <v>-1.1573184082046608E-2</v>
      </c>
      <c r="E111" s="209">
        <f t="shared" si="4"/>
        <v>-1.0153639637740139E-2</v>
      </c>
    </row>
    <row r="112" spans="1:5" x14ac:dyDescent="0.25">
      <c r="A112" s="445">
        <v>40161</v>
      </c>
      <c r="B112" s="444">
        <v>158.29</v>
      </c>
      <c r="C112" s="444">
        <v>1102.47</v>
      </c>
      <c r="D112" s="443">
        <f t="shared" si="3"/>
        <v>1.0182363273703716E-2</v>
      </c>
      <c r="E112" s="209">
        <f t="shared" si="4"/>
        <v>2.1544609542631706E-2</v>
      </c>
    </row>
    <row r="113" spans="1:5" x14ac:dyDescent="0.25">
      <c r="A113" s="445">
        <v>40154</v>
      </c>
      <c r="B113" s="444">
        <v>155.78</v>
      </c>
      <c r="C113" s="444">
        <v>1106.4100000000001</v>
      </c>
      <c r="D113" s="443">
        <f t="shared" si="3"/>
        <v>1.5984038205844538E-2</v>
      </c>
      <c r="E113" s="209">
        <f t="shared" si="4"/>
        <v>-3.5674225657660198E-3</v>
      </c>
    </row>
    <row r="114" spans="1:5" x14ac:dyDescent="0.25">
      <c r="A114" s="445">
        <v>40147</v>
      </c>
      <c r="B114" s="444">
        <v>152.08000000000001</v>
      </c>
      <c r="C114" s="444">
        <v>1105.98</v>
      </c>
      <c r="D114" s="443">
        <f t="shared" si="3"/>
        <v>2.4038057311628724E-2</v>
      </c>
      <c r="E114" s="209">
        <f t="shared" si="4"/>
        <v>3.887198960532181E-4</v>
      </c>
    </row>
    <row r="115" spans="1:5" x14ac:dyDescent="0.25">
      <c r="A115" s="445">
        <v>40140</v>
      </c>
      <c r="B115" s="444">
        <v>150.05000000000001</v>
      </c>
      <c r="C115" s="444">
        <v>1091.49</v>
      </c>
      <c r="D115" s="443">
        <f t="shared" si="3"/>
        <v>1.3438126293797707E-2</v>
      </c>
      <c r="E115" s="209">
        <f t="shared" si="4"/>
        <v>1.318808449218426E-2</v>
      </c>
    </row>
    <row r="116" spans="1:5" x14ac:dyDescent="0.25">
      <c r="A116" s="445">
        <v>40133</v>
      </c>
      <c r="B116" s="444">
        <v>147.41999999999999</v>
      </c>
      <c r="C116" s="444">
        <v>1091.3800000000001</v>
      </c>
      <c r="D116" s="443">
        <f t="shared" si="3"/>
        <v>1.7682916125233625E-2</v>
      </c>
      <c r="E116" s="209">
        <f t="shared" si="4"/>
        <v>1.0078474677181741E-4</v>
      </c>
    </row>
    <row r="117" spans="1:5" x14ac:dyDescent="0.25">
      <c r="A117" s="445">
        <v>40126</v>
      </c>
      <c r="B117" s="444">
        <v>143.66999999999999</v>
      </c>
      <c r="C117" s="444">
        <v>1093.48</v>
      </c>
      <c r="D117" s="443">
        <f t="shared" si="3"/>
        <v>2.5766652738515045E-2</v>
      </c>
      <c r="E117" s="209">
        <f t="shared" si="4"/>
        <v>-1.9223205575461856E-3</v>
      </c>
    </row>
    <row r="118" spans="1:5" x14ac:dyDescent="0.25">
      <c r="A118" s="445">
        <v>40119</v>
      </c>
      <c r="B118" s="444">
        <v>140.32</v>
      </c>
      <c r="C118" s="444">
        <v>1069.3</v>
      </c>
      <c r="D118" s="443">
        <f t="shared" si="3"/>
        <v>2.3593474398754803E-2</v>
      </c>
      <c r="E118" s="209">
        <f t="shared" si="4"/>
        <v>2.2361042292116384E-2</v>
      </c>
    </row>
    <row r="119" spans="1:5" x14ac:dyDescent="0.25">
      <c r="A119" s="445">
        <v>40112</v>
      </c>
      <c r="B119" s="444">
        <v>135.31</v>
      </c>
      <c r="C119" s="444">
        <v>1036.19</v>
      </c>
      <c r="D119" s="443">
        <f t="shared" si="3"/>
        <v>3.635708634831996E-2</v>
      </c>
      <c r="E119" s="209">
        <f t="shared" si="4"/>
        <v>3.1453704075084035E-2</v>
      </c>
    </row>
    <row r="120" spans="1:5" x14ac:dyDescent="0.25">
      <c r="A120" s="445">
        <v>40105</v>
      </c>
      <c r="B120" s="444">
        <v>137.62</v>
      </c>
      <c r="C120" s="444">
        <v>1079.5999999999999</v>
      </c>
      <c r="D120" s="443">
        <f t="shared" si="3"/>
        <v>-1.6927821498780967E-2</v>
      </c>
      <c r="E120" s="209">
        <f t="shared" si="4"/>
        <v>-4.1040077456322585E-2</v>
      </c>
    </row>
    <row r="121" spans="1:5" x14ac:dyDescent="0.25">
      <c r="A121" s="445">
        <v>40098</v>
      </c>
      <c r="B121" s="444">
        <v>144.52000000000001</v>
      </c>
      <c r="C121" s="444">
        <v>1087.68</v>
      </c>
      <c r="D121" s="443">
        <f t="shared" si="3"/>
        <v>-4.8921642505105695E-2</v>
      </c>
      <c r="E121" s="209">
        <f t="shared" si="4"/>
        <v>-7.4563853639017588E-3</v>
      </c>
    </row>
    <row r="122" spans="1:5" x14ac:dyDescent="0.25">
      <c r="A122" s="445">
        <v>40091</v>
      </c>
      <c r="B122" s="444">
        <v>145.91999999999999</v>
      </c>
      <c r="C122" s="444">
        <v>1071.49</v>
      </c>
      <c r="D122" s="443">
        <f t="shared" si="3"/>
        <v>-9.6406200465816109E-3</v>
      </c>
      <c r="E122" s="209">
        <f t="shared" si="4"/>
        <v>1.4996784348822097E-2</v>
      </c>
    </row>
    <row r="123" spans="1:5" x14ac:dyDescent="0.25">
      <c r="A123" s="445">
        <v>40084</v>
      </c>
      <c r="B123" s="444">
        <v>146.05000000000001</v>
      </c>
      <c r="C123" s="444">
        <v>1025.21</v>
      </c>
      <c r="D123" s="443">
        <f t="shared" si="3"/>
        <v>-8.9050250772889467E-4</v>
      </c>
      <c r="E123" s="209">
        <f t="shared" si="4"/>
        <v>4.4152733522281364E-2</v>
      </c>
    </row>
    <row r="124" spans="1:5" x14ac:dyDescent="0.25">
      <c r="A124" s="445">
        <v>40077</v>
      </c>
      <c r="B124" s="444">
        <v>143.97</v>
      </c>
      <c r="C124" s="444">
        <v>1044.3800000000001</v>
      </c>
      <c r="D124" s="443">
        <f t="shared" si="3"/>
        <v>1.4344084295486104E-2</v>
      </c>
      <c r="E124" s="209">
        <f t="shared" si="4"/>
        <v>-1.8525938253913986E-2</v>
      </c>
    </row>
    <row r="125" spans="1:5" x14ac:dyDescent="0.25">
      <c r="A125" s="445">
        <v>40070</v>
      </c>
      <c r="B125" s="444">
        <v>152.09</v>
      </c>
      <c r="C125" s="444">
        <v>1068.3</v>
      </c>
      <c r="D125" s="443">
        <f t="shared" si="3"/>
        <v>-5.4867506346013555E-2</v>
      </c>
      <c r="E125" s="209">
        <f t="shared" si="4"/>
        <v>-2.264519206127982E-2</v>
      </c>
    </row>
    <row r="126" spans="1:5" x14ac:dyDescent="0.25">
      <c r="A126" s="445">
        <v>40064</v>
      </c>
      <c r="B126" s="444">
        <v>146.44999999999999</v>
      </c>
      <c r="C126" s="444">
        <v>1042.73</v>
      </c>
      <c r="D126" s="443">
        <f t="shared" si="3"/>
        <v>3.778837761053494E-2</v>
      </c>
      <c r="E126" s="209">
        <f t="shared" si="4"/>
        <v>2.4226326111471734E-2</v>
      </c>
    </row>
    <row r="127" spans="1:5" x14ac:dyDescent="0.25">
      <c r="A127" s="445">
        <v>40056</v>
      </c>
      <c r="B127" s="444">
        <v>148.18</v>
      </c>
      <c r="C127" s="444">
        <v>1016.4</v>
      </c>
      <c r="D127" s="443">
        <f t="shared" si="3"/>
        <v>-1.1743677714768487E-2</v>
      </c>
      <c r="E127" s="209">
        <f t="shared" si="4"/>
        <v>2.557530139436091E-2</v>
      </c>
    </row>
    <row r="128" spans="1:5" x14ac:dyDescent="0.25">
      <c r="A128" s="445">
        <v>40049</v>
      </c>
      <c r="B128" s="444">
        <v>148.44999999999999</v>
      </c>
      <c r="C128" s="444">
        <v>1028.93</v>
      </c>
      <c r="D128" s="443">
        <f t="shared" si="3"/>
        <v>-1.8204502212578481E-3</v>
      </c>
      <c r="E128" s="209">
        <f t="shared" si="4"/>
        <v>-1.2252454863200634E-2</v>
      </c>
    </row>
    <row r="129" spans="1:5" x14ac:dyDescent="0.25">
      <c r="A129" s="445">
        <v>40042</v>
      </c>
      <c r="B129" s="444">
        <v>153.25</v>
      </c>
      <c r="C129" s="444">
        <v>1026.1300000000001</v>
      </c>
      <c r="D129" s="443">
        <f t="shared" si="3"/>
        <v>-3.182237360655199E-2</v>
      </c>
      <c r="E129" s="209">
        <f t="shared" si="4"/>
        <v>2.7249829519565881E-3</v>
      </c>
    </row>
    <row r="130" spans="1:5" x14ac:dyDescent="0.25">
      <c r="A130" s="445">
        <v>40035</v>
      </c>
      <c r="B130" s="444">
        <v>143.91999999999999</v>
      </c>
      <c r="C130" s="444">
        <v>1004.09</v>
      </c>
      <c r="D130" s="443">
        <f t="shared" si="3"/>
        <v>6.2812985174043115E-2</v>
      </c>
      <c r="E130" s="209">
        <f t="shared" si="4"/>
        <v>2.1712785688869019E-2</v>
      </c>
    </row>
    <row r="131" spans="1:5" x14ac:dyDescent="0.25">
      <c r="A131" s="445">
        <v>40028</v>
      </c>
      <c r="B131" s="444">
        <v>151.32</v>
      </c>
      <c r="C131" s="444">
        <v>1010.48</v>
      </c>
      <c r="D131" s="443">
        <f t="shared" si="3"/>
        <v>-5.013921012255089E-2</v>
      </c>
      <c r="E131" s="209">
        <f t="shared" si="4"/>
        <v>-6.343806797335632E-3</v>
      </c>
    </row>
    <row r="132" spans="1:5" x14ac:dyDescent="0.25">
      <c r="A132" s="445">
        <v>40021</v>
      </c>
      <c r="B132" s="444">
        <v>153.57</v>
      </c>
      <c r="C132" s="444">
        <v>987.48</v>
      </c>
      <c r="D132" s="443">
        <f t="shared" si="3"/>
        <v>-1.4759689372773069E-2</v>
      </c>
      <c r="E132" s="209">
        <f t="shared" si="4"/>
        <v>2.3024501060098033E-2</v>
      </c>
    </row>
    <row r="133" spans="1:5" x14ac:dyDescent="0.25">
      <c r="A133" s="445">
        <v>40014</v>
      </c>
      <c r="B133" s="444">
        <v>157.24</v>
      </c>
      <c r="C133" s="444">
        <v>979.26</v>
      </c>
      <c r="D133" s="443">
        <f t="shared" ref="D133:E196" si="5">+LN(B132/B133)</f>
        <v>-2.3616811416058082E-2</v>
      </c>
      <c r="E133" s="209">
        <f t="shared" si="5"/>
        <v>8.359059014962417E-3</v>
      </c>
    </row>
    <row r="134" spans="1:5" x14ac:dyDescent="0.25">
      <c r="A134" s="445">
        <v>40007</v>
      </c>
      <c r="B134" s="444">
        <v>156.97999999999999</v>
      </c>
      <c r="C134" s="444">
        <v>940.38</v>
      </c>
      <c r="D134" s="443">
        <f t="shared" si="5"/>
        <v>1.6548918549921046E-3</v>
      </c>
      <c r="E134" s="209">
        <f t="shared" si="5"/>
        <v>4.0513135496627703E-2</v>
      </c>
    </row>
    <row r="135" spans="1:5" x14ac:dyDescent="0.25">
      <c r="A135" s="445">
        <v>40000</v>
      </c>
      <c r="B135" s="444">
        <v>153.91999999999999</v>
      </c>
      <c r="C135" s="444">
        <v>879.13</v>
      </c>
      <c r="D135" s="443">
        <f t="shared" si="5"/>
        <v>1.9685421781271299E-2</v>
      </c>
      <c r="E135" s="209">
        <f t="shared" si="5"/>
        <v>6.7351266808683072E-2</v>
      </c>
    </row>
    <row r="136" spans="1:5" x14ac:dyDescent="0.25">
      <c r="A136" s="445">
        <v>39993</v>
      </c>
      <c r="B136" s="444">
        <v>150</v>
      </c>
      <c r="C136" s="444">
        <v>896.42</v>
      </c>
      <c r="D136" s="443">
        <f t="shared" si="5"/>
        <v>2.5797692821140618E-2</v>
      </c>
      <c r="E136" s="209">
        <f t="shared" si="5"/>
        <v>-1.9476271060620692E-2</v>
      </c>
    </row>
    <row r="137" spans="1:5" x14ac:dyDescent="0.25">
      <c r="A137" s="445">
        <v>39986</v>
      </c>
      <c r="B137" s="444">
        <v>149.85</v>
      </c>
      <c r="C137" s="444">
        <v>918.9</v>
      </c>
      <c r="D137" s="443">
        <f t="shared" si="5"/>
        <v>1.000500333583622E-3</v>
      </c>
      <c r="E137" s="209">
        <f t="shared" si="5"/>
        <v>-2.4768249360869896E-2</v>
      </c>
    </row>
    <row r="138" spans="1:5" x14ac:dyDescent="0.25">
      <c r="A138" s="445">
        <v>39979</v>
      </c>
      <c r="B138" s="444">
        <v>155.72999999999999</v>
      </c>
      <c r="C138" s="444">
        <v>921.23</v>
      </c>
      <c r="D138" s="443">
        <f t="shared" si="5"/>
        <v>-3.8488944744575107E-2</v>
      </c>
      <c r="E138" s="209">
        <f t="shared" si="5"/>
        <v>-2.5324311273996719E-3</v>
      </c>
    </row>
    <row r="139" spans="1:5" x14ac:dyDescent="0.25">
      <c r="A139" s="445">
        <v>39972</v>
      </c>
      <c r="B139" s="444">
        <v>155.5</v>
      </c>
      <c r="C139" s="444">
        <v>946.21</v>
      </c>
      <c r="D139" s="443">
        <f t="shared" si="5"/>
        <v>1.4780068879585383E-3</v>
      </c>
      <c r="E139" s="209">
        <f t="shared" si="5"/>
        <v>-2.6754798097111662E-2</v>
      </c>
    </row>
    <row r="140" spans="1:5" x14ac:dyDescent="0.25">
      <c r="A140" s="445">
        <v>39965</v>
      </c>
      <c r="B140" s="444">
        <v>159.57</v>
      </c>
      <c r="C140" s="444">
        <v>940.09</v>
      </c>
      <c r="D140" s="443">
        <f t="shared" si="5"/>
        <v>-2.5836965803047059E-2</v>
      </c>
      <c r="E140" s="209">
        <f t="shared" si="5"/>
        <v>6.4889163696793808E-3</v>
      </c>
    </row>
    <row r="141" spans="1:5" x14ac:dyDescent="0.25">
      <c r="A141" s="445">
        <v>39959</v>
      </c>
      <c r="B141" s="444">
        <v>152.15</v>
      </c>
      <c r="C141" s="444">
        <v>919.14</v>
      </c>
      <c r="D141" s="443">
        <f t="shared" si="5"/>
        <v>4.7615821079355788E-2</v>
      </c>
      <c r="E141" s="209">
        <f t="shared" si="5"/>
        <v>2.2537165109011579E-2</v>
      </c>
    </row>
    <row r="142" spans="1:5" x14ac:dyDescent="0.25">
      <c r="A142" s="445">
        <v>39951</v>
      </c>
      <c r="B142" s="444">
        <v>155.65</v>
      </c>
      <c r="C142" s="444">
        <v>887</v>
      </c>
      <c r="D142" s="443">
        <f t="shared" si="5"/>
        <v>-2.2743020544637112E-2</v>
      </c>
      <c r="E142" s="209">
        <f t="shared" si="5"/>
        <v>3.5593467943080305E-2</v>
      </c>
    </row>
    <row r="143" spans="1:5" x14ac:dyDescent="0.25">
      <c r="A143" s="445">
        <v>39944</v>
      </c>
      <c r="B143" s="444">
        <v>158.01</v>
      </c>
      <c r="C143" s="444">
        <v>882.88</v>
      </c>
      <c r="D143" s="443">
        <f t="shared" si="5"/>
        <v>-1.5048425275790374E-2</v>
      </c>
      <c r="E143" s="209">
        <f t="shared" si="5"/>
        <v>4.6556912806583412E-3</v>
      </c>
    </row>
    <row r="144" spans="1:5" x14ac:dyDescent="0.25">
      <c r="A144" s="445">
        <v>39937</v>
      </c>
      <c r="B144" s="444">
        <v>157.47</v>
      </c>
      <c r="C144" s="444">
        <v>929.23</v>
      </c>
      <c r="D144" s="443">
        <f t="shared" si="5"/>
        <v>3.4233582310895794E-3</v>
      </c>
      <c r="E144" s="209">
        <f t="shared" si="5"/>
        <v>-5.1166995183435822E-2</v>
      </c>
    </row>
    <row r="145" spans="1:5" x14ac:dyDescent="0.25">
      <c r="A145" s="445">
        <v>39930</v>
      </c>
      <c r="B145" s="444">
        <v>162.27000000000001</v>
      </c>
      <c r="C145" s="444">
        <v>877.52</v>
      </c>
      <c r="D145" s="443">
        <f t="shared" si="5"/>
        <v>-3.0026650619127314E-2</v>
      </c>
      <c r="E145" s="209">
        <f t="shared" si="5"/>
        <v>5.7256539109278276E-2</v>
      </c>
    </row>
    <row r="146" spans="1:5" x14ac:dyDescent="0.25">
      <c r="A146" s="445">
        <v>39923</v>
      </c>
      <c r="B146" s="444">
        <v>161.68</v>
      </c>
      <c r="C146" s="444">
        <v>866.23</v>
      </c>
      <c r="D146" s="443">
        <f t="shared" si="5"/>
        <v>3.6425414560796272E-3</v>
      </c>
      <c r="E146" s="209">
        <f t="shared" si="5"/>
        <v>1.2949284888586161E-2</v>
      </c>
    </row>
    <row r="147" spans="1:5" x14ac:dyDescent="0.25">
      <c r="A147" s="445">
        <v>39916</v>
      </c>
      <c r="B147" s="444">
        <v>166.38</v>
      </c>
      <c r="C147" s="444">
        <v>869.6</v>
      </c>
      <c r="D147" s="443">
        <f t="shared" si="5"/>
        <v>-2.8655255760376062E-2</v>
      </c>
      <c r="E147" s="209">
        <f t="shared" si="5"/>
        <v>-3.8828735925072466E-3</v>
      </c>
    </row>
    <row r="148" spans="1:5" x14ac:dyDescent="0.25">
      <c r="A148" s="445">
        <v>39909</v>
      </c>
      <c r="B148" s="444">
        <v>161.72</v>
      </c>
      <c r="C148" s="444">
        <v>856.56</v>
      </c>
      <c r="D148" s="443">
        <f t="shared" si="5"/>
        <v>2.8407884083171509E-2</v>
      </c>
      <c r="E148" s="209">
        <f t="shared" si="5"/>
        <v>1.5108967956985251E-2</v>
      </c>
    </row>
    <row r="149" spans="1:5" x14ac:dyDescent="0.25">
      <c r="A149" s="445">
        <v>39902</v>
      </c>
      <c r="B149" s="444">
        <v>160.30000000000001</v>
      </c>
      <c r="C149" s="444">
        <v>842.5</v>
      </c>
      <c r="D149" s="443">
        <f t="shared" si="5"/>
        <v>8.8193851570627247E-3</v>
      </c>
      <c r="E149" s="209">
        <f t="shared" si="5"/>
        <v>1.6550705623497759E-2</v>
      </c>
    </row>
    <row r="150" spans="1:5" x14ac:dyDescent="0.25">
      <c r="A150" s="445">
        <v>39895</v>
      </c>
      <c r="B150" s="444">
        <v>164.19</v>
      </c>
      <c r="C150" s="444">
        <v>815.94</v>
      </c>
      <c r="D150" s="443">
        <f t="shared" si="5"/>
        <v>-2.3977234208429066E-2</v>
      </c>
      <c r="E150" s="209">
        <f t="shared" si="5"/>
        <v>3.2032839377594186E-2</v>
      </c>
    </row>
    <row r="151" spans="1:5" x14ac:dyDescent="0.25">
      <c r="A151" s="445">
        <v>39888</v>
      </c>
      <c r="B151" s="444">
        <v>160.03</v>
      </c>
      <c r="C151" s="444">
        <v>768.54</v>
      </c>
      <c r="D151" s="443">
        <f t="shared" si="5"/>
        <v>2.5662996166037538E-2</v>
      </c>
      <c r="E151" s="209">
        <f t="shared" si="5"/>
        <v>5.9848211777822978E-2</v>
      </c>
    </row>
    <row r="152" spans="1:5" x14ac:dyDescent="0.25">
      <c r="A152" s="445">
        <v>39881</v>
      </c>
      <c r="B152" s="444">
        <v>160.51</v>
      </c>
      <c r="C152" s="444">
        <v>756.55</v>
      </c>
      <c r="D152" s="443">
        <f t="shared" si="5"/>
        <v>-2.9949482672274362E-3</v>
      </c>
      <c r="E152" s="209">
        <f t="shared" si="5"/>
        <v>1.5723986173520048E-2</v>
      </c>
    </row>
    <row r="153" spans="1:5" x14ac:dyDescent="0.25">
      <c r="A153" s="445">
        <v>39874</v>
      </c>
      <c r="B153" s="444">
        <v>152.76</v>
      </c>
      <c r="C153" s="444">
        <v>683.38</v>
      </c>
      <c r="D153" s="443">
        <f t="shared" si="5"/>
        <v>4.9488183567810998E-2</v>
      </c>
      <c r="E153" s="209">
        <f t="shared" si="5"/>
        <v>0.1017175510821479</v>
      </c>
    </row>
    <row r="154" spans="1:5" x14ac:dyDescent="0.25">
      <c r="A154" s="445">
        <v>39867</v>
      </c>
      <c r="B154" s="444">
        <v>142.22999999999999</v>
      </c>
      <c r="C154" s="444">
        <v>735.09</v>
      </c>
      <c r="D154" s="443">
        <f t="shared" si="5"/>
        <v>7.1422596775178801E-2</v>
      </c>
      <c r="E154" s="209">
        <f t="shared" si="5"/>
        <v>-7.2941866880732259E-2</v>
      </c>
    </row>
    <row r="155" spans="1:5" x14ac:dyDescent="0.25">
      <c r="A155" s="445">
        <v>39861</v>
      </c>
      <c r="B155" s="444">
        <v>146.38999999999999</v>
      </c>
      <c r="C155" s="444">
        <v>770.05</v>
      </c>
      <c r="D155" s="443">
        <f t="shared" si="5"/>
        <v>-2.8828827601183726E-2</v>
      </c>
      <c r="E155" s="209">
        <f t="shared" si="5"/>
        <v>-4.6462507108310298E-2</v>
      </c>
    </row>
    <row r="156" spans="1:5" x14ac:dyDescent="0.25">
      <c r="A156" s="445">
        <v>39853</v>
      </c>
      <c r="B156" s="444">
        <v>136.69999999999999</v>
      </c>
      <c r="C156" s="444">
        <v>826.84</v>
      </c>
      <c r="D156" s="443">
        <f t="shared" si="5"/>
        <v>6.8485549453416533E-2</v>
      </c>
      <c r="E156" s="209">
        <f t="shared" si="5"/>
        <v>-7.1155758126560761E-2</v>
      </c>
    </row>
    <row r="157" spans="1:5" x14ac:dyDescent="0.25">
      <c r="A157" s="445">
        <v>39846</v>
      </c>
      <c r="B157" s="444">
        <v>143.96</v>
      </c>
      <c r="C157" s="444">
        <v>868.6</v>
      </c>
      <c r="D157" s="443">
        <f t="shared" si="5"/>
        <v>-5.174673948092616E-2</v>
      </c>
      <c r="E157" s="209">
        <f t="shared" si="5"/>
        <v>-4.9271514169686212E-2</v>
      </c>
    </row>
    <row r="158" spans="1:5" x14ac:dyDescent="0.25">
      <c r="A158" s="445">
        <v>39839</v>
      </c>
      <c r="B158" s="444">
        <v>132.88999999999999</v>
      </c>
      <c r="C158" s="444">
        <v>825.88</v>
      </c>
      <c r="D158" s="443">
        <f t="shared" si="5"/>
        <v>8.001376486741367E-2</v>
      </c>
      <c r="E158" s="209">
        <f t="shared" si="5"/>
        <v>5.0433235584043001E-2</v>
      </c>
    </row>
    <row r="159" spans="1:5" x14ac:dyDescent="0.25">
      <c r="A159" s="445">
        <v>39833</v>
      </c>
      <c r="B159" s="444">
        <v>133.15</v>
      </c>
      <c r="C159" s="444">
        <v>831.95</v>
      </c>
      <c r="D159" s="443">
        <f t="shared" si="5"/>
        <v>-1.9545939165250244E-3</v>
      </c>
      <c r="E159" s="209">
        <f t="shared" si="5"/>
        <v>-7.3228583448377224E-3</v>
      </c>
    </row>
    <row r="160" spans="1:5" x14ac:dyDescent="0.25">
      <c r="A160" s="445">
        <v>39825</v>
      </c>
      <c r="B160" s="444">
        <v>132.61000000000001</v>
      </c>
      <c r="C160" s="444">
        <v>850.12</v>
      </c>
      <c r="D160" s="443">
        <f t="shared" si="5"/>
        <v>4.0638225704334938E-3</v>
      </c>
      <c r="E160" s="209">
        <f t="shared" si="5"/>
        <v>-2.1605173128973944E-2</v>
      </c>
    </row>
    <row r="161" spans="1:5" x14ac:dyDescent="0.25">
      <c r="A161" s="445">
        <v>39818</v>
      </c>
      <c r="B161" s="444">
        <v>133.06</v>
      </c>
      <c r="C161" s="444">
        <v>890.35</v>
      </c>
      <c r="D161" s="443">
        <f t="shared" si="5"/>
        <v>-3.3876646242337344E-3</v>
      </c>
      <c r="E161" s="209">
        <f t="shared" si="5"/>
        <v>-4.6237127856833142E-2</v>
      </c>
    </row>
    <row r="162" spans="1:5" x14ac:dyDescent="0.25">
      <c r="A162" s="445">
        <v>39811</v>
      </c>
      <c r="B162" s="444">
        <v>140.57</v>
      </c>
      <c r="C162" s="444">
        <v>931.8</v>
      </c>
      <c r="D162" s="443">
        <f t="shared" si="5"/>
        <v>-5.4905431029933047E-2</v>
      </c>
      <c r="E162" s="209">
        <f t="shared" si="5"/>
        <v>-4.5503555535372935E-2</v>
      </c>
    </row>
    <row r="163" spans="1:5" x14ac:dyDescent="0.25">
      <c r="A163" s="445">
        <v>39804</v>
      </c>
      <c r="B163" s="444">
        <v>132.22999999999999</v>
      </c>
      <c r="C163" s="444">
        <v>872.8</v>
      </c>
      <c r="D163" s="443">
        <f t="shared" si="5"/>
        <v>6.1162754774942971E-2</v>
      </c>
      <c r="E163" s="209">
        <f t="shared" si="5"/>
        <v>6.5411764863835292E-2</v>
      </c>
    </row>
    <row r="164" spans="1:5" x14ac:dyDescent="0.25">
      <c r="A164" s="445">
        <v>39797</v>
      </c>
      <c r="B164" s="444">
        <v>131.62</v>
      </c>
      <c r="C164" s="444">
        <v>887.88</v>
      </c>
      <c r="D164" s="443">
        <f t="shared" si="5"/>
        <v>4.6238475407583187E-3</v>
      </c>
      <c r="E164" s="209">
        <f t="shared" si="5"/>
        <v>-1.7130164206598898E-2</v>
      </c>
    </row>
    <row r="165" spans="1:5" x14ac:dyDescent="0.25">
      <c r="A165" s="445">
        <v>39790</v>
      </c>
      <c r="B165" s="444">
        <v>129.6</v>
      </c>
      <c r="C165" s="444">
        <v>879.73</v>
      </c>
      <c r="D165" s="443">
        <f t="shared" si="5"/>
        <v>1.5466199109798715E-2</v>
      </c>
      <c r="E165" s="209">
        <f t="shared" si="5"/>
        <v>9.221556513354193E-3</v>
      </c>
    </row>
    <row r="166" spans="1:5" x14ac:dyDescent="0.25">
      <c r="A166" s="445">
        <v>39783</v>
      </c>
      <c r="B166" s="444">
        <v>121.48</v>
      </c>
      <c r="C166" s="444">
        <v>876.07</v>
      </c>
      <c r="D166" s="443">
        <f t="shared" si="5"/>
        <v>6.4703143740626315E-2</v>
      </c>
      <c r="E166" s="209">
        <f t="shared" si="5"/>
        <v>4.1690457924432609E-3</v>
      </c>
    </row>
    <row r="167" spans="1:5" x14ac:dyDescent="0.25">
      <c r="A167" s="445">
        <v>39776</v>
      </c>
      <c r="B167" s="444">
        <v>109.22</v>
      </c>
      <c r="C167" s="444">
        <v>896.24</v>
      </c>
      <c r="D167" s="443">
        <f t="shared" si="5"/>
        <v>0.1063854434535404</v>
      </c>
      <c r="E167" s="209">
        <f t="shared" si="5"/>
        <v>-2.2762237830805429E-2</v>
      </c>
    </row>
    <row r="168" spans="1:5" x14ac:dyDescent="0.25">
      <c r="A168" s="445">
        <v>39769</v>
      </c>
      <c r="B168" s="444">
        <v>92.41</v>
      </c>
      <c r="C168" s="444">
        <v>800.03</v>
      </c>
      <c r="D168" s="443">
        <f t="shared" si="5"/>
        <v>0.16712899882405857</v>
      </c>
      <c r="E168" s="209">
        <f t="shared" si="5"/>
        <v>0.11355900728564806</v>
      </c>
    </row>
    <row r="169" spans="1:5" x14ac:dyDescent="0.25">
      <c r="A169" s="445">
        <v>39762</v>
      </c>
      <c r="B169" s="444">
        <v>105.76</v>
      </c>
      <c r="C169" s="444">
        <v>873.29</v>
      </c>
      <c r="D169" s="443">
        <f t="shared" si="5"/>
        <v>-0.13493717820342718</v>
      </c>
      <c r="E169" s="209">
        <f t="shared" si="5"/>
        <v>-8.7618461570572695E-2</v>
      </c>
    </row>
    <row r="170" spans="1:5" x14ac:dyDescent="0.25">
      <c r="A170" s="445">
        <v>39755</v>
      </c>
      <c r="B170" s="444">
        <v>118.94</v>
      </c>
      <c r="C170" s="444">
        <v>930.99</v>
      </c>
      <c r="D170" s="443">
        <f t="shared" si="5"/>
        <v>-0.11744678817507143</v>
      </c>
      <c r="E170" s="209">
        <f t="shared" si="5"/>
        <v>-6.3980847545427377E-2</v>
      </c>
    </row>
    <row r="171" spans="1:5" x14ac:dyDescent="0.25">
      <c r="A171" s="445">
        <v>39748</v>
      </c>
      <c r="B171" s="444">
        <v>127.29</v>
      </c>
      <c r="C171" s="444">
        <v>968.75</v>
      </c>
      <c r="D171" s="443">
        <f t="shared" si="5"/>
        <v>-6.7848783603895596E-2</v>
      </c>
      <c r="E171" s="209">
        <f t="shared" si="5"/>
        <v>-3.9758044586736839E-2</v>
      </c>
    </row>
    <row r="172" spans="1:5" x14ac:dyDescent="0.25">
      <c r="A172" s="445">
        <v>39741</v>
      </c>
      <c r="B172" s="444">
        <v>102.7</v>
      </c>
      <c r="C172" s="444">
        <v>876.77</v>
      </c>
      <c r="D172" s="443">
        <f t="shared" si="5"/>
        <v>0.21465583094783067</v>
      </c>
      <c r="E172" s="209">
        <f t="shared" si="5"/>
        <v>9.9761880387630536E-2</v>
      </c>
    </row>
    <row r="173" spans="1:5" x14ac:dyDescent="0.25">
      <c r="A173" s="445">
        <v>39734</v>
      </c>
      <c r="B173" s="444">
        <v>106.6</v>
      </c>
      <c r="C173" s="444">
        <v>940.55</v>
      </c>
      <c r="D173" s="443">
        <f t="shared" si="5"/>
        <v>-3.7271394797231537E-2</v>
      </c>
      <c r="E173" s="209">
        <f t="shared" si="5"/>
        <v>-7.022011025910338E-2</v>
      </c>
    </row>
    <row r="174" spans="1:5" x14ac:dyDescent="0.25">
      <c r="A174" s="445">
        <v>39727</v>
      </c>
      <c r="B174" s="444">
        <v>99.7</v>
      </c>
      <c r="C174" s="444">
        <v>899.22</v>
      </c>
      <c r="D174" s="443">
        <f t="shared" si="5"/>
        <v>6.6917834763951523E-2</v>
      </c>
      <c r="E174" s="209">
        <f t="shared" si="5"/>
        <v>4.4937089654069749E-2</v>
      </c>
    </row>
    <row r="175" spans="1:5" x14ac:dyDescent="0.25">
      <c r="A175" s="445">
        <v>39720</v>
      </c>
      <c r="B175" s="444">
        <v>117.4</v>
      </c>
      <c r="C175" s="444">
        <v>1099.23</v>
      </c>
      <c r="D175" s="443">
        <f t="shared" si="5"/>
        <v>-0.16342123042620349</v>
      </c>
      <c r="E175" s="209">
        <f t="shared" si="5"/>
        <v>-0.20083749278710883</v>
      </c>
    </row>
    <row r="176" spans="1:5" x14ac:dyDescent="0.25">
      <c r="A176" s="445">
        <v>39713</v>
      </c>
      <c r="B176" s="444">
        <v>129.35</v>
      </c>
      <c r="C176" s="444">
        <v>1213.27</v>
      </c>
      <c r="D176" s="443">
        <f t="shared" si="5"/>
        <v>-9.693500123804201E-2</v>
      </c>
      <c r="E176" s="209">
        <f t="shared" si="5"/>
        <v>-9.8709259126057589E-2</v>
      </c>
    </row>
    <row r="177" spans="1:5" x14ac:dyDescent="0.25">
      <c r="A177" s="445">
        <v>39706</v>
      </c>
      <c r="B177" s="444">
        <v>130.79</v>
      </c>
      <c r="C177" s="444">
        <v>1255.08</v>
      </c>
      <c r="D177" s="443">
        <f t="shared" si="5"/>
        <v>-1.107107486902284E-2</v>
      </c>
      <c r="E177" s="209">
        <f t="shared" si="5"/>
        <v>-3.3880121756050971E-2</v>
      </c>
    </row>
    <row r="178" spans="1:5" x14ac:dyDescent="0.25">
      <c r="A178" s="445">
        <v>39699</v>
      </c>
      <c r="B178" s="444">
        <v>138.5</v>
      </c>
      <c r="C178" s="444">
        <v>1251.7</v>
      </c>
      <c r="D178" s="443">
        <f t="shared" si="5"/>
        <v>-5.7277342126332294E-2</v>
      </c>
      <c r="E178" s="209">
        <f t="shared" si="5"/>
        <v>2.6966882201991242E-3</v>
      </c>
    </row>
    <row r="179" spans="1:5" x14ac:dyDescent="0.25">
      <c r="A179" s="445">
        <v>39693</v>
      </c>
      <c r="B179" s="444">
        <v>138.19</v>
      </c>
      <c r="C179" s="444">
        <v>1242.31</v>
      </c>
      <c r="D179" s="443">
        <f t="shared" si="5"/>
        <v>2.2407758119998757E-3</v>
      </c>
      <c r="E179" s="209">
        <f t="shared" si="5"/>
        <v>7.5300775612980866E-3</v>
      </c>
    </row>
    <row r="180" spans="1:5" x14ac:dyDescent="0.25">
      <c r="A180" s="445">
        <v>39685</v>
      </c>
      <c r="B180" s="444">
        <v>137.22999999999999</v>
      </c>
      <c r="C180" s="444">
        <v>1282.83</v>
      </c>
      <c r="D180" s="443">
        <f t="shared" si="5"/>
        <v>6.971199533851594E-3</v>
      </c>
      <c r="E180" s="209">
        <f t="shared" si="5"/>
        <v>-3.2096025115239825E-2</v>
      </c>
    </row>
    <row r="181" spans="1:5" x14ac:dyDescent="0.25">
      <c r="A181" s="445">
        <v>39678</v>
      </c>
      <c r="B181" s="444">
        <v>136.72</v>
      </c>
      <c r="C181" s="444">
        <v>1292.2</v>
      </c>
      <c r="D181" s="443">
        <f t="shared" si="5"/>
        <v>3.7233114742062172E-3</v>
      </c>
      <c r="E181" s="209">
        <f t="shared" si="5"/>
        <v>-7.2776172361455459E-3</v>
      </c>
    </row>
    <row r="182" spans="1:5" x14ac:dyDescent="0.25">
      <c r="A182" s="445">
        <v>39671</v>
      </c>
      <c r="B182" s="444">
        <v>138.59</v>
      </c>
      <c r="C182" s="444">
        <v>1298.2</v>
      </c>
      <c r="D182" s="443">
        <f t="shared" si="5"/>
        <v>-1.3584895273375721E-2</v>
      </c>
      <c r="E182" s="209">
        <f t="shared" si="5"/>
        <v>-4.6324974753031217E-3</v>
      </c>
    </row>
    <row r="183" spans="1:5" x14ac:dyDescent="0.25">
      <c r="A183" s="445">
        <v>39664</v>
      </c>
      <c r="B183" s="444">
        <v>138.35</v>
      </c>
      <c r="C183" s="444">
        <v>1296.32</v>
      </c>
      <c r="D183" s="443">
        <f t="shared" si="5"/>
        <v>1.7332278477763469E-3</v>
      </c>
      <c r="E183" s="209">
        <f t="shared" si="5"/>
        <v>1.4492085850425739E-3</v>
      </c>
    </row>
    <row r="184" spans="1:5" x14ac:dyDescent="0.25">
      <c r="A184" s="445">
        <v>39657</v>
      </c>
      <c r="B184" s="444">
        <v>131.33000000000001</v>
      </c>
      <c r="C184" s="444">
        <v>1260.31</v>
      </c>
      <c r="D184" s="443">
        <f t="shared" si="5"/>
        <v>5.2073466635866171E-2</v>
      </c>
      <c r="E184" s="209">
        <f t="shared" si="5"/>
        <v>2.8171758583616941E-2</v>
      </c>
    </row>
    <row r="185" spans="1:5" x14ac:dyDescent="0.25">
      <c r="A185" s="445">
        <v>39650</v>
      </c>
      <c r="B185" s="444">
        <v>127.87</v>
      </c>
      <c r="C185" s="444">
        <v>1257.76</v>
      </c>
      <c r="D185" s="443">
        <f t="shared" si="5"/>
        <v>2.669911677399172E-2</v>
      </c>
      <c r="E185" s="209">
        <f t="shared" si="5"/>
        <v>2.0253613852623457E-3</v>
      </c>
    </row>
    <row r="186" spans="1:5" x14ac:dyDescent="0.25">
      <c r="A186" s="445">
        <v>39643</v>
      </c>
      <c r="B186" s="444">
        <v>126.01</v>
      </c>
      <c r="C186" s="444">
        <v>1260.68</v>
      </c>
      <c r="D186" s="443">
        <f t="shared" si="5"/>
        <v>1.465285394147515E-2</v>
      </c>
      <c r="E186" s="209">
        <f t="shared" si="5"/>
        <v>-2.3188968635124295E-3</v>
      </c>
    </row>
    <row r="187" spans="1:5" x14ac:dyDescent="0.25">
      <c r="A187" s="445">
        <v>39636</v>
      </c>
      <c r="B187" s="444">
        <v>117.68</v>
      </c>
      <c r="C187" s="444">
        <v>1239.49</v>
      </c>
      <c r="D187" s="443">
        <f t="shared" si="5"/>
        <v>6.8392192588419637E-2</v>
      </c>
      <c r="E187" s="209">
        <f t="shared" si="5"/>
        <v>1.6951253235520058E-2</v>
      </c>
    </row>
    <row r="188" spans="1:5" x14ac:dyDescent="0.25">
      <c r="A188" s="445">
        <v>39629</v>
      </c>
      <c r="B188" s="444">
        <v>120.18</v>
      </c>
      <c r="C188" s="444">
        <v>1262.9000000000001</v>
      </c>
      <c r="D188" s="443">
        <f t="shared" si="5"/>
        <v>-2.1021542612599815E-2</v>
      </c>
      <c r="E188" s="209">
        <f t="shared" si="5"/>
        <v>-1.8710658978685669E-2</v>
      </c>
    </row>
    <row r="189" spans="1:5" x14ac:dyDescent="0.25">
      <c r="A189" s="445">
        <v>39622</v>
      </c>
      <c r="B189" s="444">
        <v>120.13</v>
      </c>
      <c r="C189" s="444">
        <v>1278.3800000000001</v>
      </c>
      <c r="D189" s="443">
        <f t="shared" si="5"/>
        <v>4.1612917249819926E-4</v>
      </c>
      <c r="E189" s="209">
        <f t="shared" si="5"/>
        <v>-1.2182987681813908E-2</v>
      </c>
    </row>
    <row r="190" spans="1:5" x14ac:dyDescent="0.25">
      <c r="A190" s="445">
        <v>39615</v>
      </c>
      <c r="B190" s="444">
        <v>115</v>
      </c>
      <c r="C190" s="444">
        <v>1317.93</v>
      </c>
      <c r="D190" s="443">
        <f t="shared" si="5"/>
        <v>4.3642361370033612E-2</v>
      </c>
      <c r="E190" s="209">
        <f t="shared" si="5"/>
        <v>-3.0468672544187298E-2</v>
      </c>
    </row>
    <row r="191" spans="1:5" x14ac:dyDescent="0.25">
      <c r="A191" s="445">
        <v>39608</v>
      </c>
      <c r="B191" s="444">
        <v>119.52</v>
      </c>
      <c r="C191" s="444">
        <v>1360.03</v>
      </c>
      <c r="D191" s="443">
        <f t="shared" si="5"/>
        <v>-3.8551593021257019E-2</v>
      </c>
      <c r="E191" s="209">
        <f t="shared" si="5"/>
        <v>-3.1444434432209227E-2</v>
      </c>
    </row>
    <row r="192" spans="1:5" x14ac:dyDescent="0.25">
      <c r="A192" s="445">
        <v>39601</v>
      </c>
      <c r="B192" s="444">
        <v>121.74</v>
      </c>
      <c r="C192" s="444">
        <v>1360.68</v>
      </c>
      <c r="D192" s="443">
        <f t="shared" si="5"/>
        <v>-1.840390168127114E-2</v>
      </c>
      <c r="E192" s="209">
        <f t="shared" si="5"/>
        <v>-4.7781646141394334E-4</v>
      </c>
    </row>
    <row r="193" spans="1:5" x14ac:dyDescent="0.25">
      <c r="A193" s="445">
        <v>39595</v>
      </c>
      <c r="B193" s="444">
        <v>126.56</v>
      </c>
      <c r="C193" s="444">
        <v>1400.38</v>
      </c>
      <c r="D193" s="443">
        <f t="shared" si="5"/>
        <v>-3.8828880953565431E-2</v>
      </c>
      <c r="E193" s="209">
        <f t="shared" si="5"/>
        <v>-2.8759053572959513E-2</v>
      </c>
    </row>
    <row r="194" spans="1:5" x14ac:dyDescent="0.25">
      <c r="A194" s="445">
        <v>39587</v>
      </c>
      <c r="B194" s="444">
        <v>127.28</v>
      </c>
      <c r="C194" s="444">
        <v>1375.93</v>
      </c>
      <c r="D194" s="443">
        <f t="shared" si="5"/>
        <v>-5.6728800101876527E-3</v>
      </c>
      <c r="E194" s="209">
        <f t="shared" si="5"/>
        <v>1.7613762238471255E-2</v>
      </c>
    </row>
    <row r="195" spans="1:5" x14ac:dyDescent="0.25">
      <c r="A195" s="445">
        <v>39580</v>
      </c>
      <c r="B195" s="444">
        <v>127.21</v>
      </c>
      <c r="C195" s="444">
        <v>1425.35</v>
      </c>
      <c r="D195" s="443">
        <f t="shared" si="5"/>
        <v>5.5011986141191235E-4</v>
      </c>
      <c r="E195" s="209">
        <f t="shared" si="5"/>
        <v>-3.5287531473412577E-2</v>
      </c>
    </row>
    <row r="196" spans="1:5" x14ac:dyDescent="0.25">
      <c r="A196" s="445">
        <v>39573</v>
      </c>
      <c r="B196" s="444">
        <v>122.44</v>
      </c>
      <c r="C196" s="444">
        <v>1388.28</v>
      </c>
      <c r="D196" s="443">
        <f t="shared" si="5"/>
        <v>3.8218150090907711E-2</v>
      </c>
      <c r="E196" s="209">
        <f t="shared" si="5"/>
        <v>2.635182675085164E-2</v>
      </c>
    </row>
    <row r="197" spans="1:5" x14ac:dyDescent="0.25">
      <c r="A197" s="445">
        <v>39566</v>
      </c>
      <c r="B197" s="444">
        <v>123.9</v>
      </c>
      <c r="C197" s="444">
        <v>1413.9</v>
      </c>
      <c r="D197" s="443">
        <f t="shared" ref="D197:E260" si="6">+LN(B196/B197)</f>
        <v>-1.1853674557885087E-2</v>
      </c>
      <c r="E197" s="209">
        <f t="shared" si="6"/>
        <v>-1.8286272768997136E-2</v>
      </c>
    </row>
    <row r="198" spans="1:5" x14ac:dyDescent="0.25">
      <c r="A198" s="445">
        <v>39559</v>
      </c>
      <c r="B198" s="444">
        <v>123.85</v>
      </c>
      <c r="C198" s="444">
        <v>1397.84</v>
      </c>
      <c r="D198" s="443">
        <f t="shared" si="6"/>
        <v>4.0363269972826092E-4</v>
      </c>
      <c r="E198" s="209">
        <f t="shared" si="6"/>
        <v>1.1423655567011956E-2</v>
      </c>
    </row>
    <row r="199" spans="1:5" x14ac:dyDescent="0.25">
      <c r="A199" s="445">
        <v>39552</v>
      </c>
      <c r="B199" s="444">
        <v>122.42</v>
      </c>
      <c r="C199" s="444">
        <v>1390.33</v>
      </c>
      <c r="D199" s="443">
        <f t="shared" si="6"/>
        <v>1.1613400512444697E-2</v>
      </c>
      <c r="E199" s="209">
        <f t="shared" si="6"/>
        <v>5.3870590114144775E-3</v>
      </c>
    </row>
    <row r="200" spans="1:5" x14ac:dyDescent="0.25">
      <c r="A200" s="445">
        <v>39545</v>
      </c>
      <c r="B200" s="444">
        <v>116.96</v>
      </c>
      <c r="C200" s="444">
        <v>1332.83</v>
      </c>
      <c r="D200" s="443">
        <f t="shared" si="6"/>
        <v>4.5625759421455414E-2</v>
      </c>
      <c r="E200" s="209">
        <f t="shared" si="6"/>
        <v>4.2236627856512436E-2</v>
      </c>
    </row>
    <row r="201" spans="1:5" x14ac:dyDescent="0.25">
      <c r="A201" s="445">
        <v>39538</v>
      </c>
      <c r="B201" s="444">
        <v>116.98</v>
      </c>
      <c r="C201" s="444">
        <v>1370.4</v>
      </c>
      <c r="D201" s="443">
        <f t="shared" si="6"/>
        <v>-1.7098401341141534E-4</v>
      </c>
      <c r="E201" s="209">
        <f t="shared" si="6"/>
        <v>-2.7798166847054433E-2</v>
      </c>
    </row>
    <row r="202" spans="1:5" x14ac:dyDescent="0.25">
      <c r="A202" s="445">
        <v>39531</v>
      </c>
      <c r="B202" s="444">
        <v>113.25</v>
      </c>
      <c r="C202" s="444">
        <v>1315.22</v>
      </c>
      <c r="D202" s="443">
        <f t="shared" si="6"/>
        <v>3.2405215651736451E-2</v>
      </c>
      <c r="E202" s="209">
        <f t="shared" si="6"/>
        <v>4.1098716010965042E-2</v>
      </c>
    </row>
    <row r="203" spans="1:5" x14ac:dyDescent="0.25">
      <c r="A203" s="445">
        <v>39524</v>
      </c>
      <c r="B203" s="444">
        <v>116.64</v>
      </c>
      <c r="C203" s="444">
        <v>1329.51</v>
      </c>
      <c r="D203" s="443">
        <f t="shared" si="6"/>
        <v>-2.9494503897204614E-2</v>
      </c>
      <c r="E203" s="209">
        <f t="shared" si="6"/>
        <v>-1.0806501280512953E-2</v>
      </c>
    </row>
    <row r="204" spans="1:5" x14ac:dyDescent="0.25">
      <c r="A204" s="445">
        <v>39517</v>
      </c>
      <c r="B204" s="444">
        <v>113.61</v>
      </c>
      <c r="C204" s="444">
        <v>1288.1400000000001</v>
      </c>
      <c r="D204" s="443">
        <f t="shared" si="6"/>
        <v>2.6320737678534951E-2</v>
      </c>
      <c r="E204" s="209">
        <f t="shared" si="6"/>
        <v>3.1611135869929516E-2</v>
      </c>
    </row>
    <row r="205" spans="1:5" x14ac:dyDescent="0.25">
      <c r="A205" s="445">
        <v>39510</v>
      </c>
      <c r="B205" s="444">
        <v>112.83</v>
      </c>
      <c r="C205" s="444">
        <v>1293.3699999999999</v>
      </c>
      <c r="D205" s="443">
        <f t="shared" si="6"/>
        <v>6.8892694314585208E-3</v>
      </c>
      <c r="E205" s="209">
        <f t="shared" si="6"/>
        <v>-4.0518976532764248E-3</v>
      </c>
    </row>
    <row r="206" spans="1:5" x14ac:dyDescent="0.25">
      <c r="A206" s="445">
        <v>39503</v>
      </c>
      <c r="B206" s="444">
        <v>115.08</v>
      </c>
      <c r="C206" s="444">
        <v>1330.63</v>
      </c>
      <c r="D206" s="443">
        <f t="shared" si="6"/>
        <v>-1.9745277532992395E-2</v>
      </c>
      <c r="E206" s="209">
        <f t="shared" si="6"/>
        <v>-2.8401299210570545E-2</v>
      </c>
    </row>
    <row r="207" spans="1:5" x14ac:dyDescent="0.25">
      <c r="A207" s="445">
        <v>39497</v>
      </c>
      <c r="B207" s="444">
        <v>115.31</v>
      </c>
      <c r="C207" s="444">
        <v>1353.11</v>
      </c>
      <c r="D207" s="443">
        <f t="shared" si="6"/>
        <v>-1.9966150996777506E-3</v>
      </c>
      <c r="E207" s="209">
        <f t="shared" si="6"/>
        <v>-1.6753132405688612E-2</v>
      </c>
    </row>
    <row r="208" spans="1:5" x14ac:dyDescent="0.25">
      <c r="A208" s="445">
        <v>39489</v>
      </c>
      <c r="B208" s="444">
        <v>113.62</v>
      </c>
      <c r="C208" s="444">
        <v>1349.99</v>
      </c>
      <c r="D208" s="443">
        <f t="shared" si="6"/>
        <v>1.4764606654044037E-2</v>
      </c>
      <c r="E208" s="209">
        <f t="shared" si="6"/>
        <v>2.3084616814313952E-3</v>
      </c>
    </row>
    <row r="209" spans="1:5" x14ac:dyDescent="0.25">
      <c r="A209" s="445">
        <v>39482</v>
      </c>
      <c r="B209" s="444">
        <v>115.62</v>
      </c>
      <c r="C209" s="444">
        <v>1331.29</v>
      </c>
      <c r="D209" s="443">
        <f t="shared" si="6"/>
        <v>-1.7449404525349207E-2</v>
      </c>
      <c r="E209" s="209">
        <f t="shared" si="6"/>
        <v>1.3948788042941298E-2</v>
      </c>
    </row>
    <row r="210" spans="1:5" x14ac:dyDescent="0.25">
      <c r="A210" s="445">
        <v>39475</v>
      </c>
      <c r="B210" s="444">
        <v>121.59</v>
      </c>
      <c r="C210" s="444">
        <v>1395.42</v>
      </c>
      <c r="D210" s="443">
        <f t="shared" si="6"/>
        <v>-5.0345777653996844E-2</v>
      </c>
      <c r="E210" s="209">
        <f t="shared" si="6"/>
        <v>-4.7047048255528023E-2</v>
      </c>
    </row>
    <row r="211" spans="1:5" x14ac:dyDescent="0.25">
      <c r="A211" s="445">
        <v>39469</v>
      </c>
      <c r="B211" s="444">
        <v>112.03</v>
      </c>
      <c r="C211" s="444">
        <v>1330.61</v>
      </c>
      <c r="D211" s="443">
        <f t="shared" si="6"/>
        <v>8.1888036737694986E-2</v>
      </c>
      <c r="E211" s="209">
        <f t="shared" si="6"/>
        <v>4.755796152408949E-2</v>
      </c>
    </row>
    <row r="212" spans="1:5" x14ac:dyDescent="0.25">
      <c r="A212" s="445">
        <v>39461</v>
      </c>
      <c r="B212" s="444">
        <v>106.06</v>
      </c>
      <c r="C212" s="444">
        <v>1325.19</v>
      </c>
      <c r="D212" s="443">
        <f t="shared" si="6"/>
        <v>5.4761720861647975E-2</v>
      </c>
      <c r="E212" s="209">
        <f t="shared" si="6"/>
        <v>4.0816383196484564E-3</v>
      </c>
    </row>
    <row r="213" spans="1:5" x14ac:dyDescent="0.25">
      <c r="A213" s="445">
        <v>39454</v>
      </c>
      <c r="B213" s="444">
        <v>106.09</v>
      </c>
      <c r="C213" s="444">
        <v>1401.02</v>
      </c>
      <c r="D213" s="443">
        <f t="shared" si="6"/>
        <v>-2.8281876219630217E-4</v>
      </c>
      <c r="E213" s="209">
        <f t="shared" si="6"/>
        <v>-5.5644697386118616E-2</v>
      </c>
    </row>
    <row r="214" spans="1:5" x14ac:dyDescent="0.25">
      <c r="A214" s="445">
        <v>39447</v>
      </c>
      <c r="B214" s="444">
        <v>110.58</v>
      </c>
      <c r="C214" s="444">
        <v>1411.63</v>
      </c>
      <c r="D214" s="443">
        <f t="shared" si="6"/>
        <v>-4.1451450438606728E-2</v>
      </c>
      <c r="E214" s="209">
        <f t="shared" si="6"/>
        <v>-7.5445223021400314E-3</v>
      </c>
    </row>
    <row r="215" spans="1:5" x14ac:dyDescent="0.25">
      <c r="A215" s="445">
        <v>39440</v>
      </c>
      <c r="B215" s="444">
        <v>118.85</v>
      </c>
      <c r="C215" s="444">
        <v>1478.49</v>
      </c>
      <c r="D215" s="443">
        <f t="shared" si="6"/>
        <v>-7.2122952896415932E-2</v>
      </c>
      <c r="E215" s="209">
        <f t="shared" si="6"/>
        <v>-4.6276231603149594E-2</v>
      </c>
    </row>
    <row r="216" spans="1:5" x14ac:dyDescent="0.25">
      <c r="A216" s="445">
        <v>39433</v>
      </c>
      <c r="B216" s="444">
        <v>122.39</v>
      </c>
      <c r="C216" s="444">
        <v>1484.46</v>
      </c>
      <c r="D216" s="443">
        <f t="shared" si="6"/>
        <v>-2.9350473588044167E-2</v>
      </c>
      <c r="E216" s="209">
        <f t="shared" si="6"/>
        <v>-4.0297730835388125E-3</v>
      </c>
    </row>
    <row r="217" spans="1:5" x14ac:dyDescent="0.25">
      <c r="A217" s="445">
        <v>39426</v>
      </c>
      <c r="B217" s="444">
        <v>120.07</v>
      </c>
      <c r="C217" s="444">
        <v>1467.95</v>
      </c>
      <c r="D217" s="443">
        <f t="shared" si="6"/>
        <v>1.9137761351620521E-2</v>
      </c>
      <c r="E217" s="209">
        <f t="shared" si="6"/>
        <v>1.1184200092525066E-2</v>
      </c>
    </row>
    <row r="218" spans="1:5" x14ac:dyDescent="0.25">
      <c r="A218" s="445">
        <v>39419</v>
      </c>
      <c r="B218" s="444">
        <v>129.87</v>
      </c>
      <c r="C218" s="444">
        <v>1504.66</v>
      </c>
      <c r="D218" s="443">
        <f t="shared" si="6"/>
        <v>-7.8459044079372292E-2</v>
      </c>
      <c r="E218" s="209">
        <f t="shared" si="6"/>
        <v>-2.4700089390483869E-2</v>
      </c>
    </row>
    <row r="219" spans="1:5" x14ac:dyDescent="0.25">
      <c r="A219" s="445">
        <v>39412</v>
      </c>
      <c r="B219" s="444">
        <v>111.63</v>
      </c>
      <c r="C219" s="444">
        <v>1481.14</v>
      </c>
      <c r="D219" s="443">
        <f t="shared" si="6"/>
        <v>0.15134411909535816</v>
      </c>
      <c r="E219" s="209">
        <f t="shared" si="6"/>
        <v>1.5754897516851229E-2</v>
      </c>
    </row>
    <row r="220" spans="1:5" x14ac:dyDescent="0.25">
      <c r="A220" s="445">
        <v>39405</v>
      </c>
      <c r="B220" s="444">
        <v>107.24</v>
      </c>
      <c r="C220" s="444">
        <v>1440.7</v>
      </c>
      <c r="D220" s="443">
        <f t="shared" si="6"/>
        <v>4.0120517658882179E-2</v>
      </c>
      <c r="E220" s="209">
        <f t="shared" si="6"/>
        <v>2.7682954955109196E-2</v>
      </c>
    </row>
    <row r="221" spans="1:5" x14ac:dyDescent="0.25">
      <c r="A221" s="445">
        <v>39398</v>
      </c>
      <c r="B221" s="444">
        <v>111.64</v>
      </c>
      <c r="C221" s="444">
        <v>1458.74</v>
      </c>
      <c r="D221" s="443">
        <f t="shared" si="6"/>
        <v>-4.0210095300362889E-2</v>
      </c>
      <c r="E221" s="209">
        <f t="shared" si="6"/>
        <v>-1.2443942825608444E-2</v>
      </c>
    </row>
    <row r="222" spans="1:5" x14ac:dyDescent="0.25">
      <c r="A222" s="445">
        <v>39391</v>
      </c>
      <c r="B222" s="444">
        <v>113.68</v>
      </c>
      <c r="C222" s="444">
        <v>1453.7</v>
      </c>
      <c r="D222" s="443">
        <f t="shared" si="6"/>
        <v>-1.8108075120723859E-2</v>
      </c>
      <c r="E222" s="209">
        <f t="shared" si="6"/>
        <v>3.4610189607564815E-3</v>
      </c>
    </row>
    <row r="223" spans="1:5" x14ac:dyDescent="0.25">
      <c r="A223" s="445">
        <v>39384</v>
      </c>
      <c r="B223" s="444">
        <v>121.15</v>
      </c>
      <c r="C223" s="444">
        <v>1509.65</v>
      </c>
      <c r="D223" s="443">
        <f t="shared" si="6"/>
        <v>-6.3641963473689583E-2</v>
      </c>
      <c r="E223" s="209">
        <f t="shared" si="6"/>
        <v>-3.7765805430211984E-2</v>
      </c>
    </row>
    <row r="224" spans="1:5" x14ac:dyDescent="0.25">
      <c r="A224" s="445">
        <v>39377</v>
      </c>
      <c r="B224" s="444">
        <v>123.08</v>
      </c>
      <c r="C224" s="444">
        <v>1535.28</v>
      </c>
      <c r="D224" s="443">
        <f t="shared" si="6"/>
        <v>-1.5805103191306256E-2</v>
      </c>
      <c r="E224" s="209">
        <f t="shared" si="6"/>
        <v>-1.6834938947500641E-2</v>
      </c>
    </row>
    <row r="225" spans="1:5" x14ac:dyDescent="0.25">
      <c r="A225" s="445">
        <v>39370</v>
      </c>
      <c r="B225" s="444">
        <v>118.67</v>
      </c>
      <c r="C225" s="444">
        <v>1500.63</v>
      </c>
      <c r="D225" s="443">
        <f t="shared" si="6"/>
        <v>3.6488018776793266E-2</v>
      </c>
      <c r="E225" s="209">
        <f t="shared" si="6"/>
        <v>2.2827754895002165E-2</v>
      </c>
    </row>
    <row r="226" spans="1:5" x14ac:dyDescent="0.25">
      <c r="A226" s="445">
        <v>39363</v>
      </c>
      <c r="B226" s="444">
        <v>123.7</v>
      </c>
      <c r="C226" s="444">
        <v>1561.8</v>
      </c>
      <c r="D226" s="443">
        <f t="shared" si="6"/>
        <v>-4.1512747721394468E-2</v>
      </c>
      <c r="E226" s="209">
        <f t="shared" si="6"/>
        <v>-3.9953982313584976E-2</v>
      </c>
    </row>
    <row r="227" spans="1:5" x14ac:dyDescent="0.25">
      <c r="A227" s="445">
        <v>39356</v>
      </c>
      <c r="B227" s="444">
        <v>124.59</v>
      </c>
      <c r="C227" s="444">
        <v>1557.59</v>
      </c>
      <c r="D227" s="443">
        <f t="shared" si="6"/>
        <v>-7.1690669123296224E-3</v>
      </c>
      <c r="E227" s="209">
        <f t="shared" si="6"/>
        <v>2.699247324732733E-3</v>
      </c>
    </row>
    <row r="228" spans="1:5" x14ac:dyDescent="0.25">
      <c r="A228" s="445">
        <v>39349</v>
      </c>
      <c r="B228" s="444">
        <v>116.14</v>
      </c>
      <c r="C228" s="444">
        <v>1526.75</v>
      </c>
      <c r="D228" s="443">
        <f t="shared" si="6"/>
        <v>7.0231986366868088E-2</v>
      </c>
      <c r="E228" s="209">
        <f t="shared" si="6"/>
        <v>1.9998461800597753E-2</v>
      </c>
    </row>
    <row r="229" spans="1:5" x14ac:dyDescent="0.25">
      <c r="A229" s="445">
        <v>39342</v>
      </c>
      <c r="B229" s="444">
        <v>113.91</v>
      </c>
      <c r="C229" s="444">
        <v>1525.75</v>
      </c>
      <c r="D229" s="443">
        <f t="shared" si="6"/>
        <v>1.938769703208321E-2</v>
      </c>
      <c r="E229" s="209">
        <f t="shared" si="6"/>
        <v>6.5520067863981566E-4</v>
      </c>
    </row>
    <row r="230" spans="1:5" x14ac:dyDescent="0.25">
      <c r="A230" s="445">
        <v>39335</v>
      </c>
      <c r="B230" s="444">
        <v>109.9</v>
      </c>
      <c r="C230" s="444">
        <v>1484.25</v>
      </c>
      <c r="D230" s="443">
        <f t="shared" si="6"/>
        <v>3.5837801502244825E-2</v>
      </c>
      <c r="E230" s="209">
        <f t="shared" si="6"/>
        <v>2.7576498273819489E-2</v>
      </c>
    </row>
    <row r="231" spans="1:5" x14ac:dyDescent="0.25">
      <c r="A231" s="445">
        <v>39329</v>
      </c>
      <c r="B231" s="444">
        <v>111.49</v>
      </c>
      <c r="C231" s="444">
        <v>1453.55</v>
      </c>
      <c r="D231" s="443">
        <f t="shared" si="6"/>
        <v>-1.4364039369904298E-2</v>
      </c>
      <c r="E231" s="209">
        <f t="shared" si="6"/>
        <v>2.0900754018708983E-2</v>
      </c>
    </row>
    <row r="232" spans="1:5" x14ac:dyDescent="0.25">
      <c r="A232" s="445">
        <v>39321</v>
      </c>
      <c r="B232" s="444">
        <v>121.29</v>
      </c>
      <c r="C232" s="444">
        <v>1473.99</v>
      </c>
      <c r="D232" s="443">
        <f t="shared" si="6"/>
        <v>-8.424947154130924E-2</v>
      </c>
      <c r="E232" s="209">
        <f t="shared" si="6"/>
        <v>-1.3964169333677312E-2</v>
      </c>
    </row>
    <row r="233" spans="1:5" x14ac:dyDescent="0.25">
      <c r="A233" s="445">
        <v>39314</v>
      </c>
      <c r="B233" s="444">
        <v>123.26</v>
      </c>
      <c r="C233" s="444">
        <v>1479.37</v>
      </c>
      <c r="D233" s="443">
        <f t="shared" si="6"/>
        <v>-1.6111573213307882E-2</v>
      </c>
      <c r="E233" s="209">
        <f t="shared" si="6"/>
        <v>-3.6433119911224339E-3</v>
      </c>
    </row>
    <row r="234" spans="1:5" x14ac:dyDescent="0.25">
      <c r="A234" s="445">
        <v>39307</v>
      </c>
      <c r="B234" s="444">
        <v>118.17</v>
      </c>
      <c r="C234" s="444">
        <v>1445.94</v>
      </c>
      <c r="D234" s="443">
        <f t="shared" si="6"/>
        <v>4.2171679883172962E-2</v>
      </c>
      <c r="E234" s="209">
        <f t="shared" si="6"/>
        <v>2.2856692374989693E-2</v>
      </c>
    </row>
    <row r="235" spans="1:5" x14ac:dyDescent="0.25">
      <c r="A235" s="445">
        <v>39300</v>
      </c>
      <c r="B235" s="444">
        <v>115.88</v>
      </c>
      <c r="C235" s="444">
        <v>1453.64</v>
      </c>
      <c r="D235" s="443">
        <f t="shared" si="6"/>
        <v>1.9569092749774631E-2</v>
      </c>
      <c r="E235" s="209">
        <f t="shared" si="6"/>
        <v>-5.3111265080917876E-3</v>
      </c>
    </row>
    <row r="236" spans="1:5" x14ac:dyDescent="0.25">
      <c r="A236" s="445">
        <v>39293</v>
      </c>
      <c r="B236" s="444">
        <v>122.04</v>
      </c>
      <c r="C236" s="444">
        <v>1433.06</v>
      </c>
      <c r="D236" s="443">
        <f t="shared" si="6"/>
        <v>-5.1793686947319353E-2</v>
      </c>
      <c r="E236" s="209">
        <f t="shared" si="6"/>
        <v>1.4258737435965715E-2</v>
      </c>
    </row>
    <row r="237" spans="1:5" x14ac:dyDescent="0.25">
      <c r="A237" s="445">
        <v>39286</v>
      </c>
      <c r="B237" s="444">
        <v>127.45</v>
      </c>
      <c r="C237" s="444">
        <v>1458.95</v>
      </c>
      <c r="D237" s="443">
        <f t="shared" si="6"/>
        <v>-4.3375270973655566E-2</v>
      </c>
      <c r="E237" s="209">
        <f t="shared" si="6"/>
        <v>-1.7904980733564068E-2</v>
      </c>
    </row>
    <row r="238" spans="1:5" x14ac:dyDescent="0.25">
      <c r="A238" s="445">
        <v>39279</v>
      </c>
      <c r="B238" s="444">
        <v>133.72</v>
      </c>
      <c r="C238" s="444">
        <v>1534.1</v>
      </c>
      <c r="D238" s="443">
        <f t="shared" si="6"/>
        <v>-4.8023930729773415E-2</v>
      </c>
      <c r="E238" s="209">
        <f t="shared" si="6"/>
        <v>-5.0226890963151513E-2</v>
      </c>
    </row>
    <row r="239" spans="1:5" x14ac:dyDescent="0.25">
      <c r="A239" s="445">
        <v>39272</v>
      </c>
      <c r="B239" s="444">
        <v>135.88</v>
      </c>
      <c r="C239" s="444">
        <v>1552.5</v>
      </c>
      <c r="D239" s="443">
        <f t="shared" si="6"/>
        <v>-1.6024081740485269E-2</v>
      </c>
      <c r="E239" s="209">
        <f t="shared" si="6"/>
        <v>-1.1922644956906146E-2</v>
      </c>
    </row>
    <row r="240" spans="1:5" x14ac:dyDescent="0.25">
      <c r="A240" s="445">
        <v>39265</v>
      </c>
      <c r="B240" s="444">
        <v>139.91999999999999</v>
      </c>
      <c r="C240" s="444">
        <v>1530.44</v>
      </c>
      <c r="D240" s="443">
        <f t="shared" si="6"/>
        <v>-2.9298687417963352E-2</v>
      </c>
      <c r="E240" s="209">
        <f t="shared" si="6"/>
        <v>1.4311259065496951E-2</v>
      </c>
    </row>
    <row r="241" spans="1:5" x14ac:dyDescent="0.25">
      <c r="A241" s="445">
        <v>39258</v>
      </c>
      <c r="B241" s="444">
        <v>136.62</v>
      </c>
      <c r="C241" s="444">
        <v>1503.35</v>
      </c>
      <c r="D241" s="443">
        <f t="shared" si="6"/>
        <v>2.3867481406643267E-2</v>
      </c>
      <c r="E241" s="209">
        <f t="shared" si="6"/>
        <v>1.7859324500476035E-2</v>
      </c>
    </row>
    <row r="242" spans="1:5" x14ac:dyDescent="0.25">
      <c r="A242" s="445">
        <v>39251</v>
      </c>
      <c r="B242" s="444">
        <v>137.09</v>
      </c>
      <c r="C242" s="444">
        <v>1502.56</v>
      </c>
      <c r="D242" s="443">
        <f t="shared" si="6"/>
        <v>-3.434295144105618E-3</v>
      </c>
      <c r="E242" s="209">
        <f t="shared" si="6"/>
        <v>5.2563118535749426E-4</v>
      </c>
    </row>
    <row r="243" spans="1:5" x14ac:dyDescent="0.25">
      <c r="A243" s="445">
        <v>39244</v>
      </c>
      <c r="B243" s="444">
        <v>137.38999999999999</v>
      </c>
      <c r="C243" s="444">
        <v>1532.91</v>
      </c>
      <c r="D243" s="443">
        <f t="shared" si="6"/>
        <v>-2.1859524880477603E-3</v>
      </c>
      <c r="E243" s="209">
        <f t="shared" si="6"/>
        <v>-1.9997569677231521E-2</v>
      </c>
    </row>
    <row r="244" spans="1:5" x14ac:dyDescent="0.25">
      <c r="A244" s="445">
        <v>39237</v>
      </c>
      <c r="B244" s="444">
        <v>131.68</v>
      </c>
      <c r="C244" s="444">
        <v>1507.67</v>
      </c>
      <c r="D244" s="443">
        <f t="shared" si="6"/>
        <v>4.2448860007096932E-2</v>
      </c>
      <c r="E244" s="209">
        <f t="shared" si="6"/>
        <v>1.6602477004291058E-2</v>
      </c>
    </row>
    <row r="245" spans="1:5" x14ac:dyDescent="0.25">
      <c r="A245" s="445">
        <v>39231</v>
      </c>
      <c r="B245" s="444">
        <v>130.09</v>
      </c>
      <c r="C245" s="444">
        <v>1536.34</v>
      </c>
      <c r="D245" s="443">
        <f t="shared" si="6"/>
        <v>1.2148218315292088E-2</v>
      </c>
      <c r="E245" s="209">
        <f t="shared" si="6"/>
        <v>-1.8837551649821281E-2</v>
      </c>
    </row>
    <row r="246" spans="1:5" x14ac:dyDescent="0.25">
      <c r="A246" s="445">
        <v>39223</v>
      </c>
      <c r="B246" s="444">
        <v>127.03</v>
      </c>
      <c r="C246" s="444">
        <v>1515.73</v>
      </c>
      <c r="D246" s="443">
        <f t="shared" si="6"/>
        <v>2.3803239578098337E-2</v>
      </c>
      <c r="E246" s="209">
        <f t="shared" si="6"/>
        <v>1.350579330233582E-2</v>
      </c>
    </row>
    <row r="247" spans="1:5" x14ac:dyDescent="0.25">
      <c r="A247" s="445">
        <v>39216</v>
      </c>
      <c r="B247" s="444">
        <v>134.51</v>
      </c>
      <c r="C247" s="444">
        <v>1522.75</v>
      </c>
      <c r="D247" s="443">
        <f t="shared" si="6"/>
        <v>-5.7215266685120697E-2</v>
      </c>
      <c r="E247" s="209">
        <f t="shared" si="6"/>
        <v>-4.6207396398646478E-3</v>
      </c>
    </row>
    <row r="248" spans="1:5" x14ac:dyDescent="0.25">
      <c r="A248" s="445">
        <v>39209</v>
      </c>
      <c r="B248" s="444">
        <v>134.80000000000001</v>
      </c>
      <c r="C248" s="444">
        <v>1505.85</v>
      </c>
      <c r="D248" s="443">
        <f t="shared" si="6"/>
        <v>-2.1536527577166371E-3</v>
      </c>
      <c r="E248" s="209">
        <f t="shared" si="6"/>
        <v>1.1160387910948826E-2</v>
      </c>
    </row>
    <row r="249" spans="1:5" x14ac:dyDescent="0.25">
      <c r="A249" s="445">
        <v>39202</v>
      </c>
      <c r="B249" s="444">
        <v>132.30000000000001</v>
      </c>
      <c r="C249" s="444">
        <v>1505.62</v>
      </c>
      <c r="D249" s="443">
        <f t="shared" si="6"/>
        <v>1.8720127357296727E-2</v>
      </c>
      <c r="E249" s="209">
        <f t="shared" si="6"/>
        <v>1.5274932205683127E-4</v>
      </c>
    </row>
    <row r="250" spans="1:5" x14ac:dyDescent="0.25">
      <c r="A250" s="445">
        <v>39195</v>
      </c>
      <c r="B250" s="444">
        <v>133.19</v>
      </c>
      <c r="C250" s="444">
        <v>1494.07</v>
      </c>
      <c r="D250" s="443">
        <f t="shared" si="6"/>
        <v>-6.7046090920290765E-3</v>
      </c>
      <c r="E250" s="209">
        <f t="shared" si="6"/>
        <v>7.7008338054454506E-3</v>
      </c>
    </row>
    <row r="251" spans="1:5" x14ac:dyDescent="0.25">
      <c r="A251" s="445">
        <v>39188</v>
      </c>
      <c r="B251" s="444">
        <v>133.72999999999999</v>
      </c>
      <c r="C251" s="444">
        <v>1484.35</v>
      </c>
      <c r="D251" s="443">
        <f t="shared" si="6"/>
        <v>-4.0461616717659124E-3</v>
      </c>
      <c r="E251" s="209">
        <f t="shared" si="6"/>
        <v>6.5269737022299289E-3</v>
      </c>
    </row>
    <row r="252" spans="1:5" x14ac:dyDescent="0.25">
      <c r="A252" s="445">
        <v>39181</v>
      </c>
      <c r="B252" s="444">
        <v>130.61000000000001</v>
      </c>
      <c r="C252" s="444">
        <v>1452.85</v>
      </c>
      <c r="D252" s="443">
        <f t="shared" si="6"/>
        <v>2.3607058295275214E-2</v>
      </c>
      <c r="E252" s="209">
        <f t="shared" si="6"/>
        <v>2.1449821421552016E-2</v>
      </c>
    </row>
    <row r="253" spans="1:5" x14ac:dyDescent="0.25">
      <c r="A253" s="445">
        <v>39174</v>
      </c>
      <c r="B253" s="444">
        <v>129.63</v>
      </c>
      <c r="C253" s="444">
        <v>1443.76</v>
      </c>
      <c r="D253" s="443">
        <f t="shared" si="6"/>
        <v>7.531544977478587E-3</v>
      </c>
      <c r="E253" s="209">
        <f t="shared" si="6"/>
        <v>6.2763229013184599E-3</v>
      </c>
    </row>
    <row r="254" spans="1:5" x14ac:dyDescent="0.25">
      <c r="A254" s="445">
        <v>39167</v>
      </c>
      <c r="B254" s="444">
        <v>128.13999999999999</v>
      </c>
      <c r="C254" s="444">
        <v>1420.86</v>
      </c>
      <c r="D254" s="443">
        <f t="shared" si="6"/>
        <v>1.1560822401076006E-2</v>
      </c>
      <c r="E254" s="209">
        <f t="shared" si="6"/>
        <v>1.5988499577057207E-2</v>
      </c>
    </row>
    <row r="255" spans="1:5" x14ac:dyDescent="0.25">
      <c r="A255" s="445">
        <v>39160</v>
      </c>
      <c r="B255" s="444">
        <v>129.06</v>
      </c>
      <c r="C255" s="444">
        <v>1436.11</v>
      </c>
      <c r="D255" s="443">
        <f t="shared" si="6"/>
        <v>-7.1539962968183322E-3</v>
      </c>
      <c r="E255" s="209">
        <f t="shared" si="6"/>
        <v>-1.0675747269735067E-2</v>
      </c>
    </row>
    <row r="256" spans="1:5" x14ac:dyDescent="0.25">
      <c r="A256" s="445">
        <v>39153</v>
      </c>
      <c r="B256" s="444">
        <v>124.6</v>
      </c>
      <c r="C256" s="444">
        <v>1386.95</v>
      </c>
      <c r="D256" s="443">
        <f t="shared" si="6"/>
        <v>3.516880615434103E-2</v>
      </c>
      <c r="E256" s="209">
        <f t="shared" si="6"/>
        <v>3.4830977707346861E-2</v>
      </c>
    </row>
    <row r="257" spans="1:5" x14ac:dyDescent="0.25">
      <c r="A257" s="445">
        <v>39146</v>
      </c>
      <c r="B257" s="444">
        <v>127.28</v>
      </c>
      <c r="C257" s="444">
        <v>1402.84</v>
      </c>
      <c r="D257" s="443">
        <f t="shared" si="6"/>
        <v>-2.1280777676178662E-2</v>
      </c>
      <c r="E257" s="209">
        <f t="shared" si="6"/>
        <v>-1.1391661620893575E-2</v>
      </c>
    </row>
    <row r="258" spans="1:5" x14ac:dyDescent="0.25">
      <c r="A258" s="445">
        <v>39139</v>
      </c>
      <c r="B258" s="444">
        <v>122.53</v>
      </c>
      <c r="C258" s="444">
        <v>1387.17</v>
      </c>
      <c r="D258" s="443">
        <f t="shared" si="6"/>
        <v>3.8033486068176289E-2</v>
      </c>
      <c r="E258" s="209">
        <f t="shared" si="6"/>
        <v>1.1233052764419223E-2</v>
      </c>
    </row>
    <row r="259" spans="1:5" x14ac:dyDescent="0.25">
      <c r="A259" s="445">
        <v>39133</v>
      </c>
      <c r="B259" s="444">
        <v>131</v>
      </c>
      <c r="C259" s="444">
        <v>1451.19</v>
      </c>
      <c r="D259" s="443">
        <f t="shared" si="6"/>
        <v>-6.6841425239796429E-2</v>
      </c>
      <c r="E259" s="209">
        <f t="shared" si="6"/>
        <v>-4.5118208993329766E-2</v>
      </c>
    </row>
    <row r="260" spans="1:5" x14ac:dyDescent="0.25">
      <c r="A260" s="445">
        <v>39125</v>
      </c>
      <c r="B260" s="444">
        <v>126.82</v>
      </c>
      <c r="C260" s="444">
        <v>1455.54</v>
      </c>
      <c r="D260" s="443">
        <f t="shared" si="6"/>
        <v>3.2428564929266129E-2</v>
      </c>
      <c r="E260" s="209">
        <f t="shared" si="6"/>
        <v>-2.9930562848384549E-3</v>
      </c>
    </row>
    <row r="261" spans="1:5" x14ac:dyDescent="0.25">
      <c r="A261" s="445">
        <v>39118</v>
      </c>
      <c r="B261" s="444">
        <v>125.56</v>
      </c>
      <c r="C261" s="444">
        <v>1438.06</v>
      </c>
      <c r="D261" s="443">
        <f t="shared" ref="D261:E266" si="7">+LN(B260/B261)</f>
        <v>9.9850262981326359E-3</v>
      </c>
      <c r="E261" s="209">
        <f t="shared" si="7"/>
        <v>1.2081982744947362E-2</v>
      </c>
    </row>
    <row r="262" spans="1:5" x14ac:dyDescent="0.25">
      <c r="A262" s="445">
        <v>39111</v>
      </c>
      <c r="B262" s="444">
        <v>126.85</v>
      </c>
      <c r="C262" s="444">
        <v>1448.39</v>
      </c>
      <c r="D262" s="443">
        <f t="shared" si="7"/>
        <v>-1.0221554071538028E-2</v>
      </c>
      <c r="E262" s="209">
        <f t="shared" si="7"/>
        <v>-7.1576116694649188E-3</v>
      </c>
    </row>
    <row r="263" spans="1:5" x14ac:dyDescent="0.25">
      <c r="A263" s="445">
        <v>39104</v>
      </c>
      <c r="B263" s="444">
        <v>124.75</v>
      </c>
      <c r="C263" s="444">
        <v>1422.18</v>
      </c>
      <c r="D263" s="443">
        <f t="shared" si="7"/>
        <v>1.6693551413662893E-2</v>
      </c>
      <c r="E263" s="209">
        <f t="shared" si="7"/>
        <v>1.8261689066726993E-2</v>
      </c>
    </row>
    <row r="264" spans="1:5" x14ac:dyDescent="0.25">
      <c r="A264" s="445">
        <v>39098</v>
      </c>
      <c r="B264" s="444">
        <v>125.09</v>
      </c>
      <c r="C264" s="444">
        <v>1430.5</v>
      </c>
      <c r="D264" s="443">
        <f t="shared" si="7"/>
        <v>-2.7217435950219909E-3</v>
      </c>
      <c r="E264" s="209">
        <f t="shared" si="7"/>
        <v>-5.8331278593582924E-3</v>
      </c>
    </row>
    <row r="265" spans="1:5" x14ac:dyDescent="0.25">
      <c r="A265" s="445">
        <v>39090</v>
      </c>
      <c r="B265" s="444">
        <v>124.61</v>
      </c>
      <c r="C265" s="444">
        <v>1430.73</v>
      </c>
      <c r="D265" s="443">
        <f t="shared" si="7"/>
        <v>3.8446182718737854E-3</v>
      </c>
      <c r="E265" s="209">
        <f t="shared" si="7"/>
        <v>-1.607700188348547E-4</v>
      </c>
    </row>
    <row r="266" spans="1:5" x14ac:dyDescent="0.25">
      <c r="A266" s="445">
        <v>39085</v>
      </c>
      <c r="B266" s="444">
        <v>118.83</v>
      </c>
      <c r="C266" s="444">
        <v>1409.71</v>
      </c>
      <c r="D266" s="443">
        <f t="shared" si="7"/>
        <v>4.7494959652841257E-2</v>
      </c>
      <c r="E266" s="209">
        <f t="shared" si="7"/>
        <v>1.48007940493991E-2</v>
      </c>
    </row>
  </sheetData>
  <mergeCells count="4">
    <mergeCell ref="K15:L15"/>
    <mergeCell ref="A1:C1"/>
    <mergeCell ref="G2:G3"/>
    <mergeCell ref="H11:I11"/>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90"/>
  <sheetViews>
    <sheetView showGridLines="0" topLeftCell="E55" zoomScaleNormal="100" workbookViewId="0">
      <selection activeCell="N75" sqref="N75"/>
    </sheetView>
  </sheetViews>
  <sheetFormatPr defaultColWidth="9.140625" defaultRowHeight="12" x14ac:dyDescent="0.2"/>
  <cols>
    <col min="1" max="1" width="9.140625" style="47"/>
    <col min="2" max="2" width="18.42578125" style="47" bestFit="1" customWidth="1"/>
    <col min="3" max="3" width="11.28515625" style="47" bestFit="1" customWidth="1"/>
    <col min="4" max="4" width="30.42578125" style="47" bestFit="1" customWidth="1"/>
    <col min="5" max="5" width="12.28515625" style="47" bestFit="1" customWidth="1"/>
    <col min="6" max="6" width="12.7109375" style="47" bestFit="1" customWidth="1"/>
    <col min="7" max="7" width="17.5703125" style="47" customWidth="1"/>
    <col min="8" max="10" width="12.7109375" style="47" bestFit="1" customWidth="1"/>
    <col min="11" max="11" width="1.7109375" style="47" customWidth="1"/>
    <col min="12" max="12" width="15.28515625" style="47" customWidth="1"/>
    <col min="13" max="13" width="16.85546875" style="47" customWidth="1"/>
    <col min="14" max="14" width="17.85546875" style="47" bestFit="1" customWidth="1"/>
    <col min="15" max="15" width="11.7109375" style="47" bestFit="1" customWidth="1"/>
    <col min="16" max="16" width="12.85546875" style="47" bestFit="1" customWidth="1"/>
    <col min="17" max="16384" width="9.140625" style="47"/>
  </cols>
  <sheetData>
    <row r="1" spans="4:16" ht="12.75" hidden="1" thickBot="1" x14ac:dyDescent="0.25"/>
    <row r="2" spans="4:16" ht="12.75" hidden="1" thickBot="1" x14ac:dyDescent="0.25">
      <c r="D2" s="633" t="s">
        <v>235</v>
      </c>
      <c r="E2" s="634"/>
      <c r="F2" s="634"/>
      <c r="G2" s="634"/>
      <c r="H2" s="634"/>
      <c r="I2" s="634"/>
    </row>
    <row r="3" spans="4:16" hidden="1" x14ac:dyDescent="0.2">
      <c r="D3" s="621" t="s">
        <v>236</v>
      </c>
      <c r="E3" s="622"/>
      <c r="F3" s="622"/>
      <c r="G3" s="623" t="s">
        <v>237</v>
      </c>
      <c r="H3" s="623"/>
      <c r="I3" s="623"/>
      <c r="J3" s="253"/>
      <c r="K3" s="61"/>
      <c r="M3" s="635" t="s">
        <v>301</v>
      </c>
      <c r="N3" s="635"/>
      <c r="O3" s="635"/>
    </row>
    <row r="4" spans="4:16" hidden="1" x14ac:dyDescent="0.2">
      <c r="D4" s="624" t="s">
        <v>238</v>
      </c>
      <c r="E4" s="625"/>
      <c r="F4" s="625"/>
      <c r="G4" s="254" t="s">
        <v>239</v>
      </c>
      <c r="H4" s="255"/>
      <c r="I4" s="256"/>
      <c r="J4" s="47" t="s">
        <v>299</v>
      </c>
      <c r="K4" s="47" t="s">
        <v>300</v>
      </c>
      <c r="L4" s="257"/>
      <c r="M4" s="257" t="s">
        <v>302</v>
      </c>
      <c r="N4" s="257" t="s">
        <v>303</v>
      </c>
      <c r="O4" s="257" t="s">
        <v>304</v>
      </c>
      <c r="P4" s="257" t="s">
        <v>305</v>
      </c>
    </row>
    <row r="5" spans="4:16" hidden="1" x14ac:dyDescent="0.2">
      <c r="D5" s="258" t="s">
        <v>212</v>
      </c>
      <c r="E5" s="259">
        <f>'CAPITAL DE TRABAJO'!B17</f>
        <v>-4097.193661199999</v>
      </c>
      <c r="F5" s="260"/>
      <c r="G5" s="261" t="s">
        <v>240</v>
      </c>
      <c r="H5" s="262"/>
      <c r="I5" s="263">
        <f>D33</f>
        <v>12776.433803280001</v>
      </c>
      <c r="J5" s="47">
        <v>5</v>
      </c>
      <c r="K5" s="264">
        <v>8.1699999999999995E-2</v>
      </c>
      <c r="L5" s="257">
        <v>0</v>
      </c>
      <c r="M5" s="257"/>
      <c r="N5" s="257"/>
      <c r="O5" s="257"/>
      <c r="P5" s="265">
        <f>I5</f>
        <v>12776.433803280001</v>
      </c>
    </row>
    <row r="6" spans="4:16" hidden="1" x14ac:dyDescent="0.2">
      <c r="D6" s="266" t="s">
        <v>16</v>
      </c>
      <c r="E6" s="267">
        <f>E5</f>
        <v>-4097.193661199999</v>
      </c>
      <c r="F6" s="268"/>
      <c r="G6" s="269" t="s">
        <v>241</v>
      </c>
      <c r="H6" s="268"/>
      <c r="I6" s="270">
        <f>SUM(I5)</f>
        <v>12776.433803280001</v>
      </c>
      <c r="L6" s="257">
        <v>1</v>
      </c>
      <c r="M6" s="271">
        <f>-PMT($K$5,$J$5,$I$5)</f>
        <v>3214.2907830181434</v>
      </c>
      <c r="N6" s="272">
        <f>M6-O6</f>
        <v>2170.4561412901676</v>
      </c>
      <c r="O6" s="272">
        <f>$K$5*P5</f>
        <v>1043.8346417279761</v>
      </c>
      <c r="P6" s="265">
        <f>P5-N6</f>
        <v>10605.977661989833</v>
      </c>
    </row>
    <row r="7" spans="4:16" hidden="1" x14ac:dyDescent="0.2">
      <c r="D7" s="250"/>
      <c r="E7" s="273"/>
      <c r="F7" s="61"/>
      <c r="G7" s="274"/>
      <c r="H7" s="61"/>
      <c r="I7" s="275"/>
      <c r="L7" s="257">
        <v>2</v>
      </c>
      <c r="M7" s="271">
        <f t="shared" ref="M7:M9" si="0">-PMT($K$5,$J$5,$I$5)</f>
        <v>3214.2907830181434</v>
      </c>
      <c r="N7" s="272">
        <f t="shared" ref="N7:N10" si="1">M7-O7</f>
        <v>2347.782408033574</v>
      </c>
      <c r="O7" s="272">
        <f>$K$5*P6</f>
        <v>866.50837498456929</v>
      </c>
      <c r="P7" s="265">
        <f t="shared" ref="P7:P9" si="2">P6-N7</f>
        <v>8258.195253956259</v>
      </c>
    </row>
    <row r="8" spans="4:16" hidden="1" x14ac:dyDescent="0.2">
      <c r="D8" s="266" t="s">
        <v>242</v>
      </c>
      <c r="E8" s="276"/>
      <c r="F8" s="277"/>
      <c r="G8" s="607" t="s">
        <v>243</v>
      </c>
      <c r="H8" s="608"/>
      <c r="I8" s="626"/>
      <c r="L8" s="257">
        <v>3</v>
      </c>
      <c r="M8" s="271">
        <f t="shared" si="0"/>
        <v>3214.2907830181434</v>
      </c>
      <c r="N8" s="272">
        <f t="shared" si="1"/>
        <v>2539.5962307699174</v>
      </c>
      <c r="O8" s="272">
        <f t="shared" ref="O8:O10" si="3">$K$5*P7</f>
        <v>674.69455224822627</v>
      </c>
      <c r="P8" s="265">
        <f t="shared" si="2"/>
        <v>5718.5990231863416</v>
      </c>
    </row>
    <row r="9" spans="4:16" hidden="1" x14ac:dyDescent="0.2">
      <c r="D9" s="258" t="s">
        <v>245</v>
      </c>
      <c r="E9" s="278">
        <f>INVERSIONES!D63</f>
        <v>5931.25</v>
      </c>
      <c r="F9" s="262"/>
      <c r="G9" s="279" t="s">
        <v>244</v>
      </c>
      <c r="H9" s="262"/>
      <c r="I9" s="263">
        <f>E33</f>
        <v>8517.6225355200004</v>
      </c>
      <c r="L9" s="257">
        <v>4</v>
      </c>
      <c r="M9" s="271">
        <f t="shared" si="0"/>
        <v>3214.2907830181434</v>
      </c>
      <c r="N9" s="272">
        <f t="shared" si="1"/>
        <v>2747.0812428238196</v>
      </c>
      <c r="O9" s="272">
        <f t="shared" si="3"/>
        <v>467.20954019432406</v>
      </c>
      <c r="P9" s="265">
        <f t="shared" si="2"/>
        <v>2971.517780362522</v>
      </c>
    </row>
    <row r="10" spans="4:16" hidden="1" x14ac:dyDescent="0.2">
      <c r="D10" s="258" t="s">
        <v>113</v>
      </c>
      <c r="E10" s="278">
        <f>INVERSIONES!M26</f>
        <v>0</v>
      </c>
      <c r="F10" s="262"/>
      <c r="G10" s="269" t="s">
        <v>246</v>
      </c>
      <c r="H10" s="277"/>
      <c r="I10" s="280">
        <f>SUM(I9)</f>
        <v>8517.6225355200004</v>
      </c>
      <c r="L10" s="257">
        <v>5</v>
      </c>
      <c r="M10" s="271">
        <f>-PMT($K$5,$J$5,$I$5)</f>
        <v>3214.2907830181434</v>
      </c>
      <c r="N10" s="272">
        <f t="shared" si="1"/>
        <v>2971.5177803625256</v>
      </c>
      <c r="O10" s="272">
        <f t="shared" si="3"/>
        <v>242.77300265561803</v>
      </c>
      <c r="P10" s="281">
        <f>P9-N10</f>
        <v>-3.637978807091713E-12</v>
      </c>
    </row>
    <row r="11" spans="4:16" hidden="1" x14ac:dyDescent="0.2">
      <c r="D11" s="258" t="s">
        <v>115</v>
      </c>
      <c r="E11" s="278">
        <f>INVERSIONES!M25</f>
        <v>0</v>
      </c>
      <c r="F11" s="262"/>
      <c r="G11" s="274"/>
      <c r="H11" s="61"/>
      <c r="I11" s="275"/>
    </row>
    <row r="12" spans="4:16" hidden="1" x14ac:dyDescent="0.2">
      <c r="D12" s="258" t="s">
        <v>116</v>
      </c>
      <c r="E12" s="278">
        <f>INVERSIONES!D62</f>
        <v>18500</v>
      </c>
      <c r="F12" s="262"/>
      <c r="G12" s="274"/>
      <c r="H12" s="61"/>
      <c r="I12" s="275"/>
    </row>
    <row r="13" spans="4:16" hidden="1" x14ac:dyDescent="0.2">
      <c r="D13" s="258" t="s">
        <v>114</v>
      </c>
      <c r="E13" s="278">
        <f>INVERSIONES!M21</f>
        <v>0</v>
      </c>
      <c r="F13" s="262"/>
      <c r="G13" s="274"/>
      <c r="H13" s="61"/>
      <c r="I13" s="275"/>
      <c r="L13" s="636"/>
      <c r="M13" s="636"/>
      <c r="N13" s="122"/>
      <c r="O13" s="122"/>
      <c r="P13" s="122"/>
    </row>
    <row r="14" spans="4:16" hidden="1" x14ac:dyDescent="0.2">
      <c r="D14" s="266" t="s">
        <v>16</v>
      </c>
      <c r="E14" s="282">
        <f>SUM(E9:E13)</f>
        <v>24431.25</v>
      </c>
      <c r="F14" s="277"/>
      <c r="G14" s="274"/>
      <c r="H14" s="61"/>
      <c r="I14" s="275"/>
      <c r="L14" s="637"/>
      <c r="M14" s="637"/>
      <c r="N14" s="122"/>
      <c r="O14" s="283"/>
      <c r="P14" s="122"/>
    </row>
    <row r="15" spans="4:16" hidden="1" x14ac:dyDescent="0.2">
      <c r="D15" s="250"/>
      <c r="E15" s="61"/>
      <c r="F15" s="61"/>
      <c r="G15" s="274"/>
      <c r="H15" s="61"/>
      <c r="I15" s="275"/>
      <c r="L15" s="638"/>
      <c r="M15" s="638"/>
      <c r="N15" s="122"/>
      <c r="O15" s="283"/>
      <c r="P15" s="122"/>
    </row>
    <row r="16" spans="4:16" hidden="1" x14ac:dyDescent="0.2">
      <c r="D16" s="266" t="s">
        <v>247</v>
      </c>
      <c r="E16" s="284"/>
      <c r="F16" s="284"/>
      <c r="G16" s="274"/>
      <c r="H16" s="61"/>
      <c r="I16" s="275"/>
      <c r="L16" s="638"/>
      <c r="M16" s="638"/>
      <c r="N16" s="122"/>
      <c r="O16" s="283"/>
      <c r="P16" s="285"/>
    </row>
    <row r="17" spans="4:16" hidden="1" x14ac:dyDescent="0.2">
      <c r="D17" s="286" t="s">
        <v>164</v>
      </c>
      <c r="E17" s="278">
        <f>INVERSIONES!J44</f>
        <v>250</v>
      </c>
      <c r="F17" s="287"/>
      <c r="G17" s="274"/>
      <c r="H17" s="61"/>
      <c r="I17" s="275"/>
      <c r="L17" s="638"/>
      <c r="M17" s="638"/>
      <c r="N17" s="122"/>
      <c r="O17" s="283"/>
      <c r="P17" s="122"/>
    </row>
    <row r="18" spans="4:16" hidden="1" x14ac:dyDescent="0.2">
      <c r="D18" s="286" t="s">
        <v>256</v>
      </c>
      <c r="E18" s="278">
        <f>INVERSIONES!J49</f>
        <v>100</v>
      </c>
      <c r="F18" s="287"/>
      <c r="G18" s="274"/>
      <c r="H18" s="61"/>
      <c r="I18" s="275"/>
      <c r="L18" s="638"/>
      <c r="M18" s="638"/>
      <c r="N18" s="122"/>
      <c r="O18" s="283"/>
      <c r="P18" s="122"/>
    </row>
    <row r="19" spans="4:16" hidden="1" x14ac:dyDescent="0.2">
      <c r="D19" s="286" t="s">
        <v>248</v>
      </c>
      <c r="E19" s="278">
        <f>INVERSIONES!J45</f>
        <v>70</v>
      </c>
      <c r="F19" s="287"/>
      <c r="G19" s="274"/>
      <c r="H19" s="61"/>
      <c r="I19" s="275"/>
      <c r="L19" s="638"/>
      <c r="M19" s="638"/>
      <c r="N19" s="122"/>
      <c r="O19" s="283"/>
      <c r="P19" s="122"/>
    </row>
    <row r="20" spans="4:16" hidden="1" x14ac:dyDescent="0.2">
      <c r="D20" s="286" t="s">
        <v>257</v>
      </c>
      <c r="E20" s="278">
        <f>INVERSIONES!J47+INVERSIONES!G50</f>
        <v>340</v>
      </c>
      <c r="F20" s="287"/>
      <c r="G20" s="274"/>
      <c r="H20" s="61"/>
      <c r="I20" s="275"/>
      <c r="L20" s="122"/>
      <c r="M20" s="122"/>
      <c r="N20" s="122"/>
      <c r="O20" s="122"/>
      <c r="P20" s="285"/>
    </row>
    <row r="21" spans="4:16" hidden="1" x14ac:dyDescent="0.2">
      <c r="D21" s="286" t="s">
        <v>249</v>
      </c>
      <c r="E21" s="278">
        <f>INVERSIONES!J46</f>
        <v>200</v>
      </c>
      <c r="F21" s="287"/>
      <c r="G21" s="274"/>
      <c r="H21" s="61"/>
      <c r="I21" s="275"/>
    </row>
    <row r="22" spans="4:16" hidden="1" x14ac:dyDescent="0.2">
      <c r="D22" s="288" t="s">
        <v>16</v>
      </c>
      <c r="E22" s="289">
        <f>SUM(E17:E21)</f>
        <v>960</v>
      </c>
      <c r="F22" s="277"/>
      <c r="G22" s="274"/>
      <c r="H22" s="61"/>
      <c r="I22" s="275"/>
    </row>
    <row r="23" spans="4:16" ht="12.75" hidden="1" thickBot="1" x14ac:dyDescent="0.25">
      <c r="D23" s="290" t="s">
        <v>250</v>
      </c>
      <c r="E23" s="291">
        <f>E22+E14+E6</f>
        <v>21294.056338800001</v>
      </c>
      <c r="F23" s="292"/>
      <c r="G23" s="293" t="s">
        <v>251</v>
      </c>
      <c r="H23" s="292"/>
      <c r="I23" s="294">
        <f>I6+I10</f>
        <v>21294.056338800001</v>
      </c>
    </row>
    <row r="24" spans="4:16" hidden="1" x14ac:dyDescent="0.2"/>
    <row r="25" spans="4:16" hidden="1" x14ac:dyDescent="0.2"/>
    <row r="26" spans="4:16" hidden="1" x14ac:dyDescent="0.2"/>
    <row r="27" spans="4:16" hidden="1" x14ac:dyDescent="0.2"/>
    <row r="28" spans="4:16" ht="12.75" hidden="1" thickBot="1" x14ac:dyDescent="0.25"/>
    <row r="29" spans="4:16" ht="12.75" hidden="1" thickBot="1" x14ac:dyDescent="0.25">
      <c r="D29" s="633" t="s">
        <v>252</v>
      </c>
      <c r="E29" s="634"/>
      <c r="F29" s="634"/>
      <c r="G29" s="634"/>
    </row>
    <row r="30" spans="4:16" hidden="1" x14ac:dyDescent="0.2">
      <c r="D30" s="607" t="s">
        <v>253</v>
      </c>
      <c r="E30" s="608"/>
      <c r="F30" s="608"/>
      <c r="G30" s="609"/>
    </row>
    <row r="31" spans="4:16" hidden="1" x14ac:dyDescent="0.2">
      <c r="D31" s="295">
        <v>0.6</v>
      </c>
      <c r="E31" s="642">
        <v>0.4</v>
      </c>
      <c r="F31" s="642"/>
      <c r="G31" s="643"/>
    </row>
    <row r="32" spans="4:16" hidden="1" x14ac:dyDescent="0.2">
      <c r="D32" s="296" t="s">
        <v>254</v>
      </c>
      <c r="E32" s="612" t="s">
        <v>244</v>
      </c>
      <c r="F32" s="612"/>
      <c r="G32" s="613"/>
    </row>
    <row r="33" spans="2:13" ht="12.75" hidden="1" thickBot="1" x14ac:dyDescent="0.25">
      <c r="D33" s="297">
        <f>E23*D31</f>
        <v>12776.433803280001</v>
      </c>
      <c r="E33" s="614">
        <f>E23*E31</f>
        <v>8517.6225355200004</v>
      </c>
      <c r="F33" s="615"/>
      <c r="G33" s="616"/>
      <c r="I33" s="298">
        <f>SUM(E33)</f>
        <v>8517.6225355200004</v>
      </c>
      <c r="J33" s="299"/>
    </row>
    <row r="34" spans="2:13" ht="13.5" hidden="1" customHeight="1" thickBot="1" x14ac:dyDescent="0.25"/>
    <row r="35" spans="2:13" ht="25.5" hidden="1" customHeight="1" thickBot="1" x14ac:dyDescent="0.25">
      <c r="H35" s="299"/>
      <c r="I35" s="633" t="s">
        <v>258</v>
      </c>
      <c r="J35" s="634"/>
      <c r="K35" s="300">
        <f>I33/3</f>
        <v>2839.2075118400003</v>
      </c>
    </row>
    <row r="36" spans="2:13" x14ac:dyDescent="0.2">
      <c r="B36" s="301"/>
      <c r="C36" s="122"/>
    </row>
    <row r="37" spans="2:13" x14ac:dyDescent="0.2">
      <c r="B37" s="302"/>
      <c r="C37" s="303"/>
    </row>
    <row r="38" spans="2:13" x14ac:dyDescent="0.2">
      <c r="B38" s="122"/>
      <c r="C38" s="304"/>
      <c r="E38" s="305" t="s">
        <v>306</v>
      </c>
      <c r="F38" s="306" t="s">
        <v>307</v>
      </c>
      <c r="G38" s="306" t="s">
        <v>352</v>
      </c>
    </row>
    <row r="39" spans="2:13" x14ac:dyDescent="0.2">
      <c r="B39" s="122"/>
      <c r="C39" s="304"/>
      <c r="E39" s="411">
        <v>10</v>
      </c>
      <c r="F39" s="412">
        <v>0.05</v>
      </c>
      <c r="G39" s="412">
        <v>0.1</v>
      </c>
      <c r="H39" s="310">
        <f>+GASTOS!F82</f>
        <v>11220</v>
      </c>
      <c r="I39" s="310">
        <f>+H39/F43</f>
        <v>0.1038552321007081</v>
      </c>
      <c r="J39" s="310"/>
    </row>
    <row r="40" spans="2:13" ht="12.75" thickBot="1" x14ac:dyDescent="0.25"/>
    <row r="41" spans="2:13" x14ac:dyDescent="0.2">
      <c r="D41" s="639" t="s">
        <v>351</v>
      </c>
      <c r="E41" s="640"/>
      <c r="F41" s="640"/>
      <c r="G41" s="640"/>
      <c r="H41" s="640"/>
      <c r="I41" s="640"/>
      <c r="J41" s="641"/>
      <c r="M41" s="314"/>
    </row>
    <row r="42" spans="2:13" x14ac:dyDescent="0.2">
      <c r="D42" s="311" t="s">
        <v>127</v>
      </c>
      <c r="E42" s="312">
        <v>0</v>
      </c>
      <c r="F42" s="312">
        <v>1</v>
      </c>
      <c r="G42" s="312">
        <v>2</v>
      </c>
      <c r="H42" s="312">
        <v>3</v>
      </c>
      <c r="I42" s="312">
        <v>4</v>
      </c>
      <c r="J42" s="313">
        <v>5</v>
      </c>
      <c r="M42" s="314"/>
    </row>
    <row r="43" spans="2:13" x14ac:dyDescent="0.2">
      <c r="D43" s="249" t="s">
        <v>128</v>
      </c>
      <c r="E43" s="312"/>
      <c r="F43" s="315">
        <f>+INGRESOS!B19*E$39</f>
        <v>108035</v>
      </c>
      <c r="G43" s="315">
        <f>+F43*(1+$F$39)</f>
        <v>113436.75</v>
      </c>
      <c r="H43" s="315">
        <f t="shared" ref="H43:J43" si="4">+G43*(1+$F$39)</f>
        <v>119108.58750000001</v>
      </c>
      <c r="I43" s="315">
        <f t="shared" si="4"/>
        <v>125064.01687500002</v>
      </c>
      <c r="J43" s="315">
        <f t="shared" si="4"/>
        <v>131317.21771875003</v>
      </c>
      <c r="L43" s="316"/>
      <c r="M43" s="314"/>
    </row>
    <row r="44" spans="2:13" x14ac:dyDescent="0.2">
      <c r="D44" s="249" t="s">
        <v>311</v>
      </c>
      <c r="E44" s="312"/>
      <c r="F44" s="315">
        <f>+$G$39*F43</f>
        <v>10803.5</v>
      </c>
      <c r="G44" s="315">
        <f>+$G$39*G43</f>
        <v>11343.675000000001</v>
      </c>
      <c r="H44" s="315">
        <f t="shared" ref="H44:I44" si="5">+$G$39*H43</f>
        <v>11910.858750000001</v>
      </c>
      <c r="I44" s="315">
        <f t="shared" si="5"/>
        <v>12506.401687500002</v>
      </c>
      <c r="J44" s="315">
        <f>+$G$39*J43</f>
        <v>13131.721771875003</v>
      </c>
      <c r="M44" s="314"/>
    </row>
    <row r="45" spans="2:13" x14ac:dyDescent="0.2">
      <c r="D45" s="317" t="s">
        <v>310</v>
      </c>
      <c r="E45" s="318"/>
      <c r="F45" s="319">
        <f>F43-F44</f>
        <v>97231.5</v>
      </c>
      <c r="G45" s="319">
        <f t="shared" ref="G45:J45" si="6">G43-G44</f>
        <v>102093.075</v>
      </c>
      <c r="H45" s="319">
        <f t="shared" si="6"/>
        <v>107197.72875000001</v>
      </c>
      <c r="I45" s="319">
        <f t="shared" si="6"/>
        <v>112557.61518750002</v>
      </c>
      <c r="J45" s="319">
        <f t="shared" si="6"/>
        <v>118185.49594687503</v>
      </c>
      <c r="M45" s="314"/>
    </row>
    <row r="46" spans="2:13" x14ac:dyDescent="0.2">
      <c r="D46" s="320" t="s">
        <v>312</v>
      </c>
      <c r="E46" s="312"/>
      <c r="F46" s="315"/>
      <c r="G46" s="315"/>
      <c r="H46" s="315"/>
      <c r="I46" s="315"/>
      <c r="J46" s="321"/>
    </row>
    <row r="47" spans="2:13" x14ac:dyDescent="0.2">
      <c r="D47" s="249" t="s">
        <v>313</v>
      </c>
      <c r="E47" s="312"/>
      <c r="F47" s="315">
        <f>+GASTOS!D8</f>
        <v>3540</v>
      </c>
      <c r="G47" s="315">
        <f>+F47*(1+$F$39)</f>
        <v>3717</v>
      </c>
      <c r="H47" s="315">
        <f t="shared" ref="H47:I47" si="7">+G47*(1+$F$39)</f>
        <v>3902.8500000000004</v>
      </c>
      <c r="I47" s="315">
        <f t="shared" si="7"/>
        <v>4097.9925000000003</v>
      </c>
      <c r="J47" s="315">
        <f>+I47*(1+$F$39)</f>
        <v>4302.8921250000003</v>
      </c>
    </row>
    <row r="48" spans="2:13" x14ac:dyDescent="0.2">
      <c r="D48" s="249" t="s">
        <v>232</v>
      </c>
      <c r="E48" s="312"/>
      <c r="F48" s="315">
        <f>+GASTOS!D20</f>
        <v>6261.2</v>
      </c>
      <c r="G48" s="315">
        <f>F48*(1+$F$39)</f>
        <v>6574.26</v>
      </c>
      <c r="H48" s="315">
        <f t="shared" ref="H48:I48" si="8">G48*(1+$F$39)</f>
        <v>6902.9730000000009</v>
      </c>
      <c r="I48" s="315">
        <f t="shared" si="8"/>
        <v>7248.121650000001</v>
      </c>
      <c r="J48" s="315">
        <f>I48*(1+$F$39)</f>
        <v>7610.5277325000015</v>
      </c>
    </row>
    <row r="49" spans="4:10" x14ac:dyDescent="0.2">
      <c r="D49" s="249" t="s">
        <v>234</v>
      </c>
      <c r="E49" s="312"/>
      <c r="F49" s="315">
        <f>+GASTOS!D25</f>
        <v>7150</v>
      </c>
      <c r="G49" s="315">
        <f>+F49*(1+$F$39)</f>
        <v>7507.5</v>
      </c>
      <c r="H49" s="315">
        <f t="shared" ref="H49:I49" si="9">+G49*(1+$F$39)</f>
        <v>7882.875</v>
      </c>
      <c r="I49" s="315">
        <f t="shared" si="9"/>
        <v>8277.0187500000011</v>
      </c>
      <c r="J49" s="315">
        <f>+I49*(1+$F$39)</f>
        <v>8690.8696875000023</v>
      </c>
    </row>
    <row r="50" spans="4:10" x14ac:dyDescent="0.2">
      <c r="D50" s="249" t="s">
        <v>208</v>
      </c>
      <c r="E50" s="312"/>
      <c r="F50" s="322">
        <f>GASTOS!E41</f>
        <v>1595</v>
      </c>
      <c r="G50" s="315">
        <f>F50*(1+$F$39)</f>
        <v>1674.75</v>
      </c>
      <c r="H50" s="315">
        <f t="shared" ref="H50:I50" si="10">G50*(1+$F$39)</f>
        <v>1758.4875000000002</v>
      </c>
      <c r="I50" s="315">
        <f t="shared" si="10"/>
        <v>1846.4118750000002</v>
      </c>
      <c r="J50" s="315">
        <f>I50*(1+$F$39)</f>
        <v>1938.7324687500004</v>
      </c>
    </row>
    <row r="51" spans="4:10" x14ac:dyDescent="0.2">
      <c r="D51" s="249" t="s">
        <v>314</v>
      </c>
      <c r="E51" s="312"/>
      <c r="F51" s="315">
        <f>GASTOS!F53+GASTOS!F72</f>
        <v>3243.7</v>
      </c>
      <c r="G51" s="315">
        <f>F51*(1+$F$39)</f>
        <v>3405.8849999999998</v>
      </c>
      <c r="H51" s="315">
        <f t="shared" ref="H51:I51" si="11">G51*(1+$F$39)</f>
        <v>3576.1792499999997</v>
      </c>
      <c r="I51" s="315">
        <f t="shared" si="11"/>
        <v>3754.9882124999999</v>
      </c>
      <c r="J51" s="315">
        <f>I51*(1+$F$39)</f>
        <v>3942.737623125</v>
      </c>
    </row>
    <row r="52" spans="4:10" x14ac:dyDescent="0.2">
      <c r="D52" s="249" t="s">
        <v>104</v>
      </c>
      <c r="E52" s="312"/>
      <c r="F52" s="315">
        <f>+SUELDO!F24</f>
        <v>54677.961967199997</v>
      </c>
      <c r="G52" s="315">
        <f>+SUELDO!G24</f>
        <v>60145.75816392</v>
      </c>
      <c r="H52" s="315">
        <f>+SUELDO!H24</f>
        <v>66160.333980312018</v>
      </c>
      <c r="I52" s="315">
        <f>+SUELDO!I24</f>
        <v>72776.367378343217</v>
      </c>
      <c r="J52" s="315">
        <f>+SUELDO!J24</f>
        <v>80054.004116177544</v>
      </c>
    </row>
    <row r="53" spans="4:10" x14ac:dyDescent="0.2">
      <c r="D53" s="249" t="s">
        <v>317</v>
      </c>
      <c r="E53" s="312"/>
      <c r="F53" s="315">
        <f>-DEPRECIACIÓN!$E$14</f>
        <v>-8906.1666666666661</v>
      </c>
      <c r="G53" s="315">
        <f>-DEPRECIACIÓN!$E$14</f>
        <v>-8906.1666666666661</v>
      </c>
      <c r="H53" s="315">
        <f>-DEPRECIACIÓN!$E$14</f>
        <v>-8906.1666666666661</v>
      </c>
      <c r="I53" s="315">
        <f>-DEPRECIACIÓN!$E$14</f>
        <v>-8906.1666666666661</v>
      </c>
      <c r="J53" s="315">
        <f>-DEPRECIACIÓN!$E$14</f>
        <v>-8906.1666666666661</v>
      </c>
    </row>
    <row r="54" spans="4:10" x14ac:dyDescent="0.2">
      <c r="D54" s="323" t="s">
        <v>315</v>
      </c>
      <c r="E54" s="324"/>
      <c r="F54" s="319">
        <f>SUM(F47:F53)</f>
        <v>67561.695300533334</v>
      </c>
      <c r="G54" s="319">
        <f t="shared" ref="G54:I54" si="12">SUM(G47:G53)</f>
        <v>74118.986497253325</v>
      </c>
      <c r="H54" s="319">
        <f t="shared" si="12"/>
        <v>81277.532063645354</v>
      </c>
      <c r="I54" s="319">
        <f t="shared" si="12"/>
        <v>89094.733699176548</v>
      </c>
      <c r="J54" s="325">
        <f>SUM(J47:J53)</f>
        <v>97633.597086385867</v>
      </c>
    </row>
    <row r="55" spans="4:10" x14ac:dyDescent="0.2">
      <c r="D55" s="326" t="s">
        <v>316</v>
      </c>
      <c r="E55" s="318"/>
      <c r="F55" s="319">
        <f>F45-F54</f>
        <v>29669.804699466666</v>
      </c>
      <c r="G55" s="319">
        <f>G45-G54</f>
        <v>27974.088502746672</v>
      </c>
      <c r="H55" s="319">
        <f>H45-H54</f>
        <v>25920.196686354655</v>
      </c>
      <c r="I55" s="319">
        <f>I45-I54</f>
        <v>23462.881488323474</v>
      </c>
      <c r="J55" s="325">
        <f>J45-J54</f>
        <v>20551.898860489164</v>
      </c>
    </row>
    <row r="56" spans="4:10" s="316" customFormat="1" x14ac:dyDescent="0.2">
      <c r="D56" s="249" t="s">
        <v>318</v>
      </c>
      <c r="E56" s="312"/>
      <c r="F56" s="315">
        <f t="array" ref="F56:J56">TRANSPOSE(AMORTIZACIÓN!F5:F9)</f>
        <v>668.63418086398792</v>
      </c>
      <c r="G56" s="315">
        <v>555.04683822380639</v>
      </c>
      <c r="H56" s="315">
        <v>432.17940968992207</v>
      </c>
      <c r="I56" s="315">
        <v>299.27371224481936</v>
      </c>
      <c r="J56" s="321">
        <v>155.5096193184518</v>
      </c>
    </row>
    <row r="57" spans="4:10" x14ac:dyDescent="0.2">
      <c r="D57" s="317" t="s">
        <v>319</v>
      </c>
      <c r="E57" s="117"/>
      <c r="F57" s="327">
        <f>F55-F56</f>
        <v>29001.170518602677</v>
      </c>
      <c r="G57" s="327">
        <f t="shared" ref="G57:J57" si="13">G55-G56</f>
        <v>27419.041664522865</v>
      </c>
      <c r="H57" s="327">
        <f t="shared" si="13"/>
        <v>25488.017276664734</v>
      </c>
      <c r="I57" s="327">
        <f t="shared" si="13"/>
        <v>23163.607776078654</v>
      </c>
      <c r="J57" s="327">
        <f t="shared" si="13"/>
        <v>20396.389241170713</v>
      </c>
    </row>
    <row r="58" spans="4:10" x14ac:dyDescent="0.2">
      <c r="D58" s="249" t="s">
        <v>320</v>
      </c>
      <c r="E58" s="312"/>
      <c r="F58" s="315">
        <f>IF(F57&gt;0,F57*0.15,0)</f>
        <v>4350.1755777904018</v>
      </c>
      <c r="G58" s="315">
        <f t="shared" ref="G58:J58" si="14">IF(G57&gt;0,G57*0.15,0)</f>
        <v>4112.8562496784298</v>
      </c>
      <c r="H58" s="315">
        <f t="shared" si="14"/>
        <v>3823.2025914997098</v>
      </c>
      <c r="I58" s="315">
        <f t="shared" si="14"/>
        <v>3474.5411664117978</v>
      </c>
      <c r="J58" s="321">
        <f t="shared" si="14"/>
        <v>3059.4583861756068</v>
      </c>
    </row>
    <row r="59" spans="4:10" x14ac:dyDescent="0.2">
      <c r="D59" s="326" t="s">
        <v>321</v>
      </c>
      <c r="E59" s="318"/>
      <c r="F59" s="319">
        <f>F57-F58</f>
        <v>24650.994940812277</v>
      </c>
      <c r="G59" s="319">
        <f t="shared" ref="G59:J59" si="15">G57-G58</f>
        <v>23306.185414844436</v>
      </c>
      <c r="H59" s="319">
        <f t="shared" si="15"/>
        <v>21664.814685165024</v>
      </c>
      <c r="I59" s="319">
        <f t="shared" si="15"/>
        <v>19689.066609666857</v>
      </c>
      <c r="J59" s="319">
        <f t="shared" si="15"/>
        <v>17336.930854995106</v>
      </c>
    </row>
    <row r="60" spans="4:10" x14ac:dyDescent="0.2">
      <c r="D60" s="249" t="s">
        <v>545</v>
      </c>
      <c r="E60" s="312"/>
      <c r="F60" s="315">
        <f>IF(F59&gt;0,F59*0.23,0)</f>
        <v>5669.7288363868238</v>
      </c>
      <c r="G60" s="315">
        <f>IF(G59&gt;0,G59*0.22,0)</f>
        <v>5127.3607912657762</v>
      </c>
      <c r="H60" s="315">
        <f>IF(H59&gt;0,H59*0.22,0)</f>
        <v>4766.2592307363057</v>
      </c>
      <c r="I60" s="315">
        <f>IF(I59&gt;0,I59*0.22,0)</f>
        <v>4331.5946541267085</v>
      </c>
      <c r="J60" s="315">
        <f>IF(J59&gt;0,J59*0.22,0)</f>
        <v>3814.1247880989231</v>
      </c>
    </row>
    <row r="61" spans="4:10" ht="12.75" thickBot="1" x14ac:dyDescent="0.25">
      <c r="D61" s="330" t="s">
        <v>322</v>
      </c>
      <c r="E61" s="331"/>
      <c r="F61" s="332">
        <f>F59-F60</f>
        <v>18981.266104425453</v>
      </c>
      <c r="G61" s="332">
        <f t="shared" ref="G61:J61" si="16">G59-G60</f>
        <v>18178.824623578661</v>
      </c>
      <c r="H61" s="332">
        <f t="shared" si="16"/>
        <v>16898.555454428719</v>
      </c>
      <c r="I61" s="332">
        <f t="shared" si="16"/>
        <v>15357.47195554015</v>
      </c>
      <c r="J61" s="332">
        <f t="shared" si="16"/>
        <v>13522.806066896183</v>
      </c>
    </row>
    <row r="62" spans="4:10" ht="12.75" hidden="1" thickBot="1" x14ac:dyDescent="0.25">
      <c r="D62" s="169"/>
      <c r="E62" s="122"/>
      <c r="F62" s="333"/>
      <c r="G62" s="333"/>
      <c r="H62" s="333"/>
      <c r="I62" s="333"/>
      <c r="J62" s="333"/>
    </row>
    <row r="63" spans="4:10" x14ac:dyDescent="0.2">
      <c r="D63" s="334" t="s">
        <v>309</v>
      </c>
      <c r="E63" s="335"/>
      <c r="F63" s="336">
        <f>-F53</f>
        <v>8906.1666666666661</v>
      </c>
      <c r="G63" s="336">
        <f t="shared" ref="G63:J63" si="17">-G53</f>
        <v>8906.1666666666661</v>
      </c>
      <c r="H63" s="336">
        <f t="shared" si="17"/>
        <v>8906.1666666666661</v>
      </c>
      <c r="I63" s="336">
        <f t="shared" si="17"/>
        <v>8906.1666666666661</v>
      </c>
      <c r="J63" s="336">
        <f t="shared" si="17"/>
        <v>8906.1666666666661</v>
      </c>
    </row>
    <row r="64" spans="4:10" x14ac:dyDescent="0.2">
      <c r="D64" s="337" t="s">
        <v>323</v>
      </c>
      <c r="E64" s="48"/>
      <c r="F64" s="338">
        <f t="array" ref="F64:J64">TRANSPOSE(AMORTIZACIÓN!E5:E9)</f>
        <v>1390.2979515322097</v>
      </c>
      <c r="G64" s="338">
        <v>1503.8852941723912</v>
      </c>
      <c r="H64" s="338">
        <v>1626.7527227062756</v>
      </c>
      <c r="I64" s="338">
        <v>1759.6584201513783</v>
      </c>
      <c r="J64" s="339">
        <v>1903.4225130777459</v>
      </c>
    </row>
    <row r="65" spans="4:14" x14ac:dyDescent="0.2">
      <c r="D65" s="340" t="s">
        <v>325</v>
      </c>
      <c r="E65" s="341"/>
      <c r="F65" s="342">
        <f>F61+F63-F64</f>
        <v>26497.134819559909</v>
      </c>
      <c r="G65" s="342">
        <f t="shared" ref="G65:J65" si="18">G61+G63-G64</f>
        <v>25581.105996072936</v>
      </c>
      <c r="H65" s="342">
        <f t="shared" si="18"/>
        <v>24177.969398389112</v>
      </c>
      <c r="I65" s="342">
        <f t="shared" si="18"/>
        <v>22503.980202055438</v>
      </c>
      <c r="J65" s="342">
        <f t="shared" si="18"/>
        <v>20525.550220485104</v>
      </c>
    </row>
    <row r="66" spans="4:14" x14ac:dyDescent="0.2">
      <c r="D66" s="343" t="s">
        <v>324</v>
      </c>
      <c r="E66" s="338">
        <f>-INVERSIONES!D70</f>
        <v>-38971.949999999997</v>
      </c>
      <c r="F66" s="344"/>
      <c r="G66" s="344"/>
      <c r="H66" s="344"/>
      <c r="I66" s="344"/>
      <c r="J66" s="345"/>
    </row>
    <row r="67" spans="4:14" x14ac:dyDescent="0.2">
      <c r="D67" s="343" t="s">
        <v>326</v>
      </c>
      <c r="E67" s="338">
        <f>'CAPITAL DE TRABAJO'!B17</f>
        <v>-4097.193661199999</v>
      </c>
      <c r="F67" s="344"/>
      <c r="G67" s="344"/>
      <c r="H67" s="344"/>
      <c r="I67" s="344"/>
      <c r="J67" s="345"/>
    </row>
    <row r="68" spans="4:14" x14ac:dyDescent="0.2">
      <c r="D68" s="343" t="s">
        <v>327</v>
      </c>
      <c r="E68" s="346">
        <f>AMORTIZACIÓN!E11</f>
        <v>8184.0169016399996</v>
      </c>
      <c r="F68" s="48"/>
      <c r="G68" s="48"/>
      <c r="H68" s="48"/>
      <c r="I68" s="48"/>
      <c r="J68" s="159"/>
    </row>
    <row r="69" spans="4:14" x14ac:dyDescent="0.2">
      <c r="D69" s="343" t="s">
        <v>328</v>
      </c>
      <c r="E69" s="48"/>
      <c r="F69" s="48"/>
      <c r="G69" s="48"/>
      <c r="H69" s="48"/>
      <c r="I69" s="48"/>
      <c r="J69" s="347">
        <f>-E67</f>
        <v>4097.193661199999</v>
      </c>
    </row>
    <row r="70" spans="4:14" x14ac:dyDescent="0.2">
      <c r="D70" s="343" t="s">
        <v>118</v>
      </c>
      <c r="E70" s="48"/>
      <c r="F70" s="48"/>
      <c r="G70" s="48"/>
      <c r="H70" s="48"/>
      <c r="I70" s="48"/>
      <c r="J70" s="339">
        <f>'VALOR DE DESECHO'!G11</f>
        <v>4277.833333333333</v>
      </c>
    </row>
    <row r="71" spans="4:14" ht="12.75" thickBot="1" x14ac:dyDescent="0.25">
      <c r="D71" s="348" t="s">
        <v>329</v>
      </c>
      <c r="E71" s="349">
        <f>SUM(E66:E68)</f>
        <v>-34885.126759559993</v>
      </c>
      <c r="F71" s="349">
        <f>SUM(F65:F70)</f>
        <v>26497.134819559909</v>
      </c>
      <c r="G71" s="349">
        <f t="shared" ref="G71:I71" si="19">SUM(G65:G70)</f>
        <v>25581.105996072936</v>
      </c>
      <c r="H71" s="349">
        <f t="shared" si="19"/>
        <v>24177.969398389112</v>
      </c>
      <c r="I71" s="349">
        <f t="shared" si="19"/>
        <v>22503.980202055438</v>
      </c>
      <c r="J71" s="349">
        <f>SUM(J65:J70)</f>
        <v>28900.577215018435</v>
      </c>
    </row>
    <row r="72" spans="4:14" x14ac:dyDescent="0.2">
      <c r="D72" s="350" t="s">
        <v>330</v>
      </c>
      <c r="E72" s="389">
        <f>'TASA DE DESCUENTO'!I28</f>
        <v>0.16281031750371483</v>
      </c>
    </row>
    <row r="73" spans="4:14" x14ac:dyDescent="0.2">
      <c r="D73" s="351" t="s">
        <v>331</v>
      </c>
      <c r="E73" s="530">
        <f>IRR(E71:J71)</f>
        <v>0.68080705974927036</v>
      </c>
    </row>
    <row r="74" spans="4:14" ht="12.75" thickBot="1" x14ac:dyDescent="0.25">
      <c r="D74" s="353" t="s">
        <v>126</v>
      </c>
      <c r="E74" s="390">
        <f>+NPV(E72,F71:J71)+E71</f>
        <v>48102.431744308778</v>
      </c>
    </row>
    <row r="75" spans="4:14" x14ac:dyDescent="0.2">
      <c r="D75" s="355"/>
      <c r="E75" s="356"/>
    </row>
    <row r="76" spans="4:14" x14ac:dyDescent="0.2">
      <c r="D76" s="355"/>
      <c r="E76" s="356"/>
    </row>
    <row r="77" spans="4:14" x14ac:dyDescent="0.2">
      <c r="D77" s="355"/>
      <c r="E77" s="356"/>
    </row>
    <row r="78" spans="4:14" x14ac:dyDescent="0.2">
      <c r="D78" s="355"/>
      <c r="E78" s="356"/>
    </row>
    <row r="79" spans="4:14" x14ac:dyDescent="0.2">
      <c r="D79" s="357" t="s">
        <v>557</v>
      </c>
      <c r="E79" s="515">
        <v>0</v>
      </c>
      <c r="F79" s="515">
        <v>1</v>
      </c>
      <c r="G79" s="515">
        <v>2</v>
      </c>
      <c r="H79" s="515">
        <v>3</v>
      </c>
      <c r="I79" s="515">
        <v>4</v>
      </c>
      <c r="J79" s="515">
        <v>5</v>
      </c>
      <c r="L79" s="510" t="s">
        <v>332</v>
      </c>
      <c r="M79" s="510" t="s">
        <v>452</v>
      </c>
      <c r="N79" s="48"/>
    </row>
    <row r="80" spans="4:14" x14ac:dyDescent="0.2">
      <c r="D80" s="318" t="s">
        <v>554</v>
      </c>
      <c r="E80" s="361">
        <f>$E$71</f>
        <v>-34885.126759559993</v>
      </c>
      <c r="F80" s="361">
        <f>E80+F71</f>
        <v>-8387.9919400000836</v>
      </c>
      <c r="G80" s="361">
        <f>F80+G71</f>
        <v>17193.114056072853</v>
      </c>
      <c r="H80" s="361">
        <f>G80+H71</f>
        <v>41371.083454461965</v>
      </c>
      <c r="I80" s="361">
        <f>H80+I71</f>
        <v>63875.063656517406</v>
      </c>
      <c r="J80" s="361">
        <f>I80+J71</f>
        <v>92775.640871535841</v>
      </c>
      <c r="K80" s="362"/>
      <c r="L80" s="528">
        <f>(G80-F80)/365</f>
        <v>70.085221907049146</v>
      </c>
      <c r="M80" s="318">
        <f>F80/L80</f>
        <v>-119.68274782841806</v>
      </c>
      <c r="N80" s="318" t="s">
        <v>585</v>
      </c>
    </row>
    <row r="81" spans="4:14" x14ac:dyDescent="0.2">
      <c r="D81" s="318" t="s">
        <v>555</v>
      </c>
      <c r="E81" s="361">
        <f t="shared" ref="E81:E82" si="20">$E$71</f>
        <v>-34885.126759559993</v>
      </c>
      <c r="F81" s="361">
        <f>F71/(($E$72+1)^F79)</f>
        <v>22787.151456002848</v>
      </c>
      <c r="G81" s="361">
        <f>G71/(($E$72+1)^G79)</f>
        <v>18919.147541743521</v>
      </c>
      <c r="H81" s="361">
        <f>H71/(($E$72+1)^H79)</f>
        <v>15377.764081033501</v>
      </c>
      <c r="I81" s="361">
        <f>I71/(($E$72+1)^I79)</f>
        <v>12309.03001830316</v>
      </c>
      <c r="J81" s="361">
        <f>J71/(($E$72+1)^J79)</f>
        <v>13594.465406785737</v>
      </c>
      <c r="K81" s="362"/>
      <c r="L81" s="396"/>
      <c r="M81" s="48"/>
      <c r="N81" s="48"/>
    </row>
    <row r="82" spans="4:14" x14ac:dyDescent="0.2">
      <c r="D82" s="318" t="s">
        <v>556</v>
      </c>
      <c r="E82" s="361">
        <f t="shared" si="20"/>
        <v>-34885.126759559993</v>
      </c>
      <c r="F82" s="361">
        <f>E82+F81</f>
        <v>-12097.975303557145</v>
      </c>
      <c r="G82" s="361">
        <f t="shared" ref="G82:I82" si="21">F82+G81</f>
        <v>6821.1722381863765</v>
      </c>
      <c r="H82" s="361">
        <f t="shared" si="21"/>
        <v>22198.93631921988</v>
      </c>
      <c r="I82" s="361">
        <f t="shared" si="21"/>
        <v>34507.966337523038</v>
      </c>
      <c r="J82" s="361">
        <f>I82+J81</f>
        <v>48102.431744308778</v>
      </c>
      <c r="K82" s="362"/>
      <c r="L82" s="528">
        <f>(G82-F82)/365</f>
        <v>51.833280936283622</v>
      </c>
      <c r="M82" s="318">
        <f>F82/L82</f>
        <v>-233.4016887418077</v>
      </c>
      <c r="N82" s="318" t="s">
        <v>586</v>
      </c>
    </row>
    <row r="83" spans="4:14" x14ac:dyDescent="0.2">
      <c r="D83" s="355"/>
      <c r="E83" s="356"/>
      <c r="F83" s="122"/>
      <c r="G83" s="122"/>
      <c r="H83" s="122"/>
      <c r="I83" s="122"/>
      <c r="J83" s="122"/>
    </row>
    <row r="90" spans="4:14" x14ac:dyDescent="0.2">
      <c r="F90" s="47" t="s">
        <v>568</v>
      </c>
    </row>
  </sheetData>
  <scenarios current="2" show="2" sqref="E74">
    <scenario name="8" locked="1" count="1" user="Usuario" comment="Creado por Usuario el 14/02/2012_x000a_Modificado por Usuario el 14/02/2012">
      <inputCells r="E39" val="8"/>
    </scenario>
    <scenario name="9" locked="1" count="1" user="Usuario" comment="Creado por Usuario el 14/02/2012">
      <inputCells r="E39" val="9"/>
    </scenario>
    <scenario name="10" locked="1" count="1" user="Usuario" comment="Creado por Usuario el 14/02/2012">
      <inputCells r="E39" val="10"/>
    </scenario>
    <scenario name="11" locked="1" count="1" user="Usuario" comment="Creado por Usuario el 14/02/2012">
      <inputCells r="E39" val="11"/>
    </scenario>
    <scenario name="12" locked="1" count="1" user="Usuario" comment="Creado por Usuario el 14/02/2012">
      <inputCells r="E39" val="12"/>
    </scenario>
    <scenario name="13" locked="1" count="1" user="Usuario" comment="Creado por Usuario el 14/02/2012">
      <inputCells r="E39" val="13"/>
    </scenario>
    <scenario name="14" locked="1" count="1" user="Usuario" comment="Creado por Usuario el 14/02/2012">
      <inputCells r="E39" val="14"/>
    </scenario>
    <scenario name="15" locked="1" count="1" user="Usuario" comment="Creado por Usuario el 14/02/2012">
      <inputCells r="E39" val="15"/>
    </scenario>
    <scenario name="7" locked="1" count="1" user="Usuario" comment="Creado por Usuario el 14/02/2012">
      <inputCells r="E39" val="7"/>
    </scenario>
  </scenarios>
  <mergeCells count="20">
    <mergeCell ref="L17:M17"/>
    <mergeCell ref="L18:M18"/>
    <mergeCell ref="L19:M19"/>
    <mergeCell ref="D41:J41"/>
    <mergeCell ref="D29:G29"/>
    <mergeCell ref="D30:G30"/>
    <mergeCell ref="E31:G31"/>
    <mergeCell ref="E32:G32"/>
    <mergeCell ref="E33:G33"/>
    <mergeCell ref="I35:J35"/>
    <mergeCell ref="M3:O3"/>
    <mergeCell ref="L13:M13"/>
    <mergeCell ref="L14:M14"/>
    <mergeCell ref="L15:M15"/>
    <mergeCell ref="L16:M16"/>
    <mergeCell ref="D2:I2"/>
    <mergeCell ref="D3:F3"/>
    <mergeCell ref="G3:I3"/>
    <mergeCell ref="D4:F4"/>
    <mergeCell ref="G8:I8"/>
  </mergeCells>
  <pageMargins left="0.7" right="0.7" top="0.75" bottom="0.75" header="0.3" footer="0.3"/>
  <pageSetup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2"/>
  <sheetViews>
    <sheetView showGridLines="0" zoomScaleNormal="100" workbookViewId="0">
      <selection activeCell="J10" sqref="J10"/>
    </sheetView>
  </sheetViews>
  <sheetFormatPr defaultColWidth="11.42578125" defaultRowHeight="12" x14ac:dyDescent="0.2"/>
  <cols>
    <col min="1" max="2" width="11.42578125" style="47"/>
    <col min="3" max="3" width="16.42578125" style="47" customWidth="1"/>
    <col min="4" max="4" width="13.28515625" style="47" bestFit="1" customWidth="1"/>
    <col min="5" max="5" width="4.7109375" style="47" customWidth="1"/>
    <col min="6" max="6" width="11.42578125" style="47"/>
    <col min="7" max="7" width="13.28515625" style="47" bestFit="1" customWidth="1"/>
    <col min="8" max="16384" width="11.42578125" style="47"/>
  </cols>
  <sheetData>
    <row r="3" spans="3:7" x14ac:dyDescent="0.2">
      <c r="C3" s="644" t="s">
        <v>345</v>
      </c>
      <c r="D3" s="644"/>
      <c r="F3" s="644" t="s">
        <v>350</v>
      </c>
      <c r="G3" s="644"/>
    </row>
    <row r="4" spans="3:7" x14ac:dyDescent="0.2">
      <c r="C4" s="401" t="s">
        <v>346</v>
      </c>
      <c r="D4" s="401" t="s">
        <v>33</v>
      </c>
      <c r="F4" s="401" t="s">
        <v>346</v>
      </c>
      <c r="G4" s="401" t="s">
        <v>33</v>
      </c>
    </row>
    <row r="5" spans="3:7" x14ac:dyDescent="0.2">
      <c r="C5" s="402" t="s">
        <v>347</v>
      </c>
      <c r="D5" s="403">
        <f>+'COSTOS FIJOS'!D17</f>
        <v>6113.4968305999992</v>
      </c>
      <c r="F5" s="402" t="s">
        <v>347</v>
      </c>
      <c r="G5" s="403">
        <f>D5</f>
        <v>6113.4968305999992</v>
      </c>
    </row>
    <row r="6" spans="3:7" x14ac:dyDescent="0.2">
      <c r="C6" s="402" t="s">
        <v>348</v>
      </c>
      <c r="D6" s="403">
        <f>+'COSTOS VARIABLES'!C7</f>
        <v>973.1</v>
      </c>
      <c r="F6" s="402" t="s">
        <v>348</v>
      </c>
      <c r="G6" s="403">
        <f>D6</f>
        <v>973.1</v>
      </c>
    </row>
    <row r="7" spans="3:7" x14ac:dyDescent="0.2">
      <c r="C7" s="402" t="s">
        <v>263</v>
      </c>
      <c r="D7" s="403">
        <f>+INGRESOS!B11</f>
        <v>9002.9166666666661</v>
      </c>
      <c r="F7" s="402" t="s">
        <v>263</v>
      </c>
      <c r="G7" s="403">
        <f>D7</f>
        <v>9002.9166666666661</v>
      </c>
    </row>
    <row r="8" spans="3:7" x14ac:dyDescent="0.2">
      <c r="C8" s="404" t="s">
        <v>349</v>
      </c>
      <c r="D8" s="405">
        <f>D5/(D7-D6)</f>
        <v>0.76134949082689729</v>
      </c>
      <c r="F8" s="404" t="s">
        <v>349</v>
      </c>
      <c r="G8" s="406">
        <f>G7*D8</f>
        <v>6854.3660201236535</v>
      </c>
    </row>
    <row r="9" spans="3:7" x14ac:dyDescent="0.2">
      <c r="C9" s="407"/>
      <c r="D9" s="408"/>
    </row>
    <row r="10" spans="3:7" x14ac:dyDescent="0.2">
      <c r="C10" s="408"/>
      <c r="D10" s="409"/>
    </row>
    <row r="11" spans="3:7" x14ac:dyDescent="0.2">
      <c r="D11" s="410"/>
    </row>
    <row r="12" spans="3:7" x14ac:dyDescent="0.2">
      <c r="D12" s="410"/>
    </row>
  </sheetData>
  <mergeCells count="2">
    <mergeCell ref="C3:D3"/>
    <mergeCell ref="F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zoomScaleNormal="100" workbookViewId="0">
      <selection activeCell="B42" sqref="B42"/>
    </sheetView>
  </sheetViews>
  <sheetFormatPr defaultColWidth="11.42578125" defaultRowHeight="12" x14ac:dyDescent="0.2"/>
  <cols>
    <col min="1" max="1" width="33.42578125" style="47" customWidth="1"/>
    <col min="2" max="2" width="23.42578125" style="47" customWidth="1"/>
    <col min="3" max="3" width="13" style="47" bestFit="1" customWidth="1"/>
    <col min="4" max="4" width="18" style="47" customWidth="1"/>
    <col min="5" max="7" width="13" style="47" bestFit="1" customWidth="1"/>
    <col min="8" max="9" width="11.42578125" style="47"/>
    <col min="10" max="10" width="12" style="47" bestFit="1" customWidth="1"/>
    <col min="11" max="16384" width="11.42578125" style="47"/>
  </cols>
  <sheetData>
    <row r="1" spans="1:10" x14ac:dyDescent="0.2">
      <c r="A1" s="580" t="s">
        <v>428</v>
      </c>
      <c r="B1" s="580"/>
      <c r="C1" s="580"/>
      <c r="D1" s="580"/>
      <c r="E1" s="580"/>
    </row>
    <row r="2" spans="1:10" ht="24" x14ac:dyDescent="0.2">
      <c r="A2" s="381" t="s">
        <v>429</v>
      </c>
      <c r="B2" s="382" t="s">
        <v>430</v>
      </c>
      <c r="C2" s="382" t="s">
        <v>431</v>
      </c>
      <c r="D2" s="382" t="s">
        <v>98</v>
      </c>
      <c r="E2" s="382" t="s">
        <v>432</v>
      </c>
    </row>
    <row r="3" spans="1:10" x14ac:dyDescent="0.2">
      <c r="A3" s="383">
        <v>5</v>
      </c>
      <c r="B3" s="221">
        <v>10804</v>
      </c>
      <c r="C3" s="219">
        <f>+'COSTOS FIJOS'!E17</f>
        <v>82422.828633866666</v>
      </c>
      <c r="D3" s="315">
        <f>+'COSTOS VARIABLES'!D7</f>
        <v>11677.2</v>
      </c>
      <c r="E3" s="315">
        <f>+INVERSIONES!D70</f>
        <v>38971.949999999997</v>
      </c>
      <c r="I3" s="61"/>
      <c r="J3" s="61"/>
    </row>
    <row r="4" spans="1:10" x14ac:dyDescent="0.2">
      <c r="A4" s="383">
        <v>10</v>
      </c>
      <c r="B4" s="384">
        <v>15887.5</v>
      </c>
      <c r="C4" s="220">
        <v>152479.31</v>
      </c>
      <c r="D4" s="220">
        <v>30655.17</v>
      </c>
      <c r="E4" s="315">
        <v>67395.5</v>
      </c>
      <c r="I4" s="234"/>
      <c r="J4" s="61"/>
    </row>
    <row r="5" spans="1:10" x14ac:dyDescent="0.2">
      <c r="A5" s="383">
        <v>15</v>
      </c>
      <c r="B5" s="384">
        <v>19988</v>
      </c>
      <c r="C5" s="315">
        <v>214956</v>
      </c>
      <c r="D5" s="315">
        <v>45580.1</v>
      </c>
      <c r="E5" s="315">
        <v>97420.75</v>
      </c>
      <c r="I5" s="235"/>
      <c r="J5" s="61"/>
    </row>
    <row r="6" spans="1:10" x14ac:dyDescent="0.2">
      <c r="I6" s="61"/>
      <c r="J6" s="61"/>
    </row>
    <row r="7" spans="1:10" ht="12.75" thickBot="1" x14ac:dyDescent="0.25">
      <c r="I7" s="234"/>
      <c r="J7" s="93"/>
    </row>
    <row r="8" spans="1:10" x14ac:dyDescent="0.2">
      <c r="A8" s="639" t="s">
        <v>435</v>
      </c>
      <c r="B8" s="640"/>
      <c r="C8" s="640"/>
      <c r="D8" s="640"/>
      <c r="E8" s="640"/>
      <c r="F8" s="640"/>
      <c r="G8" s="641"/>
      <c r="I8" s="235"/>
      <c r="J8" s="61"/>
    </row>
    <row r="9" spans="1:10" x14ac:dyDescent="0.2">
      <c r="A9" s="311" t="s">
        <v>127</v>
      </c>
      <c r="B9" s="312">
        <v>0</v>
      </c>
      <c r="C9" s="312">
        <v>1</v>
      </c>
      <c r="D9" s="312">
        <v>2</v>
      </c>
      <c r="E9" s="312">
        <v>3</v>
      </c>
      <c r="F9" s="312">
        <v>4</v>
      </c>
      <c r="G9" s="313">
        <v>5</v>
      </c>
      <c r="I9" s="61"/>
      <c r="J9" s="61"/>
    </row>
    <row r="10" spans="1:10" x14ac:dyDescent="0.2">
      <c r="A10" s="249" t="s">
        <v>128</v>
      </c>
      <c r="B10" s="312"/>
      <c r="C10" s="315">
        <v>129642</v>
      </c>
      <c r="D10" s="315">
        <v>136124.1</v>
      </c>
      <c r="E10" s="315">
        <v>142930.30500000002</v>
      </c>
      <c r="F10" s="315">
        <v>150076.82025000002</v>
      </c>
      <c r="G10" s="315">
        <v>157580.66126250001</v>
      </c>
      <c r="I10" s="236"/>
      <c r="J10" s="61"/>
    </row>
    <row r="11" spans="1:10" x14ac:dyDescent="0.2">
      <c r="A11" s="249" t="s">
        <v>311</v>
      </c>
      <c r="B11" s="312"/>
      <c r="C11" s="315">
        <v>15557.039999999999</v>
      </c>
      <c r="D11" s="315">
        <v>16334.892</v>
      </c>
      <c r="E11" s="315">
        <v>17151.636600000002</v>
      </c>
      <c r="F11" s="315">
        <v>18009.218430000001</v>
      </c>
      <c r="G11" s="315">
        <v>18909.679351499999</v>
      </c>
      <c r="I11" s="236"/>
      <c r="J11" s="61"/>
    </row>
    <row r="12" spans="1:10" x14ac:dyDescent="0.2">
      <c r="A12" s="317" t="s">
        <v>310</v>
      </c>
      <c r="B12" s="318"/>
      <c r="C12" s="319">
        <v>114084.96</v>
      </c>
      <c r="D12" s="319">
        <v>119789.20800000001</v>
      </c>
      <c r="E12" s="319">
        <v>125778.66840000002</v>
      </c>
      <c r="F12" s="319">
        <v>132067.60182000001</v>
      </c>
      <c r="G12" s="319">
        <v>138670.98191100001</v>
      </c>
      <c r="I12" s="61"/>
      <c r="J12" s="61"/>
    </row>
    <row r="13" spans="1:10" x14ac:dyDescent="0.2">
      <c r="A13" s="320" t="s">
        <v>312</v>
      </c>
      <c r="B13" s="312"/>
      <c r="C13" s="315"/>
      <c r="D13" s="315"/>
      <c r="E13" s="315"/>
      <c r="F13" s="315"/>
      <c r="G13" s="321"/>
    </row>
    <row r="14" spans="1:10" x14ac:dyDescent="0.2">
      <c r="A14" s="249" t="s">
        <v>313</v>
      </c>
      <c r="B14" s="312"/>
      <c r="C14" s="315">
        <v>5160</v>
      </c>
      <c r="D14" s="315">
        <v>5418</v>
      </c>
      <c r="E14" s="315">
        <v>5688.9000000000005</v>
      </c>
      <c r="F14" s="315">
        <v>5973.3450000000012</v>
      </c>
      <c r="G14" s="315">
        <v>6272.0122500000016</v>
      </c>
    </row>
    <row r="15" spans="1:10" x14ac:dyDescent="0.2">
      <c r="A15" s="249" t="s">
        <v>232</v>
      </c>
      <c r="B15" s="312"/>
      <c r="C15" s="315">
        <v>6972.2</v>
      </c>
      <c r="D15" s="315">
        <v>7320.81</v>
      </c>
      <c r="E15" s="315">
        <v>7686.8505000000005</v>
      </c>
      <c r="F15" s="315">
        <v>8071.1930250000005</v>
      </c>
      <c r="G15" s="315">
        <v>8474.7526762500001</v>
      </c>
    </row>
    <row r="16" spans="1:10" x14ac:dyDescent="0.2">
      <c r="A16" s="249" t="s">
        <v>234</v>
      </c>
      <c r="B16" s="312"/>
      <c r="C16" s="315">
        <v>17600</v>
      </c>
      <c r="D16" s="315">
        <v>18480</v>
      </c>
      <c r="E16" s="315">
        <v>19404</v>
      </c>
      <c r="F16" s="315">
        <v>20374.2</v>
      </c>
      <c r="G16" s="315">
        <v>21392.91</v>
      </c>
    </row>
    <row r="17" spans="1:7" x14ac:dyDescent="0.2">
      <c r="A17" s="249" t="s">
        <v>208</v>
      </c>
      <c r="B17" s="312"/>
      <c r="C17" s="322">
        <v>1595</v>
      </c>
      <c r="D17" s="315">
        <v>1674.75</v>
      </c>
      <c r="E17" s="315">
        <v>1758.4875000000002</v>
      </c>
      <c r="F17" s="315">
        <v>1846.4118750000002</v>
      </c>
      <c r="G17" s="315">
        <v>1938.7324687500004</v>
      </c>
    </row>
    <row r="18" spans="1:7" x14ac:dyDescent="0.2">
      <c r="A18" s="249" t="s">
        <v>314</v>
      </c>
      <c r="B18" s="312"/>
      <c r="C18" s="315">
        <v>3243.7</v>
      </c>
      <c r="D18" s="315">
        <v>3405.8849999999998</v>
      </c>
      <c r="E18" s="315">
        <v>3576.1792499999997</v>
      </c>
      <c r="F18" s="315">
        <v>3754.9882124999999</v>
      </c>
      <c r="G18" s="315">
        <v>3942.737623125</v>
      </c>
    </row>
    <row r="19" spans="1:7" x14ac:dyDescent="0.2">
      <c r="A19" s="249" t="s">
        <v>104</v>
      </c>
      <c r="B19" s="312"/>
      <c r="C19" s="315">
        <v>54677.961967199997</v>
      </c>
      <c r="D19" s="315">
        <v>60145.75816392</v>
      </c>
      <c r="E19" s="315">
        <v>66160.333980312018</v>
      </c>
      <c r="F19" s="315">
        <v>72776.367378343217</v>
      </c>
      <c r="G19" s="315">
        <v>80054.004116177544</v>
      </c>
    </row>
    <row r="20" spans="1:7" x14ac:dyDescent="0.2">
      <c r="A20" s="249" t="s">
        <v>317</v>
      </c>
      <c r="B20" s="312"/>
      <c r="C20" s="315">
        <v>-9021.1666666666661</v>
      </c>
      <c r="D20" s="315">
        <v>-9021.1666666666661</v>
      </c>
      <c r="E20" s="315">
        <v>-9021.1666666666661</v>
      </c>
      <c r="F20" s="315">
        <v>-9021.1666666666661</v>
      </c>
      <c r="G20" s="315">
        <v>-9021.1666666666661</v>
      </c>
    </row>
    <row r="21" spans="1:7" x14ac:dyDescent="0.2">
      <c r="A21" s="323" t="s">
        <v>315</v>
      </c>
      <c r="B21" s="324"/>
      <c r="C21" s="319">
        <v>80227.695300533334</v>
      </c>
      <c r="D21" s="319">
        <v>87424.036497253328</v>
      </c>
      <c r="E21" s="319">
        <v>95253.584563645345</v>
      </c>
      <c r="F21" s="319">
        <v>103775.33882417654</v>
      </c>
      <c r="G21" s="319">
        <v>113053.98246763587</v>
      </c>
    </row>
    <row r="22" spans="1:7" x14ac:dyDescent="0.2">
      <c r="A22" s="326" t="s">
        <v>316</v>
      </c>
      <c r="B22" s="318"/>
      <c r="C22" s="319">
        <v>33857.264699466672</v>
      </c>
      <c r="D22" s="319">
        <v>32365.171502746685</v>
      </c>
      <c r="E22" s="319">
        <v>30525.083836354679</v>
      </c>
      <c r="F22" s="319">
        <v>28292.262995823476</v>
      </c>
      <c r="G22" s="319">
        <v>25616.99944336414</v>
      </c>
    </row>
    <row r="23" spans="1:7" x14ac:dyDescent="0.2">
      <c r="A23" s="249" t="s">
        <v>318</v>
      </c>
      <c r="B23" s="312"/>
      <c r="C23" s="315">
        <v>682.56174326398786</v>
      </c>
      <c r="D23" s="315">
        <v>566.60839115592819</v>
      </c>
      <c r="E23" s="315">
        <v>441.18165018064013</v>
      </c>
      <c r="F23" s="315">
        <v>305.50754446767098</v>
      </c>
      <c r="G23" s="321">
        <v>158.74886431795221</v>
      </c>
    </row>
    <row r="24" spans="1:7" x14ac:dyDescent="0.2">
      <c r="A24" s="317" t="s">
        <v>319</v>
      </c>
      <c r="B24" s="117"/>
      <c r="C24" s="385">
        <v>33174.702956202687</v>
      </c>
      <c r="D24" s="385">
        <v>31798.563111590756</v>
      </c>
      <c r="E24" s="385">
        <v>30083.90218617404</v>
      </c>
      <c r="F24" s="385">
        <v>27986.755451355806</v>
      </c>
      <c r="G24" s="385">
        <v>25458.250579046187</v>
      </c>
    </row>
    <row r="25" spans="1:7" x14ac:dyDescent="0.2">
      <c r="A25" s="249" t="s">
        <v>320</v>
      </c>
      <c r="B25" s="312"/>
      <c r="C25" s="315">
        <v>4976.2054434304027</v>
      </c>
      <c r="D25" s="315">
        <v>4769.7844667386134</v>
      </c>
      <c r="E25" s="315">
        <v>4512.5853279261055</v>
      </c>
      <c r="F25" s="315">
        <v>4198.0133177033704</v>
      </c>
      <c r="G25" s="321">
        <v>3818.7375868569279</v>
      </c>
    </row>
    <row r="26" spans="1:7" x14ac:dyDescent="0.2">
      <c r="A26" s="326" t="s">
        <v>321</v>
      </c>
      <c r="B26" s="318"/>
      <c r="C26" s="386">
        <v>28198.497512772286</v>
      </c>
      <c r="D26" s="386">
        <v>27028.778644852144</v>
      </c>
      <c r="E26" s="386">
        <v>25571.316858247934</v>
      </c>
      <c r="F26" s="386">
        <v>23788.742133652435</v>
      </c>
      <c r="G26" s="386">
        <v>21639.512992189259</v>
      </c>
    </row>
    <row r="27" spans="1:7" x14ac:dyDescent="0.2">
      <c r="A27" s="249" t="s">
        <v>308</v>
      </c>
      <c r="B27" s="312"/>
      <c r="C27" s="315">
        <v>6485.6544279376258</v>
      </c>
      <c r="D27" s="315"/>
      <c r="E27" s="315"/>
      <c r="F27" s="315"/>
      <c r="G27" s="321"/>
    </row>
    <row r="28" spans="1:7" x14ac:dyDescent="0.2">
      <c r="A28" s="249" t="s">
        <v>424</v>
      </c>
      <c r="B28" s="328"/>
      <c r="C28" s="329"/>
      <c r="D28" s="315">
        <v>5946.3313018674717</v>
      </c>
      <c r="E28" s="315">
        <v>5625.6897088145452</v>
      </c>
      <c r="F28" s="315">
        <v>5233.5232694035358</v>
      </c>
      <c r="G28" s="315">
        <v>4760.6928582816372</v>
      </c>
    </row>
    <row r="29" spans="1:7" ht="12.75" thickBot="1" x14ac:dyDescent="0.25">
      <c r="A29" s="330" t="s">
        <v>322</v>
      </c>
      <c r="B29" s="331"/>
      <c r="C29" s="332">
        <v>21712.843084834662</v>
      </c>
      <c r="D29" s="332">
        <v>21082.447342984673</v>
      </c>
      <c r="E29" s="332">
        <v>19945.627149433389</v>
      </c>
      <c r="F29" s="332">
        <v>18555.218864248898</v>
      </c>
      <c r="G29" s="332">
        <v>16878.820133907622</v>
      </c>
    </row>
    <row r="30" spans="1:7" ht="12.75" thickBot="1" x14ac:dyDescent="0.25">
      <c r="A30" s="169"/>
      <c r="B30" s="122"/>
      <c r="C30" s="333"/>
      <c r="D30" s="333"/>
      <c r="E30" s="333"/>
      <c r="F30" s="333"/>
      <c r="G30" s="333"/>
    </row>
    <row r="31" spans="1:7" x14ac:dyDescent="0.2">
      <c r="A31" s="334" t="s">
        <v>309</v>
      </c>
      <c r="B31" s="335"/>
      <c r="C31" s="336">
        <v>9021.1666666666661</v>
      </c>
      <c r="D31" s="336">
        <v>9021.1666666666661</v>
      </c>
      <c r="E31" s="336">
        <v>9021.1666666666661</v>
      </c>
      <c r="F31" s="336">
        <v>9021.1666666666661</v>
      </c>
      <c r="G31" s="387">
        <v>9021.1666666666661</v>
      </c>
    </row>
    <row r="32" spans="1:7" x14ac:dyDescent="0.2">
      <c r="A32" s="337" t="s">
        <v>323</v>
      </c>
      <c r="B32" s="48"/>
      <c r="C32" s="338">
        <v>1419.2576757412444</v>
      </c>
      <c r="D32" s="338">
        <v>1535.2110278493042</v>
      </c>
      <c r="E32" s="338">
        <v>1660.6377688245921</v>
      </c>
      <c r="F32" s="338">
        <v>1796.3118745375614</v>
      </c>
      <c r="G32" s="339">
        <v>1943.07055468728</v>
      </c>
    </row>
    <row r="33" spans="1:7" x14ac:dyDescent="0.2">
      <c r="A33" s="340" t="s">
        <v>325</v>
      </c>
      <c r="B33" s="341"/>
      <c r="C33" s="342">
        <v>29314.75207576008</v>
      </c>
      <c r="D33" s="342">
        <v>28568.402981802035</v>
      </c>
      <c r="E33" s="342">
        <v>27306.156047275465</v>
      </c>
      <c r="F33" s="342">
        <v>25780.073656378001</v>
      </c>
      <c r="G33" s="342">
        <v>23956.916245887009</v>
      </c>
    </row>
    <row r="34" spans="1:7" x14ac:dyDescent="0.2">
      <c r="A34" s="343" t="s">
        <v>324</v>
      </c>
      <c r="B34" s="338">
        <v>-41139.75</v>
      </c>
      <c r="C34" s="344"/>
      <c r="D34" s="344"/>
      <c r="E34" s="344"/>
      <c r="F34" s="344"/>
      <c r="G34" s="345"/>
    </row>
    <row r="35" spans="1:7" x14ac:dyDescent="0.2">
      <c r="A35" s="343" t="s">
        <v>326</v>
      </c>
      <c r="B35" s="338">
        <v>-4791.4536612000002</v>
      </c>
      <c r="C35" s="344"/>
      <c r="D35" s="344"/>
      <c r="E35" s="344"/>
      <c r="F35" s="344"/>
      <c r="G35" s="345"/>
    </row>
    <row r="36" spans="1:7" x14ac:dyDescent="0.2">
      <c r="A36" s="343" t="s">
        <v>327</v>
      </c>
      <c r="B36" s="346">
        <v>8354.4889016399993</v>
      </c>
      <c r="C36" s="48"/>
      <c r="D36" s="48"/>
      <c r="E36" s="48"/>
      <c r="F36" s="48"/>
      <c r="G36" s="159"/>
    </row>
    <row r="37" spans="1:7" x14ac:dyDescent="0.2">
      <c r="A37" s="343" t="s">
        <v>328</v>
      </c>
      <c r="B37" s="48"/>
      <c r="C37" s="48"/>
      <c r="D37" s="48"/>
      <c r="E37" s="48"/>
      <c r="F37" s="48"/>
      <c r="G37" s="347">
        <v>4791.4536612000002</v>
      </c>
    </row>
    <row r="38" spans="1:7" x14ac:dyDescent="0.2">
      <c r="A38" s="343" t="s">
        <v>118</v>
      </c>
      <c r="B38" s="48"/>
      <c r="C38" s="48"/>
      <c r="D38" s="48"/>
      <c r="E38" s="48"/>
      <c r="F38" s="48"/>
      <c r="G38" s="339">
        <v>4402.833333333333</v>
      </c>
    </row>
    <row r="39" spans="1:7" ht="12.75" thickBot="1" x14ac:dyDescent="0.25">
      <c r="A39" s="348" t="s">
        <v>329</v>
      </c>
      <c r="B39" s="388">
        <v>-37576.714759560004</v>
      </c>
      <c r="C39" s="388">
        <v>29314.75207576008</v>
      </c>
      <c r="D39" s="388">
        <v>28568.402981802035</v>
      </c>
      <c r="E39" s="388">
        <v>27306.156047275465</v>
      </c>
      <c r="F39" s="388">
        <v>25780.073656378001</v>
      </c>
      <c r="G39" s="388">
        <v>33151.203240420342</v>
      </c>
    </row>
    <row r="40" spans="1:7" x14ac:dyDescent="0.2">
      <c r="A40" s="350" t="s">
        <v>330</v>
      </c>
      <c r="B40" s="389">
        <f>+'FLUJO DE CAJA'!E72</f>
        <v>0.16281031750371483</v>
      </c>
    </row>
    <row r="41" spans="1:7" x14ac:dyDescent="0.2">
      <c r="A41" s="351" t="s">
        <v>331</v>
      </c>
      <c r="B41" s="352">
        <f>IRR(B39:G39)</f>
        <v>0.7117888950264637</v>
      </c>
    </row>
    <row r="42" spans="1:7" ht="12.75" thickBot="1" x14ac:dyDescent="0.25">
      <c r="A42" s="353" t="s">
        <v>126</v>
      </c>
      <c r="B42" s="390">
        <f>+NPV(B40,C39:G39)+B39</f>
        <v>55824.254709762427</v>
      </c>
    </row>
    <row r="43" spans="1:7" ht="12.75" thickBot="1" x14ac:dyDescent="0.25"/>
    <row r="44" spans="1:7" x14ac:dyDescent="0.2">
      <c r="A44" s="639" t="s">
        <v>436</v>
      </c>
      <c r="B44" s="640"/>
      <c r="C44" s="640"/>
      <c r="D44" s="640"/>
      <c r="E44" s="640"/>
      <c r="F44" s="640"/>
      <c r="G44" s="641"/>
    </row>
    <row r="45" spans="1:7" x14ac:dyDescent="0.2">
      <c r="A45" s="311" t="s">
        <v>127</v>
      </c>
      <c r="B45" s="312">
        <v>0</v>
      </c>
      <c r="C45" s="312">
        <v>1</v>
      </c>
      <c r="D45" s="312">
        <v>2</v>
      </c>
      <c r="E45" s="312">
        <v>3</v>
      </c>
      <c r="F45" s="312">
        <v>4</v>
      </c>
      <c r="G45" s="313">
        <v>5</v>
      </c>
    </row>
    <row r="46" spans="1:7" x14ac:dyDescent="0.2">
      <c r="A46" s="249" t="s">
        <v>128</v>
      </c>
      <c r="B46" s="312"/>
      <c r="C46" s="315">
        <v>190650</v>
      </c>
      <c r="D46" s="315">
        <v>200182.5</v>
      </c>
      <c r="E46" s="315">
        <v>210191.625</v>
      </c>
      <c r="F46" s="315">
        <v>220701.20625000002</v>
      </c>
      <c r="G46" s="315">
        <v>231736.26656250004</v>
      </c>
    </row>
    <row r="47" spans="1:7" x14ac:dyDescent="0.2">
      <c r="A47" s="249" t="s">
        <v>311</v>
      </c>
      <c r="B47" s="312"/>
      <c r="C47" s="315">
        <v>32410.500000000004</v>
      </c>
      <c r="D47" s="315">
        <v>34031.025000000001</v>
      </c>
      <c r="E47" s="315">
        <v>35732.576250000006</v>
      </c>
      <c r="F47" s="315">
        <v>37519.205062500005</v>
      </c>
      <c r="G47" s="315">
        <v>39395.16531562501</v>
      </c>
    </row>
    <row r="48" spans="1:7" x14ac:dyDescent="0.2">
      <c r="A48" s="317" t="s">
        <v>310</v>
      </c>
      <c r="B48" s="318"/>
      <c r="C48" s="319">
        <v>158239.5</v>
      </c>
      <c r="D48" s="319">
        <v>166151.47500000001</v>
      </c>
      <c r="E48" s="319">
        <v>174459.04874999999</v>
      </c>
      <c r="F48" s="319">
        <v>183182.00118750002</v>
      </c>
      <c r="G48" s="319">
        <v>192341.10124687501</v>
      </c>
    </row>
    <row r="49" spans="1:7" x14ac:dyDescent="0.2">
      <c r="A49" s="320" t="s">
        <v>312</v>
      </c>
      <c r="B49" s="312"/>
      <c r="C49" s="315"/>
      <c r="D49" s="315"/>
      <c r="E49" s="315"/>
      <c r="F49" s="315"/>
      <c r="G49" s="321"/>
    </row>
    <row r="50" spans="1:7" x14ac:dyDescent="0.2">
      <c r="A50" s="249" t="s">
        <v>313</v>
      </c>
      <c r="B50" s="312"/>
      <c r="C50" s="315">
        <v>6720</v>
      </c>
      <c r="D50" s="315">
        <v>7056</v>
      </c>
      <c r="E50" s="315">
        <v>7408.8</v>
      </c>
      <c r="F50" s="315">
        <v>7779.2400000000007</v>
      </c>
      <c r="G50" s="315">
        <v>8168.2020000000011</v>
      </c>
    </row>
    <row r="51" spans="1:7" x14ac:dyDescent="0.2">
      <c r="A51" s="249" t="s">
        <v>232</v>
      </c>
      <c r="B51" s="312"/>
      <c r="C51" s="315">
        <v>11218.570000000002</v>
      </c>
      <c r="D51" s="315">
        <v>11779.498500000002</v>
      </c>
      <c r="E51" s="315">
        <v>12368.473425000002</v>
      </c>
      <c r="F51" s="315">
        <v>12986.897096250003</v>
      </c>
      <c r="G51" s="315">
        <v>13636.241951062504</v>
      </c>
    </row>
    <row r="52" spans="1:7" x14ac:dyDescent="0.2">
      <c r="A52" s="249" t="s">
        <v>234</v>
      </c>
      <c r="B52" s="312"/>
      <c r="C52" s="315">
        <v>17600</v>
      </c>
      <c r="D52" s="315">
        <v>18480</v>
      </c>
      <c r="E52" s="315">
        <v>19404</v>
      </c>
      <c r="F52" s="315">
        <v>20374.2</v>
      </c>
      <c r="G52" s="315">
        <v>21392.91</v>
      </c>
    </row>
    <row r="53" spans="1:7" x14ac:dyDescent="0.2">
      <c r="A53" s="249" t="s">
        <v>208</v>
      </c>
      <c r="B53" s="312"/>
      <c r="C53" s="322">
        <v>1595</v>
      </c>
      <c r="D53" s="315">
        <v>1674.75</v>
      </c>
      <c r="E53" s="315">
        <v>1758.4875000000002</v>
      </c>
      <c r="F53" s="315">
        <v>1846.4118750000002</v>
      </c>
      <c r="G53" s="315">
        <v>1938.7324687500004</v>
      </c>
    </row>
    <row r="54" spans="1:7" x14ac:dyDescent="0.2">
      <c r="A54" s="249" t="s">
        <v>314</v>
      </c>
      <c r="B54" s="312"/>
      <c r="C54" s="315">
        <v>5844</v>
      </c>
      <c r="D54" s="315">
        <v>6136.2</v>
      </c>
      <c r="E54" s="315">
        <v>6443.01</v>
      </c>
      <c r="F54" s="315">
        <v>6765.1605000000009</v>
      </c>
      <c r="G54" s="315">
        <v>7103.418525000001</v>
      </c>
    </row>
    <row r="55" spans="1:7" x14ac:dyDescent="0.2">
      <c r="A55" s="249" t="s">
        <v>104</v>
      </c>
      <c r="B55" s="312"/>
      <c r="C55" s="315">
        <v>98374.244812799996</v>
      </c>
      <c r="D55" s="315">
        <v>108211.66929408001</v>
      </c>
      <c r="E55" s="315">
        <v>119032.836223488</v>
      </c>
      <c r="F55" s="315">
        <v>130936.11984583682</v>
      </c>
      <c r="G55" s="315">
        <v>144029.7318304205</v>
      </c>
    </row>
    <row r="56" spans="1:7" x14ac:dyDescent="0.2">
      <c r="A56" s="249" t="s">
        <v>317</v>
      </c>
      <c r="B56" s="312"/>
      <c r="C56" s="315">
        <v>-16086.066666666666</v>
      </c>
      <c r="D56" s="315">
        <v>-16086.066666666666</v>
      </c>
      <c r="E56" s="315">
        <v>-16086.066666666666</v>
      </c>
      <c r="F56" s="315">
        <v>-16086.066666666666</v>
      </c>
      <c r="G56" s="315">
        <v>-16086.066666666666</v>
      </c>
    </row>
    <row r="57" spans="1:7" x14ac:dyDescent="0.2">
      <c r="A57" s="323" t="s">
        <v>315</v>
      </c>
      <c r="B57" s="324"/>
      <c r="C57" s="319">
        <v>125265.74814613334</v>
      </c>
      <c r="D57" s="319">
        <v>137252.05112741335</v>
      </c>
      <c r="E57" s="319">
        <v>150329.54048182134</v>
      </c>
      <c r="F57" s="319">
        <v>164601.96265042014</v>
      </c>
      <c r="G57" s="319">
        <v>180183.17010856635</v>
      </c>
    </row>
    <row r="58" spans="1:7" x14ac:dyDescent="0.2">
      <c r="A58" s="326" t="s">
        <v>316</v>
      </c>
      <c r="B58" s="318"/>
      <c r="C58" s="319">
        <v>32973.751853866663</v>
      </c>
      <c r="D58" s="319">
        <v>28899.42387258666</v>
      </c>
      <c r="E58" s="319">
        <v>24129.508268178644</v>
      </c>
      <c r="F58" s="319">
        <v>18580.038537079876</v>
      </c>
      <c r="G58" s="319">
        <v>12157.931138308661</v>
      </c>
    </row>
    <row r="59" spans="1:7" x14ac:dyDescent="0.2">
      <c r="A59" s="249" t="s">
        <v>318</v>
      </c>
      <c r="B59" s="312"/>
      <c r="C59" s="315">
        <v>1234.5391972345678</v>
      </c>
      <c r="D59" s="315">
        <v>1024.8161067730259</v>
      </c>
      <c r="E59" s="315">
        <v>797.95863982077583</v>
      </c>
      <c r="F59" s="315">
        <v>552.56691781852692</v>
      </c>
      <c r="G59" s="321">
        <v>287.12669212869434</v>
      </c>
    </row>
    <row r="60" spans="1:7" x14ac:dyDescent="0.2">
      <c r="A60" s="317" t="s">
        <v>319</v>
      </c>
      <c r="B60" s="117"/>
      <c r="C60" s="327">
        <v>31739.212656632095</v>
      </c>
      <c r="D60" s="327">
        <v>27874.607765813635</v>
      </c>
      <c r="E60" s="327">
        <v>23331.549628357869</v>
      </c>
      <c r="F60" s="327">
        <v>18027.471619261349</v>
      </c>
      <c r="G60" s="327">
        <v>11870.804446179965</v>
      </c>
    </row>
    <row r="61" spans="1:7" x14ac:dyDescent="0.2">
      <c r="A61" s="249" t="s">
        <v>320</v>
      </c>
      <c r="B61" s="312"/>
      <c r="C61" s="315">
        <v>4760.8818984948139</v>
      </c>
      <c r="D61" s="315">
        <v>4181.1911648720452</v>
      </c>
      <c r="E61" s="315">
        <v>3499.7324442536801</v>
      </c>
      <c r="F61" s="315">
        <v>2704.1207428892021</v>
      </c>
      <c r="G61" s="321">
        <v>1780.6206669269948</v>
      </c>
    </row>
    <row r="62" spans="1:7" x14ac:dyDescent="0.2">
      <c r="A62" s="326" t="s">
        <v>321</v>
      </c>
      <c r="B62" s="318"/>
      <c r="C62" s="319">
        <v>26978.330758137279</v>
      </c>
      <c r="D62" s="319">
        <v>23693.416600941589</v>
      </c>
      <c r="E62" s="319">
        <v>19831.817184104188</v>
      </c>
      <c r="F62" s="319">
        <v>15323.350876372147</v>
      </c>
      <c r="G62" s="319">
        <v>10090.183779252971</v>
      </c>
    </row>
    <row r="63" spans="1:7" x14ac:dyDescent="0.2">
      <c r="A63" s="249" t="s">
        <v>308</v>
      </c>
      <c r="B63" s="312"/>
      <c r="C63" s="315">
        <v>6205.0160743715742</v>
      </c>
      <c r="D63" s="315"/>
      <c r="E63" s="315"/>
      <c r="F63" s="315"/>
      <c r="G63" s="321"/>
    </row>
    <row r="64" spans="1:7" x14ac:dyDescent="0.2">
      <c r="A64" s="249" t="s">
        <v>424</v>
      </c>
      <c r="B64" s="328"/>
      <c r="C64" s="329"/>
      <c r="D64" s="315">
        <v>5212.5516522071493</v>
      </c>
      <c r="E64" s="315">
        <v>4362.9997805029216</v>
      </c>
      <c r="F64" s="315">
        <v>3371.1371928018725</v>
      </c>
      <c r="G64" s="315">
        <v>2219.8404314356535</v>
      </c>
    </row>
    <row r="65" spans="1:7" ht="12.75" thickBot="1" x14ac:dyDescent="0.25">
      <c r="A65" s="330" t="s">
        <v>322</v>
      </c>
      <c r="B65" s="331"/>
      <c r="C65" s="391">
        <v>20773.314683765704</v>
      </c>
      <c r="D65" s="391">
        <v>18480.864948734441</v>
      </c>
      <c r="E65" s="391">
        <v>15468.817403601266</v>
      </c>
      <c r="F65" s="391">
        <v>11952.213683570275</v>
      </c>
      <c r="G65" s="391">
        <v>7870.3433478173174</v>
      </c>
    </row>
    <row r="66" spans="1:7" ht="12.75" thickBot="1" x14ac:dyDescent="0.25">
      <c r="A66" s="169"/>
      <c r="B66" s="122"/>
      <c r="C66" s="333"/>
      <c r="D66" s="333"/>
      <c r="E66" s="333"/>
      <c r="F66" s="333"/>
      <c r="G66" s="333"/>
    </row>
    <row r="67" spans="1:7" x14ac:dyDescent="0.2">
      <c r="A67" s="334" t="s">
        <v>309</v>
      </c>
      <c r="B67" s="335"/>
      <c r="C67" s="336">
        <v>16086.066666666666</v>
      </c>
      <c r="D67" s="336">
        <v>16086.066666666666</v>
      </c>
      <c r="E67" s="336">
        <v>16086.066666666666</v>
      </c>
      <c r="F67" s="336">
        <v>16086.066666666666</v>
      </c>
      <c r="G67" s="387">
        <v>16086.066666666666</v>
      </c>
    </row>
    <row r="68" spans="1:7" x14ac:dyDescent="0.2">
      <c r="A68" s="337" t="s">
        <v>323</v>
      </c>
      <c r="B68" s="48"/>
      <c r="C68" s="338">
        <v>2566.9900913285446</v>
      </c>
      <c r="D68" s="338">
        <v>2776.7131817900863</v>
      </c>
      <c r="E68" s="338">
        <v>3003.5706487423367</v>
      </c>
      <c r="F68" s="338">
        <v>3248.9623707445853</v>
      </c>
      <c r="G68" s="339">
        <v>3514.4025964344182</v>
      </c>
    </row>
    <row r="69" spans="1:7" x14ac:dyDescent="0.2">
      <c r="A69" s="340" t="s">
        <v>325</v>
      </c>
      <c r="B69" s="341"/>
      <c r="C69" s="342">
        <v>34292.391259103824</v>
      </c>
      <c r="D69" s="342">
        <v>31790.218433611015</v>
      </c>
      <c r="E69" s="342">
        <v>28551.313421525592</v>
      </c>
      <c r="F69" s="342">
        <v>24789.317979492356</v>
      </c>
      <c r="G69" s="342">
        <v>20442.007418049565</v>
      </c>
    </row>
    <row r="70" spans="1:7" x14ac:dyDescent="0.2">
      <c r="A70" s="343" t="s">
        <v>324</v>
      </c>
      <c r="B70" s="338">
        <v>-67395.5</v>
      </c>
      <c r="C70" s="344"/>
      <c r="D70" s="344"/>
      <c r="E70" s="344"/>
      <c r="F70" s="344"/>
      <c r="G70" s="345"/>
    </row>
    <row r="71" spans="1:7" x14ac:dyDescent="0.2">
      <c r="A71" s="343" t="s">
        <v>326</v>
      </c>
      <c r="B71" s="338">
        <v>-8526.7037032000007</v>
      </c>
      <c r="C71" s="344"/>
      <c r="D71" s="344"/>
      <c r="E71" s="344"/>
      <c r="F71" s="344"/>
      <c r="G71" s="345"/>
    </row>
    <row r="72" spans="1:7" x14ac:dyDescent="0.2">
      <c r="A72" s="343" t="s">
        <v>327</v>
      </c>
      <c r="B72" s="346">
        <v>15110.638889039999</v>
      </c>
      <c r="C72" s="48"/>
      <c r="D72" s="48"/>
      <c r="E72" s="48"/>
      <c r="F72" s="48"/>
      <c r="G72" s="159"/>
    </row>
    <row r="73" spans="1:7" x14ac:dyDescent="0.2">
      <c r="A73" s="343" t="s">
        <v>328</v>
      </c>
      <c r="B73" s="48"/>
      <c r="C73" s="48"/>
      <c r="D73" s="48"/>
      <c r="E73" s="48"/>
      <c r="F73" s="48"/>
      <c r="G73" s="347">
        <v>8526.7037032000007</v>
      </c>
    </row>
    <row r="74" spans="1:7" x14ac:dyDescent="0.2">
      <c r="A74" s="343" t="s">
        <v>118</v>
      </c>
      <c r="B74" s="48"/>
      <c r="C74" s="48"/>
      <c r="D74" s="48"/>
      <c r="E74" s="48"/>
      <c r="F74" s="48"/>
      <c r="G74" s="339">
        <v>6690.333333333333</v>
      </c>
    </row>
    <row r="75" spans="1:7" ht="12.75" thickBot="1" x14ac:dyDescent="0.25">
      <c r="A75" s="348" t="s">
        <v>329</v>
      </c>
      <c r="B75" s="388">
        <v>-60811.56481416001</v>
      </c>
      <c r="C75" s="388">
        <v>34292.391259103824</v>
      </c>
      <c r="D75" s="388">
        <v>31790.218433611015</v>
      </c>
      <c r="E75" s="388">
        <v>28551.313421525592</v>
      </c>
      <c r="F75" s="388">
        <v>24789.317979492356</v>
      </c>
      <c r="G75" s="388">
        <v>35659.044454582901</v>
      </c>
    </row>
    <row r="76" spans="1:7" x14ac:dyDescent="0.2">
      <c r="A76" s="350" t="s">
        <v>330</v>
      </c>
      <c r="B76" s="389">
        <v>0.11863099999999999</v>
      </c>
    </row>
    <row r="77" spans="1:7" x14ac:dyDescent="0.2">
      <c r="A77" s="351" t="s">
        <v>331</v>
      </c>
      <c r="B77" s="352">
        <f>IRR(B75:G75)</f>
        <v>0.43386327637968924</v>
      </c>
    </row>
    <row r="78" spans="1:7" ht="12.75" thickBot="1" x14ac:dyDescent="0.25">
      <c r="A78" s="353" t="s">
        <v>126</v>
      </c>
      <c r="B78" s="390">
        <f>+NPV(B76,C75:G75)+B75</f>
        <v>51835.450695541746</v>
      </c>
    </row>
    <row r="79" spans="1:7" ht="12.75" thickBot="1" x14ac:dyDescent="0.25"/>
    <row r="80" spans="1:7" x14ac:dyDescent="0.2">
      <c r="A80" s="645" t="s">
        <v>437</v>
      </c>
      <c r="B80" s="646"/>
      <c r="C80" s="646"/>
      <c r="D80" s="646"/>
      <c r="E80" s="646"/>
      <c r="F80" s="646"/>
      <c r="G80" s="647"/>
    </row>
    <row r="81" spans="1:7" x14ac:dyDescent="0.2">
      <c r="A81" s="311" t="s">
        <v>127</v>
      </c>
      <c r="B81" s="312">
        <v>0</v>
      </c>
      <c r="C81" s="312">
        <v>1</v>
      </c>
      <c r="D81" s="312">
        <v>2</v>
      </c>
      <c r="E81" s="312">
        <v>3</v>
      </c>
      <c r="F81" s="312">
        <v>4</v>
      </c>
      <c r="G81" s="313">
        <v>5</v>
      </c>
    </row>
    <row r="82" spans="1:7" x14ac:dyDescent="0.2">
      <c r="A82" s="249" t="s">
        <v>128</v>
      </c>
      <c r="B82" s="312"/>
      <c r="C82" s="315">
        <v>239850</v>
      </c>
      <c r="D82" s="315">
        <v>251842.5</v>
      </c>
      <c r="E82" s="315">
        <v>264434.625</v>
      </c>
      <c r="F82" s="315">
        <v>277656.35625000001</v>
      </c>
      <c r="G82" s="315">
        <v>291539.17406250001</v>
      </c>
    </row>
    <row r="83" spans="1:7" x14ac:dyDescent="0.2">
      <c r="A83" s="249" t="s">
        <v>311</v>
      </c>
      <c r="B83" s="312"/>
      <c r="C83" s="315">
        <v>40774.5</v>
      </c>
      <c r="D83" s="315">
        <v>42813.225000000006</v>
      </c>
      <c r="E83" s="315">
        <v>44953.886250000003</v>
      </c>
      <c r="F83" s="315">
        <v>47201.580562500007</v>
      </c>
      <c r="G83" s="315">
        <v>49561.659590625008</v>
      </c>
    </row>
    <row r="84" spans="1:7" x14ac:dyDescent="0.2">
      <c r="A84" s="317" t="s">
        <v>310</v>
      </c>
      <c r="B84" s="318"/>
      <c r="C84" s="319">
        <v>199075.5</v>
      </c>
      <c r="D84" s="319">
        <v>209029.27499999999</v>
      </c>
      <c r="E84" s="319">
        <v>219480.73874999999</v>
      </c>
      <c r="F84" s="319">
        <v>230454.77568750002</v>
      </c>
      <c r="G84" s="319">
        <v>241977.51447187501</v>
      </c>
    </row>
    <row r="85" spans="1:7" x14ac:dyDescent="0.2">
      <c r="A85" s="320" t="s">
        <v>312</v>
      </c>
      <c r="B85" s="312"/>
      <c r="C85" s="315"/>
      <c r="D85" s="315"/>
      <c r="E85" s="315"/>
      <c r="F85" s="315"/>
      <c r="G85" s="321"/>
    </row>
    <row r="86" spans="1:7" x14ac:dyDescent="0.2">
      <c r="A86" s="249" t="s">
        <v>313</v>
      </c>
      <c r="B86" s="312"/>
      <c r="C86" s="315">
        <v>8400</v>
      </c>
      <c r="D86" s="315">
        <v>8820</v>
      </c>
      <c r="E86" s="315">
        <v>9261</v>
      </c>
      <c r="F86" s="315">
        <v>9724.0500000000011</v>
      </c>
      <c r="G86" s="315">
        <v>10210.252500000002</v>
      </c>
    </row>
    <row r="87" spans="1:7" x14ac:dyDescent="0.2">
      <c r="A87" s="249" t="s">
        <v>232</v>
      </c>
      <c r="B87" s="312"/>
      <c r="C87" s="315">
        <v>14210.939999999999</v>
      </c>
      <c r="D87" s="315">
        <v>14921.486999999999</v>
      </c>
      <c r="E87" s="315">
        <v>15667.56135</v>
      </c>
      <c r="F87" s="315">
        <v>16450.939417500002</v>
      </c>
      <c r="G87" s="315">
        <v>17273.486388375004</v>
      </c>
    </row>
    <row r="88" spans="1:7" x14ac:dyDescent="0.2">
      <c r="A88" s="249" t="s">
        <v>234</v>
      </c>
      <c r="B88" s="312"/>
      <c r="C88" s="315">
        <v>33000</v>
      </c>
      <c r="D88" s="315">
        <v>34650</v>
      </c>
      <c r="E88" s="315">
        <v>36382.5</v>
      </c>
      <c r="F88" s="315">
        <v>38201.625</v>
      </c>
      <c r="G88" s="315">
        <v>40111.706250000003</v>
      </c>
    </row>
    <row r="89" spans="1:7" x14ac:dyDescent="0.2">
      <c r="A89" s="249" t="s">
        <v>208</v>
      </c>
      <c r="B89" s="312"/>
      <c r="C89" s="322">
        <v>1595</v>
      </c>
      <c r="D89" s="315">
        <v>1674.75</v>
      </c>
      <c r="E89" s="315">
        <v>1758.4875000000002</v>
      </c>
      <c r="F89" s="315">
        <v>1846.4118750000002</v>
      </c>
      <c r="G89" s="315">
        <v>1938.7324687500004</v>
      </c>
    </row>
    <row r="90" spans="1:7" x14ac:dyDescent="0.2">
      <c r="A90" s="249" t="s">
        <v>314</v>
      </c>
      <c r="B90" s="312"/>
      <c r="C90" s="315">
        <v>7229.3</v>
      </c>
      <c r="D90" s="315">
        <v>7590.7650000000003</v>
      </c>
      <c r="E90" s="315">
        <v>7970.3032500000008</v>
      </c>
      <c r="F90" s="315">
        <v>8368.8184125000007</v>
      </c>
      <c r="G90" s="315">
        <v>8787.2593331250009</v>
      </c>
    </row>
    <row r="91" spans="1:7" x14ac:dyDescent="0.2">
      <c r="A91" s="249" t="s">
        <v>104</v>
      </c>
      <c r="B91" s="312"/>
      <c r="C91" s="315">
        <v>132583.1459376</v>
      </c>
      <c r="D91" s="315">
        <v>145841.46053136003</v>
      </c>
      <c r="E91" s="315">
        <v>160425.60658449604</v>
      </c>
      <c r="F91" s="315">
        <v>176468.16724294567</v>
      </c>
      <c r="G91" s="315">
        <v>194114.98396724026</v>
      </c>
    </row>
    <row r="92" spans="1:7" x14ac:dyDescent="0.2">
      <c r="A92" s="249" t="s">
        <v>317</v>
      </c>
      <c r="B92" s="312"/>
      <c r="C92" s="315">
        <v>-23088.566666666669</v>
      </c>
      <c r="D92" s="315">
        <v>-23088.566666666669</v>
      </c>
      <c r="E92" s="315">
        <v>-23088.566666666669</v>
      </c>
      <c r="F92" s="315">
        <v>-23088.566666666669</v>
      </c>
      <c r="G92" s="315">
        <v>-23088.566666666669</v>
      </c>
    </row>
    <row r="93" spans="1:7" x14ac:dyDescent="0.2">
      <c r="A93" s="323" t="s">
        <v>315</v>
      </c>
      <c r="B93" s="324"/>
      <c r="C93" s="319">
        <v>173929.81927093331</v>
      </c>
      <c r="D93" s="319">
        <v>190409.89586469336</v>
      </c>
      <c r="E93" s="319">
        <v>208376.89201782938</v>
      </c>
      <c r="F93" s="319">
        <v>227971.44528127898</v>
      </c>
      <c r="G93" s="325">
        <v>249347.85424082362</v>
      </c>
    </row>
    <row r="94" spans="1:7" x14ac:dyDescent="0.2">
      <c r="A94" s="326" t="s">
        <v>316</v>
      </c>
      <c r="B94" s="318"/>
      <c r="C94" s="319">
        <v>25145.680729066691</v>
      </c>
      <c r="D94" s="319">
        <v>18619.379135306634</v>
      </c>
      <c r="E94" s="319">
        <v>11103.846732170612</v>
      </c>
      <c r="F94" s="319">
        <v>2483.3304062210373</v>
      </c>
      <c r="G94" s="325">
        <v>-7370.3397689486155</v>
      </c>
    </row>
    <row r="95" spans="1:7" x14ac:dyDescent="0.2">
      <c r="A95" s="249" t="s">
        <v>318</v>
      </c>
      <c r="B95" s="312"/>
      <c r="C95" s="315">
        <v>1697.0534909173557</v>
      </c>
      <c r="D95" s="315">
        <v>1408.7586327297856</v>
      </c>
      <c r="E95" s="315">
        <v>1096.9100846282911</v>
      </c>
      <c r="F95" s="315">
        <v>759.58351014690436</v>
      </c>
      <c r="G95" s="321">
        <v>394.6973545303884</v>
      </c>
    </row>
    <row r="96" spans="1:7" x14ac:dyDescent="0.2">
      <c r="A96" s="317" t="s">
        <v>319</v>
      </c>
      <c r="B96" s="117"/>
      <c r="C96" s="385">
        <v>23448.627238149336</v>
      </c>
      <c r="D96" s="385">
        <v>17210.620502576847</v>
      </c>
      <c r="E96" s="385">
        <v>10006.936647542321</v>
      </c>
      <c r="F96" s="385">
        <v>1723.746896074133</v>
      </c>
      <c r="G96" s="392">
        <v>-7765.0371234790036</v>
      </c>
    </row>
    <row r="97" spans="1:7" x14ac:dyDescent="0.2">
      <c r="A97" s="249" t="s">
        <v>320</v>
      </c>
      <c r="B97" s="312"/>
      <c r="C97" s="315">
        <v>3517.2940857224003</v>
      </c>
      <c r="D97" s="315">
        <v>2581.5930753865268</v>
      </c>
      <c r="E97" s="315">
        <v>1501.040497131348</v>
      </c>
      <c r="F97" s="315">
        <v>258.56203441111995</v>
      </c>
      <c r="G97" s="321">
        <v>0</v>
      </c>
    </row>
    <row r="98" spans="1:7" x14ac:dyDescent="0.2">
      <c r="A98" s="326" t="s">
        <v>321</v>
      </c>
      <c r="B98" s="318"/>
      <c r="C98" s="386">
        <v>19931.333152426938</v>
      </c>
      <c r="D98" s="386">
        <v>14629.02742719032</v>
      </c>
      <c r="E98" s="386">
        <v>8505.8961504109739</v>
      </c>
      <c r="F98" s="386">
        <v>1465.1848616630132</v>
      </c>
      <c r="G98" s="393">
        <v>-7765.0371234790036</v>
      </c>
    </row>
    <row r="99" spans="1:7" x14ac:dyDescent="0.2">
      <c r="A99" s="249" t="s">
        <v>308</v>
      </c>
      <c r="B99" s="312"/>
      <c r="C99" s="315">
        <v>4584.2066250581956</v>
      </c>
      <c r="D99" s="315"/>
      <c r="E99" s="315"/>
      <c r="F99" s="315"/>
      <c r="G99" s="321"/>
    </row>
    <row r="100" spans="1:7" x14ac:dyDescent="0.2">
      <c r="A100" s="249" t="s">
        <v>424</v>
      </c>
      <c r="B100" s="328"/>
      <c r="C100" s="329"/>
      <c r="D100" s="315">
        <v>3218.3860339818702</v>
      </c>
      <c r="E100" s="315">
        <v>1871.2971530904142</v>
      </c>
      <c r="F100" s="315">
        <v>322.34066956586292</v>
      </c>
      <c r="G100" s="315">
        <v>0</v>
      </c>
    </row>
    <row r="101" spans="1:7" ht="12.75" thickBot="1" x14ac:dyDescent="0.25">
      <c r="A101" s="330" t="s">
        <v>322</v>
      </c>
      <c r="B101" s="331"/>
      <c r="C101" s="391">
        <v>15347.126527368742</v>
      </c>
      <c r="D101" s="391">
        <v>11410.641393208451</v>
      </c>
      <c r="E101" s="391">
        <v>6634.5989973205596</v>
      </c>
      <c r="F101" s="391">
        <v>1142.8441920971502</v>
      </c>
      <c r="G101" s="391">
        <v>-7765.0371234790036</v>
      </c>
    </row>
    <row r="102" spans="1:7" ht="12.75" thickBot="1" x14ac:dyDescent="0.25">
      <c r="A102" s="169"/>
      <c r="B102" s="122"/>
      <c r="C102" s="333"/>
      <c r="D102" s="333"/>
      <c r="E102" s="333"/>
      <c r="F102" s="333"/>
      <c r="G102" s="333"/>
    </row>
    <row r="103" spans="1:7" x14ac:dyDescent="0.2">
      <c r="A103" s="334" t="s">
        <v>309</v>
      </c>
      <c r="B103" s="335"/>
      <c r="C103" s="336">
        <v>23088.566666666669</v>
      </c>
      <c r="D103" s="336">
        <v>23088.566666666669</v>
      </c>
      <c r="E103" s="336">
        <v>23088.566666666669</v>
      </c>
      <c r="F103" s="336">
        <v>23088.566666666669</v>
      </c>
      <c r="G103" s="387">
        <v>23088.566666666669</v>
      </c>
    </row>
    <row r="104" spans="1:7" x14ac:dyDescent="0.2">
      <c r="A104" s="337" t="s">
        <v>323</v>
      </c>
      <c r="B104" s="48"/>
      <c r="C104" s="338">
        <v>3528.7008346091816</v>
      </c>
      <c r="D104" s="338">
        <v>3816.9956927967514</v>
      </c>
      <c r="E104" s="338">
        <v>4128.8442408982464</v>
      </c>
      <c r="F104" s="338">
        <v>4466.1708153796326</v>
      </c>
      <c r="G104" s="339">
        <v>4831.0569709961492</v>
      </c>
    </row>
    <row r="105" spans="1:7" x14ac:dyDescent="0.2">
      <c r="A105" s="340" t="s">
        <v>325</v>
      </c>
      <c r="B105" s="341"/>
      <c r="C105" s="342">
        <v>34906.992359426229</v>
      </c>
      <c r="D105" s="342">
        <v>30682.212367078369</v>
      </c>
      <c r="E105" s="342">
        <v>25594.321423088986</v>
      </c>
      <c r="F105" s="342">
        <v>19765.240043384187</v>
      </c>
      <c r="G105" s="394">
        <v>10492.472572191517</v>
      </c>
    </row>
    <row r="106" spans="1:7" x14ac:dyDescent="0.2">
      <c r="A106" s="343" t="s">
        <v>324</v>
      </c>
      <c r="B106" s="338">
        <v>-97420.75</v>
      </c>
      <c r="C106" s="344"/>
      <c r="D106" s="344"/>
      <c r="E106" s="344"/>
      <c r="F106" s="344"/>
      <c r="G106" s="345"/>
    </row>
    <row r="107" spans="1:7" x14ac:dyDescent="0.2">
      <c r="A107" s="343" t="s">
        <v>326</v>
      </c>
      <c r="B107" s="338">
        <v>-15425.021484400007</v>
      </c>
      <c r="C107" s="344"/>
      <c r="D107" s="344"/>
      <c r="E107" s="344"/>
      <c r="F107" s="344"/>
      <c r="G107" s="345"/>
    </row>
    <row r="108" spans="1:7" x14ac:dyDescent="0.2">
      <c r="A108" s="343" t="s">
        <v>327</v>
      </c>
      <c r="B108" s="346">
        <v>20771.768554679998</v>
      </c>
      <c r="C108" s="48"/>
      <c r="D108" s="48"/>
      <c r="E108" s="48"/>
      <c r="F108" s="48"/>
      <c r="G108" s="159"/>
    </row>
    <row r="109" spans="1:7" x14ac:dyDescent="0.2">
      <c r="A109" s="343" t="s">
        <v>328</v>
      </c>
      <c r="B109" s="48"/>
      <c r="C109" s="48"/>
      <c r="D109" s="48"/>
      <c r="E109" s="48"/>
      <c r="F109" s="48"/>
      <c r="G109" s="347">
        <v>15425.021484400007</v>
      </c>
    </row>
    <row r="110" spans="1:7" x14ac:dyDescent="0.2">
      <c r="A110" s="343" t="s">
        <v>118</v>
      </c>
      <c r="B110" s="48"/>
      <c r="C110" s="48"/>
      <c r="D110" s="48"/>
      <c r="E110" s="48"/>
      <c r="F110" s="48"/>
      <c r="G110" s="339">
        <v>8802.8333333333321</v>
      </c>
    </row>
    <row r="111" spans="1:7" ht="12.75" thickBot="1" x14ac:dyDescent="0.25">
      <c r="A111" s="348" t="s">
        <v>329</v>
      </c>
      <c r="B111" s="388">
        <v>-92074.002929720009</v>
      </c>
      <c r="C111" s="388">
        <v>34906.992359426229</v>
      </c>
      <c r="D111" s="388">
        <v>30682.212367078369</v>
      </c>
      <c r="E111" s="388">
        <v>25594.321423088986</v>
      </c>
      <c r="F111" s="388">
        <v>19765.240043384187</v>
      </c>
      <c r="G111" s="388">
        <v>34720.32738992486</v>
      </c>
    </row>
    <row r="112" spans="1:7" x14ac:dyDescent="0.2">
      <c r="A112" s="350" t="s">
        <v>330</v>
      </c>
      <c r="B112" s="389">
        <f>+'FLUJO DE CAJA'!E72</f>
        <v>0.16281031750371483</v>
      </c>
    </row>
    <row r="113" spans="1:2" x14ac:dyDescent="0.2">
      <c r="A113" s="351" t="s">
        <v>331</v>
      </c>
      <c r="B113" s="352">
        <f>IRR(B111:G111)</f>
        <v>0.18246252936816254</v>
      </c>
    </row>
    <row r="114" spans="1:2" ht="12.75" thickBot="1" x14ac:dyDescent="0.25">
      <c r="A114" s="353" t="s">
        <v>126</v>
      </c>
      <c r="B114" s="390">
        <f>+NPV(B112,C111:G111)+B111</f>
        <v>4058.9202373154403</v>
      </c>
    </row>
  </sheetData>
  <mergeCells count="4">
    <mergeCell ref="A1:E1"/>
    <mergeCell ref="A8:G8"/>
    <mergeCell ref="A44:G44"/>
    <mergeCell ref="A80:G8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workbookViewId="0">
      <selection activeCell="B21" sqref="B21"/>
    </sheetView>
  </sheetViews>
  <sheetFormatPr defaultColWidth="11.42578125" defaultRowHeight="12" x14ac:dyDescent="0.2"/>
  <cols>
    <col min="1" max="1" width="27.42578125" style="47" customWidth="1"/>
    <col min="2" max="2" width="20" style="47" customWidth="1"/>
    <col min="3" max="3" width="11.42578125" style="47"/>
    <col min="4" max="4" width="16.85546875" style="47" bestFit="1" customWidth="1"/>
    <col min="5" max="5" width="17" style="47" bestFit="1" customWidth="1"/>
    <col min="6" max="6" width="21.5703125" style="47" bestFit="1" customWidth="1"/>
    <col min="7" max="7" width="13.28515625" style="47" bestFit="1" customWidth="1"/>
    <col min="8" max="16384" width="11.42578125" style="47"/>
  </cols>
  <sheetData>
    <row r="1" spans="1:7" ht="15" customHeight="1" x14ac:dyDescent="0.2">
      <c r="A1" s="578" t="s">
        <v>434</v>
      </c>
      <c r="B1" s="578"/>
      <c r="C1" s="578"/>
      <c r="D1" s="578"/>
      <c r="E1" s="578"/>
      <c r="F1" s="578"/>
      <c r="G1" s="578"/>
    </row>
    <row r="2" spans="1:7" ht="12.75" thickBot="1" x14ac:dyDescent="0.25">
      <c r="A2" s="366"/>
      <c r="B2" s="366"/>
      <c r="C2" s="366"/>
      <c r="D2" s="366"/>
      <c r="E2" s="366"/>
      <c r="F2" s="366"/>
      <c r="G2" s="366"/>
    </row>
    <row r="3" spans="1:7" x14ac:dyDescent="0.2">
      <c r="A3" s="58" t="s">
        <v>105</v>
      </c>
      <c r="B3" s="43" t="s">
        <v>106</v>
      </c>
      <c r="C3" s="43" t="s">
        <v>107</v>
      </c>
      <c r="D3" s="43" t="s">
        <v>108</v>
      </c>
      <c r="E3" s="43" t="s">
        <v>109</v>
      </c>
      <c r="F3" s="43" t="s">
        <v>110</v>
      </c>
      <c r="G3" s="59" t="s">
        <v>111</v>
      </c>
    </row>
    <row r="4" spans="1:7" x14ac:dyDescent="0.2">
      <c r="A4" s="367" t="s">
        <v>119</v>
      </c>
      <c r="B4" s="368">
        <v>14400</v>
      </c>
      <c r="C4" s="369">
        <v>3</v>
      </c>
      <c r="D4" s="368">
        <f>B4/C4</f>
        <v>4800</v>
      </c>
      <c r="E4" s="369">
        <v>3</v>
      </c>
      <c r="F4" s="370">
        <f>D4*E4</f>
        <v>14400</v>
      </c>
      <c r="G4" s="371" t="s">
        <v>112</v>
      </c>
    </row>
    <row r="5" spans="1:7" x14ac:dyDescent="0.2">
      <c r="A5" s="367" t="s">
        <v>533</v>
      </c>
      <c r="B5" s="368">
        <v>14400</v>
      </c>
      <c r="C5" s="369">
        <v>3</v>
      </c>
      <c r="D5" s="368">
        <f t="shared" ref="D5:D9" si="0">B5/C5</f>
        <v>4800</v>
      </c>
      <c r="E5" s="369">
        <v>2</v>
      </c>
      <c r="F5" s="370">
        <f t="shared" ref="F5" si="1">D5*E5</f>
        <v>9600</v>
      </c>
      <c r="G5" s="371">
        <f t="shared" ref="G5" si="2">B5-F5</f>
        <v>4800</v>
      </c>
    </row>
    <row r="6" spans="1:7" x14ac:dyDescent="0.2">
      <c r="A6" s="372" t="s">
        <v>113</v>
      </c>
      <c r="B6" s="368">
        <v>2740</v>
      </c>
      <c r="C6" s="369">
        <v>10</v>
      </c>
      <c r="D6" s="368">
        <f t="shared" si="0"/>
        <v>274</v>
      </c>
      <c r="E6" s="369">
        <v>5</v>
      </c>
      <c r="F6" s="370">
        <f>D6*E6</f>
        <v>1370</v>
      </c>
      <c r="G6" s="373">
        <f>B6-F6</f>
        <v>1370</v>
      </c>
    </row>
    <row r="7" spans="1:7" x14ac:dyDescent="0.2">
      <c r="A7" s="372" t="s">
        <v>114</v>
      </c>
      <c r="B7" s="368">
        <v>2161</v>
      </c>
      <c r="C7" s="369">
        <v>3</v>
      </c>
      <c r="D7" s="368">
        <f t="shared" si="0"/>
        <v>720.33333333333337</v>
      </c>
      <c r="E7" s="369">
        <v>5</v>
      </c>
      <c r="F7" s="370">
        <f>D7*E7</f>
        <v>3601.666666666667</v>
      </c>
      <c r="G7" s="374" t="s">
        <v>112</v>
      </c>
    </row>
    <row r="8" spans="1:7" x14ac:dyDescent="0.2">
      <c r="A8" s="372" t="s">
        <v>534</v>
      </c>
      <c r="B8" s="368">
        <v>2161</v>
      </c>
      <c r="C8" s="369">
        <v>3</v>
      </c>
      <c r="D8" s="368">
        <f t="shared" si="0"/>
        <v>720.33333333333337</v>
      </c>
      <c r="E8" s="369">
        <v>2</v>
      </c>
      <c r="F8" s="370">
        <f t="shared" ref="F8" si="3">D8*E8</f>
        <v>1440.6666666666667</v>
      </c>
      <c r="G8" s="371">
        <f t="shared" ref="G8" si="4">B8-F8</f>
        <v>720.33333333333326</v>
      </c>
    </row>
    <row r="9" spans="1:7" x14ac:dyDescent="0.2">
      <c r="A9" s="372" t="s">
        <v>115</v>
      </c>
      <c r="B9" s="368">
        <v>3825</v>
      </c>
      <c r="C9" s="369">
        <v>10</v>
      </c>
      <c r="D9" s="368">
        <f t="shared" si="0"/>
        <v>382.5</v>
      </c>
      <c r="E9" s="369">
        <v>5</v>
      </c>
      <c r="F9" s="370">
        <f>D9*E9</f>
        <v>1912.5</v>
      </c>
      <c r="G9" s="373">
        <f>B9-F9</f>
        <v>1912.5</v>
      </c>
    </row>
    <row r="10" spans="1:7" x14ac:dyDescent="0.2">
      <c r="A10" s="372" t="s">
        <v>116</v>
      </c>
      <c r="B10" s="368">
        <v>55500</v>
      </c>
      <c r="C10" s="369">
        <v>5</v>
      </c>
      <c r="D10" s="368">
        <f>B10/C10</f>
        <v>11100</v>
      </c>
      <c r="E10" s="369">
        <v>5</v>
      </c>
      <c r="F10" s="370">
        <f>D10*E10</f>
        <v>55500</v>
      </c>
      <c r="G10" s="374" t="s">
        <v>112</v>
      </c>
    </row>
    <row r="11" spans="1:7" ht="12.75" thickBot="1" x14ac:dyDescent="0.25">
      <c r="A11" s="375" t="s">
        <v>117</v>
      </c>
      <c r="B11" s="376">
        <v>1457</v>
      </c>
      <c r="C11" s="377">
        <v>5</v>
      </c>
      <c r="D11" s="378">
        <f>B11/C11</f>
        <v>291.39999999999998</v>
      </c>
      <c r="E11" s="377" t="s">
        <v>112</v>
      </c>
      <c r="F11" s="379" t="s">
        <v>112</v>
      </c>
      <c r="G11" s="380"/>
    </row>
    <row r="12" spans="1:7" ht="12.75" thickBot="1" x14ac:dyDescent="0.25">
      <c r="A12" s="574" t="s">
        <v>378</v>
      </c>
      <c r="B12" s="575"/>
      <c r="C12" s="576"/>
      <c r="D12" s="152">
        <f>SUM(D4:D11)</f>
        <v>23088.566666666669</v>
      </c>
      <c r="E12" s="577" t="s">
        <v>118</v>
      </c>
      <c r="F12" s="576"/>
      <c r="G12" s="153">
        <f>SUM(G4:G11)</f>
        <v>8802.8333333333321</v>
      </c>
    </row>
    <row r="14" spans="1:7" x14ac:dyDescent="0.2">
      <c r="A14" s="578" t="s">
        <v>433</v>
      </c>
      <c r="B14" s="578"/>
      <c r="C14" s="578"/>
      <c r="D14" s="578"/>
      <c r="E14" s="578"/>
      <c r="F14" s="578"/>
      <c r="G14" s="578"/>
    </row>
    <row r="15" spans="1:7" ht="12.75" thickBot="1" x14ac:dyDescent="0.25">
      <c r="A15" s="366"/>
      <c r="B15" s="366"/>
      <c r="C15" s="366"/>
      <c r="D15" s="366"/>
      <c r="E15" s="366"/>
      <c r="F15" s="366"/>
      <c r="G15" s="366"/>
    </row>
    <row r="16" spans="1:7" x14ac:dyDescent="0.2">
      <c r="A16" s="58" t="s">
        <v>105</v>
      </c>
      <c r="B16" s="43" t="s">
        <v>106</v>
      </c>
      <c r="C16" s="43" t="s">
        <v>107</v>
      </c>
      <c r="D16" s="43" t="s">
        <v>108</v>
      </c>
      <c r="E16" s="43" t="s">
        <v>109</v>
      </c>
      <c r="F16" s="43" t="s">
        <v>110</v>
      </c>
      <c r="G16" s="59" t="s">
        <v>111</v>
      </c>
    </row>
    <row r="17" spans="1:7" x14ac:dyDescent="0.2">
      <c r="A17" s="367" t="s">
        <v>119</v>
      </c>
      <c r="B17" s="368">
        <v>9600</v>
      </c>
      <c r="C17" s="369">
        <v>3</v>
      </c>
      <c r="D17" s="368">
        <f>B17/C17</f>
        <v>3200</v>
      </c>
      <c r="E17" s="369">
        <v>3</v>
      </c>
      <c r="F17" s="370">
        <f>D17*E17</f>
        <v>9600</v>
      </c>
      <c r="G17" s="371" t="s">
        <v>112</v>
      </c>
    </row>
    <row r="18" spans="1:7" x14ac:dyDescent="0.2">
      <c r="A18" s="367" t="s">
        <v>533</v>
      </c>
      <c r="B18" s="368">
        <v>9600</v>
      </c>
      <c r="C18" s="369">
        <v>3</v>
      </c>
      <c r="D18" s="368">
        <f t="shared" ref="D18:D22" si="5">B18/C18</f>
        <v>3200</v>
      </c>
      <c r="E18" s="369">
        <v>2</v>
      </c>
      <c r="F18" s="370">
        <f t="shared" ref="F18" si="6">D18*E18</f>
        <v>6400</v>
      </c>
      <c r="G18" s="371">
        <f t="shared" ref="G18" si="7">B18-F18</f>
        <v>3200</v>
      </c>
    </row>
    <row r="19" spans="1:7" x14ac:dyDescent="0.2">
      <c r="A19" s="372" t="s">
        <v>113</v>
      </c>
      <c r="B19" s="368">
        <v>2740</v>
      </c>
      <c r="C19" s="369">
        <v>10</v>
      </c>
      <c r="D19" s="368">
        <f t="shared" si="5"/>
        <v>274</v>
      </c>
      <c r="E19" s="369">
        <v>5</v>
      </c>
      <c r="F19" s="370">
        <f>D19*E19</f>
        <v>1370</v>
      </c>
      <c r="G19" s="373">
        <f>B19-F19</f>
        <v>1370</v>
      </c>
    </row>
    <row r="20" spans="1:7" x14ac:dyDescent="0.2">
      <c r="A20" s="372" t="s">
        <v>114</v>
      </c>
      <c r="B20" s="368">
        <v>2161</v>
      </c>
      <c r="C20" s="369">
        <v>3</v>
      </c>
      <c r="D20" s="368">
        <f t="shared" si="5"/>
        <v>720.33333333333337</v>
      </c>
      <c r="E20" s="369">
        <v>5</v>
      </c>
      <c r="F20" s="370">
        <f>D20*E20</f>
        <v>3601.666666666667</v>
      </c>
      <c r="G20" s="374" t="s">
        <v>112</v>
      </c>
    </row>
    <row r="21" spans="1:7" x14ac:dyDescent="0.2">
      <c r="A21" s="372" t="s">
        <v>534</v>
      </c>
      <c r="B21" s="368">
        <v>2161</v>
      </c>
      <c r="C21" s="369">
        <v>3</v>
      </c>
      <c r="D21" s="368">
        <f t="shared" si="5"/>
        <v>720.33333333333337</v>
      </c>
      <c r="E21" s="369">
        <v>2</v>
      </c>
      <c r="F21" s="370">
        <f t="shared" ref="F21" si="8">D21*E21</f>
        <v>1440.6666666666667</v>
      </c>
      <c r="G21" s="371">
        <f t="shared" ref="G21" si="9">B21-F21</f>
        <v>720.33333333333326</v>
      </c>
    </row>
    <row r="22" spans="1:7" x14ac:dyDescent="0.2">
      <c r="A22" s="372" t="s">
        <v>115</v>
      </c>
      <c r="B22" s="368">
        <v>2800</v>
      </c>
      <c r="C22" s="369">
        <v>10</v>
      </c>
      <c r="D22" s="368">
        <f t="shared" si="5"/>
        <v>280</v>
      </c>
      <c r="E22" s="369">
        <v>5</v>
      </c>
      <c r="F22" s="370">
        <f>D22*E22</f>
        <v>1400</v>
      </c>
      <c r="G22" s="373">
        <f>B22-F22</f>
        <v>1400</v>
      </c>
    </row>
    <row r="23" spans="1:7" x14ac:dyDescent="0.2">
      <c r="A23" s="372" t="s">
        <v>116</v>
      </c>
      <c r="B23" s="368">
        <v>37000</v>
      </c>
      <c r="C23" s="369">
        <v>5</v>
      </c>
      <c r="D23" s="368">
        <f>B23/C23</f>
        <v>7400</v>
      </c>
      <c r="E23" s="369">
        <v>5</v>
      </c>
      <c r="F23" s="370">
        <f>D23*E23</f>
        <v>37000</v>
      </c>
      <c r="G23" s="374" t="s">
        <v>112</v>
      </c>
    </row>
    <row r="24" spans="1:7" ht="12.75" thickBot="1" x14ac:dyDescent="0.25">
      <c r="A24" s="375" t="s">
        <v>117</v>
      </c>
      <c r="B24" s="376">
        <v>1457</v>
      </c>
      <c r="C24" s="377">
        <v>5</v>
      </c>
      <c r="D24" s="378">
        <f>B24/C24</f>
        <v>291.39999999999998</v>
      </c>
      <c r="E24" s="377" t="s">
        <v>112</v>
      </c>
      <c r="F24" s="379" t="s">
        <v>112</v>
      </c>
      <c r="G24" s="380"/>
    </row>
    <row r="25" spans="1:7" ht="12.75" thickBot="1" x14ac:dyDescent="0.25">
      <c r="A25" s="574" t="s">
        <v>378</v>
      </c>
      <c r="B25" s="575"/>
      <c r="C25" s="576"/>
      <c r="D25" s="152">
        <f>SUM(D17:D24)</f>
        <v>16086.066666666666</v>
      </c>
      <c r="E25" s="577" t="s">
        <v>118</v>
      </c>
      <c r="F25" s="576"/>
      <c r="G25" s="153">
        <f>SUM(G17:G24)</f>
        <v>6690.333333333333</v>
      </c>
    </row>
    <row r="27" spans="1:7" x14ac:dyDescent="0.2">
      <c r="A27" s="578" t="s">
        <v>377</v>
      </c>
      <c r="B27" s="578"/>
      <c r="C27" s="578"/>
      <c r="D27" s="578"/>
      <c r="E27" s="578"/>
      <c r="F27" s="578"/>
      <c r="G27" s="578"/>
    </row>
    <row r="28" spans="1:7" ht="12.75" thickBot="1" x14ac:dyDescent="0.25">
      <c r="A28" s="366"/>
      <c r="B28" s="366"/>
      <c r="C28" s="366"/>
      <c r="D28" s="366"/>
      <c r="E28" s="366"/>
      <c r="F28" s="366"/>
      <c r="G28" s="366"/>
    </row>
    <row r="29" spans="1:7" x14ac:dyDescent="0.2">
      <c r="A29" s="58" t="s">
        <v>105</v>
      </c>
      <c r="B29" s="43" t="s">
        <v>106</v>
      </c>
      <c r="C29" s="43" t="s">
        <v>107</v>
      </c>
      <c r="D29" s="43" t="s">
        <v>108</v>
      </c>
      <c r="E29" s="43" t="s">
        <v>109</v>
      </c>
      <c r="F29" s="43" t="s">
        <v>110</v>
      </c>
      <c r="G29" s="59" t="s">
        <v>111</v>
      </c>
    </row>
    <row r="30" spans="1:7" x14ac:dyDescent="0.2">
      <c r="A30" s="367" t="s">
        <v>119</v>
      </c>
      <c r="B30" s="368">
        <v>4800</v>
      </c>
      <c r="C30" s="369">
        <v>3</v>
      </c>
      <c r="D30" s="368">
        <f>B30/C30</f>
        <v>1600</v>
      </c>
      <c r="E30" s="369">
        <v>3</v>
      </c>
      <c r="F30" s="370">
        <f>D30*E30</f>
        <v>4800</v>
      </c>
      <c r="G30" s="371" t="s">
        <v>112</v>
      </c>
    </row>
    <row r="31" spans="1:7" x14ac:dyDescent="0.2">
      <c r="A31" s="367" t="s">
        <v>533</v>
      </c>
      <c r="B31" s="368">
        <v>4800</v>
      </c>
      <c r="C31" s="369">
        <v>3</v>
      </c>
      <c r="D31" s="368">
        <f t="shared" ref="D31:D35" si="10">B31/C31</f>
        <v>1600</v>
      </c>
      <c r="E31" s="369">
        <v>2</v>
      </c>
      <c r="F31" s="370">
        <f t="shared" ref="F31" si="11">D31*E31</f>
        <v>3200</v>
      </c>
      <c r="G31" s="371">
        <f t="shared" ref="G31" si="12">B31-F31</f>
        <v>1600</v>
      </c>
    </row>
    <row r="32" spans="1:7" x14ac:dyDescent="0.2">
      <c r="A32" s="372" t="s">
        <v>113</v>
      </c>
      <c r="B32" s="368">
        <v>2440</v>
      </c>
      <c r="C32" s="369">
        <v>10</v>
      </c>
      <c r="D32" s="368">
        <f t="shared" si="10"/>
        <v>244</v>
      </c>
      <c r="E32" s="369">
        <v>5</v>
      </c>
      <c r="F32" s="370">
        <f>D32*E32</f>
        <v>1220</v>
      </c>
      <c r="G32" s="373">
        <f>B32-F32</f>
        <v>1220</v>
      </c>
    </row>
    <row r="33" spans="1:7" x14ac:dyDescent="0.2">
      <c r="A33" s="372" t="s">
        <v>114</v>
      </c>
      <c r="B33" s="368">
        <v>2161</v>
      </c>
      <c r="C33" s="369">
        <v>3</v>
      </c>
      <c r="D33" s="368">
        <f t="shared" si="10"/>
        <v>720.33333333333337</v>
      </c>
      <c r="E33" s="369">
        <v>5</v>
      </c>
      <c r="F33" s="370">
        <f>D33*E33</f>
        <v>3601.666666666667</v>
      </c>
      <c r="G33" s="374" t="s">
        <v>112</v>
      </c>
    </row>
    <row r="34" spans="1:7" x14ac:dyDescent="0.2">
      <c r="A34" s="372" t="s">
        <v>534</v>
      </c>
      <c r="B34" s="368">
        <v>2161</v>
      </c>
      <c r="C34" s="369">
        <v>3</v>
      </c>
      <c r="D34" s="368">
        <f t="shared" si="10"/>
        <v>720.33333333333337</v>
      </c>
      <c r="E34" s="369">
        <v>2</v>
      </c>
      <c r="F34" s="370">
        <f t="shared" ref="F34" si="13">D34*E34</f>
        <v>1440.6666666666667</v>
      </c>
      <c r="G34" s="371">
        <f t="shared" ref="G34" si="14">B34-F34</f>
        <v>720.33333333333326</v>
      </c>
    </row>
    <row r="35" spans="1:7" x14ac:dyDescent="0.2">
      <c r="A35" s="372" t="s">
        <v>115</v>
      </c>
      <c r="B35" s="368">
        <v>1725</v>
      </c>
      <c r="C35" s="369">
        <v>10</v>
      </c>
      <c r="D35" s="368">
        <f t="shared" si="10"/>
        <v>172.5</v>
      </c>
      <c r="E35" s="369">
        <v>5</v>
      </c>
      <c r="F35" s="370">
        <f>D35*E35</f>
        <v>862.5</v>
      </c>
      <c r="G35" s="373">
        <f>B35-F35</f>
        <v>862.5</v>
      </c>
    </row>
    <row r="36" spans="1:7" x14ac:dyDescent="0.2">
      <c r="A36" s="372" t="s">
        <v>116</v>
      </c>
      <c r="B36" s="368">
        <v>18500</v>
      </c>
      <c r="C36" s="369">
        <v>5</v>
      </c>
      <c r="D36" s="368">
        <f>B36/C36</f>
        <v>3700</v>
      </c>
      <c r="E36" s="369">
        <v>5</v>
      </c>
      <c r="F36" s="370">
        <f>D36*E36</f>
        <v>18500</v>
      </c>
      <c r="G36" s="374" t="s">
        <v>112</v>
      </c>
    </row>
    <row r="37" spans="1:7" ht="12.75" thickBot="1" x14ac:dyDescent="0.25">
      <c r="A37" s="375" t="s">
        <v>117</v>
      </c>
      <c r="B37" s="376">
        <v>1320</v>
      </c>
      <c r="C37" s="377">
        <v>5</v>
      </c>
      <c r="D37" s="378">
        <f>B37/C37</f>
        <v>264</v>
      </c>
      <c r="E37" s="377" t="s">
        <v>112</v>
      </c>
      <c r="F37" s="379" t="s">
        <v>112</v>
      </c>
      <c r="G37" s="380"/>
    </row>
    <row r="38" spans="1:7" ht="12.75" thickBot="1" x14ac:dyDescent="0.25">
      <c r="A38" s="574" t="s">
        <v>378</v>
      </c>
      <c r="B38" s="575"/>
      <c r="C38" s="576"/>
      <c r="D38" s="152">
        <f>SUM(D30:D37)</f>
        <v>9021.1666666666661</v>
      </c>
      <c r="E38" s="577" t="s">
        <v>118</v>
      </c>
      <c r="F38" s="576"/>
      <c r="G38" s="153">
        <f>SUM(G30:G37)</f>
        <v>4402.833333333333</v>
      </c>
    </row>
  </sheetData>
  <mergeCells count="9">
    <mergeCell ref="A27:G27"/>
    <mergeCell ref="A38:C38"/>
    <mergeCell ref="E38:F38"/>
    <mergeCell ref="A1:G1"/>
    <mergeCell ref="A12:C12"/>
    <mergeCell ref="E12:F12"/>
    <mergeCell ref="A14:G14"/>
    <mergeCell ref="A25:C25"/>
    <mergeCell ref="E25:F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defaultColWidth="11.42578125" defaultRowHeight="15" x14ac:dyDescent="0.25"/>
  <cols>
    <col min="1" max="2" width="36.7109375" customWidth="1"/>
  </cols>
  <sheetData>
    <row r="1" spans="1:16" x14ac:dyDescent="0.25">
      <c r="A1" s="237" t="s">
        <v>454</v>
      </c>
    </row>
    <row r="2" spans="1:16" x14ac:dyDescent="0.25">
      <c r="P2" t="e">
        <f ca="1">_xll.CB.RecalcCounterFN()</f>
        <v>#NAME?</v>
      </c>
    </row>
    <row r="3" spans="1:16" x14ac:dyDescent="0.25">
      <c r="A3" t="s">
        <v>455</v>
      </c>
      <c r="B3" t="s">
        <v>456</v>
      </c>
      <c r="C3">
        <v>0</v>
      </c>
    </row>
    <row r="4" spans="1:16" x14ac:dyDescent="0.25">
      <c r="A4" t="s">
        <v>457</v>
      </c>
    </row>
    <row r="5" spans="1:16" x14ac:dyDescent="0.25">
      <c r="A5" t="s">
        <v>458</v>
      </c>
    </row>
    <row r="7" spans="1:16" x14ac:dyDescent="0.25">
      <c r="A7" s="237" t="s">
        <v>459</v>
      </c>
      <c r="B7" t="s">
        <v>460</v>
      </c>
    </row>
    <row r="8" spans="1:16" x14ac:dyDescent="0.25">
      <c r="B8">
        <v>2</v>
      </c>
    </row>
    <row r="10" spans="1:16" x14ac:dyDescent="0.25">
      <c r="A10" t="s">
        <v>461</v>
      </c>
    </row>
    <row r="11" spans="1:16" x14ac:dyDescent="0.25">
      <c r="A11" t="e">
        <f>CB_DATA_!#REF!</f>
        <v>#REF!</v>
      </c>
      <c r="B11" t="e">
        <f>'ANALISIS DE SENSIBILIDAD&amp;SOLVER'!#REF!</f>
        <v>#REF!</v>
      </c>
    </row>
    <row r="13" spans="1:16" x14ac:dyDescent="0.25">
      <c r="A13" t="s">
        <v>462</v>
      </c>
    </row>
    <row r="14" spans="1:16" x14ac:dyDescent="0.25">
      <c r="A14" t="s">
        <v>466</v>
      </c>
      <c r="B14" t="s">
        <v>470</v>
      </c>
    </row>
    <row r="16" spans="1:16" x14ac:dyDescent="0.25">
      <c r="A16" t="s">
        <v>463</v>
      </c>
    </row>
    <row r="19" spans="1:2" x14ac:dyDescent="0.25">
      <c r="A19" t="s">
        <v>464</v>
      </c>
    </row>
    <row r="20" spans="1:2" x14ac:dyDescent="0.25">
      <c r="A20">
        <v>28</v>
      </c>
      <c r="B20">
        <v>31</v>
      </c>
    </row>
    <row r="25" spans="1:2" x14ac:dyDescent="0.25">
      <c r="A25" s="237" t="s">
        <v>465</v>
      </c>
    </row>
    <row r="26" spans="1:2" x14ac:dyDescent="0.25">
      <c r="A26" s="238" t="s">
        <v>467</v>
      </c>
      <c r="B26" s="238" t="s">
        <v>471</v>
      </c>
    </row>
    <row r="27" spans="1:2" x14ac:dyDescent="0.25">
      <c r="A27" t="s">
        <v>468</v>
      </c>
      <c r="B27" t="s">
        <v>584</v>
      </c>
    </row>
    <row r="28" spans="1:2" x14ac:dyDescent="0.25">
      <c r="A28" s="238" t="s">
        <v>469</v>
      </c>
      <c r="B28" s="238" t="s">
        <v>469</v>
      </c>
    </row>
    <row r="29" spans="1:2" x14ac:dyDescent="0.25">
      <c r="B29" s="238" t="s">
        <v>467</v>
      </c>
    </row>
    <row r="30" spans="1:2" x14ac:dyDescent="0.25">
      <c r="B30" t="s">
        <v>538</v>
      </c>
    </row>
    <row r="31" spans="1:2" x14ac:dyDescent="0.25">
      <c r="B31" s="238" t="s">
        <v>469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3"/>
  <sheetViews>
    <sheetView showGridLines="0" tabSelected="1" topLeftCell="G36" zoomScaleNormal="100" workbookViewId="0">
      <selection activeCell="M47" sqref="M47"/>
    </sheetView>
  </sheetViews>
  <sheetFormatPr defaultColWidth="9.140625" defaultRowHeight="12" x14ac:dyDescent="0.2"/>
  <cols>
    <col min="1" max="1" width="9.140625" style="47"/>
    <col min="2" max="2" width="18.42578125" style="47" bestFit="1" customWidth="1"/>
    <col min="3" max="3" width="11.28515625" style="47" bestFit="1" customWidth="1"/>
    <col min="4" max="4" width="35.7109375" style="47" bestFit="1" customWidth="1"/>
    <col min="5" max="5" width="19.42578125" style="47" bestFit="1" customWidth="1"/>
    <col min="6" max="6" width="15.5703125" style="47" bestFit="1" customWidth="1"/>
    <col min="7" max="7" width="15.7109375" style="47" customWidth="1"/>
    <col min="8" max="8" width="16.5703125" style="47" bestFit="1" customWidth="1"/>
    <col min="9" max="9" width="17.85546875" style="47" bestFit="1" customWidth="1"/>
    <col min="10" max="10" width="19.42578125" style="47" bestFit="1" customWidth="1"/>
    <col min="11" max="11" width="1.7109375" style="47" customWidth="1"/>
    <col min="12" max="12" width="13.5703125" style="47" bestFit="1" customWidth="1"/>
    <col min="13" max="13" width="36.7109375" style="47" customWidth="1"/>
    <col min="14" max="14" width="14.140625" style="47" customWidth="1"/>
    <col min="15" max="15" width="11.7109375" style="47" bestFit="1" customWidth="1"/>
    <col min="16" max="16" width="12.85546875" style="47" bestFit="1" customWidth="1"/>
    <col min="17" max="16384" width="9.140625" style="47"/>
  </cols>
  <sheetData>
    <row r="1" spans="4:16" hidden="1" x14ac:dyDescent="0.2"/>
    <row r="2" spans="4:16" ht="12.75" hidden="1" thickBot="1" x14ac:dyDescent="0.25">
      <c r="D2" s="633" t="s">
        <v>235</v>
      </c>
      <c r="E2" s="634"/>
      <c r="F2" s="634"/>
      <c r="G2" s="634"/>
      <c r="H2" s="634"/>
      <c r="I2" s="634"/>
    </row>
    <row r="3" spans="4:16" hidden="1" x14ac:dyDescent="0.2">
      <c r="D3" s="621" t="s">
        <v>236</v>
      </c>
      <c r="E3" s="622"/>
      <c r="F3" s="622"/>
      <c r="G3" s="623" t="s">
        <v>237</v>
      </c>
      <c r="H3" s="623"/>
      <c r="I3" s="623"/>
      <c r="J3" s="253"/>
      <c r="K3" s="61"/>
      <c r="M3" s="635" t="s">
        <v>301</v>
      </c>
      <c r="N3" s="635"/>
      <c r="O3" s="635"/>
    </row>
    <row r="4" spans="4:16" hidden="1" x14ac:dyDescent="0.2">
      <c r="D4" s="624" t="s">
        <v>238</v>
      </c>
      <c r="E4" s="625"/>
      <c r="F4" s="625"/>
      <c r="G4" s="254" t="s">
        <v>239</v>
      </c>
      <c r="H4" s="255"/>
      <c r="I4" s="256"/>
      <c r="J4" s="47" t="s">
        <v>299</v>
      </c>
      <c r="K4" s="47" t="s">
        <v>300</v>
      </c>
      <c r="L4" s="257"/>
      <c r="M4" s="257" t="s">
        <v>302</v>
      </c>
      <c r="N4" s="257" t="s">
        <v>303</v>
      </c>
      <c r="O4" s="257" t="s">
        <v>304</v>
      </c>
      <c r="P4" s="257" t="s">
        <v>305</v>
      </c>
    </row>
    <row r="5" spans="4:16" hidden="1" x14ac:dyDescent="0.2">
      <c r="D5" s="258" t="s">
        <v>212</v>
      </c>
      <c r="E5" s="259">
        <f>'CAPITAL DE TRABAJO'!B17</f>
        <v>-4097.193661199999</v>
      </c>
      <c r="F5" s="260"/>
      <c r="G5" s="261" t="s">
        <v>240</v>
      </c>
      <c r="H5" s="262"/>
      <c r="I5" s="263">
        <f>D33</f>
        <v>12776.433803280001</v>
      </c>
      <c r="J5" s="47">
        <v>5</v>
      </c>
      <c r="K5" s="264">
        <v>8.1699999999999995E-2</v>
      </c>
      <c r="L5" s="257">
        <v>0</v>
      </c>
      <c r="M5" s="257"/>
      <c r="N5" s="257"/>
      <c r="O5" s="257"/>
      <c r="P5" s="265">
        <f>I5</f>
        <v>12776.433803280001</v>
      </c>
    </row>
    <row r="6" spans="4:16" hidden="1" x14ac:dyDescent="0.2">
      <c r="D6" s="266" t="s">
        <v>16</v>
      </c>
      <c r="E6" s="267">
        <f>E5</f>
        <v>-4097.193661199999</v>
      </c>
      <c r="F6" s="268"/>
      <c r="G6" s="269" t="s">
        <v>241</v>
      </c>
      <c r="H6" s="268"/>
      <c r="I6" s="270">
        <f>SUM(I5)</f>
        <v>12776.433803280001</v>
      </c>
      <c r="L6" s="257">
        <v>1</v>
      </c>
      <c r="M6" s="271">
        <f>-PMT($K$5,$J$5,$I$5)</f>
        <v>3214.2907830181434</v>
      </c>
      <c r="N6" s="272">
        <f>M6-O6</f>
        <v>2170.4561412901676</v>
      </c>
      <c r="O6" s="272">
        <f>$K$5*P5</f>
        <v>1043.8346417279761</v>
      </c>
      <c r="P6" s="265">
        <f>P5-N6</f>
        <v>10605.977661989833</v>
      </c>
    </row>
    <row r="7" spans="4:16" hidden="1" x14ac:dyDescent="0.2">
      <c r="D7" s="250"/>
      <c r="E7" s="273"/>
      <c r="F7" s="61"/>
      <c r="G7" s="274"/>
      <c r="H7" s="61"/>
      <c r="I7" s="275"/>
      <c r="L7" s="257">
        <v>2</v>
      </c>
      <c r="M7" s="271">
        <f t="shared" ref="M7:M9" si="0">-PMT($K$5,$J$5,$I$5)</f>
        <v>3214.2907830181434</v>
      </c>
      <c r="N7" s="272">
        <f t="shared" ref="N7:N10" si="1">M7-O7</f>
        <v>2347.782408033574</v>
      </c>
      <c r="O7" s="272">
        <f>$K$5*P6</f>
        <v>866.50837498456929</v>
      </c>
      <c r="P7" s="265">
        <f t="shared" ref="P7:P9" si="2">P6-N7</f>
        <v>8258.195253956259</v>
      </c>
    </row>
    <row r="8" spans="4:16" hidden="1" x14ac:dyDescent="0.2">
      <c r="D8" s="266" t="s">
        <v>242</v>
      </c>
      <c r="E8" s="276"/>
      <c r="F8" s="277"/>
      <c r="G8" s="607" t="s">
        <v>243</v>
      </c>
      <c r="H8" s="608"/>
      <c r="I8" s="626"/>
      <c r="L8" s="257">
        <v>3</v>
      </c>
      <c r="M8" s="271">
        <f t="shared" si="0"/>
        <v>3214.2907830181434</v>
      </c>
      <c r="N8" s="272">
        <f t="shared" si="1"/>
        <v>2539.5962307699174</v>
      </c>
      <c r="O8" s="272">
        <f t="shared" ref="O8:O10" si="3">$K$5*P7</f>
        <v>674.69455224822627</v>
      </c>
      <c r="P8" s="265">
        <f t="shared" si="2"/>
        <v>5718.5990231863416</v>
      </c>
    </row>
    <row r="9" spans="4:16" hidden="1" x14ac:dyDescent="0.2">
      <c r="D9" s="258" t="s">
        <v>245</v>
      </c>
      <c r="E9" s="278">
        <f>INVERSIONES!D63</f>
        <v>5931.25</v>
      </c>
      <c r="F9" s="262"/>
      <c r="G9" s="279" t="s">
        <v>244</v>
      </c>
      <c r="H9" s="262"/>
      <c r="I9" s="263">
        <f>E33</f>
        <v>8517.6225355200004</v>
      </c>
      <c r="L9" s="257">
        <v>4</v>
      </c>
      <c r="M9" s="271">
        <f t="shared" si="0"/>
        <v>3214.2907830181434</v>
      </c>
      <c r="N9" s="272">
        <f t="shared" si="1"/>
        <v>2747.0812428238196</v>
      </c>
      <c r="O9" s="272">
        <f t="shared" si="3"/>
        <v>467.20954019432406</v>
      </c>
      <c r="P9" s="265">
        <f t="shared" si="2"/>
        <v>2971.517780362522</v>
      </c>
    </row>
    <row r="10" spans="4:16" hidden="1" x14ac:dyDescent="0.2">
      <c r="D10" s="258" t="s">
        <v>113</v>
      </c>
      <c r="E10" s="278">
        <f>INVERSIONES!M26</f>
        <v>0</v>
      </c>
      <c r="F10" s="262"/>
      <c r="G10" s="269" t="s">
        <v>246</v>
      </c>
      <c r="H10" s="277"/>
      <c r="I10" s="280">
        <f>SUM(I9)</f>
        <v>8517.6225355200004</v>
      </c>
      <c r="L10" s="257">
        <v>5</v>
      </c>
      <c r="M10" s="271">
        <f>-PMT($K$5,$J$5,$I$5)</f>
        <v>3214.2907830181434</v>
      </c>
      <c r="N10" s="272">
        <f t="shared" si="1"/>
        <v>2971.5177803625256</v>
      </c>
      <c r="O10" s="272">
        <f t="shared" si="3"/>
        <v>242.77300265561803</v>
      </c>
      <c r="P10" s="281">
        <f>P9-N10</f>
        <v>-3.637978807091713E-12</v>
      </c>
    </row>
    <row r="11" spans="4:16" hidden="1" x14ac:dyDescent="0.2">
      <c r="D11" s="258" t="s">
        <v>115</v>
      </c>
      <c r="E11" s="278">
        <f>INVERSIONES!M25</f>
        <v>0</v>
      </c>
      <c r="F11" s="262"/>
      <c r="G11" s="274"/>
      <c r="H11" s="61"/>
      <c r="I11" s="275"/>
    </row>
    <row r="12" spans="4:16" hidden="1" x14ac:dyDescent="0.2">
      <c r="D12" s="258" t="s">
        <v>116</v>
      </c>
      <c r="E12" s="278">
        <f>INVERSIONES!D62</f>
        <v>18500</v>
      </c>
      <c r="F12" s="262"/>
      <c r="G12" s="274"/>
      <c r="H12" s="61"/>
      <c r="I12" s="275"/>
    </row>
    <row r="13" spans="4:16" hidden="1" x14ac:dyDescent="0.2">
      <c r="D13" s="258" t="s">
        <v>114</v>
      </c>
      <c r="E13" s="278">
        <f>INVERSIONES!M21</f>
        <v>0</v>
      </c>
      <c r="F13" s="262"/>
      <c r="G13" s="274"/>
      <c r="H13" s="61"/>
      <c r="I13" s="275"/>
      <c r="L13" s="636"/>
      <c r="M13" s="636"/>
      <c r="N13" s="122"/>
      <c r="O13" s="122"/>
      <c r="P13" s="122"/>
    </row>
    <row r="14" spans="4:16" hidden="1" x14ac:dyDescent="0.2">
      <c r="D14" s="266" t="s">
        <v>16</v>
      </c>
      <c r="E14" s="282">
        <f>SUM(E9:E13)</f>
        <v>24431.25</v>
      </c>
      <c r="F14" s="277"/>
      <c r="G14" s="274"/>
      <c r="H14" s="61"/>
      <c r="I14" s="275"/>
      <c r="L14" s="637"/>
      <c r="M14" s="637"/>
      <c r="N14" s="122"/>
      <c r="O14" s="283"/>
      <c r="P14" s="122"/>
    </row>
    <row r="15" spans="4:16" hidden="1" x14ac:dyDescent="0.2">
      <c r="D15" s="250"/>
      <c r="E15" s="61"/>
      <c r="F15" s="61"/>
      <c r="G15" s="274"/>
      <c r="H15" s="61"/>
      <c r="I15" s="275"/>
      <c r="L15" s="638"/>
      <c r="M15" s="638"/>
      <c r="N15" s="122"/>
      <c r="O15" s="283"/>
      <c r="P15" s="122"/>
    </row>
    <row r="16" spans="4:16" hidden="1" x14ac:dyDescent="0.2">
      <c r="D16" s="266" t="s">
        <v>247</v>
      </c>
      <c r="E16" s="284"/>
      <c r="F16" s="284"/>
      <c r="G16" s="274"/>
      <c r="H16" s="61"/>
      <c r="I16" s="275"/>
      <c r="L16" s="638"/>
      <c r="M16" s="638"/>
      <c r="N16" s="122"/>
      <c r="O16" s="283"/>
      <c r="P16" s="285"/>
    </row>
    <row r="17" spans="4:16" hidden="1" x14ac:dyDescent="0.2">
      <c r="D17" s="286" t="s">
        <v>164</v>
      </c>
      <c r="E17" s="278">
        <f>INVERSIONES!J44</f>
        <v>250</v>
      </c>
      <c r="F17" s="287"/>
      <c r="G17" s="274"/>
      <c r="H17" s="61"/>
      <c r="I17" s="275"/>
      <c r="L17" s="638"/>
      <c r="M17" s="638"/>
      <c r="N17" s="122"/>
      <c r="O17" s="283"/>
      <c r="P17" s="122"/>
    </row>
    <row r="18" spans="4:16" hidden="1" x14ac:dyDescent="0.2">
      <c r="D18" s="286" t="s">
        <v>256</v>
      </c>
      <c r="E18" s="278">
        <f>INVERSIONES!J49</f>
        <v>100</v>
      </c>
      <c r="F18" s="287"/>
      <c r="G18" s="274"/>
      <c r="H18" s="61"/>
      <c r="I18" s="275"/>
      <c r="L18" s="638"/>
      <c r="M18" s="638"/>
      <c r="N18" s="122"/>
      <c r="O18" s="283"/>
      <c r="P18" s="122"/>
    </row>
    <row r="19" spans="4:16" hidden="1" x14ac:dyDescent="0.2">
      <c r="D19" s="286" t="s">
        <v>248</v>
      </c>
      <c r="E19" s="278">
        <f>INVERSIONES!J45</f>
        <v>70</v>
      </c>
      <c r="F19" s="287"/>
      <c r="G19" s="274"/>
      <c r="H19" s="61"/>
      <c r="I19" s="275"/>
      <c r="L19" s="638"/>
      <c r="M19" s="638"/>
      <c r="N19" s="122"/>
      <c r="O19" s="283"/>
      <c r="P19" s="122"/>
    </row>
    <row r="20" spans="4:16" hidden="1" x14ac:dyDescent="0.2">
      <c r="D20" s="286" t="s">
        <v>257</v>
      </c>
      <c r="E20" s="278">
        <f>INVERSIONES!J47+INVERSIONES!G50</f>
        <v>340</v>
      </c>
      <c r="F20" s="287"/>
      <c r="G20" s="274"/>
      <c r="H20" s="61"/>
      <c r="I20" s="275"/>
      <c r="L20" s="122"/>
      <c r="M20" s="122"/>
      <c r="N20" s="122"/>
      <c r="O20" s="122"/>
      <c r="P20" s="285"/>
    </row>
    <row r="21" spans="4:16" hidden="1" x14ac:dyDescent="0.2">
      <c r="D21" s="286" t="s">
        <v>249</v>
      </c>
      <c r="E21" s="278">
        <f>INVERSIONES!J46</f>
        <v>200</v>
      </c>
      <c r="F21" s="287"/>
      <c r="G21" s="274"/>
      <c r="H21" s="61"/>
      <c r="I21" s="275"/>
    </row>
    <row r="22" spans="4:16" hidden="1" x14ac:dyDescent="0.2">
      <c r="D22" s="288" t="s">
        <v>16</v>
      </c>
      <c r="E22" s="289">
        <f>SUM(E17:E21)</f>
        <v>960</v>
      </c>
      <c r="F22" s="277"/>
      <c r="G22" s="274"/>
      <c r="H22" s="61"/>
      <c r="I22" s="275"/>
    </row>
    <row r="23" spans="4:16" ht="12.75" hidden="1" thickBot="1" x14ac:dyDescent="0.25">
      <c r="D23" s="290" t="s">
        <v>250</v>
      </c>
      <c r="E23" s="291">
        <f>E22+E14+E6</f>
        <v>21294.056338800001</v>
      </c>
      <c r="F23" s="292"/>
      <c r="G23" s="293" t="s">
        <v>251</v>
      </c>
      <c r="H23" s="292"/>
      <c r="I23" s="294">
        <f>I6+I10</f>
        <v>21294.056338800001</v>
      </c>
    </row>
    <row r="24" spans="4:16" hidden="1" x14ac:dyDescent="0.2"/>
    <row r="25" spans="4:16" hidden="1" x14ac:dyDescent="0.2"/>
    <row r="26" spans="4:16" hidden="1" x14ac:dyDescent="0.2"/>
    <row r="27" spans="4:16" hidden="1" x14ac:dyDescent="0.2"/>
    <row r="28" spans="4:16" hidden="1" x14ac:dyDescent="0.2"/>
    <row r="29" spans="4:16" ht="12.75" hidden="1" thickBot="1" x14ac:dyDescent="0.25">
      <c r="D29" s="633" t="s">
        <v>252</v>
      </c>
      <c r="E29" s="634"/>
      <c r="F29" s="634"/>
      <c r="G29" s="634"/>
    </row>
    <row r="30" spans="4:16" hidden="1" x14ac:dyDescent="0.2">
      <c r="D30" s="607" t="s">
        <v>253</v>
      </c>
      <c r="E30" s="608"/>
      <c r="F30" s="608"/>
      <c r="G30" s="609"/>
    </row>
    <row r="31" spans="4:16" hidden="1" x14ac:dyDescent="0.2">
      <c r="D31" s="295">
        <v>0.6</v>
      </c>
      <c r="E31" s="642">
        <v>0.4</v>
      </c>
      <c r="F31" s="642"/>
      <c r="G31" s="643"/>
    </row>
    <row r="32" spans="4:16" hidden="1" x14ac:dyDescent="0.2">
      <c r="D32" s="296" t="s">
        <v>254</v>
      </c>
      <c r="E32" s="612" t="s">
        <v>244</v>
      </c>
      <c r="F32" s="612"/>
      <c r="G32" s="613"/>
    </row>
    <row r="33" spans="2:14" ht="12.75" hidden="1" thickBot="1" x14ac:dyDescent="0.25">
      <c r="D33" s="297">
        <f>E23*D31</f>
        <v>12776.433803280001</v>
      </c>
      <c r="E33" s="614">
        <f>E23*E31</f>
        <v>8517.6225355200004</v>
      </c>
      <c r="F33" s="615"/>
      <c r="G33" s="616"/>
      <c r="I33" s="298">
        <f>SUM(E33)</f>
        <v>8517.6225355200004</v>
      </c>
      <c r="J33" s="299"/>
    </row>
    <row r="34" spans="2:14" ht="13.5" hidden="1" customHeight="1" thickBot="1" x14ac:dyDescent="0.25"/>
    <row r="35" spans="2:14" ht="25.5" hidden="1" customHeight="1" thickBot="1" x14ac:dyDescent="0.25">
      <c r="H35" s="299"/>
      <c r="I35" s="633" t="s">
        <v>258</v>
      </c>
      <c r="J35" s="634"/>
      <c r="K35" s="300">
        <f>I33/3</f>
        <v>2839.2075118400003</v>
      </c>
    </row>
    <row r="36" spans="2:14" x14ac:dyDescent="0.2">
      <c r="B36" s="301"/>
      <c r="C36" s="122"/>
    </row>
    <row r="37" spans="2:14" x14ac:dyDescent="0.2">
      <c r="B37" s="302"/>
      <c r="C37" s="303"/>
    </row>
    <row r="38" spans="2:14" x14ac:dyDescent="0.2">
      <c r="B38" s="122"/>
      <c r="C38" s="304"/>
      <c r="D38" s="305" t="s">
        <v>537</v>
      </c>
      <c r="E38" s="305" t="s">
        <v>306</v>
      </c>
      <c r="F38" s="306" t="s">
        <v>307</v>
      </c>
      <c r="G38" s="306" t="s">
        <v>352</v>
      </c>
      <c r="M38" s="357" t="s">
        <v>438</v>
      </c>
      <c r="N38" s="514">
        <v>7.9185712247639204</v>
      </c>
    </row>
    <row r="39" spans="2:14" x14ac:dyDescent="0.2">
      <c r="B39" s="122"/>
      <c r="C39" s="304"/>
      <c r="D39" s="308">
        <v>10803.5</v>
      </c>
      <c r="E39" s="308">
        <v>10</v>
      </c>
      <c r="F39" s="450">
        <v>0.05</v>
      </c>
      <c r="G39" s="309">
        <v>0.1</v>
      </c>
      <c r="H39" s="310">
        <f>+GASTOS!F82</f>
        <v>11220</v>
      </c>
      <c r="I39" s="310">
        <f>+H39/F43</f>
        <v>0.1038552321007081</v>
      </c>
      <c r="J39" s="310"/>
      <c r="M39" s="357" t="s">
        <v>439</v>
      </c>
      <c r="N39" s="532">
        <v>0.28732858977215697</v>
      </c>
    </row>
    <row r="40" spans="2:14" ht="12.75" thickBot="1" x14ac:dyDescent="0.25">
      <c r="M40" s="357" t="s">
        <v>449</v>
      </c>
      <c r="N40" s="532">
        <v>0.6808070596097322</v>
      </c>
    </row>
    <row r="41" spans="2:14" x14ac:dyDescent="0.2">
      <c r="D41" s="639" t="s">
        <v>351</v>
      </c>
      <c r="E41" s="640"/>
      <c r="F41" s="640"/>
      <c r="G41" s="640"/>
      <c r="H41" s="640"/>
      <c r="I41" s="640"/>
      <c r="J41" s="641"/>
    </row>
    <row r="42" spans="2:14" x14ac:dyDescent="0.2">
      <c r="D42" s="311" t="s">
        <v>127</v>
      </c>
      <c r="E42" s="312">
        <v>0</v>
      </c>
      <c r="F42" s="312">
        <v>1</v>
      </c>
      <c r="G42" s="312">
        <v>2</v>
      </c>
      <c r="H42" s="312">
        <v>3</v>
      </c>
      <c r="I42" s="312">
        <v>4</v>
      </c>
      <c r="J42" s="313">
        <v>5</v>
      </c>
      <c r="M42" s="314"/>
    </row>
    <row r="43" spans="2:14" x14ac:dyDescent="0.2">
      <c r="D43" s="249" t="s">
        <v>128</v>
      </c>
      <c r="E43" s="312"/>
      <c r="F43" s="315">
        <f>D39*E39</f>
        <v>108035</v>
      </c>
      <c r="G43" s="315">
        <f>+F43*(1+$F$39)</f>
        <v>113436.75</v>
      </c>
      <c r="H43" s="315">
        <f t="shared" ref="H43:J43" si="4">+G43*(1+$F$39)</f>
        <v>119108.58750000001</v>
      </c>
      <c r="I43" s="315">
        <f t="shared" si="4"/>
        <v>125064.01687500002</v>
      </c>
      <c r="J43" s="315">
        <f t="shared" si="4"/>
        <v>131317.21771875003</v>
      </c>
      <c r="L43" s="316"/>
      <c r="M43" s="314"/>
    </row>
    <row r="44" spans="2:14" x14ac:dyDescent="0.2">
      <c r="D44" s="249" t="s">
        <v>311</v>
      </c>
      <c r="E44" s="312"/>
      <c r="F44" s="315">
        <f>+$G$39*F43</f>
        <v>10803.5</v>
      </c>
      <c r="G44" s="315">
        <f>+$G$39*G43</f>
        <v>11343.675000000001</v>
      </c>
      <c r="H44" s="315">
        <f t="shared" ref="H44:I44" si="5">+$G$39*H43</f>
        <v>11910.858750000001</v>
      </c>
      <c r="I44" s="315">
        <f t="shared" si="5"/>
        <v>12506.401687500002</v>
      </c>
      <c r="J44" s="315">
        <f>+$G$39*J43</f>
        <v>13131.721771875003</v>
      </c>
      <c r="M44" s="314"/>
    </row>
    <row r="45" spans="2:14" x14ac:dyDescent="0.2">
      <c r="D45" s="317" t="s">
        <v>310</v>
      </c>
      <c r="E45" s="318"/>
      <c r="F45" s="319">
        <f>F43-F44</f>
        <v>97231.5</v>
      </c>
      <c r="G45" s="319">
        <f t="shared" ref="G45:J45" si="6">G43-G44</f>
        <v>102093.075</v>
      </c>
      <c r="H45" s="319">
        <f t="shared" si="6"/>
        <v>107197.72875000001</v>
      </c>
      <c r="I45" s="319">
        <f t="shared" si="6"/>
        <v>112557.61518750002</v>
      </c>
      <c r="J45" s="319">
        <f t="shared" si="6"/>
        <v>118185.49594687503</v>
      </c>
      <c r="M45" s="314"/>
    </row>
    <row r="46" spans="2:14" x14ac:dyDescent="0.2">
      <c r="D46" s="320" t="s">
        <v>312</v>
      </c>
      <c r="E46" s="312"/>
      <c r="F46" s="315"/>
      <c r="G46" s="315"/>
      <c r="H46" s="315"/>
      <c r="I46" s="315"/>
      <c r="J46" s="321"/>
    </row>
    <row r="47" spans="2:14" x14ac:dyDescent="0.2">
      <c r="D47" s="249" t="s">
        <v>313</v>
      </c>
      <c r="E47" s="312"/>
      <c r="F47" s="315">
        <f>+GASTOS!D8</f>
        <v>3540</v>
      </c>
      <c r="G47" s="315">
        <f>+F47*(1+$F$39)</f>
        <v>3717</v>
      </c>
      <c r="H47" s="315">
        <f t="shared" ref="H47:I47" si="7">+G47*(1+$F$39)</f>
        <v>3902.8500000000004</v>
      </c>
      <c r="I47" s="315">
        <f t="shared" si="7"/>
        <v>4097.9925000000003</v>
      </c>
      <c r="J47" s="315">
        <f>+I47*(1+$F$39)</f>
        <v>4302.8921250000003</v>
      </c>
    </row>
    <row r="48" spans="2:14" x14ac:dyDescent="0.2">
      <c r="D48" s="249" t="s">
        <v>232</v>
      </c>
      <c r="E48" s="312"/>
      <c r="F48" s="315">
        <f>+GASTOS!D20</f>
        <v>6261.2</v>
      </c>
      <c r="G48" s="315">
        <f>F48*(1+$F$39)</f>
        <v>6574.26</v>
      </c>
      <c r="H48" s="315">
        <f t="shared" ref="H48:I48" si="8">G48*(1+$F$39)</f>
        <v>6902.9730000000009</v>
      </c>
      <c r="I48" s="315">
        <f t="shared" si="8"/>
        <v>7248.121650000001</v>
      </c>
      <c r="J48" s="315">
        <f>I48*(1+$F$39)</f>
        <v>7610.5277325000015</v>
      </c>
    </row>
    <row r="49" spans="4:10" x14ac:dyDescent="0.2">
      <c r="D49" s="249" t="s">
        <v>234</v>
      </c>
      <c r="E49" s="312"/>
      <c r="F49" s="315">
        <f>+GASTOS!D25</f>
        <v>7150</v>
      </c>
      <c r="G49" s="315">
        <f>+F49*(1+$F$39)</f>
        <v>7507.5</v>
      </c>
      <c r="H49" s="315">
        <f t="shared" ref="H49:I49" si="9">+G49*(1+$F$39)</f>
        <v>7882.875</v>
      </c>
      <c r="I49" s="315">
        <f t="shared" si="9"/>
        <v>8277.0187500000011</v>
      </c>
      <c r="J49" s="315">
        <f>+I49*(1+$F$39)</f>
        <v>8690.8696875000023</v>
      </c>
    </row>
    <row r="50" spans="4:10" x14ac:dyDescent="0.2">
      <c r="D50" s="249" t="s">
        <v>208</v>
      </c>
      <c r="E50" s="312"/>
      <c r="F50" s="322">
        <f>GASTOS!E41</f>
        <v>1595</v>
      </c>
      <c r="G50" s="315">
        <f>F50*(1+$F$39)</f>
        <v>1674.75</v>
      </c>
      <c r="H50" s="315">
        <f t="shared" ref="H50:I51" si="10">G50*(1+$F$39)</f>
        <v>1758.4875000000002</v>
      </c>
      <c r="I50" s="315">
        <f t="shared" si="10"/>
        <v>1846.4118750000002</v>
      </c>
      <c r="J50" s="315">
        <f>I50*(1+$F$39)</f>
        <v>1938.7324687500004</v>
      </c>
    </row>
    <row r="51" spans="4:10" x14ac:dyDescent="0.2">
      <c r="D51" s="249" t="s">
        <v>314</v>
      </c>
      <c r="E51" s="312"/>
      <c r="F51" s="315">
        <f>GASTOS!F53+GASTOS!F72</f>
        <v>3243.7</v>
      </c>
      <c r="G51" s="315">
        <f>F51*(1+$F$39)</f>
        <v>3405.8849999999998</v>
      </c>
      <c r="H51" s="315">
        <f t="shared" si="10"/>
        <v>3576.1792499999997</v>
      </c>
      <c r="I51" s="315">
        <f t="shared" si="10"/>
        <v>3754.9882124999999</v>
      </c>
      <c r="J51" s="315">
        <f>I51*(1+$F$39)</f>
        <v>3942.737623125</v>
      </c>
    </row>
    <row r="52" spans="4:10" x14ac:dyDescent="0.2">
      <c r="D52" s="249" t="s">
        <v>104</v>
      </c>
      <c r="E52" s="312"/>
      <c r="F52" s="315">
        <f>+SUELDO!F24</f>
        <v>54677.961967199997</v>
      </c>
      <c r="G52" s="315">
        <f>+SUELDO!G24</f>
        <v>60145.75816392</v>
      </c>
      <c r="H52" s="315">
        <f>+SUELDO!H24</f>
        <v>66160.333980312018</v>
      </c>
      <c r="I52" s="315">
        <f>+SUELDO!I24</f>
        <v>72776.367378343217</v>
      </c>
      <c r="J52" s="315">
        <f>+SUELDO!J24</f>
        <v>80054.004116177544</v>
      </c>
    </row>
    <row r="53" spans="4:10" x14ac:dyDescent="0.2">
      <c r="D53" s="249" t="s">
        <v>317</v>
      </c>
      <c r="E53" s="312"/>
      <c r="F53" s="315">
        <f>-DEPRECIACIÓN!$E$14</f>
        <v>-8906.1666666666661</v>
      </c>
      <c r="G53" s="315">
        <f>-DEPRECIACIÓN!$E$14</f>
        <v>-8906.1666666666661</v>
      </c>
      <c r="H53" s="315">
        <f>-DEPRECIACIÓN!$E$14</f>
        <v>-8906.1666666666661</v>
      </c>
      <c r="I53" s="315">
        <f>-DEPRECIACIÓN!$E$14</f>
        <v>-8906.1666666666661</v>
      </c>
      <c r="J53" s="315">
        <f>-DEPRECIACIÓN!$E$14</f>
        <v>-8906.1666666666661</v>
      </c>
    </row>
    <row r="54" spans="4:10" x14ac:dyDescent="0.2">
      <c r="D54" s="323" t="s">
        <v>315</v>
      </c>
      <c r="E54" s="324"/>
      <c r="F54" s="319">
        <f>SUM(F47:F53)</f>
        <v>67561.695300533334</v>
      </c>
      <c r="G54" s="319">
        <f t="shared" ref="G54:I54" si="11">SUM(G47:G53)</f>
        <v>74118.986497253325</v>
      </c>
      <c r="H54" s="319">
        <f t="shared" si="11"/>
        <v>81277.532063645354</v>
      </c>
      <c r="I54" s="319">
        <f t="shared" si="11"/>
        <v>89094.733699176548</v>
      </c>
      <c r="J54" s="325">
        <f>SUM(J47:J53)</f>
        <v>97633.597086385867</v>
      </c>
    </row>
    <row r="55" spans="4:10" x14ac:dyDescent="0.2">
      <c r="D55" s="326" t="s">
        <v>316</v>
      </c>
      <c r="E55" s="318"/>
      <c r="F55" s="319">
        <f>F45-F54</f>
        <v>29669.804699466666</v>
      </c>
      <c r="G55" s="319">
        <f>G45-G54</f>
        <v>27974.088502746672</v>
      </c>
      <c r="H55" s="319">
        <f>H45-H54</f>
        <v>25920.196686354655</v>
      </c>
      <c r="I55" s="319">
        <f>I45-I54</f>
        <v>23462.881488323474</v>
      </c>
      <c r="J55" s="325">
        <f>J45-J54</f>
        <v>20551.898860489164</v>
      </c>
    </row>
    <row r="56" spans="4:10" s="316" customFormat="1" x14ac:dyDescent="0.2">
      <c r="D56" s="249" t="s">
        <v>318</v>
      </c>
      <c r="E56" s="312"/>
      <c r="F56" s="315">
        <f t="array" ref="F56:J56">TRANSPOSE(AMORTIZACIÓN!F5:F9)</f>
        <v>668.63418086398792</v>
      </c>
      <c r="G56" s="315">
        <v>555.04683822380639</v>
      </c>
      <c r="H56" s="315">
        <v>432.17940968992207</v>
      </c>
      <c r="I56" s="315">
        <v>299.27371224481936</v>
      </c>
      <c r="J56" s="321">
        <v>155.5096193184518</v>
      </c>
    </row>
    <row r="57" spans="4:10" x14ac:dyDescent="0.2">
      <c r="D57" s="317" t="s">
        <v>319</v>
      </c>
      <c r="E57" s="117"/>
      <c r="F57" s="327">
        <f>F55-F56</f>
        <v>29001.170518602677</v>
      </c>
      <c r="G57" s="327">
        <f t="shared" ref="G57:J57" si="12">G55-G56</f>
        <v>27419.041664522865</v>
      </c>
      <c r="H57" s="327">
        <f t="shared" si="12"/>
        <v>25488.017276664734</v>
      </c>
      <c r="I57" s="327">
        <f t="shared" si="12"/>
        <v>23163.607776078654</v>
      </c>
      <c r="J57" s="327">
        <f t="shared" si="12"/>
        <v>20396.389241170713</v>
      </c>
    </row>
    <row r="58" spans="4:10" x14ac:dyDescent="0.2">
      <c r="D58" s="249" t="s">
        <v>320</v>
      </c>
      <c r="E58" s="312"/>
      <c r="F58" s="315">
        <f>IF(F57&gt;0,F57*0.15,0)</f>
        <v>4350.1755777904018</v>
      </c>
      <c r="G58" s="315">
        <f t="shared" ref="G58:J58" si="13">IF(G57&gt;0,G57*0.15,0)</f>
        <v>4112.8562496784298</v>
      </c>
      <c r="H58" s="315">
        <f t="shared" si="13"/>
        <v>3823.2025914997098</v>
      </c>
      <c r="I58" s="315">
        <f t="shared" si="13"/>
        <v>3474.5411664117978</v>
      </c>
      <c r="J58" s="321">
        <f t="shared" si="13"/>
        <v>3059.4583861756068</v>
      </c>
    </row>
    <row r="59" spans="4:10" x14ac:dyDescent="0.2">
      <c r="D59" s="326" t="s">
        <v>321</v>
      </c>
      <c r="E59" s="318"/>
      <c r="F59" s="319">
        <f>F57-F58</f>
        <v>24650.994940812277</v>
      </c>
      <c r="G59" s="319">
        <f t="shared" ref="G59:J59" si="14">G57-G58</f>
        <v>23306.185414844436</v>
      </c>
      <c r="H59" s="319">
        <f t="shared" si="14"/>
        <v>21664.814685165024</v>
      </c>
      <c r="I59" s="319">
        <f t="shared" si="14"/>
        <v>19689.066609666857</v>
      </c>
      <c r="J59" s="319">
        <f t="shared" si="14"/>
        <v>17336.930854995106</v>
      </c>
    </row>
    <row r="60" spans="4:10" x14ac:dyDescent="0.2">
      <c r="D60" s="249" t="s">
        <v>308</v>
      </c>
      <c r="E60" s="312"/>
      <c r="F60" s="315">
        <f>IF(F59&gt;0,F59*0.23,0)</f>
        <v>5669.7288363868238</v>
      </c>
      <c r="G60" s="315">
        <f>IF(G59&gt;0,G59*0.22,0)</f>
        <v>5127.3607912657762</v>
      </c>
      <c r="H60" s="315">
        <f>IF(H59&gt;0,H59*0.22,0)</f>
        <v>4766.2592307363057</v>
      </c>
      <c r="I60" s="315">
        <f>IF(I59&gt;0,I59*0.22,0)</f>
        <v>4331.5946541267085</v>
      </c>
      <c r="J60" s="315">
        <f>IF(J59&gt;0,J59*0.22,0)</f>
        <v>3814.1247880989231</v>
      </c>
    </row>
    <row r="61" spans="4:10" ht="12.75" thickBot="1" x14ac:dyDescent="0.25">
      <c r="D61" s="330" t="s">
        <v>322</v>
      </c>
      <c r="E61" s="331"/>
      <c r="F61" s="332">
        <f>F59-F60</f>
        <v>18981.266104425453</v>
      </c>
      <c r="G61" s="332">
        <f>G59-G60</f>
        <v>18178.824623578661</v>
      </c>
      <c r="H61" s="332">
        <f t="shared" ref="H61:J61" si="15">H59-H60</f>
        <v>16898.555454428719</v>
      </c>
      <c r="I61" s="332">
        <f t="shared" si="15"/>
        <v>15357.47195554015</v>
      </c>
      <c r="J61" s="332">
        <f t="shared" si="15"/>
        <v>13522.806066896183</v>
      </c>
    </row>
    <row r="62" spans="4:10" ht="12.75" hidden="1" thickBot="1" x14ac:dyDescent="0.25">
      <c r="D62" s="169"/>
      <c r="E62" s="122"/>
      <c r="F62" s="333"/>
      <c r="G62" s="333"/>
      <c r="H62" s="333"/>
      <c r="I62" s="333"/>
      <c r="J62" s="333"/>
    </row>
    <row r="63" spans="4:10" x14ac:dyDescent="0.2">
      <c r="D63" s="334" t="s">
        <v>309</v>
      </c>
      <c r="E63" s="335"/>
      <c r="F63" s="336">
        <f>-F53</f>
        <v>8906.1666666666661</v>
      </c>
      <c r="G63" s="336">
        <f t="shared" ref="G63:J63" si="16">-G53</f>
        <v>8906.1666666666661</v>
      </c>
      <c r="H63" s="336">
        <f t="shared" si="16"/>
        <v>8906.1666666666661</v>
      </c>
      <c r="I63" s="336">
        <f t="shared" si="16"/>
        <v>8906.1666666666661</v>
      </c>
      <c r="J63" s="336">
        <f t="shared" si="16"/>
        <v>8906.1666666666661</v>
      </c>
    </row>
    <row r="64" spans="4:10" x14ac:dyDescent="0.2">
      <c r="D64" s="337" t="s">
        <v>323</v>
      </c>
      <c r="E64" s="48"/>
      <c r="F64" s="338">
        <f t="array" ref="F64:J64">TRANSPOSE(AMORTIZACIÓN!E5:E9)</f>
        <v>1390.2979515322097</v>
      </c>
      <c r="G64" s="338">
        <v>1503.8852941723912</v>
      </c>
      <c r="H64" s="338">
        <v>1626.7527227062756</v>
      </c>
      <c r="I64" s="338">
        <v>1759.6584201513783</v>
      </c>
      <c r="J64" s="339">
        <v>1903.4225130777459</v>
      </c>
    </row>
    <row r="65" spans="4:14" x14ac:dyDescent="0.2">
      <c r="D65" s="340" t="s">
        <v>325</v>
      </c>
      <c r="E65" s="341"/>
      <c r="F65" s="342">
        <f>F61+F63-F64</f>
        <v>26497.134819559909</v>
      </c>
      <c r="G65" s="342">
        <f t="shared" ref="G65:J65" si="17">G61+G63-G64</f>
        <v>25581.105996072936</v>
      </c>
      <c r="H65" s="342">
        <f t="shared" si="17"/>
        <v>24177.969398389112</v>
      </c>
      <c r="I65" s="342">
        <f t="shared" si="17"/>
        <v>22503.980202055438</v>
      </c>
      <c r="J65" s="342">
        <f t="shared" si="17"/>
        <v>20525.550220485104</v>
      </c>
    </row>
    <row r="66" spans="4:14" x14ac:dyDescent="0.2">
      <c r="D66" s="343" t="s">
        <v>324</v>
      </c>
      <c r="E66" s="338">
        <f>-INVERSIONES!D70</f>
        <v>-38971.949999999997</v>
      </c>
      <c r="F66" s="344"/>
      <c r="G66" s="344"/>
      <c r="H66" s="344"/>
      <c r="I66" s="344"/>
      <c r="J66" s="345"/>
    </row>
    <row r="67" spans="4:14" x14ac:dyDescent="0.2">
      <c r="D67" s="343" t="s">
        <v>326</v>
      </c>
      <c r="E67" s="338">
        <f>'CAPITAL DE TRABAJO'!B17</f>
        <v>-4097.193661199999</v>
      </c>
      <c r="F67" s="344"/>
      <c r="G67" s="344"/>
      <c r="H67" s="344"/>
      <c r="I67" s="344"/>
      <c r="J67" s="345"/>
    </row>
    <row r="68" spans="4:14" x14ac:dyDescent="0.2">
      <c r="D68" s="343" t="s">
        <v>327</v>
      </c>
      <c r="E68" s="346">
        <f>AMORTIZACIÓN!E11</f>
        <v>8184.0169016399996</v>
      </c>
      <c r="F68" s="48"/>
      <c r="G68" s="48"/>
      <c r="H68" s="48"/>
      <c r="I68" s="48"/>
      <c r="J68" s="159"/>
    </row>
    <row r="69" spans="4:14" x14ac:dyDescent="0.2">
      <c r="D69" s="343" t="s">
        <v>328</v>
      </c>
      <c r="E69" s="48"/>
      <c r="F69" s="48"/>
      <c r="G69" s="48"/>
      <c r="H69" s="48"/>
      <c r="I69" s="48"/>
      <c r="J69" s="347">
        <f>-E67</f>
        <v>4097.193661199999</v>
      </c>
    </row>
    <row r="70" spans="4:14" x14ac:dyDescent="0.2">
      <c r="D70" s="343" t="s">
        <v>118</v>
      </c>
      <c r="E70" s="48"/>
      <c r="F70" s="48"/>
      <c r="G70" s="48"/>
      <c r="H70" s="48"/>
      <c r="I70" s="48"/>
      <c r="J70" s="339">
        <f>'VALOR DE DESECHO'!G11</f>
        <v>4277.833333333333</v>
      </c>
    </row>
    <row r="71" spans="4:14" ht="12.75" thickBot="1" x14ac:dyDescent="0.25">
      <c r="D71" s="348" t="s">
        <v>329</v>
      </c>
      <c r="E71" s="349">
        <f>SUM(E66:E68)</f>
        <v>-34885.126759559993</v>
      </c>
      <c r="F71" s="349">
        <f>SUM(F65:F70)</f>
        <v>26497.134819559909</v>
      </c>
      <c r="G71" s="349">
        <f t="shared" ref="G71:I71" si="18">SUM(G65:G70)</f>
        <v>25581.105996072936</v>
      </c>
      <c r="H71" s="349">
        <f t="shared" si="18"/>
        <v>24177.969398389112</v>
      </c>
      <c r="I71" s="349">
        <f t="shared" si="18"/>
        <v>22503.980202055438</v>
      </c>
      <c r="J71" s="349">
        <f>SUM(J65:J70)</f>
        <v>28900.577215018435</v>
      </c>
    </row>
    <row r="72" spans="4:14" x14ac:dyDescent="0.2">
      <c r="D72" s="350" t="s">
        <v>330</v>
      </c>
      <c r="E72" s="530">
        <v>0.16281031750371483</v>
      </c>
    </row>
    <row r="73" spans="4:14" x14ac:dyDescent="0.2">
      <c r="D73" s="351" t="s">
        <v>331</v>
      </c>
      <c r="E73" s="530">
        <f>IRR(E71:J71)</f>
        <v>0.68080705974927036</v>
      </c>
    </row>
    <row r="74" spans="4:14" ht="12.75" thickBot="1" x14ac:dyDescent="0.25">
      <c r="D74" s="353" t="s">
        <v>126</v>
      </c>
      <c r="E74" s="354">
        <f>+NPV(E72,F71:J71)+E71</f>
        <v>48102.431744308778</v>
      </c>
    </row>
    <row r="75" spans="4:14" x14ac:dyDescent="0.2">
      <c r="D75" s="355"/>
      <c r="E75" s="356"/>
    </row>
    <row r="76" spans="4:14" x14ac:dyDescent="0.2">
      <c r="D76" s="355"/>
      <c r="E76" s="356"/>
    </row>
    <row r="77" spans="4:14" x14ac:dyDescent="0.2">
      <c r="D77" s="355"/>
      <c r="E77" s="356"/>
    </row>
    <row r="78" spans="4:14" ht="20.25" customHeight="1" x14ac:dyDescent="0.2">
      <c r="D78" s="355"/>
      <c r="E78" s="356"/>
    </row>
    <row r="79" spans="4:14" hidden="1" x14ac:dyDescent="0.2">
      <c r="D79" s="357" t="s">
        <v>333</v>
      </c>
      <c r="E79" s="358">
        <v>0</v>
      </c>
      <c r="F79" s="359">
        <v>1</v>
      </c>
      <c r="G79" s="359">
        <v>2</v>
      </c>
      <c r="H79" s="359">
        <v>3</v>
      </c>
      <c r="I79" s="359">
        <v>4</v>
      </c>
      <c r="J79" s="359">
        <v>5</v>
      </c>
      <c r="L79" s="360" t="s">
        <v>332</v>
      </c>
      <c r="M79" s="360" t="s">
        <v>452</v>
      </c>
    </row>
    <row r="80" spans="4:14" hidden="1" x14ac:dyDescent="0.2">
      <c r="D80" s="318" t="s">
        <v>334</v>
      </c>
      <c r="E80" s="361">
        <f>$E$71</f>
        <v>-34885.126759559993</v>
      </c>
      <c r="F80" s="361">
        <f>E80+F71</f>
        <v>-8387.9919400000836</v>
      </c>
      <c r="G80" s="361">
        <f>F80+G71</f>
        <v>17193.114056072853</v>
      </c>
      <c r="H80" s="361">
        <f>G80+H71</f>
        <v>41371.083454461965</v>
      </c>
      <c r="I80" s="361">
        <f>H80+I71</f>
        <v>63875.063656517406</v>
      </c>
      <c r="J80" s="361">
        <f>I80+J71</f>
        <v>92775.640871535841</v>
      </c>
      <c r="K80" s="362"/>
      <c r="L80" s="363">
        <f>(G80-F80)/365</f>
        <v>70.085221907049146</v>
      </c>
      <c r="M80" s="364">
        <f>F80/L80</f>
        <v>-119.68274782841806</v>
      </c>
      <c r="N80" s="307" t="s">
        <v>450</v>
      </c>
    </row>
    <row r="81" spans="4:14" hidden="1" x14ac:dyDescent="0.2">
      <c r="D81" s="318" t="s">
        <v>335</v>
      </c>
      <c r="E81" s="361">
        <f t="shared" ref="E81:E82" si="19">$E$71</f>
        <v>-34885.126759559993</v>
      </c>
      <c r="F81" s="361">
        <f>F71/(($E$72+1)^F79)</f>
        <v>22787.151456002848</v>
      </c>
      <c r="G81" s="361">
        <f>G71/(($E$72+1)^G79)</f>
        <v>18919.147541743521</v>
      </c>
      <c r="H81" s="361">
        <f>H71/(($E$72+1)^H79)</f>
        <v>15377.764081033501</v>
      </c>
      <c r="I81" s="361">
        <f>I71/(($E$72+1)^I79)</f>
        <v>12309.03001830316</v>
      </c>
      <c r="J81" s="361">
        <f>J71/(($E$72+1)^J79)</f>
        <v>13594.465406785737</v>
      </c>
      <c r="K81" s="362"/>
      <c r="L81" s="362"/>
    </row>
    <row r="82" spans="4:14" hidden="1" x14ac:dyDescent="0.2">
      <c r="D82" s="318" t="s">
        <v>336</v>
      </c>
      <c r="E82" s="361">
        <f t="shared" si="19"/>
        <v>-34885.126759559993</v>
      </c>
      <c r="F82" s="361">
        <f>E82+F81</f>
        <v>-12097.975303557145</v>
      </c>
      <c r="G82" s="361">
        <f t="shared" ref="G82:I82" si="20">F82+G81</f>
        <v>6821.1722381863765</v>
      </c>
      <c r="H82" s="361">
        <f t="shared" si="20"/>
        <v>22198.93631921988</v>
      </c>
      <c r="I82" s="361">
        <f t="shared" si="20"/>
        <v>34507.966337523038</v>
      </c>
      <c r="J82" s="361">
        <f>I82+J81</f>
        <v>48102.431744308778</v>
      </c>
      <c r="K82" s="362"/>
      <c r="L82" s="363">
        <f>(G82-F82)/365</f>
        <v>51.833280936283622</v>
      </c>
      <c r="M82" s="364">
        <f>F82/L82</f>
        <v>-233.4016887418077</v>
      </c>
      <c r="N82" s="307" t="s">
        <v>451</v>
      </c>
    </row>
    <row r="83" spans="4:14" x14ac:dyDescent="0.2">
      <c r="D83" s="355"/>
      <c r="E83" s="356"/>
      <c r="F83" s="122"/>
      <c r="G83" s="122"/>
      <c r="H83" s="122"/>
      <c r="I83" s="122"/>
      <c r="J83" s="122"/>
    </row>
  </sheetData>
  <scenarios current="5" sqref="E74">
    <scenario name="5%" locked="1" count="1" user="Usuario" comment="Creado por Usuario el 09/02/2012">
      <inputCells r="G39" val="0,05" numFmtId="9"/>
    </scenario>
    <scenario name="10%" locked="1" count="1" user="Usuario" comment="Creado por Usuario el 09/02/2012">
      <inputCells r="G39" val="0,1" numFmtId="9"/>
    </scenario>
    <scenario name="15%" locked="1" count="1" user="Usuario" comment="Creado por Usuario el 09/02/2012_x000a_Modificado por Usuario el 09/02/2012">
      <inputCells r="G39" val="0,15" numFmtId="9"/>
    </scenario>
    <scenario name="20%" locked="1" count="1" user="Usuario" comment="Creado por Usuario el 09/02/2012">
      <inputCells r="G39" val="0,2" numFmtId="9"/>
    </scenario>
    <scenario name="25%" locked="1" count="1" user="Usuario" comment="Creado por Usuario el 09/02/2012">
      <inputCells r="G39" val="0,25" numFmtId="9"/>
    </scenario>
    <scenario name="30%" locked="1" count="1" user="Usuario" comment="Creado por Usuario el 09/02/2012">
      <inputCells r="G39" val="0,3" numFmtId="9"/>
    </scenario>
  </scenarios>
  <mergeCells count="20">
    <mergeCell ref="I35:J35"/>
    <mergeCell ref="D41:J41"/>
    <mergeCell ref="L19:M19"/>
    <mergeCell ref="D29:G29"/>
    <mergeCell ref="D30:G30"/>
    <mergeCell ref="E31:G31"/>
    <mergeCell ref="E32:G32"/>
    <mergeCell ref="E33:G33"/>
    <mergeCell ref="L18:M18"/>
    <mergeCell ref="D2:I2"/>
    <mergeCell ref="D3:F3"/>
    <mergeCell ref="G3:I3"/>
    <mergeCell ref="M3:O3"/>
    <mergeCell ref="D4:F4"/>
    <mergeCell ref="G8:I8"/>
    <mergeCell ref="L13:M13"/>
    <mergeCell ref="L14:M14"/>
    <mergeCell ref="L15:M15"/>
    <mergeCell ref="L16:M16"/>
    <mergeCell ref="L17:M17"/>
  </mergeCells>
  <pageMargins left="0.7" right="0.7" top="0.75" bottom="0.75" header="0.3" footer="0.3"/>
  <pageSetup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topLeftCell="A12" workbookViewId="0">
      <selection activeCell="D16" sqref="D16"/>
    </sheetView>
  </sheetViews>
  <sheetFormatPr defaultColWidth="9.140625" defaultRowHeight="15" x14ac:dyDescent="0.25"/>
  <cols>
    <col min="3" max="3" width="6" bestFit="1" customWidth="1"/>
    <col min="4" max="4" width="14.7109375" bestFit="1" customWidth="1"/>
    <col min="5" max="7" width="12" bestFit="1" customWidth="1"/>
    <col min="8" max="10" width="11.28515625" bestFit="1" customWidth="1"/>
    <col min="11" max="13" width="12.28515625" bestFit="1" customWidth="1"/>
  </cols>
  <sheetData>
    <row r="1" spans="2:13" ht="15.75" thickBot="1" x14ac:dyDescent="0.3"/>
    <row r="2" spans="2:13" ht="15.75" x14ac:dyDescent="0.25">
      <c r="B2" s="454" t="s">
        <v>441</v>
      </c>
      <c r="C2" s="454"/>
      <c r="D2" s="459"/>
      <c r="E2" s="459"/>
      <c r="F2" s="459"/>
      <c r="G2" s="459"/>
      <c r="H2" s="459"/>
      <c r="I2" s="459"/>
      <c r="J2" s="459"/>
      <c r="K2" s="459"/>
      <c r="L2" s="459"/>
      <c r="M2" s="459"/>
    </row>
    <row r="3" spans="2:13" ht="15.75" x14ac:dyDescent="0.25">
      <c r="B3" s="453"/>
      <c r="C3" s="453"/>
      <c r="D3" s="460" t="s">
        <v>443</v>
      </c>
      <c r="E3" s="460">
        <v>7</v>
      </c>
      <c r="F3" s="460">
        <v>8</v>
      </c>
      <c r="G3" s="460">
        <v>9</v>
      </c>
      <c r="H3" s="460">
        <v>10</v>
      </c>
      <c r="I3" s="460">
        <v>11</v>
      </c>
      <c r="J3" s="460">
        <v>12</v>
      </c>
      <c r="K3" s="460">
        <v>13</v>
      </c>
      <c r="L3" s="460">
        <v>14</v>
      </c>
      <c r="M3" s="460">
        <v>15</v>
      </c>
    </row>
    <row r="4" spans="2:13" x14ac:dyDescent="0.25">
      <c r="B4" s="456"/>
      <c r="C4" s="456"/>
      <c r="D4" s="211"/>
      <c r="E4" s="461"/>
      <c r="F4" s="461"/>
      <c r="G4" s="461"/>
      <c r="H4" s="461"/>
      <c r="I4" s="461"/>
      <c r="J4" s="461"/>
      <c r="K4" s="461"/>
      <c r="L4" s="461"/>
      <c r="M4" s="461"/>
    </row>
    <row r="5" spans="2:13" x14ac:dyDescent="0.25">
      <c r="B5" s="457" t="s">
        <v>442</v>
      </c>
      <c r="C5" s="457"/>
      <c r="D5" s="455"/>
      <c r="E5" s="455"/>
      <c r="F5" s="455"/>
      <c r="G5" s="455"/>
      <c r="H5" s="455"/>
      <c r="I5" s="455"/>
      <c r="J5" s="455"/>
      <c r="K5" s="455"/>
      <c r="L5" s="455"/>
      <c r="M5" s="455"/>
    </row>
    <row r="6" spans="2:13" x14ac:dyDescent="0.25">
      <c r="B6" s="456"/>
      <c r="C6" s="456" t="s">
        <v>440</v>
      </c>
      <c r="D6" s="211">
        <v>10</v>
      </c>
      <c r="E6" s="462">
        <v>7</v>
      </c>
      <c r="F6" s="462">
        <v>8</v>
      </c>
      <c r="G6" s="462">
        <v>9</v>
      </c>
      <c r="H6" s="462">
        <v>10</v>
      </c>
      <c r="I6" s="462">
        <v>11</v>
      </c>
      <c r="J6" s="462">
        <v>12</v>
      </c>
      <c r="K6" s="462">
        <v>13</v>
      </c>
      <c r="L6" s="462">
        <v>14</v>
      </c>
      <c r="M6" s="462">
        <v>15</v>
      </c>
    </row>
    <row r="7" spans="2:13" x14ac:dyDescent="0.25">
      <c r="B7" s="457" t="s">
        <v>444</v>
      </c>
      <c r="C7" s="457"/>
      <c r="D7" s="455"/>
      <c r="E7" s="455"/>
      <c r="F7" s="455"/>
      <c r="G7" s="455"/>
      <c r="H7" s="455"/>
      <c r="I7" s="455"/>
      <c r="J7" s="455"/>
      <c r="K7" s="455"/>
      <c r="L7" s="455"/>
      <c r="M7" s="455"/>
    </row>
    <row r="8" spans="2:13" ht="15.75" thickBot="1" x14ac:dyDescent="0.3">
      <c r="B8" s="458"/>
      <c r="C8" s="458" t="s">
        <v>553</v>
      </c>
      <c r="D8" s="452">
        <v>48102.4317443088</v>
      </c>
      <c r="E8" s="452">
        <v>-26819.346116525299</v>
      </c>
      <c r="F8" s="452">
        <v>2055.1729771571299</v>
      </c>
      <c r="G8" s="452">
        <v>25335.6618913981</v>
      </c>
      <c r="H8" s="452">
        <v>48102.4317443088</v>
      </c>
      <c r="I8" s="452">
        <v>70869.201597219406</v>
      </c>
      <c r="J8" s="452">
        <v>93635.971450130004</v>
      </c>
      <c r="K8" s="452">
        <v>116402.741303041</v>
      </c>
      <c r="L8" s="452">
        <v>139169.51115595101</v>
      </c>
      <c r="M8" s="452">
        <v>161936.28100886199</v>
      </c>
    </row>
    <row r="11" spans="2:13" x14ac:dyDescent="0.25">
      <c r="D11" s="365" t="s">
        <v>59</v>
      </c>
      <c r="E11" s="471">
        <v>7</v>
      </c>
      <c r="F11" s="471">
        <v>8</v>
      </c>
      <c r="G11" s="471">
        <v>9</v>
      </c>
      <c r="H11" s="471">
        <v>10</v>
      </c>
      <c r="I11" s="471">
        <v>11</v>
      </c>
      <c r="J11" s="471">
        <v>12</v>
      </c>
      <c r="K11" s="471">
        <v>13</v>
      </c>
      <c r="L11" s="471">
        <v>14</v>
      </c>
      <c r="M11" s="471">
        <v>15</v>
      </c>
    </row>
    <row r="12" spans="2:13" ht="15.75" thickBot="1" x14ac:dyDescent="0.3">
      <c r="D12" s="365" t="s">
        <v>126</v>
      </c>
      <c r="E12" s="452">
        <v>-26819.346116525299</v>
      </c>
      <c r="F12" s="452">
        <v>2055.1729771571299</v>
      </c>
      <c r="G12" s="452">
        <v>25335.6618913981</v>
      </c>
      <c r="H12" s="452">
        <v>48102.4317443088</v>
      </c>
      <c r="I12" s="452">
        <v>70869.201597219406</v>
      </c>
      <c r="J12" s="452">
        <v>93635.971450130004</v>
      </c>
      <c r="K12" s="452">
        <v>116402.741303041</v>
      </c>
      <c r="L12" s="452">
        <v>139169.51115595101</v>
      </c>
      <c r="M12" s="452">
        <v>161936.28100886199</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topLeftCell="A2" zoomScale="85" zoomScaleNormal="85" workbookViewId="0">
      <selection activeCell="C13" sqref="C13:L14"/>
    </sheetView>
  </sheetViews>
  <sheetFormatPr defaultColWidth="9.140625" defaultRowHeight="15" x14ac:dyDescent="0.25"/>
  <cols>
    <col min="4" max="4" width="14.7109375" bestFit="1" customWidth="1"/>
    <col min="5" max="9" width="11.28515625" bestFit="1" customWidth="1"/>
    <col min="10" max="10" width="11" bestFit="1" customWidth="1"/>
    <col min="11" max="12" width="12" bestFit="1" customWidth="1"/>
  </cols>
  <sheetData>
    <row r="1" spans="2:12" ht="15.75" thickBot="1" x14ac:dyDescent="0.3"/>
    <row r="2" spans="2:12" ht="15.75" x14ac:dyDescent="0.25">
      <c r="B2" s="454" t="s">
        <v>441</v>
      </c>
      <c r="C2" s="454"/>
      <c r="D2" s="459"/>
      <c r="E2" s="459"/>
      <c r="F2" s="459"/>
      <c r="G2" s="459"/>
      <c r="H2" s="459"/>
      <c r="I2" s="459"/>
      <c r="J2" s="459"/>
      <c r="K2" s="459"/>
      <c r="L2" s="459"/>
    </row>
    <row r="3" spans="2:12" ht="15.75" x14ac:dyDescent="0.25">
      <c r="B3" s="453"/>
      <c r="C3" s="453"/>
      <c r="D3" s="460" t="s">
        <v>443</v>
      </c>
      <c r="E3" s="473">
        <v>0.05</v>
      </c>
      <c r="F3" s="473">
        <v>0.1</v>
      </c>
      <c r="G3" s="473">
        <v>0.15</v>
      </c>
      <c r="H3" s="473">
        <v>0.2</v>
      </c>
      <c r="I3" s="473">
        <v>0.25</v>
      </c>
      <c r="J3" s="473">
        <v>0.3</v>
      </c>
      <c r="K3" s="473">
        <v>0.35</v>
      </c>
      <c r="L3" s="473">
        <v>0.4</v>
      </c>
    </row>
    <row r="4" spans="2:12" x14ac:dyDescent="0.25">
      <c r="B4" s="457" t="s">
        <v>442</v>
      </c>
      <c r="C4" s="457"/>
      <c r="D4" s="455"/>
      <c r="E4" s="455"/>
      <c r="F4" s="455"/>
      <c r="G4" s="455"/>
      <c r="H4" s="455"/>
      <c r="I4" s="455"/>
      <c r="J4" s="455"/>
      <c r="K4" s="455"/>
      <c r="L4" s="455"/>
    </row>
    <row r="5" spans="2:12" x14ac:dyDescent="0.25">
      <c r="B5" s="456"/>
      <c r="C5" s="456" t="s">
        <v>448</v>
      </c>
      <c r="D5" s="451">
        <v>0.1</v>
      </c>
      <c r="E5" s="472">
        <v>0.05</v>
      </c>
      <c r="F5" s="472">
        <v>0.1</v>
      </c>
      <c r="G5" s="472">
        <v>0.15</v>
      </c>
      <c r="H5" s="472">
        <v>0.2</v>
      </c>
      <c r="I5" s="472">
        <v>0.25</v>
      </c>
      <c r="J5" s="472">
        <v>0.3</v>
      </c>
      <c r="K5" s="472">
        <v>0.35</v>
      </c>
      <c r="L5" s="472">
        <v>0.4</v>
      </c>
    </row>
    <row r="6" spans="2:12" x14ac:dyDescent="0.25">
      <c r="B6" s="457" t="s">
        <v>444</v>
      </c>
      <c r="C6" s="457"/>
      <c r="D6" s="455"/>
      <c r="E6" s="455"/>
      <c r="F6" s="455"/>
      <c r="G6" s="455"/>
      <c r="H6" s="455"/>
      <c r="I6" s="455"/>
      <c r="J6" s="455"/>
      <c r="K6" s="455"/>
      <c r="L6" s="455"/>
    </row>
    <row r="7" spans="2:12" ht="15.75" thickBot="1" x14ac:dyDescent="0.3">
      <c r="B7" s="458"/>
      <c r="C7" s="458" t="s">
        <v>553</v>
      </c>
      <c r="D7" s="452">
        <v>48102.4317443088</v>
      </c>
      <c r="E7" s="452">
        <v>61068.299863835498</v>
      </c>
      <c r="F7" s="452">
        <v>48102.4317443088</v>
      </c>
      <c r="G7" s="452">
        <v>35136.563624782</v>
      </c>
      <c r="H7" s="452">
        <v>22170.6955052552</v>
      </c>
      <c r="I7" s="452">
        <v>9204.8273857284694</v>
      </c>
      <c r="J7" s="452">
        <v>-5025.78262606508</v>
      </c>
      <c r="K7" s="452">
        <v>-21314.922151286901</v>
      </c>
      <c r="L7" s="452">
        <v>-40148.345406924404</v>
      </c>
    </row>
    <row r="8" spans="2:12" x14ac:dyDescent="0.25">
      <c r="B8" t="s">
        <v>445</v>
      </c>
    </row>
    <row r="9" spans="2:12" x14ac:dyDescent="0.25">
      <c r="B9" t="s">
        <v>446</v>
      </c>
    </row>
    <row r="10" spans="2:12" x14ac:dyDescent="0.25">
      <c r="B10" t="s">
        <v>447</v>
      </c>
    </row>
    <row r="13" spans="2:12" x14ac:dyDescent="0.25">
      <c r="C13" s="648" t="s">
        <v>453</v>
      </c>
      <c r="D13" s="648"/>
      <c r="E13" s="531">
        <v>0.05</v>
      </c>
      <c r="F13" s="531">
        <v>0.1</v>
      </c>
      <c r="G13" s="531">
        <v>0.15</v>
      </c>
      <c r="H13" s="531">
        <v>0.2</v>
      </c>
      <c r="I13" s="531">
        <v>0.25</v>
      </c>
      <c r="J13" s="531">
        <v>0.3</v>
      </c>
      <c r="K13" s="531">
        <v>0.35</v>
      </c>
      <c r="L13" s="531">
        <v>0.4</v>
      </c>
    </row>
    <row r="14" spans="2:12" ht="15.75" thickBot="1" x14ac:dyDescent="0.3">
      <c r="C14" s="648" t="s">
        <v>126</v>
      </c>
      <c r="D14" s="648"/>
      <c r="E14" s="452">
        <v>61068.299863835498</v>
      </c>
      <c r="F14" s="452">
        <v>48102.4317443088</v>
      </c>
      <c r="G14" s="452">
        <v>35136.563624782</v>
      </c>
      <c r="H14" s="452">
        <v>22170.6955052552</v>
      </c>
      <c r="I14" s="452">
        <v>9204.8273857284694</v>
      </c>
      <c r="J14" s="452">
        <v>-5025.78262606508</v>
      </c>
      <c r="K14" s="452">
        <v>-21314.922151286901</v>
      </c>
      <c r="L14" s="452">
        <v>-40148.345406924404</v>
      </c>
    </row>
    <row r="16" spans="2:12" ht="15.75" thickBot="1" x14ac:dyDescent="0.3">
      <c r="E16" s="452"/>
      <c r="F16" s="452"/>
      <c r="G16" s="452"/>
      <c r="H16" s="452"/>
      <c r="I16" s="452"/>
      <c r="J16" s="452"/>
      <c r="K16" s="452"/>
    </row>
  </sheetData>
  <mergeCells count="2">
    <mergeCell ref="C13:D13"/>
    <mergeCell ref="C14:D1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topLeftCell="A52" workbookViewId="0">
      <selection activeCell="E69" sqref="E69"/>
    </sheetView>
  </sheetViews>
  <sheetFormatPr defaultColWidth="9.140625" defaultRowHeight="15" x14ac:dyDescent="0.25"/>
  <cols>
    <col min="1" max="1" width="2" customWidth="1"/>
    <col min="2" max="2" width="1.85546875" customWidth="1"/>
    <col min="3" max="3" width="12.140625" customWidth="1"/>
    <col min="4" max="4" width="12.28515625" customWidth="1"/>
    <col min="5" max="5" width="17" customWidth="1"/>
    <col min="6" max="6" width="12.42578125" style="206" customWidth="1"/>
    <col min="7" max="7" width="5.28515625" customWidth="1"/>
    <col min="8" max="8" width="15.7109375" customWidth="1"/>
    <col min="9" max="9" width="11.140625" customWidth="1"/>
    <col min="10" max="10" width="2.7109375" style="241" customWidth="1"/>
    <col min="11" max="11" width="80.7109375" customWidth="1"/>
  </cols>
  <sheetData>
    <row r="1" spans="3:6" x14ac:dyDescent="0.25">
      <c r="E1" s="239"/>
      <c r="F1" s="240" t="s">
        <v>472</v>
      </c>
    </row>
    <row r="2" spans="3:6" x14ac:dyDescent="0.25">
      <c r="F2" s="206" t="s">
        <v>570</v>
      </c>
    </row>
    <row r="3" spans="3:6" x14ac:dyDescent="0.25">
      <c r="F3" s="206" t="s">
        <v>571</v>
      </c>
    </row>
    <row r="5" spans="3:6" x14ac:dyDescent="0.25">
      <c r="C5" s="650" t="s">
        <v>473</v>
      </c>
      <c r="D5" s="650"/>
      <c r="E5" s="650"/>
    </row>
    <row r="6" spans="3:6" x14ac:dyDescent="0.25">
      <c r="C6" s="651" t="s">
        <v>474</v>
      </c>
      <c r="D6" s="651"/>
      <c r="E6" s="463">
        <v>1000000</v>
      </c>
    </row>
    <row r="7" spans="3:6" x14ac:dyDescent="0.25">
      <c r="C7" s="651" t="s">
        <v>475</v>
      </c>
      <c r="D7" s="651"/>
      <c r="E7" s="464"/>
    </row>
    <row r="8" spans="3:6" x14ac:dyDescent="0.25">
      <c r="C8" s="651" t="s">
        <v>476</v>
      </c>
      <c r="D8" s="651"/>
      <c r="E8" s="464"/>
    </row>
    <row r="9" spans="3:6" x14ac:dyDescent="0.25">
      <c r="C9" s="651" t="s">
        <v>477</v>
      </c>
      <c r="D9" s="651"/>
      <c r="E9" s="464"/>
    </row>
    <row r="10" spans="3:6" x14ac:dyDescent="0.25">
      <c r="C10" s="651" t="s">
        <v>478</v>
      </c>
      <c r="D10" s="651"/>
      <c r="E10" s="464"/>
    </row>
    <row r="11" spans="3:6" x14ac:dyDescent="0.25">
      <c r="C11" s="651" t="s">
        <v>479</v>
      </c>
      <c r="D11" s="651"/>
      <c r="E11" s="465">
        <v>0.95</v>
      </c>
    </row>
    <row r="12" spans="3:6" x14ac:dyDescent="0.25">
      <c r="C12" s="652"/>
      <c r="D12" s="653"/>
      <c r="E12" s="654"/>
    </row>
    <row r="13" spans="3:6" x14ac:dyDescent="0.25">
      <c r="C13" s="650" t="s">
        <v>480</v>
      </c>
      <c r="D13" s="650"/>
      <c r="E13" s="650"/>
    </row>
    <row r="14" spans="3:6" x14ac:dyDescent="0.25">
      <c r="C14" s="651" t="s">
        <v>481</v>
      </c>
      <c r="D14" s="651"/>
      <c r="E14" s="476">
        <v>10.875398476732347</v>
      </c>
    </row>
    <row r="15" spans="3:6" x14ac:dyDescent="0.25">
      <c r="C15" s="651" t="s">
        <v>482</v>
      </c>
      <c r="D15" s="651"/>
      <c r="E15" s="466">
        <v>91950.653775075552</v>
      </c>
    </row>
    <row r="16" spans="3:6" x14ac:dyDescent="0.25">
      <c r="C16" s="651" t="s">
        <v>483</v>
      </c>
      <c r="D16" s="651"/>
      <c r="E16" s="466">
        <v>367802.61510030221</v>
      </c>
    </row>
    <row r="17" spans="1:10" x14ac:dyDescent="0.25">
      <c r="C17" s="655"/>
      <c r="D17" s="656"/>
      <c r="E17" s="657"/>
    </row>
    <row r="18" spans="1:10" x14ac:dyDescent="0.25">
      <c r="C18" s="650" t="s">
        <v>484</v>
      </c>
      <c r="D18" s="650"/>
      <c r="E18" s="650"/>
    </row>
    <row r="19" spans="1:10" x14ac:dyDescent="0.25">
      <c r="C19" s="651" t="s">
        <v>485</v>
      </c>
      <c r="D19" s="651"/>
      <c r="E19" s="464">
        <v>4</v>
      </c>
    </row>
    <row r="20" spans="1:10" x14ac:dyDescent="0.25">
      <c r="C20" s="651" t="s">
        <v>486</v>
      </c>
      <c r="D20" s="651"/>
      <c r="E20" s="464">
        <v>0</v>
      </c>
    </row>
    <row r="21" spans="1:10" x14ac:dyDescent="0.25">
      <c r="C21" s="651" t="s">
        <v>487</v>
      </c>
      <c r="D21" s="651"/>
      <c r="E21" s="464">
        <v>0</v>
      </c>
    </row>
    <row r="22" spans="1:10" x14ac:dyDescent="0.25">
      <c r="C22" s="651" t="s">
        <v>488</v>
      </c>
      <c r="D22" s="651"/>
      <c r="E22" s="464">
        <v>0</v>
      </c>
    </row>
    <row r="23" spans="1:10" x14ac:dyDescent="0.25">
      <c r="C23" s="651" t="s">
        <v>489</v>
      </c>
      <c r="D23" s="651"/>
      <c r="E23" s="464">
        <v>1</v>
      </c>
    </row>
    <row r="25" spans="1:10" x14ac:dyDescent="0.25">
      <c r="F25" s="240" t="s">
        <v>489</v>
      </c>
    </row>
    <row r="28" spans="1:10" x14ac:dyDescent="0.25">
      <c r="A28" s="243" t="s">
        <v>569</v>
      </c>
    </row>
    <row r="30" spans="1:10" x14ac:dyDescent="0.25">
      <c r="A30" s="243" t="s">
        <v>490</v>
      </c>
      <c r="B30" s="243"/>
      <c r="C30" s="243"/>
      <c r="D30" s="243"/>
      <c r="E30" s="243"/>
      <c r="F30" s="240"/>
      <c r="G30" s="243"/>
      <c r="H30" s="243"/>
      <c r="I30" s="243"/>
      <c r="J30" s="244" t="s">
        <v>552</v>
      </c>
    </row>
    <row r="32" spans="1:10" x14ac:dyDescent="0.25">
      <c r="A32" t="s">
        <v>491</v>
      </c>
      <c r="E32" s="206"/>
      <c r="F32"/>
    </row>
    <row r="33" spans="2:6" x14ac:dyDescent="0.25">
      <c r="B33" t="s">
        <v>580</v>
      </c>
      <c r="E33" s="206"/>
      <c r="F33"/>
    </row>
    <row r="34" spans="2:6" x14ac:dyDescent="0.25">
      <c r="B34" t="s">
        <v>548</v>
      </c>
      <c r="E34" s="206"/>
      <c r="F34"/>
    </row>
    <row r="35" spans="2:6" x14ac:dyDescent="0.25">
      <c r="B35" t="s">
        <v>581</v>
      </c>
      <c r="E35" s="206"/>
      <c r="F35"/>
    </row>
    <row r="36" spans="2:6" x14ac:dyDescent="0.25">
      <c r="B36" t="s">
        <v>582</v>
      </c>
      <c r="E36" s="206"/>
      <c r="F36"/>
    </row>
    <row r="37" spans="2:6" x14ac:dyDescent="0.25">
      <c r="B37" t="s">
        <v>583</v>
      </c>
      <c r="E37" s="206"/>
      <c r="F37"/>
    </row>
    <row r="56" spans="3:5" x14ac:dyDescent="0.25">
      <c r="C56" s="650" t="s">
        <v>492</v>
      </c>
      <c r="D56" s="650"/>
      <c r="E56" s="529" t="s">
        <v>493</v>
      </c>
    </row>
    <row r="57" spans="3:5" x14ac:dyDescent="0.25">
      <c r="C57" s="649" t="s">
        <v>494</v>
      </c>
      <c r="D57" s="649"/>
      <c r="E57" s="466">
        <v>1000000</v>
      </c>
    </row>
    <row r="58" spans="3:5" x14ac:dyDescent="0.25">
      <c r="C58" s="649" t="s">
        <v>495</v>
      </c>
      <c r="D58" s="649"/>
      <c r="E58" s="467">
        <v>37500.436523021868</v>
      </c>
    </row>
    <row r="59" spans="3:5" x14ac:dyDescent="0.25">
      <c r="C59" s="649" t="s">
        <v>496</v>
      </c>
      <c r="D59" s="649"/>
      <c r="E59" s="467">
        <v>37456.012274021981</v>
      </c>
    </row>
    <row r="60" spans="3:5" x14ac:dyDescent="0.25">
      <c r="C60" s="649" t="s">
        <v>497</v>
      </c>
      <c r="D60" s="649"/>
      <c r="E60" s="468" t="s">
        <v>498</v>
      </c>
    </row>
    <row r="61" spans="3:5" x14ac:dyDescent="0.25">
      <c r="C61" s="649" t="s">
        <v>499</v>
      </c>
      <c r="D61" s="649"/>
      <c r="E61" s="467">
        <v>44239.523296977452</v>
      </c>
    </row>
    <row r="62" spans="3:5" x14ac:dyDescent="0.25">
      <c r="C62" s="649" t="s">
        <v>500</v>
      </c>
      <c r="D62" s="649"/>
      <c r="E62" s="467">
        <v>1957135421.5438108</v>
      </c>
    </row>
    <row r="63" spans="3:5" x14ac:dyDescent="0.25">
      <c r="C63" s="649" t="s">
        <v>501</v>
      </c>
      <c r="D63" s="649"/>
      <c r="E63" s="469">
        <v>-0.21791046952630228</v>
      </c>
    </row>
    <row r="64" spans="3:5" x14ac:dyDescent="0.25">
      <c r="C64" s="649" t="s">
        <v>502</v>
      </c>
      <c r="D64" s="649"/>
      <c r="E64" s="470">
        <v>4.6661814747296289</v>
      </c>
    </row>
    <row r="65" spans="1:10" x14ac:dyDescent="0.25">
      <c r="C65" s="649" t="s">
        <v>503</v>
      </c>
      <c r="D65" s="649"/>
      <c r="E65" s="470">
        <v>1.1797068887403055</v>
      </c>
    </row>
    <row r="66" spans="1:10" x14ac:dyDescent="0.25">
      <c r="C66" s="649" t="s">
        <v>504</v>
      </c>
      <c r="D66" s="649"/>
      <c r="E66" s="467">
        <v>-344674.09833094315</v>
      </c>
    </row>
    <row r="67" spans="1:10" x14ac:dyDescent="0.25">
      <c r="C67" s="649" t="s">
        <v>505</v>
      </c>
      <c r="D67" s="649"/>
      <c r="E67" s="467">
        <v>422745.84913068626</v>
      </c>
    </row>
    <row r="68" spans="1:10" x14ac:dyDescent="0.25">
      <c r="C68" s="649" t="s">
        <v>506</v>
      </c>
      <c r="D68" s="649"/>
      <c r="E68" s="467">
        <v>767419.9474616294</v>
      </c>
    </row>
    <row r="69" spans="1:10" x14ac:dyDescent="0.25">
      <c r="C69" s="649" t="s">
        <v>507</v>
      </c>
      <c r="D69" s="649"/>
      <c r="E69" s="535">
        <v>44.239523296977502</v>
      </c>
    </row>
    <row r="71" spans="1:10" x14ac:dyDescent="0.25">
      <c r="A71" s="243" t="s">
        <v>508</v>
      </c>
      <c r="B71" s="243"/>
      <c r="C71" s="243"/>
      <c r="D71" s="243"/>
      <c r="E71" s="243"/>
      <c r="F71" s="240"/>
      <c r="G71" s="243"/>
      <c r="H71" s="243"/>
      <c r="I71" s="243"/>
      <c r="J71" s="244" t="s">
        <v>552</v>
      </c>
    </row>
    <row r="73" spans="1:10" x14ac:dyDescent="0.25">
      <c r="B73" t="s">
        <v>509</v>
      </c>
      <c r="E73" s="245" t="s">
        <v>493</v>
      </c>
    </row>
    <row r="74" spans="1:10" x14ac:dyDescent="0.25">
      <c r="C74" t="s">
        <v>510</v>
      </c>
      <c r="E74" s="246">
        <v>-344674.09833094315</v>
      </c>
    </row>
    <row r="75" spans="1:10" x14ac:dyDescent="0.25">
      <c r="C75" t="s">
        <v>511</v>
      </c>
      <c r="E75" s="246">
        <v>-13954.618448104731</v>
      </c>
    </row>
    <row r="76" spans="1:10" x14ac:dyDescent="0.25">
      <c r="C76" t="s">
        <v>512</v>
      </c>
      <c r="E76" s="246">
        <v>5800.2924373932256</v>
      </c>
    </row>
    <row r="77" spans="1:10" x14ac:dyDescent="0.25">
      <c r="C77" t="s">
        <v>513</v>
      </c>
      <c r="E77" s="246">
        <v>17827.003656854395</v>
      </c>
    </row>
    <row r="78" spans="1:10" x14ac:dyDescent="0.25">
      <c r="C78" t="s">
        <v>514</v>
      </c>
      <c r="E78" s="246">
        <v>27928.717764535711</v>
      </c>
    </row>
    <row r="79" spans="1:10" x14ac:dyDescent="0.25">
      <c r="C79" t="s">
        <v>515</v>
      </c>
      <c r="E79" s="246">
        <v>37455.968572560188</v>
      </c>
    </row>
    <row r="80" spans="1:10" x14ac:dyDescent="0.25">
      <c r="C80" t="s">
        <v>516</v>
      </c>
      <c r="E80" s="246">
        <v>47273.976194658986</v>
      </c>
    </row>
    <row r="81" spans="1:11" x14ac:dyDescent="0.25">
      <c r="C81" t="s">
        <v>517</v>
      </c>
      <c r="E81" s="246">
        <v>58019.028367567123</v>
      </c>
    </row>
    <row r="82" spans="1:11" x14ac:dyDescent="0.25">
      <c r="C82" t="s">
        <v>518</v>
      </c>
      <c r="E82" s="246">
        <v>71253.562793329387</v>
      </c>
    </row>
    <row r="83" spans="1:11" x14ac:dyDescent="0.25">
      <c r="C83" t="s">
        <v>519</v>
      </c>
      <c r="E83" s="246">
        <v>90745.517014934565</v>
      </c>
    </row>
    <row r="84" spans="1:11" x14ac:dyDescent="0.25">
      <c r="C84" t="s">
        <v>520</v>
      </c>
      <c r="E84" s="246">
        <v>422745.84913068626</v>
      </c>
    </row>
    <row r="86" spans="1:11" x14ac:dyDescent="0.25">
      <c r="A86" t="s">
        <v>521</v>
      </c>
    </row>
    <row r="87" spans="1:11" x14ac:dyDescent="0.25">
      <c r="F87" s="240"/>
    </row>
    <row r="88" spans="1:11" x14ac:dyDescent="0.25">
      <c r="F88"/>
      <c r="G88" s="240" t="s">
        <v>485</v>
      </c>
      <c r="J88"/>
      <c r="K88" s="241"/>
    </row>
    <row r="89" spans="1:11" x14ac:dyDescent="0.25">
      <c r="A89" s="243" t="s">
        <v>522</v>
      </c>
      <c r="B89" s="243"/>
      <c r="C89" s="243"/>
      <c r="D89" s="243"/>
      <c r="E89" s="243"/>
      <c r="F89" s="240"/>
      <c r="G89" s="243"/>
      <c r="H89" s="243"/>
      <c r="I89" s="243"/>
      <c r="J89" s="244" t="s">
        <v>523</v>
      </c>
      <c r="K89" s="241"/>
    </row>
    <row r="90" spans="1:11" x14ac:dyDescent="0.25">
      <c r="K90" s="241"/>
    </row>
    <row r="91" spans="1:11" x14ac:dyDescent="0.25">
      <c r="B91" t="s">
        <v>539</v>
      </c>
      <c r="K91" s="241"/>
    </row>
    <row r="92" spans="1:11" x14ac:dyDescent="0.25">
      <c r="C92" t="s">
        <v>540</v>
      </c>
      <c r="E92" s="247">
        <v>0.1</v>
      </c>
      <c r="K92" s="241"/>
    </row>
    <row r="93" spans="1:11" x14ac:dyDescent="0.25">
      <c r="C93" t="s">
        <v>495</v>
      </c>
      <c r="E93" s="247">
        <v>0.3</v>
      </c>
    </row>
    <row r="94" spans="1:11" x14ac:dyDescent="0.25">
      <c r="C94" t="s">
        <v>531</v>
      </c>
      <c r="E94" s="247">
        <v>1.2E-2</v>
      </c>
    </row>
    <row r="95" spans="1:11" x14ac:dyDescent="0.25">
      <c r="E95" s="245"/>
    </row>
    <row r="96" spans="1:11" x14ac:dyDescent="0.25">
      <c r="E96" s="245"/>
    </row>
    <row r="99" spans="1:10" x14ac:dyDescent="0.25">
      <c r="A99" s="243" t="s">
        <v>526</v>
      </c>
      <c r="B99" s="243"/>
      <c r="C99" s="243"/>
      <c r="D99" s="243"/>
      <c r="E99" s="243"/>
      <c r="F99" s="240"/>
      <c r="G99" s="243"/>
      <c r="H99" s="243"/>
      <c r="I99" s="243"/>
      <c r="J99" s="244" t="s">
        <v>527</v>
      </c>
    </row>
    <row r="101" spans="1:10" x14ac:dyDescent="0.25">
      <c r="B101" t="s">
        <v>530</v>
      </c>
    </row>
    <row r="102" spans="1:10" x14ac:dyDescent="0.25">
      <c r="C102" t="s">
        <v>495</v>
      </c>
      <c r="E102" s="477">
        <v>0.05</v>
      </c>
    </row>
    <row r="103" spans="1:10" x14ac:dyDescent="0.25">
      <c r="C103" t="s">
        <v>531</v>
      </c>
      <c r="E103" s="477">
        <v>5.0000000000000001E-3</v>
      </c>
    </row>
    <row r="104" spans="1:10" x14ac:dyDescent="0.25">
      <c r="E104" s="245"/>
    </row>
    <row r="105" spans="1:10" x14ac:dyDescent="0.25">
      <c r="E105" s="245"/>
    </row>
    <row r="109" spans="1:10" x14ac:dyDescent="0.25">
      <c r="A109" s="243" t="s">
        <v>528</v>
      </c>
      <c r="B109" s="243"/>
      <c r="C109" s="243"/>
      <c r="D109" s="243"/>
      <c r="E109" s="243"/>
      <c r="F109" s="240"/>
      <c r="G109" s="243"/>
      <c r="H109" s="243"/>
      <c r="I109" s="243"/>
      <c r="J109" s="244" t="s">
        <v>529</v>
      </c>
    </row>
    <row r="111" spans="1:10" x14ac:dyDescent="0.25">
      <c r="B111" t="s">
        <v>524</v>
      </c>
    </row>
    <row r="112" spans="1:10" x14ac:dyDescent="0.25">
      <c r="C112" t="s">
        <v>504</v>
      </c>
      <c r="E112" s="248">
        <v>10</v>
      </c>
    </row>
    <row r="113" spans="1:10" x14ac:dyDescent="0.25">
      <c r="C113" t="s">
        <v>525</v>
      </c>
      <c r="E113" s="248">
        <v>12</v>
      </c>
    </row>
    <row r="114" spans="1:10" x14ac:dyDescent="0.25">
      <c r="C114" t="s">
        <v>505</v>
      </c>
      <c r="E114" s="248">
        <v>15</v>
      </c>
    </row>
    <row r="115" spans="1:10" x14ac:dyDescent="0.25">
      <c r="E115" s="245"/>
    </row>
    <row r="116" spans="1:10" x14ac:dyDescent="0.25">
      <c r="E116" s="245"/>
    </row>
    <row r="119" spans="1:10" x14ac:dyDescent="0.25">
      <c r="A119" s="243" t="s">
        <v>541</v>
      </c>
      <c r="B119" s="243"/>
      <c r="C119" s="243"/>
      <c r="D119" s="243"/>
      <c r="E119" s="243"/>
      <c r="F119" s="240"/>
      <c r="G119" s="243"/>
      <c r="H119" s="243"/>
      <c r="I119" s="243"/>
      <c r="J119" s="244" t="s">
        <v>542</v>
      </c>
    </row>
    <row r="121" spans="1:10" x14ac:dyDescent="0.25">
      <c r="B121" t="s">
        <v>543</v>
      </c>
    </row>
    <row r="122" spans="1:10" x14ac:dyDescent="0.25">
      <c r="C122" t="s">
        <v>495</v>
      </c>
      <c r="E122" s="248">
        <v>10804</v>
      </c>
    </row>
    <row r="123" spans="1:10" x14ac:dyDescent="0.25">
      <c r="C123" t="s">
        <v>544</v>
      </c>
      <c r="E123" s="248">
        <v>1000</v>
      </c>
    </row>
    <row r="124" spans="1:10" x14ac:dyDescent="0.25">
      <c r="E124" s="245"/>
    </row>
    <row r="125" spans="1:10" x14ac:dyDescent="0.25">
      <c r="E125" s="245"/>
    </row>
    <row r="128" spans="1:10" x14ac:dyDescent="0.25">
      <c r="A128" t="s">
        <v>532</v>
      </c>
    </row>
  </sheetData>
  <mergeCells count="33">
    <mergeCell ref="C5:E5"/>
    <mergeCell ref="C13:E13"/>
    <mergeCell ref="C18:E18"/>
    <mergeCell ref="C7:D7"/>
    <mergeCell ref="C8:D8"/>
    <mergeCell ref="C9:D9"/>
    <mergeCell ref="C10:D10"/>
    <mergeCell ref="C11:D11"/>
    <mergeCell ref="C14:D14"/>
    <mergeCell ref="C15:D15"/>
    <mergeCell ref="C16:D16"/>
    <mergeCell ref="C20:D20"/>
    <mergeCell ref="C21:D21"/>
    <mergeCell ref="C22:D22"/>
    <mergeCell ref="C23:D23"/>
    <mergeCell ref="C6:D6"/>
    <mergeCell ref="C12:E12"/>
    <mergeCell ref="C17:E17"/>
    <mergeCell ref="C19:D19"/>
    <mergeCell ref="C57:D57"/>
    <mergeCell ref="C56:D56"/>
    <mergeCell ref="C68:D68"/>
    <mergeCell ref="C69:D69"/>
    <mergeCell ref="C62:D62"/>
    <mergeCell ref="C63:D63"/>
    <mergeCell ref="C65:D65"/>
    <mergeCell ref="C66:D66"/>
    <mergeCell ref="C67:D67"/>
    <mergeCell ref="C64:D64"/>
    <mergeCell ref="C59:D59"/>
    <mergeCell ref="C60:D60"/>
    <mergeCell ref="C61:D61"/>
    <mergeCell ref="C58:D5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CAPACIDAD PROD</vt:lpstr>
      <vt:lpstr>DEMANDA</vt:lpstr>
      <vt:lpstr>LOCALIZACIÓN</vt:lpstr>
      <vt:lpstr>SUELDO</vt:lpstr>
      <vt:lpstr>GASTOS</vt:lpstr>
      <vt:lpstr>COSTOS VARIABLES</vt:lpstr>
      <vt:lpstr>COSTOS FIJOS</vt:lpstr>
      <vt:lpstr>DEPRECIACIÓN</vt:lpstr>
      <vt:lpstr>INGRESOS</vt:lpstr>
      <vt:lpstr>CAPITAL DE TRABAJO</vt:lpstr>
      <vt:lpstr>INVERSIONES</vt:lpstr>
      <vt:lpstr>BALANCE</vt:lpstr>
      <vt:lpstr>VALOR DE DESECHO</vt:lpstr>
      <vt:lpstr>AMORTIZACIÓN</vt:lpstr>
      <vt:lpstr>TASA DE DESCUENTO</vt:lpstr>
      <vt:lpstr>FLUJO DE CAJA</vt:lpstr>
      <vt:lpstr>PUNTO DE EQUILIBRIO</vt:lpstr>
      <vt:lpstr>CAPACIDAD DE PROD</vt:lpstr>
      <vt:lpstr>Depreciacion cap3</vt:lpstr>
      <vt:lpstr>ANALISIS DE SENSIBILIDAD&amp;SOLVER</vt:lpstr>
      <vt:lpstr>PRECIO VS VAN</vt:lpstr>
      <vt:lpstr>%CV VS VAN</vt:lpstr>
      <vt:lpstr>RESULTADOS CRYSTAL BALL</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Andres</cp:lastModifiedBy>
  <dcterms:created xsi:type="dcterms:W3CDTF">2012-01-10T02:53:51Z</dcterms:created>
  <dcterms:modified xsi:type="dcterms:W3CDTF">2012-02-17T19:46:53Z</dcterms:modified>
</cp:coreProperties>
</file>