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7530" windowHeight="4260" firstSheet="8" activeTab="9"/>
  </bookViews>
  <sheets>
    <sheet name="Inversión" sheetId="1" r:id="rId1"/>
    <sheet name="Financiamiento" sheetId="2" r:id="rId2"/>
    <sheet name="Ingresos" sheetId="3" r:id="rId3"/>
    <sheet name="Costos" sheetId="4" r:id="rId4"/>
    <sheet name="Capital de Trabajo" sheetId="5" r:id="rId5"/>
    <sheet name="Depreciación y Valor de Desecho" sheetId="6" r:id="rId6"/>
    <sheet name="Cálculo TMAR" sheetId="21" r:id="rId7"/>
    <sheet name="Payback " sheetId="22" r:id="rId8"/>
    <sheet name="E. de Resultados y F. de Efect." sheetId="7" r:id="rId9"/>
    <sheet name="Sensibilidad" sheetId="14" r:id="rId10"/>
    <sheet name="sensibilidad calculo" sheetId="23" r:id="rId11"/>
    <sheet name="sensibilidad calculo 2" sheetId="24" r:id="rId12"/>
  </sheets>
  <calcPr calcId="145621"/>
</workbook>
</file>

<file path=xl/calcChain.xml><?xml version="1.0" encoding="utf-8"?>
<calcChain xmlns="http://schemas.openxmlformats.org/spreadsheetml/2006/main">
  <c r="E23" i="24" l="1"/>
  <c r="E31" i="24" s="1"/>
  <c r="F23" i="24"/>
  <c r="F31" i="24" s="1"/>
  <c r="G23" i="24"/>
  <c r="G31" i="24" s="1"/>
  <c r="H23" i="24"/>
  <c r="H31" i="24" s="1"/>
  <c r="I23" i="24"/>
  <c r="I31" i="24" s="1"/>
  <c r="J23" i="24"/>
  <c r="J31" i="24" s="1"/>
  <c r="K23" i="24"/>
  <c r="K31" i="24" s="1"/>
  <c r="L23" i="24"/>
  <c r="L31" i="24" s="1"/>
  <c r="M23" i="24"/>
  <c r="M31" i="24" s="1"/>
  <c r="D23" i="24"/>
  <c r="D31" i="24" s="1"/>
  <c r="E25" i="23"/>
  <c r="E32" i="23" s="1"/>
  <c r="F25" i="23"/>
  <c r="F32" i="23" s="1"/>
  <c r="G25" i="23"/>
  <c r="G32" i="23" s="1"/>
  <c r="H25" i="23"/>
  <c r="H32" i="23" s="1"/>
  <c r="I25" i="23"/>
  <c r="I32" i="23" s="1"/>
  <c r="J25" i="23"/>
  <c r="J32" i="23" s="1"/>
  <c r="K25" i="23"/>
  <c r="K32" i="23" s="1"/>
  <c r="L25" i="23"/>
  <c r="L32" i="23" s="1"/>
  <c r="M25" i="23"/>
  <c r="M32" i="23" s="1"/>
  <c r="D25" i="23"/>
  <c r="D32" i="23" s="1"/>
  <c r="D22" i="24"/>
  <c r="E22" i="24"/>
  <c r="F22" i="24"/>
  <c r="G22" i="24"/>
  <c r="H22" i="24"/>
  <c r="I22" i="24"/>
  <c r="J22" i="24"/>
  <c r="K22" i="24"/>
  <c r="L22" i="24"/>
  <c r="M22" i="24"/>
  <c r="D24" i="23"/>
  <c r="E24" i="23"/>
  <c r="F24" i="23"/>
  <c r="G24" i="23"/>
  <c r="H24" i="23"/>
  <c r="I24" i="23"/>
  <c r="J24" i="23"/>
  <c r="K24" i="23"/>
  <c r="L24" i="23"/>
  <c r="M24" i="23"/>
  <c r="D4" i="23"/>
  <c r="D33" i="23"/>
  <c r="E33" i="23"/>
  <c r="F33" i="23"/>
  <c r="G33" i="23"/>
  <c r="H33" i="23"/>
  <c r="I33" i="23"/>
  <c r="J33" i="23"/>
  <c r="K33" i="23"/>
  <c r="L33" i="23"/>
  <c r="M33" i="23"/>
  <c r="C56" i="24"/>
  <c r="M51" i="24"/>
  <c r="M50" i="24"/>
  <c r="C49" i="24"/>
  <c r="C48" i="24"/>
  <c r="C47" i="24"/>
  <c r="C46" i="24"/>
  <c r="M37" i="24"/>
  <c r="M45" i="24" s="1"/>
  <c r="L37" i="24"/>
  <c r="L45" i="24" s="1"/>
  <c r="K37" i="24"/>
  <c r="K45" i="24" s="1"/>
  <c r="J37" i="24"/>
  <c r="J45" i="24" s="1"/>
  <c r="I37" i="24"/>
  <c r="I45" i="24" s="1"/>
  <c r="H37" i="24"/>
  <c r="H45" i="24" s="1"/>
  <c r="G37" i="24"/>
  <c r="G45" i="24" s="1"/>
  <c r="F37" i="24"/>
  <c r="F45" i="24" s="1"/>
  <c r="E37" i="24"/>
  <c r="E45" i="24" s="1"/>
  <c r="D37" i="24"/>
  <c r="D45" i="24" s="1"/>
  <c r="I13" i="24"/>
  <c r="I38" i="24" s="1"/>
  <c r="H13" i="24"/>
  <c r="H38" i="24" s="1"/>
  <c r="G13" i="24"/>
  <c r="G38" i="24" s="1"/>
  <c r="F13" i="24"/>
  <c r="F38" i="24" s="1"/>
  <c r="E13" i="24"/>
  <c r="E38" i="24" s="1"/>
  <c r="D13" i="24"/>
  <c r="D38" i="24" s="1"/>
  <c r="D11" i="24"/>
  <c r="D36" i="24" s="1"/>
  <c r="D44" i="24" s="1"/>
  <c r="D9" i="24"/>
  <c r="D34" i="24" s="1"/>
  <c r="E8" i="24"/>
  <c r="D8" i="24"/>
  <c r="D33" i="24" s="1"/>
  <c r="D5" i="24"/>
  <c r="E5" i="24" s="1"/>
  <c r="F4" i="24"/>
  <c r="F30" i="24" s="1"/>
  <c r="E4" i="24"/>
  <c r="D4" i="24"/>
  <c r="D30" i="24" s="1"/>
  <c r="C52" i="24" l="1"/>
  <c r="G4" i="24"/>
  <c r="G30" i="24" s="1"/>
  <c r="E11" i="24"/>
  <c r="E36" i="24" s="1"/>
  <c r="E44" i="24" s="1"/>
  <c r="D35" i="24"/>
  <c r="F5" i="24"/>
  <c r="E33" i="24"/>
  <c r="E6" i="24"/>
  <c r="E30" i="24"/>
  <c r="H4" i="24"/>
  <c r="D6" i="24"/>
  <c r="F8" i="24"/>
  <c r="E9" i="24"/>
  <c r="E10" i="24" s="1"/>
  <c r="D10" i="24"/>
  <c r="F11" i="24"/>
  <c r="F6" i="24"/>
  <c r="C58" i="23"/>
  <c r="M53" i="23"/>
  <c r="M52" i="23"/>
  <c r="C51" i="23"/>
  <c r="C50" i="23"/>
  <c r="C49" i="23"/>
  <c r="C48" i="23"/>
  <c r="J47" i="23"/>
  <c r="I47" i="23"/>
  <c r="F47" i="23"/>
  <c r="D40" i="23"/>
  <c r="M39" i="23"/>
  <c r="M47" i="23" s="1"/>
  <c r="L39" i="23"/>
  <c r="L47" i="23" s="1"/>
  <c r="K39" i="23"/>
  <c r="K47" i="23" s="1"/>
  <c r="J39" i="23"/>
  <c r="I39" i="23"/>
  <c r="H39" i="23"/>
  <c r="H47" i="23" s="1"/>
  <c r="G39" i="23"/>
  <c r="G47" i="23" s="1"/>
  <c r="F39" i="23"/>
  <c r="E39" i="23"/>
  <c r="E47" i="23" s="1"/>
  <c r="D39" i="23"/>
  <c r="D47" i="23" s="1"/>
  <c r="I13" i="23"/>
  <c r="I40" i="23" s="1"/>
  <c r="H13" i="23"/>
  <c r="H40" i="23" s="1"/>
  <c r="G13" i="23"/>
  <c r="G40" i="23" s="1"/>
  <c r="F13" i="23"/>
  <c r="F40" i="23" s="1"/>
  <c r="E13" i="23"/>
  <c r="E40" i="23" s="1"/>
  <c r="D13" i="23"/>
  <c r="D11" i="23"/>
  <c r="D38" i="23" s="1"/>
  <c r="D46" i="23" s="1"/>
  <c r="D9" i="23"/>
  <c r="E8" i="23"/>
  <c r="D8" i="23"/>
  <c r="D5" i="23"/>
  <c r="F4" i="23"/>
  <c r="E4" i="23"/>
  <c r="C4" i="2"/>
  <c r="C39" i="7" s="1"/>
  <c r="D39" i="24" l="1"/>
  <c r="D40" i="24" s="1"/>
  <c r="D41" i="24" s="1"/>
  <c r="D6" i="23"/>
  <c r="G4" i="23"/>
  <c r="E11" i="23"/>
  <c r="F11" i="23" s="1"/>
  <c r="D12" i="24"/>
  <c r="D14" i="24" s="1"/>
  <c r="F9" i="24"/>
  <c r="E34" i="24"/>
  <c r="E35" i="24" s="1"/>
  <c r="E39" i="24" s="1"/>
  <c r="I4" i="24"/>
  <c r="H30" i="24"/>
  <c r="G11" i="24"/>
  <c r="F36" i="24"/>
  <c r="F44" i="24" s="1"/>
  <c r="G8" i="24"/>
  <c r="F10" i="24"/>
  <c r="F12" i="24" s="1"/>
  <c r="F14" i="24" s="1"/>
  <c r="F33" i="24"/>
  <c r="E12" i="24"/>
  <c r="E14" i="24" s="1"/>
  <c r="G5" i="24"/>
  <c r="D35" i="23"/>
  <c r="D10" i="23"/>
  <c r="H4" i="23"/>
  <c r="E35" i="23"/>
  <c r="F8" i="23"/>
  <c r="D36" i="23"/>
  <c r="E9" i="23"/>
  <c r="E5" i="23"/>
  <c r="E10" i="23"/>
  <c r="C54" i="23"/>
  <c r="E38" i="23"/>
  <c r="E46" i="23" s="1"/>
  <c r="D25" i="5"/>
  <c r="F25" i="5"/>
  <c r="G25" i="5"/>
  <c r="I25" i="5"/>
  <c r="J25" i="5"/>
  <c r="L25" i="5"/>
  <c r="M25" i="5"/>
  <c r="O25" i="5"/>
  <c r="P25" i="5"/>
  <c r="D21" i="5"/>
  <c r="G21" i="5"/>
  <c r="J21" i="5"/>
  <c r="M21" i="5"/>
  <c r="P21" i="5"/>
  <c r="C27" i="4"/>
  <c r="D26" i="4"/>
  <c r="D25" i="4"/>
  <c r="D24" i="4"/>
  <c r="D23" i="4"/>
  <c r="D22" i="4"/>
  <c r="E67" i="4"/>
  <c r="E66" i="4"/>
  <c r="F63" i="4"/>
  <c r="E63" i="4" s="1"/>
  <c r="E25" i="5" s="1"/>
  <c r="E33" i="4"/>
  <c r="F33" i="4" s="1"/>
  <c r="E21" i="5" s="1"/>
  <c r="D12" i="23" l="1"/>
  <c r="D14" i="23" s="1"/>
  <c r="E40" i="24"/>
  <c r="E41" i="24" s="1"/>
  <c r="F16" i="24"/>
  <c r="F15" i="24"/>
  <c r="D15" i="24"/>
  <c r="D16" i="24"/>
  <c r="E15" i="24"/>
  <c r="E16" i="24"/>
  <c r="E17" i="24" s="1"/>
  <c r="H8" i="24"/>
  <c r="G33" i="24"/>
  <c r="I30" i="24"/>
  <c r="J4" i="24"/>
  <c r="G9" i="24"/>
  <c r="G10" i="24" s="1"/>
  <c r="F34" i="24"/>
  <c r="H11" i="24"/>
  <c r="G36" i="24"/>
  <c r="G44" i="24" s="1"/>
  <c r="H5" i="24"/>
  <c r="G6" i="24"/>
  <c r="F35" i="24"/>
  <c r="F39" i="24" s="1"/>
  <c r="D42" i="24"/>
  <c r="D43" i="24" s="1"/>
  <c r="D52" i="24" s="1"/>
  <c r="D16" i="23"/>
  <c r="D15" i="23"/>
  <c r="E6" i="23"/>
  <c r="E12" i="23" s="1"/>
  <c r="E14" i="23" s="1"/>
  <c r="F5" i="23"/>
  <c r="I4" i="23"/>
  <c r="F38" i="23"/>
  <c r="F46" i="23" s="1"/>
  <c r="G11" i="23"/>
  <c r="G8" i="23"/>
  <c r="F35" i="23"/>
  <c r="F9" i="23"/>
  <c r="F10" i="23" s="1"/>
  <c r="E36" i="23"/>
  <c r="E37" i="23" s="1"/>
  <c r="D37" i="23"/>
  <c r="D41" i="23" s="1"/>
  <c r="O21" i="5"/>
  <c r="L21" i="5"/>
  <c r="I21" i="5"/>
  <c r="F21" i="5"/>
  <c r="C21" i="5"/>
  <c r="N21" i="5"/>
  <c r="K21" i="5"/>
  <c r="H21" i="5"/>
  <c r="C25" i="5"/>
  <c r="N25" i="5"/>
  <c r="K25" i="5"/>
  <c r="H25" i="5"/>
  <c r="D27" i="4"/>
  <c r="D9" i="7" s="1"/>
  <c r="E65" i="4"/>
  <c r="F19" i="1"/>
  <c r="C19" i="2"/>
  <c r="J6" i="21"/>
  <c r="J7" i="21"/>
  <c r="J8" i="21"/>
  <c r="J9" i="21"/>
  <c r="J10" i="21"/>
  <c r="J11" i="21"/>
  <c r="F12" i="21"/>
  <c r="F14" i="21" s="1"/>
  <c r="C11" i="21" s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7" i="21"/>
  <c r="L66" i="21" s="1"/>
  <c r="F19" i="21" s="1"/>
  <c r="D17" i="24" l="1"/>
  <c r="G12" i="24"/>
  <c r="G14" i="24" s="1"/>
  <c r="G15" i="24" s="1"/>
  <c r="F17" i="24"/>
  <c r="D17" i="23"/>
  <c r="F40" i="24"/>
  <c r="F41" i="24" s="1"/>
  <c r="E42" i="24"/>
  <c r="E43" i="24" s="1"/>
  <c r="E52" i="24" s="1"/>
  <c r="J30" i="24"/>
  <c r="K4" i="24"/>
  <c r="I5" i="24"/>
  <c r="H6" i="24"/>
  <c r="H36" i="24"/>
  <c r="H44" i="24" s="1"/>
  <c r="I11" i="24"/>
  <c r="G34" i="24"/>
  <c r="G35" i="24" s="1"/>
  <c r="G39" i="24" s="1"/>
  <c r="H9" i="24"/>
  <c r="H10" i="24" s="1"/>
  <c r="H33" i="24"/>
  <c r="I8" i="24"/>
  <c r="D42" i="23"/>
  <c r="D43" i="23" s="1"/>
  <c r="E16" i="23"/>
  <c r="E15" i="23"/>
  <c r="E41" i="23"/>
  <c r="G35" i="23"/>
  <c r="G10" i="23"/>
  <c r="H8" i="23"/>
  <c r="G38" i="23"/>
  <c r="G46" i="23" s="1"/>
  <c r="H11" i="23"/>
  <c r="F36" i="23"/>
  <c r="G9" i="23"/>
  <c r="F37" i="23"/>
  <c r="J4" i="23"/>
  <c r="F6" i="23"/>
  <c r="F12" i="23" s="1"/>
  <c r="F14" i="23" s="1"/>
  <c r="G5" i="23"/>
  <c r="D26" i="7"/>
  <c r="E9" i="7"/>
  <c r="F9" i="7" s="1"/>
  <c r="G9" i="7" s="1"/>
  <c r="H9" i="7" s="1"/>
  <c r="I9" i="7" s="1"/>
  <c r="J9" i="7" s="1"/>
  <c r="K9" i="7" s="1"/>
  <c r="L9" i="7" s="1"/>
  <c r="M9" i="7" s="1"/>
  <c r="M38" i="4"/>
  <c r="M39" i="4" s="1"/>
  <c r="C19" i="21"/>
  <c r="G16" i="24" l="1"/>
  <c r="G17" i="24"/>
  <c r="E17" i="23"/>
  <c r="G40" i="24"/>
  <c r="G41" i="24" s="1"/>
  <c r="H12" i="24"/>
  <c r="H14" i="24" s="1"/>
  <c r="J11" i="24"/>
  <c r="I36" i="24"/>
  <c r="I44" i="24" s="1"/>
  <c r="J8" i="24"/>
  <c r="I33" i="24"/>
  <c r="I9" i="24"/>
  <c r="I10" i="24" s="1"/>
  <c r="H34" i="24"/>
  <c r="H35" i="24" s="1"/>
  <c r="H39" i="24" s="1"/>
  <c r="J5" i="24"/>
  <c r="I6" i="24"/>
  <c r="K30" i="24"/>
  <c r="L4" i="24"/>
  <c r="F42" i="24"/>
  <c r="F43" i="24" s="1"/>
  <c r="F52" i="24" s="1"/>
  <c r="H5" i="23"/>
  <c r="G6" i="23"/>
  <c r="G12" i="23" s="1"/>
  <c r="G14" i="23" s="1"/>
  <c r="H38" i="23"/>
  <c r="H46" i="23" s="1"/>
  <c r="I11" i="23"/>
  <c r="F15" i="23"/>
  <c r="F16" i="23"/>
  <c r="G36" i="23"/>
  <c r="G37" i="23" s="1"/>
  <c r="H9" i="23"/>
  <c r="K4" i="23"/>
  <c r="F41" i="23"/>
  <c r="H35" i="23"/>
  <c r="I8" i="23"/>
  <c r="H10" i="23"/>
  <c r="E42" i="23"/>
  <c r="E43" i="23" s="1"/>
  <c r="D44" i="23"/>
  <c r="D45" i="23" s="1"/>
  <c r="D54" i="23" s="1"/>
  <c r="L38" i="4"/>
  <c r="L39" i="4" s="1"/>
  <c r="E16" i="22"/>
  <c r="C48" i="7"/>
  <c r="H8" i="4"/>
  <c r="K8" i="4" s="1"/>
  <c r="J8" i="4"/>
  <c r="D8" i="4"/>
  <c r="F17" i="23" l="1"/>
  <c r="H40" i="24"/>
  <c r="H41" i="24" s="1"/>
  <c r="G42" i="24"/>
  <c r="G43" i="24" s="1"/>
  <c r="G52" i="24" s="1"/>
  <c r="K5" i="24"/>
  <c r="J6" i="24"/>
  <c r="K8" i="24"/>
  <c r="J33" i="24"/>
  <c r="H16" i="24"/>
  <c r="H15" i="24"/>
  <c r="J36" i="24"/>
  <c r="J44" i="24" s="1"/>
  <c r="K11" i="24"/>
  <c r="M4" i="24"/>
  <c r="L30" i="24"/>
  <c r="I12" i="24"/>
  <c r="I14" i="24" s="1"/>
  <c r="J9" i="24"/>
  <c r="J10" i="24" s="1"/>
  <c r="I34" i="24"/>
  <c r="I35" i="24" s="1"/>
  <c r="I39" i="24" s="1"/>
  <c r="E44" i="23"/>
  <c r="E45" i="23" s="1"/>
  <c r="E54" i="23" s="1"/>
  <c r="F42" i="23"/>
  <c r="F43" i="23" s="1"/>
  <c r="G15" i="23"/>
  <c r="G17" i="23" s="1"/>
  <c r="G16" i="23"/>
  <c r="L4" i="23"/>
  <c r="I38" i="23"/>
  <c r="I46" i="23" s="1"/>
  <c r="J11" i="23"/>
  <c r="G41" i="23"/>
  <c r="I35" i="23"/>
  <c r="J8" i="23"/>
  <c r="H36" i="23"/>
  <c r="H37" i="23" s="1"/>
  <c r="I9" i="23"/>
  <c r="I5" i="23"/>
  <c r="H6" i="23"/>
  <c r="H12" i="23" s="1"/>
  <c r="H14" i="23" s="1"/>
  <c r="D22" i="5"/>
  <c r="G22" i="5"/>
  <c r="J22" i="5"/>
  <c r="M22" i="5"/>
  <c r="P22" i="5"/>
  <c r="E22" i="5"/>
  <c r="H22" i="5"/>
  <c r="K22" i="5"/>
  <c r="N22" i="5"/>
  <c r="C22" i="5"/>
  <c r="F22" i="5"/>
  <c r="I22" i="5"/>
  <c r="L22" i="5"/>
  <c r="O22" i="5"/>
  <c r="E8" i="4"/>
  <c r="H17" i="24" l="1"/>
  <c r="I40" i="24"/>
  <c r="I41" i="24" s="1"/>
  <c r="H42" i="24"/>
  <c r="H43" i="24" s="1"/>
  <c r="H52" i="24" s="1"/>
  <c r="M30" i="24"/>
  <c r="J34" i="24"/>
  <c r="J35" i="24" s="1"/>
  <c r="J39" i="24" s="1"/>
  <c r="K9" i="24"/>
  <c r="K36" i="24"/>
  <c r="K44" i="24" s="1"/>
  <c r="L11" i="24"/>
  <c r="J12" i="24"/>
  <c r="J14" i="24" s="1"/>
  <c r="K33" i="24"/>
  <c r="L8" i="24"/>
  <c r="L5" i="24"/>
  <c r="K6" i="24"/>
  <c r="I16" i="24"/>
  <c r="I15" i="24"/>
  <c r="J5" i="23"/>
  <c r="I6" i="23"/>
  <c r="F44" i="23"/>
  <c r="F45" i="23" s="1"/>
  <c r="F54" i="23" s="1"/>
  <c r="H41" i="23"/>
  <c r="J35" i="23"/>
  <c r="K8" i="23"/>
  <c r="G42" i="23"/>
  <c r="G43" i="23" s="1"/>
  <c r="H16" i="23"/>
  <c r="H17" i="23" s="1"/>
  <c r="H15" i="23"/>
  <c r="I36" i="23"/>
  <c r="I37" i="23" s="1"/>
  <c r="J9" i="23"/>
  <c r="I10" i="23"/>
  <c r="J38" i="23"/>
  <c r="J46" i="23" s="1"/>
  <c r="K11" i="23"/>
  <c r="M4" i="23"/>
  <c r="E57" i="4"/>
  <c r="F57" i="4" s="1"/>
  <c r="H9" i="4"/>
  <c r="H10" i="4"/>
  <c r="H11" i="4"/>
  <c r="H12" i="4"/>
  <c r="H13" i="4"/>
  <c r="H14" i="4"/>
  <c r="H15" i="4"/>
  <c r="H16" i="4"/>
  <c r="H17" i="4"/>
  <c r="F8" i="4"/>
  <c r="D9" i="4"/>
  <c r="D10" i="4"/>
  <c r="E10" i="4" s="1"/>
  <c r="F10" i="4" s="1"/>
  <c r="D11" i="4"/>
  <c r="E11" i="4" s="1"/>
  <c r="F11" i="4" s="1"/>
  <c r="D12" i="4"/>
  <c r="E12" i="4" s="1"/>
  <c r="F12" i="4" s="1"/>
  <c r="D13" i="4"/>
  <c r="E13" i="4" s="1"/>
  <c r="F13" i="4" s="1"/>
  <c r="D14" i="4"/>
  <c r="E14" i="4" s="1"/>
  <c r="F14" i="4" s="1"/>
  <c r="D15" i="4"/>
  <c r="E15" i="4" s="1"/>
  <c r="F15" i="4" s="1"/>
  <c r="D16" i="4"/>
  <c r="E16" i="4" s="1"/>
  <c r="F16" i="4" s="1"/>
  <c r="D17" i="4"/>
  <c r="E17" i="4" s="1"/>
  <c r="F17" i="4" s="1"/>
  <c r="I17" i="24" l="1"/>
  <c r="I12" i="23"/>
  <c r="I14" i="23" s="1"/>
  <c r="I15" i="23" s="1"/>
  <c r="I17" i="23" s="1"/>
  <c r="J40" i="24"/>
  <c r="J41" i="24" s="1"/>
  <c r="K35" i="24"/>
  <c r="K39" i="24" s="1"/>
  <c r="L9" i="24"/>
  <c r="K34" i="24"/>
  <c r="J15" i="24"/>
  <c r="J16" i="24"/>
  <c r="I42" i="24"/>
  <c r="I43" i="24" s="1"/>
  <c r="I52" i="24" s="1"/>
  <c r="M5" i="24"/>
  <c r="L6" i="24"/>
  <c r="M11" i="24"/>
  <c r="M36" i="24" s="1"/>
  <c r="M44" i="24" s="1"/>
  <c r="L36" i="24"/>
  <c r="L44" i="24" s="1"/>
  <c r="M8" i="24"/>
  <c r="L33" i="24"/>
  <c r="L10" i="24"/>
  <c r="K10" i="24"/>
  <c r="K12" i="24" s="1"/>
  <c r="K14" i="24" s="1"/>
  <c r="J36" i="23"/>
  <c r="K9" i="23"/>
  <c r="J37" i="23"/>
  <c r="I16" i="23"/>
  <c r="K35" i="23"/>
  <c r="L8" i="23"/>
  <c r="H42" i="23"/>
  <c r="H43" i="23" s="1"/>
  <c r="K5" i="23"/>
  <c r="J41" i="23"/>
  <c r="J6" i="23"/>
  <c r="K38" i="23"/>
  <c r="K46" i="23" s="1"/>
  <c r="L11" i="23"/>
  <c r="G44" i="23"/>
  <c r="G45" i="23" s="1"/>
  <c r="G54" i="23" s="1"/>
  <c r="J10" i="23"/>
  <c r="I41" i="23"/>
  <c r="E9" i="4"/>
  <c r="I8" i="4"/>
  <c r="J17" i="24" l="1"/>
  <c r="K15" i="24"/>
  <c r="K16" i="24"/>
  <c r="K40" i="24"/>
  <c r="K41" i="24" s="1"/>
  <c r="M33" i="24"/>
  <c r="L12" i="24"/>
  <c r="L14" i="24" s="1"/>
  <c r="M6" i="24"/>
  <c r="L34" i="24"/>
  <c r="L35" i="24" s="1"/>
  <c r="L39" i="24" s="1"/>
  <c r="M9" i="24"/>
  <c r="M34" i="24" s="1"/>
  <c r="J42" i="24"/>
  <c r="J43" i="24" s="1"/>
  <c r="J52" i="24" s="1"/>
  <c r="H44" i="23"/>
  <c r="H45" i="23" s="1"/>
  <c r="H54" i="23" s="1"/>
  <c r="K36" i="23"/>
  <c r="L9" i="23"/>
  <c r="M11" i="23"/>
  <c r="M38" i="23" s="1"/>
  <c r="M46" i="23" s="1"/>
  <c r="L38" i="23"/>
  <c r="L46" i="23" s="1"/>
  <c r="J42" i="23"/>
  <c r="J43" i="23" s="1"/>
  <c r="K37" i="23"/>
  <c r="J12" i="23"/>
  <c r="J14" i="23" s="1"/>
  <c r="L35" i="23"/>
  <c r="L10" i="23"/>
  <c r="M8" i="23"/>
  <c r="I42" i="23"/>
  <c r="I43" i="23" s="1"/>
  <c r="K41" i="23"/>
  <c r="L5" i="23"/>
  <c r="K6" i="23"/>
  <c r="K10" i="23"/>
  <c r="F9" i="4"/>
  <c r="J9" i="4"/>
  <c r="J10" i="4"/>
  <c r="J11" i="4"/>
  <c r="J12" i="4"/>
  <c r="J13" i="4"/>
  <c r="J14" i="4"/>
  <c r="J15" i="4"/>
  <c r="J16" i="4"/>
  <c r="J17" i="4"/>
  <c r="E4" i="3"/>
  <c r="G5" i="5"/>
  <c r="H5" i="5"/>
  <c r="I5" i="5"/>
  <c r="J5" i="5"/>
  <c r="K5" i="5"/>
  <c r="L5" i="5"/>
  <c r="M5" i="5"/>
  <c r="N5" i="5"/>
  <c r="O5" i="5"/>
  <c r="P5" i="5"/>
  <c r="F6" i="5"/>
  <c r="F5" i="5"/>
  <c r="G8" i="4"/>
  <c r="K17" i="24" l="1"/>
  <c r="K42" i="24"/>
  <c r="K43" i="24" s="1"/>
  <c r="K52" i="24" s="1"/>
  <c r="L40" i="24"/>
  <c r="L41" i="24" s="1"/>
  <c r="L16" i="24"/>
  <c r="L15" i="24"/>
  <c r="L17" i="24" s="1"/>
  <c r="M35" i="24"/>
  <c r="M39" i="24"/>
  <c r="M10" i="24"/>
  <c r="M12" i="24" s="1"/>
  <c r="M14" i="24" s="1"/>
  <c r="I44" i="23"/>
  <c r="I45" i="23" s="1"/>
  <c r="I54" i="23" s="1"/>
  <c r="J44" i="23"/>
  <c r="J45" i="23" s="1"/>
  <c r="J54" i="23" s="1"/>
  <c r="K12" i="23"/>
  <c r="K14" i="23" s="1"/>
  <c r="M5" i="23"/>
  <c r="L6" i="23"/>
  <c r="L12" i="23" s="1"/>
  <c r="L14" i="23" s="1"/>
  <c r="L36" i="23"/>
  <c r="L37" i="23" s="1"/>
  <c r="M9" i="23"/>
  <c r="M36" i="23" s="1"/>
  <c r="K42" i="23"/>
  <c r="K43" i="23" s="1"/>
  <c r="M35" i="23"/>
  <c r="M37" i="23" s="1"/>
  <c r="J16" i="23"/>
  <c r="J15" i="23"/>
  <c r="L8" i="4"/>
  <c r="M8" i="4"/>
  <c r="F4" i="3"/>
  <c r="G4" i="3" s="1"/>
  <c r="H4" i="3" s="1"/>
  <c r="I4" i="3" s="1"/>
  <c r="J4" i="3" s="1"/>
  <c r="K4" i="3" s="1"/>
  <c r="L4" i="3" s="1"/>
  <c r="M4" i="3" s="1"/>
  <c r="N4" i="3" s="1"/>
  <c r="G6" i="5"/>
  <c r="G7" i="5" s="1"/>
  <c r="I11" i="5" s="1"/>
  <c r="F7" i="5"/>
  <c r="H11" i="5" s="1"/>
  <c r="F15" i="5"/>
  <c r="K9" i="4"/>
  <c r="K10" i="4"/>
  <c r="K11" i="4"/>
  <c r="K12" i="4"/>
  <c r="K13" i="4"/>
  <c r="K14" i="4"/>
  <c r="K15" i="4"/>
  <c r="K16" i="4"/>
  <c r="K17" i="4"/>
  <c r="J17" i="23" l="1"/>
  <c r="M15" i="24"/>
  <c r="M17" i="24" s="1"/>
  <c r="M16" i="24"/>
  <c r="L42" i="24"/>
  <c r="L43" i="24" s="1"/>
  <c r="L52" i="24" s="1"/>
  <c r="M40" i="24"/>
  <c r="M41" i="24" s="1"/>
  <c r="L15" i="23"/>
  <c r="L16" i="23"/>
  <c r="L17" i="23" s="1"/>
  <c r="K16" i="23"/>
  <c r="K15" i="23"/>
  <c r="K44" i="23"/>
  <c r="K45" i="23" s="1"/>
  <c r="K54" i="23" s="1"/>
  <c r="M41" i="23"/>
  <c r="M6" i="23"/>
  <c r="M10" i="23"/>
  <c r="L41" i="23"/>
  <c r="C16" i="5"/>
  <c r="C18" i="5" s="1"/>
  <c r="H6" i="5"/>
  <c r="H7" i="5" s="1"/>
  <c r="G15" i="5"/>
  <c r="D16" i="5" s="1"/>
  <c r="D18" i="5" s="1"/>
  <c r="F9" i="5"/>
  <c r="F12" i="5" s="1"/>
  <c r="F31" i="5" s="1"/>
  <c r="G10" i="5"/>
  <c r="O4" i="3"/>
  <c r="C10" i="3"/>
  <c r="D10" i="3" s="1"/>
  <c r="E10" i="3" s="1"/>
  <c r="F10" i="3" s="1"/>
  <c r="G10" i="3" s="1"/>
  <c r="H10" i="3" s="1"/>
  <c r="I10" i="3" s="1"/>
  <c r="J10" i="3" s="1"/>
  <c r="K10" i="3" s="1"/>
  <c r="L10" i="3" s="1"/>
  <c r="G9" i="5"/>
  <c r="G12" i="5" s="1"/>
  <c r="G31" i="5" s="1"/>
  <c r="H10" i="5"/>
  <c r="F17" i="5"/>
  <c r="H15" i="5"/>
  <c r="I6" i="5"/>
  <c r="K17" i="23" l="1"/>
  <c r="M42" i="24"/>
  <c r="M43" i="24" s="1"/>
  <c r="M52" i="24" s="1"/>
  <c r="L42" i="23"/>
  <c r="L43" i="23" s="1"/>
  <c r="M42" i="23"/>
  <c r="M43" i="23" s="1"/>
  <c r="M12" i="23"/>
  <c r="M14" i="23" s="1"/>
  <c r="F16" i="5"/>
  <c r="J18" i="4"/>
  <c r="I7" i="5"/>
  <c r="J6" i="5"/>
  <c r="I15" i="5"/>
  <c r="H9" i="5"/>
  <c r="H12" i="5" s="1"/>
  <c r="H31" i="5" s="1"/>
  <c r="I10" i="5"/>
  <c r="J11" i="5"/>
  <c r="E16" i="5"/>
  <c r="E18" i="5" s="1"/>
  <c r="G16" i="5"/>
  <c r="H17" i="5" s="1"/>
  <c r="C8" i="6"/>
  <c r="E8" i="6" s="1"/>
  <c r="G8" i="6" s="1"/>
  <c r="C9" i="6"/>
  <c r="E9" i="6" s="1"/>
  <c r="G9" i="6" s="1"/>
  <c r="H9" i="6" s="1"/>
  <c r="H11" i="3"/>
  <c r="I11" i="3"/>
  <c r="J11" i="3"/>
  <c r="K11" i="3"/>
  <c r="L11" i="3"/>
  <c r="C11" i="3"/>
  <c r="D11" i="3"/>
  <c r="E11" i="3"/>
  <c r="F11" i="3"/>
  <c r="G11" i="3"/>
  <c r="C4" i="6"/>
  <c r="H4" i="6" s="1"/>
  <c r="F65" i="4"/>
  <c r="F68" i="4" s="1"/>
  <c r="E56" i="4"/>
  <c r="F56" i="4" s="1"/>
  <c r="F17" i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44" i="4"/>
  <c r="F44" i="4" s="1"/>
  <c r="E45" i="4"/>
  <c r="F45" i="4" s="1"/>
  <c r="E43" i="4"/>
  <c r="F43" i="4" s="1"/>
  <c r="C18" i="4"/>
  <c r="H18" i="4"/>
  <c r="D6" i="3"/>
  <c r="E6" i="3"/>
  <c r="F6" i="3"/>
  <c r="G6" i="3"/>
  <c r="H6" i="3"/>
  <c r="I6" i="3"/>
  <c r="J6" i="3"/>
  <c r="K6" i="3"/>
  <c r="L6" i="3"/>
  <c r="M6" i="3"/>
  <c r="N6" i="3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56" i="24" l="1"/>
  <c r="C53" i="24"/>
  <c r="L44" i="23"/>
  <c r="L45" i="23" s="1"/>
  <c r="L54" i="23" s="1"/>
  <c r="M44" i="23"/>
  <c r="M45" i="23" s="1"/>
  <c r="M54" i="23" s="1"/>
  <c r="E58" i="23" s="1"/>
  <c r="M16" i="23"/>
  <c r="M17" i="23" s="1"/>
  <c r="M15" i="23"/>
  <c r="E68" i="4"/>
  <c r="F69" i="4"/>
  <c r="D5" i="7" s="1"/>
  <c r="E5" i="7" s="1"/>
  <c r="F5" i="7" s="1"/>
  <c r="G5" i="7" s="1"/>
  <c r="H5" i="7" s="1"/>
  <c r="I5" i="7" s="1"/>
  <c r="J5" i="7" s="1"/>
  <c r="K5" i="7" s="1"/>
  <c r="L5" i="7" s="1"/>
  <c r="E69" i="4"/>
  <c r="F58" i="4"/>
  <c r="E58" i="4"/>
  <c r="K18" i="4"/>
  <c r="D21" i="1"/>
  <c r="C3" i="2" s="1"/>
  <c r="C38" i="7" s="1"/>
  <c r="G17" i="5"/>
  <c r="G18" i="5" s="1"/>
  <c r="F18" i="5"/>
  <c r="D18" i="4"/>
  <c r="O6" i="3"/>
  <c r="C7" i="6"/>
  <c r="E7" i="6" s="1"/>
  <c r="G7" i="6" s="1"/>
  <c r="J29" i="7"/>
  <c r="J37" i="7" s="1"/>
  <c r="J7" i="5"/>
  <c r="K6" i="5"/>
  <c r="J15" i="5"/>
  <c r="I16" i="5" s="1"/>
  <c r="J17" i="5" s="1"/>
  <c r="K11" i="5"/>
  <c r="J10" i="5"/>
  <c r="I9" i="5"/>
  <c r="I12" i="5" s="1"/>
  <c r="I31" i="5" s="1"/>
  <c r="H16" i="5"/>
  <c r="I17" i="5" s="1"/>
  <c r="I15" i="4"/>
  <c r="G15" i="4"/>
  <c r="I11" i="4"/>
  <c r="G11" i="4"/>
  <c r="G10" i="4"/>
  <c r="I10" i="4"/>
  <c r="I13" i="4"/>
  <c r="G13" i="4"/>
  <c r="I16" i="4"/>
  <c r="G16" i="4"/>
  <c r="G12" i="4"/>
  <c r="I12" i="4"/>
  <c r="G17" i="4"/>
  <c r="I17" i="4"/>
  <c r="I14" i="4"/>
  <c r="G14" i="4"/>
  <c r="G9" i="4"/>
  <c r="I9" i="4"/>
  <c r="D12" i="3"/>
  <c r="E4" i="7" s="1"/>
  <c r="C5" i="6"/>
  <c r="C6" i="6"/>
  <c r="E6" i="6" s="1"/>
  <c r="G6" i="6" s="1"/>
  <c r="H6" i="6" s="1"/>
  <c r="C12" i="3"/>
  <c r="D4" i="7" s="1"/>
  <c r="C55" i="23" l="1"/>
  <c r="F26" i="5"/>
  <c r="I26" i="5"/>
  <c r="L26" i="5"/>
  <c r="O26" i="5"/>
  <c r="D26" i="5"/>
  <c r="G26" i="5"/>
  <c r="J26" i="5"/>
  <c r="M26" i="5"/>
  <c r="P26" i="5"/>
  <c r="E26" i="5"/>
  <c r="H26" i="5"/>
  <c r="K26" i="5"/>
  <c r="N26" i="5"/>
  <c r="C26" i="5"/>
  <c r="F23" i="5"/>
  <c r="F24" i="5" s="1"/>
  <c r="I23" i="5"/>
  <c r="I24" i="5" s="1"/>
  <c r="L23" i="5"/>
  <c r="L24" i="5" s="1"/>
  <c r="O23" i="5"/>
  <c r="O24" i="5" s="1"/>
  <c r="D23" i="5"/>
  <c r="D24" i="5" s="1"/>
  <c r="G23" i="5"/>
  <c r="G24" i="5" s="1"/>
  <c r="J23" i="5"/>
  <c r="J24" i="5" s="1"/>
  <c r="M23" i="5"/>
  <c r="M24" i="5" s="1"/>
  <c r="P23" i="5"/>
  <c r="P24" i="5" s="1"/>
  <c r="E23" i="5"/>
  <c r="E24" i="5" s="1"/>
  <c r="H23" i="5"/>
  <c r="H24" i="5" s="1"/>
  <c r="K23" i="5"/>
  <c r="K24" i="5" s="1"/>
  <c r="N23" i="5"/>
  <c r="N24" i="5" s="1"/>
  <c r="C23" i="5"/>
  <c r="C24" i="5" s="1"/>
  <c r="H5" i="6"/>
  <c r="H10" i="6" s="1"/>
  <c r="M43" i="7" s="1"/>
  <c r="E5" i="6"/>
  <c r="G5" i="6" s="1"/>
  <c r="D23" i="7"/>
  <c r="E6" i="7"/>
  <c r="D6" i="7"/>
  <c r="E18" i="4"/>
  <c r="D22" i="7"/>
  <c r="L11" i="4"/>
  <c r="M11" i="4"/>
  <c r="L12" i="4"/>
  <c r="M12" i="4"/>
  <c r="M9" i="4"/>
  <c r="L9" i="4"/>
  <c r="M17" i="4"/>
  <c r="L17" i="4"/>
  <c r="M10" i="4"/>
  <c r="L10" i="4"/>
  <c r="M14" i="4"/>
  <c r="L14" i="4"/>
  <c r="M13" i="4"/>
  <c r="L13" i="4"/>
  <c r="M16" i="4"/>
  <c r="L16" i="4"/>
  <c r="M15" i="4"/>
  <c r="L15" i="4"/>
  <c r="K7" i="5"/>
  <c r="L6" i="5"/>
  <c r="K15" i="5"/>
  <c r="H18" i="5"/>
  <c r="L11" i="5"/>
  <c r="K10" i="5"/>
  <c r="J9" i="5"/>
  <c r="J12" i="5" s="1"/>
  <c r="J31" i="5" s="1"/>
  <c r="I18" i="5"/>
  <c r="E12" i="3"/>
  <c r="F4" i="7" s="1"/>
  <c r="E10" i="6"/>
  <c r="D11" i="7" s="1"/>
  <c r="E22" i="7"/>
  <c r="K29" i="7"/>
  <c r="K37" i="7" s="1"/>
  <c r="D28" i="7" l="1"/>
  <c r="D36" i="7" s="1"/>
  <c r="E11" i="7"/>
  <c r="E23" i="7"/>
  <c r="F23" i="7"/>
  <c r="F18" i="4"/>
  <c r="I18" i="4"/>
  <c r="M11" i="5"/>
  <c r="K9" i="5"/>
  <c r="K12" i="5" s="1"/>
  <c r="K31" i="5" s="1"/>
  <c r="L10" i="5"/>
  <c r="L15" i="5"/>
  <c r="L7" i="5"/>
  <c r="M6" i="5"/>
  <c r="J16" i="5"/>
  <c r="F12" i="3"/>
  <c r="G4" i="7"/>
  <c r="F22" i="7"/>
  <c r="E26" i="7"/>
  <c r="G6" i="7" l="1"/>
  <c r="F6" i="7"/>
  <c r="M18" i="4"/>
  <c r="G18" i="4"/>
  <c r="L18" i="4"/>
  <c r="M7" i="5"/>
  <c r="N6" i="5"/>
  <c r="M15" i="5"/>
  <c r="K17" i="5"/>
  <c r="J18" i="5"/>
  <c r="L9" i="5"/>
  <c r="L12" i="5" s="1"/>
  <c r="L31" i="5" s="1"/>
  <c r="N11" i="5"/>
  <c r="M10" i="5"/>
  <c r="K16" i="5"/>
  <c r="G12" i="3"/>
  <c r="H4" i="7"/>
  <c r="G22" i="7"/>
  <c r="F26" i="7"/>
  <c r="E8" i="7" l="1"/>
  <c r="E10" i="7" s="1"/>
  <c r="E12" i="7" s="1"/>
  <c r="M19" i="4"/>
  <c r="D8" i="7"/>
  <c r="L19" i="4"/>
  <c r="G23" i="7"/>
  <c r="H23" i="7"/>
  <c r="L17" i="5"/>
  <c r="K18" i="5"/>
  <c r="O11" i="5"/>
  <c r="M9" i="5"/>
  <c r="M12" i="5" s="1"/>
  <c r="M31" i="5" s="1"/>
  <c r="N10" i="5"/>
  <c r="L16" i="5"/>
  <c r="O6" i="5"/>
  <c r="N7" i="5"/>
  <c r="N15" i="5"/>
  <c r="F11" i="7"/>
  <c r="E28" i="7"/>
  <c r="E36" i="7" s="1"/>
  <c r="H12" i="3"/>
  <c r="G26" i="7"/>
  <c r="L29" i="7"/>
  <c r="L37" i="7" s="1"/>
  <c r="I4" i="7"/>
  <c r="H22" i="7"/>
  <c r="M33" i="5" l="1"/>
  <c r="E25" i="7"/>
  <c r="E27" i="7" s="1"/>
  <c r="D25" i="7"/>
  <c r="D27" i="7" s="1"/>
  <c r="D10" i="7"/>
  <c r="D12" i="7" s="1"/>
  <c r="D27" i="5"/>
  <c r="D28" i="5" s="1"/>
  <c r="D32" i="5" s="1"/>
  <c r="D33" i="5" s="1"/>
  <c r="G27" i="5"/>
  <c r="G28" i="5" s="1"/>
  <c r="G32" i="5" s="1"/>
  <c r="G33" i="5" s="1"/>
  <c r="J27" i="5"/>
  <c r="J28" i="5" s="1"/>
  <c r="J32" i="5" s="1"/>
  <c r="J33" i="5" s="1"/>
  <c r="M27" i="5"/>
  <c r="M28" i="5" s="1"/>
  <c r="M32" i="5" s="1"/>
  <c r="P27" i="5"/>
  <c r="P28" i="5" s="1"/>
  <c r="P32" i="5" s="1"/>
  <c r="E27" i="5"/>
  <c r="E28" i="5" s="1"/>
  <c r="E32" i="5" s="1"/>
  <c r="E33" i="5" s="1"/>
  <c r="H27" i="5"/>
  <c r="H28" i="5" s="1"/>
  <c r="H32" i="5" s="1"/>
  <c r="H33" i="5" s="1"/>
  <c r="K27" i="5"/>
  <c r="K28" i="5" s="1"/>
  <c r="K32" i="5" s="1"/>
  <c r="K33" i="5" s="1"/>
  <c r="N27" i="5"/>
  <c r="N28" i="5" s="1"/>
  <c r="N32" i="5" s="1"/>
  <c r="C27" i="5"/>
  <c r="C28" i="5" s="1"/>
  <c r="C32" i="5" s="1"/>
  <c r="C33" i="5" s="1"/>
  <c r="C34" i="5" s="1"/>
  <c r="F34" i="5" s="1"/>
  <c r="G34" i="5" s="1"/>
  <c r="H34" i="5" s="1"/>
  <c r="F27" i="5"/>
  <c r="F28" i="5" s="1"/>
  <c r="F32" i="5" s="1"/>
  <c r="F33" i="5" s="1"/>
  <c r="I27" i="5"/>
  <c r="I28" i="5" s="1"/>
  <c r="I32" i="5" s="1"/>
  <c r="I33" i="5" s="1"/>
  <c r="L27" i="5"/>
  <c r="L28" i="5" s="1"/>
  <c r="L32" i="5" s="1"/>
  <c r="L33" i="5" s="1"/>
  <c r="O27" i="5"/>
  <c r="O28" i="5" s="1"/>
  <c r="O32" i="5" s="1"/>
  <c r="I6" i="7"/>
  <c r="H6" i="7"/>
  <c r="F8" i="7"/>
  <c r="M16" i="5"/>
  <c r="O10" i="5"/>
  <c r="P11" i="5"/>
  <c r="N9" i="5"/>
  <c r="N12" i="5" s="1"/>
  <c r="N31" i="5" s="1"/>
  <c r="M17" i="5"/>
  <c r="L18" i="5"/>
  <c r="O15" i="5"/>
  <c r="P6" i="5"/>
  <c r="O7" i="5"/>
  <c r="I12" i="3"/>
  <c r="F28" i="7"/>
  <c r="F36" i="7" s="1"/>
  <c r="G11" i="7"/>
  <c r="J4" i="7"/>
  <c r="I22" i="7"/>
  <c r="H26" i="7"/>
  <c r="N33" i="5" l="1"/>
  <c r="N34" i="5" s="1"/>
  <c r="D23" i="1" s="1"/>
  <c r="C5" i="2" s="1"/>
  <c r="I34" i="5"/>
  <c r="J34" i="5" s="1"/>
  <c r="K34" i="5" s="1"/>
  <c r="L34" i="5" s="1"/>
  <c r="M34" i="5" s="1"/>
  <c r="G8" i="7"/>
  <c r="G10" i="7" s="1"/>
  <c r="G12" i="7" s="1"/>
  <c r="F10" i="7"/>
  <c r="F12" i="7" s="1"/>
  <c r="J23" i="7"/>
  <c r="I23" i="7"/>
  <c r="F25" i="7"/>
  <c r="F27" i="7" s="1"/>
  <c r="H8" i="7"/>
  <c r="H10" i="7" s="1"/>
  <c r="G25" i="7"/>
  <c r="G27" i="7" s="1"/>
  <c r="P10" i="5"/>
  <c r="O9" i="5"/>
  <c r="O12" i="5" s="1"/>
  <c r="O31" i="5" s="1"/>
  <c r="O33" i="5" s="1"/>
  <c r="N17" i="5"/>
  <c r="M18" i="5"/>
  <c r="P16" i="5"/>
  <c r="N16" i="5"/>
  <c r="P7" i="5"/>
  <c r="P9" i="5" s="1"/>
  <c r="P15" i="5"/>
  <c r="H11" i="7"/>
  <c r="G28" i="7"/>
  <c r="G36" i="7" s="1"/>
  <c r="J12" i="3"/>
  <c r="I26" i="7"/>
  <c r="K4" i="7"/>
  <c r="J22" i="7"/>
  <c r="C6" i="2" l="1"/>
  <c r="M42" i="7"/>
  <c r="C40" i="7"/>
  <c r="H12" i="7"/>
  <c r="J6" i="7"/>
  <c r="K6" i="7"/>
  <c r="O34" i="5"/>
  <c r="P12" i="5"/>
  <c r="P31" i="5" s="1"/>
  <c r="P33" i="5" s="1"/>
  <c r="H25" i="7"/>
  <c r="H27" i="7" s="1"/>
  <c r="I8" i="7"/>
  <c r="I10" i="7" s="1"/>
  <c r="O17" i="5"/>
  <c r="N18" i="5"/>
  <c r="O16" i="5"/>
  <c r="P17" i="5" s="1"/>
  <c r="P18" i="5" s="1"/>
  <c r="L12" i="3"/>
  <c r="K12" i="3"/>
  <c r="H28" i="7"/>
  <c r="H36" i="7" s="1"/>
  <c r="I11" i="7"/>
  <c r="L4" i="7"/>
  <c r="K22" i="7"/>
  <c r="J26" i="7"/>
  <c r="M29" i="7"/>
  <c r="M37" i="7" s="1"/>
  <c r="C7" i="2" l="1"/>
  <c r="I12" i="7"/>
  <c r="K23" i="7"/>
  <c r="L23" i="7"/>
  <c r="P34" i="5"/>
  <c r="J8" i="7"/>
  <c r="J10" i="7" s="1"/>
  <c r="I25" i="7"/>
  <c r="I27" i="7" s="1"/>
  <c r="D24" i="1"/>
  <c r="O18" i="5"/>
  <c r="I28" i="7"/>
  <c r="I36" i="7" s="1"/>
  <c r="J11" i="7"/>
  <c r="K26" i="7"/>
  <c r="M4" i="7"/>
  <c r="L22" i="7"/>
  <c r="C14" i="2" l="1"/>
  <c r="C12" i="2"/>
  <c r="C13" i="2"/>
  <c r="C8" i="2"/>
  <c r="J12" i="7"/>
  <c r="M5" i="7"/>
  <c r="M23" i="7" s="1"/>
  <c r="L6" i="7"/>
  <c r="C4" i="22"/>
  <c r="E4" i="22" s="1"/>
  <c r="K8" i="7"/>
  <c r="K10" i="7" s="1"/>
  <c r="J25" i="7"/>
  <c r="J27" i="7" s="1"/>
  <c r="J28" i="7"/>
  <c r="J36" i="7" s="1"/>
  <c r="K11" i="7"/>
  <c r="M22" i="7"/>
  <c r="L26" i="7"/>
  <c r="C15" i="2" l="1"/>
  <c r="G23" i="2"/>
  <c r="C24" i="2" s="1"/>
  <c r="C41" i="7"/>
  <c r="C44" i="7" s="1"/>
  <c r="G99" i="2"/>
  <c r="K12" i="7"/>
  <c r="J31" i="7"/>
  <c r="M6" i="7"/>
  <c r="K25" i="7"/>
  <c r="K27" i="7" s="1"/>
  <c r="L8" i="7"/>
  <c r="L10" i="7" s="1"/>
  <c r="M26" i="7"/>
  <c r="L11" i="7"/>
  <c r="K28" i="7"/>
  <c r="K36" i="7" s="1"/>
  <c r="L12" i="7" l="1"/>
  <c r="K31" i="7"/>
  <c r="M8" i="7"/>
  <c r="M10" i="7" s="1"/>
  <c r="L25" i="7"/>
  <c r="L27" i="7" s="1"/>
  <c r="D100" i="2"/>
  <c r="D13" i="7" s="1"/>
  <c r="L28" i="7"/>
  <c r="L36" i="7" s="1"/>
  <c r="M11" i="7"/>
  <c r="D30" i="7" l="1"/>
  <c r="D14" i="7"/>
  <c r="M12" i="7"/>
  <c r="L31" i="7"/>
  <c r="M25" i="7"/>
  <c r="M27" i="7" s="1"/>
  <c r="C60" i="2"/>
  <c r="C78" i="2"/>
  <c r="C68" i="2"/>
  <c r="C66" i="2"/>
  <c r="C72" i="2"/>
  <c r="C54" i="2"/>
  <c r="C40" i="2"/>
  <c r="C42" i="2"/>
  <c r="C28" i="2"/>
  <c r="C37" i="2"/>
  <c r="C94" i="2"/>
  <c r="C84" i="2"/>
  <c r="C82" i="2"/>
  <c r="C88" i="2"/>
  <c r="C70" i="2"/>
  <c r="C56" i="2"/>
  <c r="C58" i="2"/>
  <c r="C44" i="2"/>
  <c r="C85" i="2"/>
  <c r="C73" i="2"/>
  <c r="C61" i="2"/>
  <c r="C33" i="2"/>
  <c r="C25" i="2"/>
  <c r="C89" i="2"/>
  <c r="C77" i="2"/>
  <c r="C49" i="2"/>
  <c r="D24" i="2"/>
  <c r="C46" i="2"/>
  <c r="C32" i="2"/>
  <c r="C34" i="2"/>
  <c r="C36" i="2"/>
  <c r="C79" i="2"/>
  <c r="C65" i="2"/>
  <c r="C27" i="2"/>
  <c r="C48" i="2"/>
  <c r="C52" i="2"/>
  <c r="C95" i="2"/>
  <c r="C83" i="2"/>
  <c r="E24" i="2"/>
  <c r="C53" i="2"/>
  <c r="C39" i="2"/>
  <c r="C41" i="2"/>
  <c r="C43" i="2"/>
  <c r="C29" i="2"/>
  <c r="C86" i="2"/>
  <c r="C76" i="2"/>
  <c r="C74" i="2"/>
  <c r="C64" i="2"/>
  <c r="C69" i="2"/>
  <c r="C55" i="2"/>
  <c r="C57" i="2"/>
  <c r="C59" i="2"/>
  <c r="C45" i="2"/>
  <c r="C31" i="2"/>
  <c r="C92" i="2"/>
  <c r="C90" i="2"/>
  <c r="C80" i="2"/>
  <c r="C26" i="2"/>
  <c r="C71" i="2"/>
  <c r="C75" i="2"/>
  <c r="C47" i="2"/>
  <c r="C35" i="2"/>
  <c r="C30" i="2"/>
  <c r="C87" i="2"/>
  <c r="C91" i="2"/>
  <c r="C63" i="2"/>
  <c r="C51" i="2"/>
  <c r="C93" i="2"/>
  <c r="C67" i="2"/>
  <c r="C62" i="2"/>
  <c r="C50" i="2"/>
  <c r="C38" i="2"/>
  <c r="C81" i="2"/>
  <c r="D12" i="2"/>
  <c r="C105" i="2"/>
  <c r="C103" i="2"/>
  <c r="C102" i="2"/>
  <c r="C100" i="2"/>
  <c r="C104" i="2"/>
  <c r="C101" i="2"/>
  <c r="M28" i="7"/>
  <c r="M36" i="7" s="1"/>
  <c r="D14" i="2" l="1"/>
  <c r="F24" i="2"/>
  <c r="G24" i="2"/>
  <c r="D16" i="7"/>
  <c r="D15" i="7"/>
  <c r="M31" i="7"/>
  <c r="D171" i="2"/>
  <c r="E100" i="2"/>
  <c r="D29" i="7" s="1"/>
  <c r="D13" i="2"/>
  <c r="D37" i="7" l="1"/>
  <c r="D31" i="7"/>
  <c r="F100" i="2"/>
  <c r="D25" i="2"/>
  <c r="E25" i="2" s="1"/>
  <c r="F25" i="2" s="1"/>
  <c r="G100" i="2"/>
  <c r="D32" i="7" l="1"/>
  <c r="D33" i="7" s="1"/>
  <c r="G25" i="2"/>
  <c r="D26" i="2" s="1"/>
  <c r="E26" i="2" s="1"/>
  <c r="F26" i="2" s="1"/>
  <c r="D101" i="2"/>
  <c r="D34" i="7" l="1"/>
  <c r="D35" i="7" s="1"/>
  <c r="G26" i="2"/>
  <c r="E13" i="7"/>
  <c r="E14" i="7" s="1"/>
  <c r="E171" i="2"/>
  <c r="E101" i="2"/>
  <c r="F101" i="2" l="1"/>
  <c r="E29" i="7"/>
  <c r="E30" i="7"/>
  <c r="G101" i="2"/>
  <c r="D27" i="2"/>
  <c r="E27" i="2" s="1"/>
  <c r="F27" i="2" s="1"/>
  <c r="E31" i="7" l="1"/>
  <c r="E37" i="7"/>
  <c r="G27" i="2"/>
  <c r="D102" i="2"/>
  <c r="D28" i="2" l="1"/>
  <c r="E28" i="2" s="1"/>
  <c r="F28" i="2" s="1"/>
  <c r="F13" i="7"/>
  <c r="F14" i="7" s="1"/>
  <c r="E102" i="2"/>
  <c r="F102" i="2" s="1"/>
  <c r="F30" i="7" l="1"/>
  <c r="F29" i="7"/>
  <c r="F31" i="7" s="1"/>
  <c r="G102" i="2"/>
  <c r="G28" i="2"/>
  <c r="D103" i="2" l="1"/>
  <c r="D29" i="2"/>
  <c r="E29" i="2" s="1"/>
  <c r="F29" i="2" s="1"/>
  <c r="F37" i="7"/>
  <c r="G29" i="2" l="1"/>
  <c r="E103" i="2"/>
  <c r="F103" i="2" s="1"/>
  <c r="G13" i="7"/>
  <c r="G30" i="7" l="1"/>
  <c r="G29" i="7"/>
  <c r="G103" i="2"/>
  <c r="D30" i="2"/>
  <c r="E30" i="2" s="1"/>
  <c r="F30" i="2" s="1"/>
  <c r="G31" i="7" l="1"/>
  <c r="G30" i="2"/>
  <c r="D31" i="2" s="1"/>
  <c r="E31" i="2" s="1"/>
  <c r="F31" i="2" s="1"/>
  <c r="G37" i="7"/>
  <c r="D104" i="2"/>
  <c r="H13" i="7" l="1"/>
  <c r="E104" i="2"/>
  <c r="F104" i="2" s="1"/>
  <c r="G31" i="2"/>
  <c r="H30" i="7" l="1"/>
  <c r="D32" i="2"/>
  <c r="E32" i="2" s="1"/>
  <c r="F32" i="2" s="1"/>
  <c r="H29" i="7"/>
  <c r="H31" i="7" s="1"/>
  <c r="G104" i="2"/>
  <c r="G32" i="2" l="1"/>
  <c r="D33" i="2" s="1"/>
  <c r="E33" i="2" s="1"/>
  <c r="F33" i="2" s="1"/>
  <c r="H37" i="7"/>
  <c r="D105" i="2"/>
  <c r="G33" i="2" l="1"/>
  <c r="D34" i="2" s="1"/>
  <c r="E34" i="2" s="1"/>
  <c r="F34" i="2" s="1"/>
  <c r="I13" i="7"/>
  <c r="E105" i="2"/>
  <c r="F105" i="2" l="1"/>
  <c r="G105" i="2"/>
  <c r="G34" i="2"/>
  <c r="D35" i="2" s="1"/>
  <c r="E35" i="2" s="1"/>
  <c r="F35" i="2" s="1"/>
  <c r="I30" i="7"/>
  <c r="I29" i="7"/>
  <c r="I31" i="7" l="1"/>
  <c r="G35" i="2"/>
  <c r="D36" i="2" s="1"/>
  <c r="E36" i="2" s="1"/>
  <c r="F36" i="2" s="1"/>
  <c r="I37" i="7"/>
  <c r="G36" i="2" l="1"/>
  <c r="D37" i="2" l="1"/>
  <c r="E37" i="2" s="1"/>
  <c r="F37" i="2" s="1"/>
  <c r="G37" i="2" l="1"/>
  <c r="D38" i="2" s="1"/>
  <c r="E38" i="2" s="1"/>
  <c r="F38" i="2" s="1"/>
  <c r="G38" i="2" l="1"/>
  <c r="D39" i="2" s="1"/>
  <c r="E39" i="2" s="1"/>
  <c r="F39" i="2" s="1"/>
  <c r="G39" i="2" l="1"/>
  <c r="D40" i="2" l="1"/>
  <c r="E40" i="2" s="1"/>
  <c r="F40" i="2" s="1"/>
  <c r="G40" i="2" l="1"/>
  <c r="D41" i="2" s="1"/>
  <c r="E41" i="2" s="1"/>
  <c r="F41" i="2" s="1"/>
  <c r="G41" i="2" l="1"/>
  <c r="D42" i="2" l="1"/>
  <c r="E42" i="2" s="1"/>
  <c r="F42" i="2" s="1"/>
  <c r="G42" i="2" l="1"/>
  <c r="D43" i="2" l="1"/>
  <c r="E43" i="2" s="1"/>
  <c r="F43" i="2" s="1"/>
  <c r="G43" i="2" l="1"/>
  <c r="D44" i="2" s="1"/>
  <c r="E44" i="2" s="1"/>
  <c r="F44" i="2" s="1"/>
  <c r="G44" i="2" l="1"/>
  <c r="D45" i="2" l="1"/>
  <c r="E45" i="2" s="1"/>
  <c r="F45" i="2" s="1"/>
  <c r="G45" i="2" l="1"/>
  <c r="D46" i="2" l="1"/>
  <c r="E46" i="2" s="1"/>
  <c r="F46" i="2" s="1"/>
  <c r="G46" i="2" l="1"/>
  <c r="D47" i="2" s="1"/>
  <c r="E47" i="2" s="1"/>
  <c r="F47" i="2" s="1"/>
  <c r="G47" i="2" l="1"/>
  <c r="D48" i="2" l="1"/>
  <c r="E48" i="2" s="1"/>
  <c r="F48" i="2" s="1"/>
  <c r="G48" i="2" l="1"/>
  <c r="D49" i="2" l="1"/>
  <c r="E49" i="2" s="1"/>
  <c r="F49" i="2" s="1"/>
  <c r="G49" i="2" l="1"/>
  <c r="D50" i="2" l="1"/>
  <c r="E50" i="2" s="1"/>
  <c r="F50" i="2" s="1"/>
  <c r="G50" i="2" l="1"/>
  <c r="D51" i="2" l="1"/>
  <c r="E51" i="2" s="1"/>
  <c r="F51" i="2" s="1"/>
  <c r="G51" i="2" l="1"/>
  <c r="D52" i="2" l="1"/>
  <c r="E52" i="2" s="1"/>
  <c r="F52" i="2" s="1"/>
  <c r="G52" i="2" l="1"/>
  <c r="D53" i="2" l="1"/>
  <c r="E53" i="2" s="1"/>
  <c r="F53" i="2" s="1"/>
  <c r="G53" i="2" l="1"/>
  <c r="D54" i="2" l="1"/>
  <c r="E54" i="2" s="1"/>
  <c r="F54" i="2" s="1"/>
  <c r="G54" i="2" l="1"/>
  <c r="D55" i="2" l="1"/>
  <c r="E55" i="2" s="1"/>
  <c r="F55" i="2" s="1"/>
  <c r="G55" i="2" l="1"/>
  <c r="D56" i="2" l="1"/>
  <c r="E56" i="2" s="1"/>
  <c r="F56" i="2" s="1"/>
  <c r="G56" i="2" l="1"/>
  <c r="D57" i="2" l="1"/>
  <c r="E57" i="2" s="1"/>
  <c r="F57" i="2" s="1"/>
  <c r="G57" i="2" l="1"/>
  <c r="D58" i="2" l="1"/>
  <c r="E58" i="2" s="1"/>
  <c r="F58" i="2" s="1"/>
  <c r="G58" i="2" l="1"/>
  <c r="D59" i="2" s="1"/>
  <c r="E59" i="2" s="1"/>
  <c r="F59" i="2" s="1"/>
  <c r="G59" i="2" l="1"/>
  <c r="D60" i="2" l="1"/>
  <c r="E60" i="2" s="1"/>
  <c r="F60" i="2" s="1"/>
  <c r="G60" i="2" l="1"/>
  <c r="D61" i="2" l="1"/>
  <c r="E61" i="2" s="1"/>
  <c r="F61" i="2" s="1"/>
  <c r="G61" i="2" l="1"/>
  <c r="D62" i="2" l="1"/>
  <c r="E62" i="2" s="1"/>
  <c r="F62" i="2" s="1"/>
  <c r="G62" i="2" l="1"/>
  <c r="D63" i="2" l="1"/>
  <c r="E63" i="2" s="1"/>
  <c r="F63" i="2" s="1"/>
  <c r="G63" i="2" l="1"/>
  <c r="D64" i="2" l="1"/>
  <c r="E64" i="2" s="1"/>
  <c r="F64" i="2" s="1"/>
  <c r="G64" i="2" l="1"/>
  <c r="D65" i="2" l="1"/>
  <c r="E65" i="2" s="1"/>
  <c r="F65" i="2" s="1"/>
  <c r="G65" i="2" l="1"/>
  <c r="D66" i="2" l="1"/>
  <c r="E66" i="2" s="1"/>
  <c r="F66" i="2" s="1"/>
  <c r="G66" i="2" l="1"/>
  <c r="D67" i="2" l="1"/>
  <c r="E67" i="2" s="1"/>
  <c r="F67" i="2" s="1"/>
  <c r="G67" i="2" l="1"/>
  <c r="D68" i="2" l="1"/>
  <c r="E68" i="2" s="1"/>
  <c r="F68" i="2" s="1"/>
  <c r="G68" i="2" l="1"/>
  <c r="D69" i="2" l="1"/>
  <c r="E69" i="2" s="1"/>
  <c r="F69" i="2" s="1"/>
  <c r="G69" i="2" l="1"/>
  <c r="D70" i="2" l="1"/>
  <c r="E70" i="2" s="1"/>
  <c r="F70" i="2" s="1"/>
  <c r="G70" i="2" l="1"/>
  <c r="D71" i="2" l="1"/>
  <c r="E71" i="2" s="1"/>
  <c r="F71" i="2" s="1"/>
  <c r="G71" i="2" l="1"/>
  <c r="D72" i="2" l="1"/>
  <c r="E72" i="2" s="1"/>
  <c r="F72" i="2" s="1"/>
  <c r="G72" i="2" l="1"/>
  <c r="D73" i="2" l="1"/>
  <c r="E73" i="2" s="1"/>
  <c r="F73" i="2" s="1"/>
  <c r="G73" i="2" l="1"/>
  <c r="D74" i="2" l="1"/>
  <c r="E74" i="2" s="1"/>
  <c r="F74" i="2" s="1"/>
  <c r="G74" i="2" l="1"/>
  <c r="D75" i="2" l="1"/>
  <c r="E75" i="2" s="1"/>
  <c r="F75" i="2" s="1"/>
  <c r="G75" i="2" l="1"/>
  <c r="D76" i="2" l="1"/>
  <c r="E76" i="2" s="1"/>
  <c r="F76" i="2" s="1"/>
  <c r="G76" i="2" l="1"/>
  <c r="D77" i="2" l="1"/>
  <c r="E77" i="2" s="1"/>
  <c r="F77" i="2" s="1"/>
  <c r="G77" i="2" l="1"/>
  <c r="D78" i="2" l="1"/>
  <c r="E78" i="2" s="1"/>
  <c r="F78" i="2" s="1"/>
  <c r="G78" i="2" l="1"/>
  <c r="D79" i="2" l="1"/>
  <c r="E79" i="2" s="1"/>
  <c r="F79" i="2" s="1"/>
  <c r="G79" i="2" l="1"/>
  <c r="D80" i="2" l="1"/>
  <c r="E80" i="2" s="1"/>
  <c r="F80" i="2" s="1"/>
  <c r="G80" i="2" l="1"/>
  <c r="D81" i="2" l="1"/>
  <c r="E81" i="2" s="1"/>
  <c r="F81" i="2" s="1"/>
  <c r="G81" i="2" l="1"/>
  <c r="D82" i="2" l="1"/>
  <c r="E82" i="2" s="1"/>
  <c r="F82" i="2" s="1"/>
  <c r="G82" i="2" l="1"/>
  <c r="D83" i="2" l="1"/>
  <c r="E83" i="2" s="1"/>
  <c r="F83" i="2" s="1"/>
  <c r="G83" i="2" l="1"/>
  <c r="D84" i="2" l="1"/>
  <c r="E84" i="2" s="1"/>
  <c r="F84" i="2" s="1"/>
  <c r="G84" i="2" l="1"/>
  <c r="D85" i="2" l="1"/>
  <c r="E85" i="2" s="1"/>
  <c r="F85" i="2" s="1"/>
  <c r="G85" i="2" l="1"/>
  <c r="D86" i="2" l="1"/>
  <c r="E86" i="2" s="1"/>
  <c r="F86" i="2" s="1"/>
  <c r="G86" i="2" l="1"/>
  <c r="D87" i="2" l="1"/>
  <c r="E87" i="2" s="1"/>
  <c r="F87" i="2" s="1"/>
  <c r="G87" i="2" l="1"/>
  <c r="D88" i="2" s="1"/>
  <c r="E88" i="2" s="1"/>
  <c r="F88" i="2" s="1"/>
  <c r="G88" i="2" l="1"/>
  <c r="D89" i="2" l="1"/>
  <c r="E89" i="2" s="1"/>
  <c r="F89" i="2" s="1"/>
  <c r="G89" i="2" l="1"/>
  <c r="D90" i="2" l="1"/>
  <c r="E90" i="2" s="1"/>
  <c r="F90" i="2" s="1"/>
  <c r="G90" i="2" l="1"/>
  <c r="D91" i="2" l="1"/>
  <c r="E91" i="2" s="1"/>
  <c r="F91" i="2" s="1"/>
  <c r="G91" i="2" l="1"/>
  <c r="D92" i="2" l="1"/>
  <c r="E92" i="2" s="1"/>
  <c r="F92" i="2" s="1"/>
  <c r="G92" i="2" l="1"/>
  <c r="D93" i="2" l="1"/>
  <c r="E93" i="2" s="1"/>
  <c r="F93" i="2" s="1"/>
  <c r="G93" i="2" l="1"/>
  <c r="D94" i="2" l="1"/>
  <c r="E94" i="2" s="1"/>
  <c r="F94" i="2" s="1"/>
  <c r="G94" i="2" l="1"/>
  <c r="D95" i="2" l="1"/>
  <c r="E95" i="2" s="1"/>
  <c r="F95" i="2" s="1"/>
  <c r="G95" i="2" l="1"/>
  <c r="D44" i="7" l="1"/>
  <c r="D5" i="22" l="1"/>
  <c r="E5" i="22" s="1"/>
  <c r="F5" i="22" s="1"/>
  <c r="G5" i="22" s="1"/>
  <c r="H5" i="22" s="1"/>
  <c r="D17" i="7" l="1"/>
  <c r="F16" i="7"/>
  <c r="G14" i="7"/>
  <c r="G16" i="7" l="1"/>
  <c r="F15" i="7"/>
  <c r="F17" i="7" s="1"/>
  <c r="E15" i="7"/>
  <c r="G15" i="7"/>
  <c r="E16" i="7"/>
  <c r="I14" i="7"/>
  <c r="I15" i="7" s="1"/>
  <c r="H14" i="7"/>
  <c r="H16" i="7" s="1"/>
  <c r="K14" i="7"/>
  <c r="K15" i="7" s="1"/>
  <c r="L14" i="7"/>
  <c r="J14" i="7"/>
  <c r="M14" i="7"/>
  <c r="M15" i="7" s="1"/>
  <c r="G17" i="7" l="1"/>
  <c r="E17" i="7"/>
  <c r="J16" i="7"/>
  <c r="J15" i="7"/>
  <c r="I16" i="7"/>
  <c r="I17" i="7" s="1"/>
  <c r="H15" i="7"/>
  <c r="H17" i="7" s="1"/>
  <c r="M16" i="7"/>
  <c r="M17" i="7" s="1"/>
  <c r="L15" i="7"/>
  <c r="K16" i="7"/>
  <c r="K17" i="7" s="1"/>
  <c r="L16" i="7"/>
  <c r="J17" i="7" l="1"/>
  <c r="L17" i="7"/>
  <c r="M32" i="7"/>
  <c r="E32" i="7"/>
  <c r="E33" i="7" s="1"/>
  <c r="H32" i="7"/>
  <c r="I32" i="7"/>
  <c r="I33" i="7" s="1"/>
  <c r="G32" i="7"/>
  <c r="G33" i="7" s="1"/>
  <c r="J32" i="7"/>
  <c r="J33" i="7" s="1"/>
  <c r="F32" i="7"/>
  <c r="F33" i="7" s="1"/>
  <c r="J34" i="7" l="1"/>
  <c r="J35" i="7" s="1"/>
  <c r="J44" i="7" s="1"/>
  <c r="D11" i="22" s="1"/>
  <c r="E11" i="22" s="1"/>
  <c r="I34" i="7"/>
  <c r="I35" i="7" s="1"/>
  <c r="I44" i="7" s="1"/>
  <c r="D10" i="22" s="1"/>
  <c r="E10" i="22" s="1"/>
  <c r="E34" i="7"/>
  <c r="E35" i="7" s="1"/>
  <c r="E44" i="7" s="1"/>
  <c r="F34" i="7"/>
  <c r="F35" i="7" s="1"/>
  <c r="F44" i="7" s="1"/>
  <c r="D7" i="22" s="1"/>
  <c r="E7" i="22" s="1"/>
  <c r="G34" i="7"/>
  <c r="G35" i="7" s="1"/>
  <c r="G44" i="7" s="1"/>
  <c r="D8" i="22" s="1"/>
  <c r="E8" i="22" s="1"/>
  <c r="H33" i="7"/>
  <c r="M33" i="7"/>
  <c r="L32" i="7"/>
  <c r="L33" i="7" s="1"/>
  <c r="K32" i="7"/>
  <c r="K33" i="7" s="1"/>
  <c r="K34" i="7" l="1"/>
  <c r="K35" i="7" s="1"/>
  <c r="K44" i="7" s="1"/>
  <c r="D12" i="22" s="1"/>
  <c r="E12" i="22" s="1"/>
  <c r="L34" i="7"/>
  <c r="L35" i="7" s="1"/>
  <c r="L44" i="7" s="1"/>
  <c r="D13" i="22" s="1"/>
  <c r="E13" i="22" s="1"/>
  <c r="M34" i="7"/>
  <c r="M35" i="7" s="1"/>
  <c r="M44" i="7" s="1"/>
  <c r="D14" i="22" s="1"/>
  <c r="E14" i="22" s="1"/>
  <c r="D6" i="22"/>
  <c r="E6" i="22" s="1"/>
  <c r="F6" i="22" s="1"/>
  <c r="G6" i="22" s="1"/>
  <c r="H6" i="22" s="1"/>
  <c r="H34" i="7"/>
  <c r="H35" i="7" s="1"/>
  <c r="H44" i="7" s="1"/>
  <c r="D9" i="22" s="1"/>
  <c r="E9" i="22" s="1"/>
  <c r="C45" i="7" l="1"/>
  <c r="E48" i="7"/>
  <c r="F7" i="22"/>
  <c r="G7" i="22" l="1"/>
  <c r="H7" i="22" s="1"/>
  <c r="F8" i="22"/>
  <c r="G8" i="22" l="1"/>
  <c r="F9" i="22"/>
  <c r="G9" i="22" l="1"/>
  <c r="F10" i="22"/>
  <c r="G10" i="22" l="1"/>
  <c r="F11" i="22"/>
  <c r="G11" i="22" l="1"/>
  <c r="F12" i="22"/>
  <c r="G12" i="22" l="1"/>
  <c r="F13" i="22"/>
  <c r="G13" i="22" l="1"/>
  <c r="F14" i="22"/>
  <c r="G14" i="22" s="1"/>
</calcChain>
</file>

<file path=xl/sharedStrings.xml><?xml version="1.0" encoding="utf-8"?>
<sst xmlns="http://schemas.openxmlformats.org/spreadsheetml/2006/main" count="621" uniqueCount="335">
  <si>
    <t>Escritorios</t>
  </si>
  <si>
    <t>Muebles de Oficina</t>
  </si>
  <si>
    <t>Sillas de Escritorio</t>
  </si>
  <si>
    <t>Archivadores</t>
  </si>
  <si>
    <t>Equipos de Oficina</t>
  </si>
  <si>
    <t>Fax</t>
  </si>
  <si>
    <t>Computadoras</t>
  </si>
  <si>
    <t>Suministros de Oficina</t>
  </si>
  <si>
    <t>Gastos de Constitución</t>
  </si>
  <si>
    <t>Otros</t>
  </si>
  <si>
    <t>Suministros de Limpieza</t>
  </si>
  <si>
    <t>Vehículo</t>
  </si>
  <si>
    <t>Pagina Web</t>
  </si>
  <si>
    <t>Terreno</t>
  </si>
  <si>
    <t>TOTAL</t>
  </si>
  <si>
    <t>FINANCIAMIENTO</t>
  </si>
  <si>
    <t>INVERSIÓN INICIAL</t>
  </si>
  <si>
    <t>PARTICIPACIÓN</t>
  </si>
  <si>
    <t>Aguilar García Luisa María</t>
  </si>
  <si>
    <t>Blancas Santillan Eliana</t>
  </si>
  <si>
    <t>Yulan Blancas Nathasa</t>
  </si>
  <si>
    <t>CONTRIBUCIÓN DE LOS ACCIONISTAS</t>
  </si>
  <si>
    <t>t anual</t>
  </si>
  <si>
    <t>t mensual</t>
  </si>
  <si>
    <t>CUOTA</t>
  </si>
  <si>
    <t>AMORTIZACIÓN</t>
  </si>
  <si>
    <t>CAPITAL AMORTIZADO</t>
  </si>
  <si>
    <t>CAPITAL VIVO</t>
  </si>
  <si>
    <t>Ventas</t>
  </si>
  <si>
    <t>Precio</t>
  </si>
  <si>
    <t>INGRESOS MENSUALES</t>
  </si>
  <si>
    <t>Sueldos y Salarios</t>
  </si>
  <si>
    <t>Secretaria</t>
  </si>
  <si>
    <t>Supervisor de Calidad</t>
  </si>
  <si>
    <t>Contador</t>
  </si>
  <si>
    <t>Supervisor de Mantenimiento</t>
  </si>
  <si>
    <t>Gerente General</t>
  </si>
  <si>
    <t>Bodeguero</t>
  </si>
  <si>
    <t>Jefe de Recursos Humanos</t>
  </si>
  <si>
    <t>Chofer</t>
  </si>
  <si>
    <t>Unidad</t>
  </si>
  <si>
    <t>Plateo</t>
  </si>
  <si>
    <t>Deshoje y Protección de fruta</t>
  </si>
  <si>
    <t>Deshermane</t>
  </si>
  <si>
    <t>Fertilización Foliar</t>
  </si>
  <si>
    <t>Fertilizante Compost</t>
  </si>
  <si>
    <t>Aplicación de Compost</t>
  </si>
  <si>
    <t>Riego y Bombeo</t>
  </si>
  <si>
    <t>Deshije</t>
  </si>
  <si>
    <t>Amarre y reamarre</t>
  </si>
  <si>
    <t>Embolse y Desflore</t>
  </si>
  <si>
    <t>Ha/año</t>
  </si>
  <si>
    <t>Cajas</t>
  </si>
  <si>
    <t>Maquinaria</t>
  </si>
  <si>
    <t>Costos Operativos</t>
  </si>
  <si>
    <t>Diesel</t>
  </si>
  <si>
    <t>50 galones</t>
  </si>
  <si>
    <t>Energía Electrica</t>
  </si>
  <si>
    <t>Telefono-Internet</t>
  </si>
  <si>
    <t>Agua</t>
  </si>
  <si>
    <t>Alquiler de local</t>
  </si>
  <si>
    <t>Mantenimiento de Pagina Web</t>
  </si>
  <si>
    <t>ACTIVO</t>
  </si>
  <si>
    <t>VALOR DE COMPRA</t>
  </si>
  <si>
    <t>VIDA CONTABLE</t>
  </si>
  <si>
    <t>DEPRECIACIÓN ANUAL</t>
  </si>
  <si>
    <t>DEPRECIACIÓN ACUMULADA</t>
  </si>
  <si>
    <t>VALOR EN LIBROS</t>
  </si>
  <si>
    <t>Muebles de oficina</t>
  </si>
  <si>
    <t>Equipos de Computo</t>
  </si>
  <si>
    <t>Vehiculo</t>
  </si>
  <si>
    <t xml:space="preserve">Maquinaria </t>
  </si>
  <si>
    <t>VALOR DE DESECHO CONTABLE</t>
  </si>
  <si>
    <t>ESTADO DE RESULTADOS</t>
  </si>
  <si>
    <t>Costo de Ventas</t>
  </si>
  <si>
    <t>Meristemos</t>
  </si>
  <si>
    <t>Mata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</si>
  <si>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</si>
  <si>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</si>
  <si>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</si>
  <si>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</si>
  <si>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</si>
  <si>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</si>
  <si>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</si>
  <si>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</si>
  <si>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</si>
  <si>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</si>
  <si>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Depreciación</t>
  </si>
  <si>
    <t>Participación de Trabajadores (15%)</t>
  </si>
  <si>
    <t>Utilidad Neta</t>
  </si>
  <si>
    <t>Utilidad Bruta en Ventas</t>
  </si>
  <si>
    <t>Utilidad Antes de Partic.  Intereses e Impuestos</t>
  </si>
  <si>
    <r>
      <t>N</t>
    </r>
    <r>
      <rPr>
        <b/>
        <sz val="11"/>
        <color indexed="8"/>
        <rFont val="Calibri"/>
        <family val="2"/>
      </rPr>
      <t>°</t>
    </r>
  </si>
  <si>
    <t>GASTOS ADMINISTRATIVOS</t>
  </si>
  <si>
    <t>(+)Ingresos por ventas</t>
  </si>
  <si>
    <t>(-)Costo de Ventas</t>
  </si>
  <si>
    <t>(+) Depreciación</t>
  </si>
  <si>
    <t>FLUJO DE EFECTIVO NETO</t>
  </si>
  <si>
    <t>(-)Sueldos y Salarios</t>
  </si>
  <si>
    <t>(-)Costos Operativos</t>
  </si>
  <si>
    <t xml:space="preserve">(-)Amortización </t>
  </si>
  <si>
    <t>(+) Amortización</t>
  </si>
  <si>
    <t>VAN</t>
  </si>
  <si>
    <t>TMAR</t>
  </si>
  <si>
    <t>CAPM</t>
  </si>
  <si>
    <t>T</t>
  </si>
  <si>
    <t>L</t>
  </si>
  <si>
    <t>β</t>
  </si>
  <si>
    <t>Jan 3, 2012</t>
  </si>
  <si>
    <t>Dec 1, 2011</t>
  </si>
  <si>
    <t>Nov 1, 2011</t>
  </si>
  <si>
    <t>Oct 3, 2011</t>
  </si>
  <si>
    <t>Sep 1, 2011</t>
  </si>
  <si>
    <t>Aug 1, 2011</t>
  </si>
  <si>
    <t>Jul 1, 2011</t>
  </si>
  <si>
    <t>Jun 1, 2011</t>
  </si>
  <si>
    <t>May 2, 2011</t>
  </si>
  <si>
    <t>Apr 1, 2011</t>
  </si>
  <si>
    <t>Mar 1, 2011</t>
  </si>
  <si>
    <t>Feb 1, 2011</t>
  </si>
  <si>
    <t>Jan 3, 2011</t>
  </si>
  <si>
    <t>Dec 1, 2010</t>
  </si>
  <si>
    <t>Nov 1, 2010</t>
  </si>
  <si>
    <t>Oct 1, 2010</t>
  </si>
  <si>
    <t>Sep 1, 2010</t>
  </si>
  <si>
    <t>Aug 2, 2010</t>
  </si>
  <si>
    <t>Jul 1, 2010</t>
  </si>
  <si>
    <t>Jun 1, 2010</t>
  </si>
  <si>
    <t>May 3, 2010</t>
  </si>
  <si>
    <t>Apr 1, 2010</t>
  </si>
  <si>
    <t>Mar 1, 2010</t>
  </si>
  <si>
    <t>Feb 1, 2010</t>
  </si>
  <si>
    <t>Jan 4, 2010</t>
  </si>
  <si>
    <t>Dec 1, 2009</t>
  </si>
  <si>
    <t>Nov 2, 2009</t>
  </si>
  <si>
    <t>Oct 1, 2009</t>
  </si>
  <si>
    <t>Sep 1, 2009</t>
  </si>
  <si>
    <t>Aug 3, 2009</t>
  </si>
  <si>
    <t>Jul 1, 2009</t>
  </si>
  <si>
    <t>Jun 1, 2009</t>
  </si>
  <si>
    <t>May 1, 2009</t>
  </si>
  <si>
    <t>Apr 1, 2009</t>
  </si>
  <si>
    <t>Mar 2, 2009</t>
  </si>
  <si>
    <t>Feb 2, 2009</t>
  </si>
  <si>
    <t>Jan 2, 2009</t>
  </si>
  <si>
    <t>Dec 1, 2008</t>
  </si>
  <si>
    <t>Nov 3, 2008</t>
  </si>
  <si>
    <t>Oct 1, 2008</t>
  </si>
  <si>
    <t>Sep 2, 2008</t>
  </si>
  <si>
    <t>Aug 1, 2008</t>
  </si>
  <si>
    <t>Jul 1, 2008</t>
  </si>
  <si>
    <t>Jun 2, 2008</t>
  </si>
  <si>
    <t>May 1, 2008</t>
  </si>
  <si>
    <t>Apr 1, 2008</t>
  </si>
  <si>
    <t>Mar 3, 2008</t>
  </si>
  <si>
    <t>Feb 1, 2008</t>
  </si>
  <si>
    <t>Jan 2, 2008</t>
  </si>
  <si>
    <t>Dec 3, 2007</t>
  </si>
  <si>
    <t>Nov 1, 2007</t>
  </si>
  <si>
    <t>Oct 1, 2007</t>
  </si>
  <si>
    <t>Sep 4, 2007</t>
  </si>
  <si>
    <t>Aug 1, 2007</t>
  </si>
  <si>
    <t>Jul 2, 2007</t>
  </si>
  <si>
    <t>Jun 1, 2007</t>
  </si>
  <si>
    <t>May 1, 2007</t>
  </si>
  <si>
    <t>Apr 2, 2007</t>
  </si>
  <si>
    <t>Mar 1, 2007</t>
  </si>
  <si>
    <t>Feb 1, 2007</t>
  </si>
  <si>
    <t>Jan 23, 2007</t>
  </si>
  <si>
    <t>WHOLE FOODS MARKET</t>
  </si>
  <si>
    <t>TIR</t>
  </si>
  <si>
    <t>PAYBACK</t>
  </si>
  <si>
    <t>Camiones</t>
  </si>
  <si>
    <t>ANALISIS DE SENSIBLIDAD RESPECTO A INGRESOS</t>
  </si>
  <si>
    <t>VARIACION</t>
  </si>
  <si>
    <t>RESULTADO</t>
  </si>
  <si>
    <t>FACTIBLE</t>
  </si>
  <si>
    <t>ANALISIS DE SENSIBLIDAD RESPECTO A COSTOS</t>
  </si>
  <si>
    <t>INGRESOS ANUALES</t>
  </si>
  <si>
    <t>ENE</t>
  </si>
  <si>
    <t>FEB</t>
  </si>
  <si>
    <t>MAR</t>
  </si>
  <si>
    <t>ABR</t>
  </si>
  <si>
    <t>MAY</t>
  </si>
  <si>
    <t>JUN</t>
  </si>
  <si>
    <t>JUL</t>
  </si>
  <si>
    <t>SEPT</t>
  </si>
  <si>
    <t>OCT</t>
  </si>
  <si>
    <t>NOV</t>
  </si>
  <si>
    <t>DIC</t>
  </si>
  <si>
    <t>Egreso Mensual</t>
  </si>
  <si>
    <t>Ingreso Mensual</t>
  </si>
  <si>
    <t>Saldo Mensual</t>
  </si>
  <si>
    <t>NO FACTIBLE</t>
  </si>
  <si>
    <t>(+) Préstamo</t>
  </si>
  <si>
    <t>-</t>
  </si>
  <si>
    <t>Impuestos (23%)</t>
  </si>
  <si>
    <t>Ventas (q)</t>
  </si>
  <si>
    <t>Ventas ($)</t>
  </si>
  <si>
    <t>AGOS</t>
  </si>
  <si>
    <t>Inventario Inicial</t>
  </si>
  <si>
    <t>Inventario Final</t>
  </si>
  <si>
    <t>Material Directo</t>
  </si>
  <si>
    <t>Costo de Fabricación</t>
  </si>
  <si>
    <t>Gastos de Ventas Variables</t>
  </si>
  <si>
    <t>Gastos de Ventas Fijos</t>
  </si>
  <si>
    <t>Gastos de Administración</t>
  </si>
  <si>
    <t>Costo de Exportación mediante Incoterm FOB</t>
  </si>
  <si>
    <t>ANUAL</t>
  </si>
  <si>
    <t>MENSUAL</t>
  </si>
  <si>
    <t>Capital de Trabajo</t>
  </si>
  <si>
    <t>Inversión Total</t>
  </si>
  <si>
    <t>Rm</t>
  </si>
  <si>
    <t>Rp(BCE)</t>
  </si>
  <si>
    <t>Rf(Bond10)</t>
  </si>
  <si>
    <t xml:space="preserve"> Rf+β(Rm-Rf) </t>
  </si>
  <si>
    <t>βa</t>
  </si>
  <si>
    <t>Total Pasivo</t>
  </si>
  <si>
    <t>Beta(Empresa)</t>
  </si>
  <si>
    <t>Total Activo</t>
  </si>
  <si>
    <t>Beta</t>
  </si>
  <si>
    <t xml:space="preserve">Whole Foods Market </t>
  </si>
  <si>
    <t xml:space="preserve">Lenecu Organic </t>
  </si>
  <si>
    <t>βa(1-L)(T))/(1-L)</t>
  </si>
  <si>
    <t>(1-(L*B))/(1-(L*T))</t>
  </si>
  <si>
    <t>Bananera con todas las instalaciones                  (Cuenta con 36 hectáreas, costo por 1 hectárea)</t>
  </si>
  <si>
    <t>Tractor Agrícola</t>
  </si>
  <si>
    <t>LÍneas de Teléfono</t>
  </si>
  <si>
    <t>Impresora Triple Multifunción</t>
  </si>
  <si>
    <t>Impresoras Básicas</t>
  </si>
  <si>
    <t>PERÍODO</t>
  </si>
  <si>
    <t>INTERÉS</t>
  </si>
  <si>
    <t>TABLA DE AMORTIZACIÓN DE PRÉSTAMO POR AÑO</t>
  </si>
  <si>
    <t>TABLA DE AMORTIZACIÓN DE PRÉSTAMO POR MES</t>
  </si>
  <si>
    <t>ACCIONISTAS</t>
  </si>
  <si>
    <t>TASA EFECTIVA PRÉSTAMO A CFN</t>
  </si>
  <si>
    <t xml:space="preserve">Inversión en Activos </t>
  </si>
  <si>
    <t>CLASIFICACIÓN</t>
  </si>
  <si>
    <t>COSTO UNITARIO</t>
  </si>
  <si>
    <t>CANTIDAD</t>
  </si>
  <si>
    <t>DESCRIPCIÓN</t>
  </si>
  <si>
    <t>INVERSIÓN EN ACTIVOS</t>
  </si>
  <si>
    <t>Teléfonos</t>
  </si>
  <si>
    <t>Sofá</t>
  </si>
  <si>
    <t>TOTAL INGRESOS</t>
  </si>
  <si>
    <t>SUELDOS Y SALARIOS</t>
  </si>
  <si>
    <t>CARGO</t>
  </si>
  <si>
    <t>TOTAL MENSUAL</t>
  </si>
  <si>
    <t>APORTE TRABAJADORES AL IESS (ANUAL)</t>
  </si>
  <si>
    <t>SUELDOS ANUALES</t>
  </si>
  <si>
    <t>TOTAL SUELDOS MENSUALES</t>
  </si>
  <si>
    <t>SUELDOS MENSUALES</t>
  </si>
  <si>
    <t>13ER SUELDO</t>
  </si>
  <si>
    <t>14TO SUELDO</t>
  </si>
  <si>
    <t>VACACIONES</t>
  </si>
  <si>
    <t>APORTE PATRONAL AL IESS (ANUAL)</t>
  </si>
  <si>
    <t>FONDOS DE RESERVAS</t>
  </si>
  <si>
    <t>TOTAL A PARTIR AÑO 2</t>
  </si>
  <si>
    <t>TOTAL AÑO 1</t>
  </si>
  <si>
    <t>Jefe de Comercialización y Comercio Exterior</t>
  </si>
  <si>
    <t>Personal para el Mantenimiento de Bananera (25 personas)</t>
  </si>
  <si>
    <t>Supervisor de Producción</t>
  </si>
  <si>
    <t>COSTOS DE VENTA</t>
  </si>
  <si>
    <t>UNIDAD</t>
  </si>
  <si>
    <t>PRECIO</t>
  </si>
  <si>
    <t>Fertilizante Roca Fosfórica, Sulphomaq, Potasio</t>
  </si>
  <si>
    <t>AplicaciónFSertilizantes</t>
  </si>
  <si>
    <t>Control Maleza y Guadaña</t>
  </si>
  <si>
    <t>COSTOS OPERATIVOS</t>
  </si>
  <si>
    <t>CANTIDAD NECESARIA SEMANAL</t>
  </si>
  <si>
    <t>COSTO SEMANAL</t>
  </si>
  <si>
    <t>COSTO  MENSUAL</t>
  </si>
  <si>
    <t>COSTO ANUAL</t>
  </si>
  <si>
    <t xml:space="preserve">MENSUAL </t>
  </si>
  <si>
    <t>Alquiler de Excavadora             (130 horas)</t>
  </si>
  <si>
    <t>DEPRECIACIÓN</t>
  </si>
  <si>
    <t>AÑOS DEPRECIÁNDOSE</t>
  </si>
  <si>
    <t>VARIACIÓN</t>
  </si>
  <si>
    <t>DATE</t>
  </si>
  <si>
    <t>CLOSE</t>
  </si>
  <si>
    <t>EMPRESA COMPARABLE</t>
  </si>
  <si>
    <t>NUESTRA EMPRESA</t>
  </si>
  <si>
    <t xml:space="preserve">CÁLCULO DE LA BETA </t>
  </si>
  <si>
    <t>CÁLCULO DEL CAPM</t>
  </si>
  <si>
    <t>Mano de Obra Directa</t>
  </si>
  <si>
    <t>INGRESO MENSUAL</t>
  </si>
  <si>
    <t>PROGRAMA DE PRODUCCIÓN</t>
  </si>
  <si>
    <t>30% Contado</t>
  </si>
  <si>
    <t>40% a 30 Días</t>
  </si>
  <si>
    <t>30% a 60 Días</t>
  </si>
  <si>
    <t>SALDO ACUMULADO</t>
  </si>
  <si>
    <t>EGRESO MENSUAL</t>
  </si>
  <si>
    <t>INVERSIÓN</t>
  </si>
  <si>
    <t>FLUJO DE EFECTIVO</t>
  </si>
  <si>
    <t>MONTO DESCONTADO POR RECUPERAR EN EL AÑO T</t>
  </si>
  <si>
    <t>AÑO</t>
  </si>
  <si>
    <t>MONTO RECUPERADO HASTA EL AÑO T</t>
  </si>
  <si>
    <t>% RECUPERADO</t>
  </si>
  <si>
    <t>% POR RECUPERAR</t>
  </si>
  <si>
    <t>Hora</t>
  </si>
  <si>
    <t>TOTAL ANUAL</t>
  </si>
  <si>
    <t>Ingresos antes de Beneficios a trabajadores</t>
  </si>
  <si>
    <t>(-)15% Beneficios a Trabajadores</t>
  </si>
  <si>
    <t>(-) 23 % de Impuesto a la Renta</t>
  </si>
  <si>
    <t>Ingresos antes de Impuesto a la Renta</t>
  </si>
  <si>
    <t>Ingresos después de Impuestos</t>
  </si>
  <si>
    <t>(+) Valor de Desecho</t>
  </si>
  <si>
    <t>(-)Depreciación</t>
  </si>
  <si>
    <t>(+) Recuperación del Capital de Trabajo</t>
  </si>
  <si>
    <t>Intereses por Préstamo</t>
  </si>
  <si>
    <t>Utilidad Antes de Partic.e Impuestos</t>
  </si>
  <si>
    <t xml:space="preserve">FLUJO DE EFECTIVO </t>
  </si>
  <si>
    <t>CÁLCULO CAPITAL DE TRABAJO</t>
  </si>
  <si>
    <t>COSTOS TOTALES</t>
  </si>
  <si>
    <t>COSTOS DE PRODUCCIÓN</t>
  </si>
  <si>
    <t>COSTO DE PRODUCCIÓN TOTAL</t>
  </si>
  <si>
    <t>COSTOS DE PRODUCCIÓN TOTAL</t>
  </si>
  <si>
    <t>MANO DE OBRA DIRECTA</t>
  </si>
  <si>
    <t>COSTO DE MANO DE OBRA DIRECTA</t>
  </si>
  <si>
    <t>COSTOS DE VENTA  TOTAL</t>
  </si>
  <si>
    <t>Costo Fijos  de Producción</t>
  </si>
  <si>
    <t>MATERIALES  DIRECTOS</t>
  </si>
  <si>
    <t>COSTOS DE VENTA FIJO</t>
  </si>
  <si>
    <t>COSTO DE VENTA VARIABLE</t>
  </si>
  <si>
    <t>COSTO DE MATERIALES DIRECTOS</t>
  </si>
  <si>
    <t>COSTOS DE VENTA TOTAL</t>
  </si>
  <si>
    <t>Gastos Administrativos</t>
  </si>
  <si>
    <t>Total de Gastos Administrativos</t>
  </si>
  <si>
    <t>TOTAL GASTOS ADMINISTRATIVOS</t>
  </si>
  <si>
    <t>(-) Capital de Trabajo</t>
  </si>
  <si>
    <t>(-)Intereses por Préstamo</t>
  </si>
  <si>
    <t>Capital Propio</t>
  </si>
  <si>
    <t>(-) Inversión en Activos</t>
  </si>
  <si>
    <t>Deuda a Financiar</t>
  </si>
  <si>
    <t>(-) Inversión de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</si>
</sst>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164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0">
    <xf numFmtId="164" fontId="0" fillId="0" borderId="0" xfId="0"/>
    <xf numFmtId="164" fontId="0" fillId="0" borderId="0" xfId="0" applyNumberFormat="1"/>
    <xf numFmtId="164" fontId="0" fillId="0" borderId="0" xfId="0" applyBorder="1"/>
    <xf numFmtId="164" fontId="0" fillId="0" borderId="0" xfId="0" applyNumberFormat="1" applyFont="1"/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64" fontId="0" fillId="0" borderId="0" xfId="0" applyFont="1"/>
    <xf numFmtId="9" fontId="0" fillId="0" borderId="0" xfId="0" applyNumberFormat="1" applyFont="1"/>
    <xf numFmtId="164" fontId="0" fillId="0" borderId="0" xfId="0" applyNumberFormat="1" applyFont="1" applyBorder="1"/>
    <xf numFmtId="164" fontId="0" fillId="0" borderId="0" xfId="0" applyFont="1" applyBorder="1"/>
    <xf numFmtId="164" fontId="0" fillId="0" borderId="0" xfId="0" applyFill="1" applyBorder="1"/>
    <xf numFmtId="164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0" xfId="0" applyFont="1" applyBorder="1"/>
    <xf numFmtId="164" fontId="0" fillId="0" borderId="28" xfId="0" applyBorder="1"/>
    <xf numFmtId="164" fontId="1" fillId="0" borderId="29" xfId="0" applyFont="1" applyBorder="1" applyAlignment="1">
      <alignment horizontal="center"/>
    </xf>
    <xf numFmtId="164" fontId="1" fillId="0" borderId="30" xfId="0" applyFont="1" applyBorder="1" applyAlignment="1">
      <alignment horizontal="center"/>
    </xf>
    <xf numFmtId="9" fontId="0" fillId="0" borderId="0" xfId="0" applyNumberFormat="1"/>
    <xf numFmtId="164" fontId="0" fillId="0" borderId="12" xfId="0" applyBorder="1" applyAlignment="1">
      <alignment horizontal="center"/>
    </xf>
    <xf numFmtId="164" fontId="0" fillId="0" borderId="16" xfId="0" applyFill="1" applyBorder="1" applyAlignment="1">
      <alignment horizontal="center"/>
    </xf>
    <xf numFmtId="9" fontId="0" fillId="0" borderId="3" xfId="0" applyNumberFormat="1" applyBorder="1" applyAlignment="1">
      <alignment horizontal="center" wrapText="1"/>
    </xf>
    <xf numFmtId="164" fontId="0" fillId="0" borderId="1" xfId="0" applyNumberFormat="1" applyBorder="1"/>
    <xf numFmtId="164" fontId="0" fillId="0" borderId="8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9" fontId="0" fillId="0" borderId="0" xfId="2" applyFon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64" fontId="1" fillId="0" borderId="0" xfId="0" applyFont="1" applyFill="1" applyBorder="1" applyAlignment="1"/>
    <xf numFmtId="164" fontId="0" fillId="0" borderId="0" xfId="0" applyNumberFormat="1" applyFill="1" applyBorder="1"/>
    <xf numFmtId="164" fontId="0" fillId="0" borderId="0" xfId="0" applyFill="1" applyBorder="1" applyAlignment="1"/>
    <xf numFmtId="164" fontId="0" fillId="0" borderId="0" xfId="0" applyNumberFormat="1" applyFont="1"/>
    <xf numFmtId="10" fontId="0" fillId="0" borderId="0" xfId="0" applyNumberFormat="1" applyFill="1" applyBorder="1"/>
    <xf numFmtId="164" fontId="0" fillId="0" borderId="0" xfId="0" applyAlignment="1">
      <alignment horizontal="center"/>
    </xf>
    <xf numFmtId="10" fontId="0" fillId="2" borderId="35" xfId="2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3" borderId="13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3" xfId="0" applyFill="1" applyBorder="1" applyAlignment="1">
      <alignment horizontal="center"/>
    </xf>
    <xf numFmtId="164" fontId="7" fillId="3" borderId="18" xfId="0" applyFont="1" applyFill="1" applyBorder="1"/>
    <xf numFmtId="164" fontId="0" fillId="0" borderId="0" xfId="0" applyFill="1" applyBorder="1" applyAlignment="1">
      <alignment horizontal="left" vertical="center" wrapText="1"/>
    </xf>
    <xf numFmtId="10" fontId="0" fillId="3" borderId="16" xfId="2" applyNumberFormat="1" applyFont="1" applyFill="1" applyBorder="1"/>
    <xf numFmtId="164" fontId="7" fillId="3" borderId="13" xfId="0" applyFont="1" applyFill="1" applyBorder="1"/>
    <xf numFmtId="10" fontId="0" fillId="3" borderId="12" xfId="0" applyNumberFormat="1" applyFill="1" applyBorder="1"/>
    <xf numFmtId="164" fontId="7" fillId="3" borderId="3" xfId="0" applyFont="1" applyFill="1" applyBorder="1"/>
    <xf numFmtId="10" fontId="0" fillId="3" borderId="35" xfId="2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0" fontId="0" fillId="3" borderId="11" xfId="2" applyNumberFormat="1" applyFont="1" applyFill="1" applyBorder="1"/>
    <xf numFmtId="164" fontId="7" fillId="3" borderId="9" xfId="0" applyFont="1" applyFill="1" applyBorder="1"/>
    <xf numFmtId="164" fontId="7" fillId="0" borderId="0" xfId="0" applyFont="1" applyFill="1" applyBorder="1" applyAlignment="1">
      <alignment horizontal="center" vertical="center" wrapText="1"/>
    </xf>
    <xf numFmtId="2" fontId="0" fillId="3" borderId="36" xfId="0" applyNumberFormat="1" applyFill="1" applyBorder="1"/>
    <xf numFmtId="164" fontId="7" fillId="3" borderId="37" xfId="0" applyFont="1" applyFill="1" applyBorder="1" applyAlignment="1">
      <alignment horizontal="center" vertical="center" wrapText="1"/>
    </xf>
    <xf numFmtId="164" fontId="7" fillId="3" borderId="13" xfId="0" applyFont="1" applyFill="1" applyBorder="1" applyAlignment="1">
      <alignment horizontal="center" vertical="center" wrapText="1"/>
    </xf>
    <xf numFmtId="10" fontId="0" fillId="3" borderId="12" xfId="2" applyNumberFormat="1" applyFont="1" applyFill="1" applyBorder="1"/>
    <xf numFmtId="164" fontId="7" fillId="3" borderId="3" xfId="0" applyFon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right" vertical="center" wrapText="1"/>
    </xf>
    <xf numFmtId="2" fontId="0" fillId="3" borderId="16" xfId="0" applyNumberFormat="1" applyFill="1" applyBorder="1" applyAlignment="1">
      <alignment vertical="center" wrapText="1"/>
    </xf>
    <xf numFmtId="9" fontId="0" fillId="3" borderId="12" xfId="0" applyNumberFormat="1" applyFill="1" applyBorder="1"/>
    <xf numFmtId="164" fontId="7" fillId="3" borderId="3" xfId="0" applyFont="1" applyFill="1" applyBorder="1" applyAlignment="1">
      <alignment horizontal="center"/>
    </xf>
    <xf numFmtId="164" fontId="0" fillId="3" borderId="11" xfId="0" applyFill="1" applyBorder="1" applyAlignment="1">
      <alignment horizontal="right" vertical="center" wrapText="1"/>
    </xf>
    <xf numFmtId="164" fontId="7" fillId="3" borderId="9" xfId="0" applyFont="1" applyFill="1" applyBorder="1" applyAlignment="1">
      <alignment horizontal="center" vertical="center" wrapText="1"/>
    </xf>
    <xf numFmtId="164" fontId="7" fillId="3" borderId="20" xfId="0" applyFont="1" applyFill="1" applyBorder="1" applyAlignment="1">
      <alignment horizontal="center"/>
    </xf>
    <xf numFmtId="164" fontId="0" fillId="0" borderId="0" xfId="0" applyAlignment="1">
      <alignment horizontal="right"/>
    </xf>
    <xf numFmtId="10" fontId="8" fillId="3" borderId="12" xfId="0" applyNumberFormat="1" applyFont="1" applyFill="1" applyBorder="1" applyAlignment="1">
      <alignment horizontal="center"/>
    </xf>
    <xf numFmtId="10" fontId="8" fillId="3" borderId="8" xfId="2" applyNumberFormat="1" applyFont="1" applyFill="1" applyBorder="1" applyAlignment="1">
      <alignment horizontal="center"/>
    </xf>
    <xf numFmtId="164" fontId="8" fillId="3" borderId="8" xfId="0" applyNumberFormat="1" applyFont="1" applyFill="1" applyBorder="1"/>
    <xf numFmtId="164" fontId="8" fillId="3" borderId="8" xfId="1" applyNumberFormat="1" applyFont="1" applyFill="1" applyBorder="1"/>
    <xf numFmtId="164" fontId="8" fillId="3" borderId="8" xfId="1" applyNumberFormat="1" applyFont="1" applyFill="1" applyBorder="1" applyAlignment="1">
      <alignment horizontal="center"/>
    </xf>
    <xf numFmtId="164" fontId="9" fillId="3" borderId="13" xfId="0" applyFont="1" applyFill="1" applyBorder="1" applyAlignment="1">
      <alignment horizontal="center"/>
    </xf>
    <xf numFmtId="10" fontId="8" fillId="3" borderId="1" xfId="2" applyNumberFormat="1" applyFont="1" applyFill="1" applyBorder="1" applyAlignment="1">
      <alignment horizontal="center"/>
    </xf>
    <xf numFmtId="16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1" xfId="1" applyNumberFormat="1" applyFont="1" applyFill="1" applyBorder="1" applyAlignment="1">
      <alignment horizontal="center"/>
    </xf>
    <xf numFmtId="164" fontId="9" fillId="3" borderId="3" xfId="0" applyFont="1" applyFill="1" applyBorder="1" applyAlignment="1">
      <alignment horizontal="center"/>
    </xf>
    <xf numFmtId="10" fontId="8" fillId="2" borderId="1" xfId="2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8" fillId="2" borderId="1" xfId="1" applyNumberFormat="1" applyFont="1" applyFill="1" applyBorder="1"/>
    <xf numFmtId="164" fontId="8" fillId="2" borderId="1" xfId="1" applyNumberFormat="1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9" fontId="8" fillId="3" borderId="11" xfId="0" applyNumberFormat="1" applyFont="1" applyFill="1" applyBorder="1" applyAlignment="1">
      <alignment horizontal="center"/>
    </xf>
    <xf numFmtId="164" fontId="8" fillId="3" borderId="10" xfId="0" applyFont="1" applyFill="1" applyBorder="1" applyAlignment="1">
      <alignment horizontal="center"/>
    </xf>
    <xf numFmtId="164" fontId="8" fillId="3" borderId="7" xfId="1" applyNumberFormat="1" applyFont="1" applyFill="1" applyBorder="1"/>
    <xf numFmtId="164" fontId="9" fillId="3" borderId="9" xfId="0" applyFont="1" applyFill="1" applyBorder="1" applyAlignment="1">
      <alignment horizontal="center"/>
    </xf>
    <xf numFmtId="164" fontId="10" fillId="3" borderId="19" xfId="0" applyFont="1" applyFill="1" applyBorder="1" applyAlignment="1">
      <alignment horizontal="center" vertical="center" wrapText="1"/>
    </xf>
    <xf numFmtId="164" fontId="10" fillId="3" borderId="17" xfId="0" applyFont="1" applyFill="1" applyBorder="1" applyAlignment="1">
      <alignment horizontal="center" vertical="center" wrapText="1"/>
    </xf>
    <xf numFmtId="164" fontId="10" fillId="3" borderId="18" xfId="0" applyFont="1" applyFill="1" applyBorder="1" applyAlignment="1">
      <alignment horizontal="center" vertical="center" wrapText="1"/>
    </xf>
    <xf numFmtId="164" fontId="1" fillId="3" borderId="18" xfId="0" applyFont="1" applyFill="1" applyBorder="1" applyAlignment="1">
      <alignment horizontal="center" vertical="center"/>
    </xf>
    <xf numFmtId="164" fontId="1" fillId="3" borderId="17" xfId="0" applyFont="1" applyFill="1" applyBorder="1" applyAlignment="1">
      <alignment horizontal="center" vertical="center"/>
    </xf>
    <xf numFmtId="164" fontId="1" fillId="3" borderId="19" xfId="0" applyFont="1" applyFill="1" applyBorder="1" applyAlignment="1">
      <alignment horizontal="center" vertical="center"/>
    </xf>
    <xf numFmtId="164" fontId="7" fillId="3" borderId="4" xfId="0" applyFont="1" applyFill="1" applyBorder="1"/>
    <xf numFmtId="164" fontId="0" fillId="3" borderId="4" xfId="0" applyFill="1" applyBorder="1" applyAlignment="1">
      <alignment horizontal="center"/>
    </xf>
    <xf numFmtId="164" fontId="0" fillId="3" borderId="4" xfId="0" applyNumberFormat="1" applyFill="1" applyBorder="1"/>
    <xf numFmtId="164" fontId="0" fillId="3" borderId="21" xfId="0" applyFill="1" applyBorder="1" applyAlignment="1">
      <alignment horizontal="center"/>
    </xf>
    <xf numFmtId="164" fontId="7" fillId="3" borderId="1" xfId="0" applyFont="1" applyFill="1" applyBorder="1"/>
    <xf numFmtId="164" fontId="0" fillId="3" borderId="1" xfId="0" applyNumberFormat="1" applyFill="1" applyBorder="1"/>
    <xf numFmtId="164" fontId="0" fillId="3" borderId="12" xfId="0" applyFill="1" applyBorder="1" applyAlignment="1">
      <alignment horizontal="center"/>
    </xf>
    <xf numFmtId="164" fontId="7" fillId="3" borderId="13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vertical="center" wrapText="1"/>
    </xf>
    <xf numFmtId="164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vertical="center"/>
    </xf>
    <xf numFmtId="164" fontId="0" fillId="3" borderId="16" xfId="0" applyFill="1" applyBorder="1" applyAlignment="1">
      <alignment horizontal="center" vertical="center"/>
    </xf>
    <xf numFmtId="164" fontId="7" fillId="3" borderId="35" xfId="0" applyFont="1" applyFill="1" applyBorder="1" applyAlignment="1">
      <alignment vertical="center" wrapText="1"/>
    </xf>
    <xf numFmtId="164" fontId="0" fillId="3" borderId="35" xfId="0" applyNumberFormat="1" applyFill="1" applyBorder="1" applyAlignment="1">
      <alignment vertical="center"/>
    </xf>
    <xf numFmtId="164" fontId="7" fillId="3" borderId="38" xfId="0" applyFont="1" applyFill="1" applyBorder="1" applyAlignment="1">
      <alignment vertical="center" wrapText="1"/>
    </xf>
    <xf numFmtId="164" fontId="0" fillId="2" borderId="38" xfId="0" applyNumberFormat="1" applyFill="1" applyBorder="1" applyAlignment="1">
      <alignment vertical="center"/>
    </xf>
    <xf numFmtId="164" fontId="0" fillId="0" borderId="0" xfId="0" applyNumberFormat="1" applyFill="1" applyBorder="1"/>
    <xf numFmtId="164" fontId="0" fillId="0" borderId="0" xfId="0" applyFill="1"/>
    <xf numFmtId="164" fontId="0" fillId="3" borderId="3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3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7" fillId="3" borderId="18" xfId="0" applyFont="1" applyFill="1" applyBorder="1" applyAlignment="1">
      <alignment horizontal="center" vertical="center"/>
    </xf>
    <xf numFmtId="164" fontId="7" fillId="3" borderId="17" xfId="0" applyFont="1" applyFill="1" applyBorder="1" applyAlignment="1">
      <alignment horizontal="center" vertical="center"/>
    </xf>
    <xf numFmtId="164" fontId="7" fillId="3" borderId="19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20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 vertical="center"/>
    </xf>
    <xf numFmtId="10" fontId="0" fillId="3" borderId="21" xfId="0" applyNumberFormat="1" applyFill="1" applyBorder="1" applyAlignment="1">
      <alignment horizontal="center" vertical="center"/>
    </xf>
    <xf numFmtId="164" fontId="0" fillId="3" borderId="20" xfId="0" applyFill="1" applyBorder="1" applyAlignment="1">
      <alignment horizontal="left" vertical="center"/>
    </xf>
    <xf numFmtId="164" fontId="0" fillId="3" borderId="3" xfId="0" applyFill="1" applyBorder="1" applyAlignment="1">
      <alignment horizontal="left" vertical="center"/>
    </xf>
    <xf numFmtId="164" fontId="7" fillId="3" borderId="18" xfId="0" applyFont="1" applyFill="1" applyBorder="1" applyAlignment="1">
      <alignment horizontal="center"/>
    </xf>
    <xf numFmtId="164" fontId="7" fillId="3" borderId="17" xfId="0" applyFont="1" applyFill="1" applyBorder="1" applyAlignment="1">
      <alignment horizontal="center"/>
    </xf>
    <xf numFmtId="164" fontId="7" fillId="3" borderId="19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1" fillId="3" borderId="1" xfId="0" applyFont="1" applyFill="1" applyBorder="1"/>
    <xf numFmtId="164" fontId="0" fillId="3" borderId="1" xfId="0" applyFill="1" applyBorder="1"/>
    <xf numFmtId="164" fontId="1" fillId="3" borderId="3" xfId="0" applyFont="1" applyFill="1" applyBorder="1"/>
    <xf numFmtId="164" fontId="0" fillId="3" borderId="12" xfId="0" applyNumberFormat="1" applyFill="1" applyBorder="1"/>
    <xf numFmtId="164" fontId="1" fillId="3" borderId="20" xfId="0" applyFont="1" applyFill="1" applyBorder="1"/>
    <xf numFmtId="164" fontId="0" fillId="3" borderId="4" xfId="0" applyFill="1" applyBorder="1"/>
    <xf numFmtId="164" fontId="1" fillId="3" borderId="40" xfId="0" applyFont="1" applyFill="1" applyBorder="1"/>
    <xf numFmtId="164" fontId="1" fillId="3" borderId="36" xfId="0" applyFont="1" applyFill="1" applyBorder="1"/>
    <xf numFmtId="164" fontId="1" fillId="3" borderId="20" xfId="0" applyFont="1" applyFill="1" applyBorder="1" applyAlignment="1">
      <alignment horizontal="center"/>
    </xf>
    <xf numFmtId="164" fontId="0" fillId="3" borderId="17" xfId="0" applyNumberFormat="1" applyFill="1" applyBorder="1"/>
    <xf numFmtId="164" fontId="0" fillId="3" borderId="19" xfId="0" applyNumberFormat="1" applyFill="1" applyBorder="1"/>
    <xf numFmtId="164" fontId="0" fillId="3" borderId="9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1" fillId="3" borderId="18" xfId="0" applyFont="1" applyFill="1" applyBorder="1" applyAlignment="1">
      <alignment horizontal="left" vertical="center"/>
    </xf>
    <xf numFmtId="164" fontId="0" fillId="3" borderId="17" xfId="0" applyNumberFormat="1" applyFill="1" applyBorder="1" applyAlignment="1">
      <alignment horizontal="center" vertical="center"/>
    </xf>
    <xf numFmtId="9" fontId="0" fillId="3" borderId="19" xfId="0" applyNumberFormat="1" applyFill="1" applyBorder="1" applyAlignment="1">
      <alignment horizontal="center" vertical="center"/>
    </xf>
    <xf numFmtId="164" fontId="0" fillId="3" borderId="22" xfId="0" applyFill="1" applyBorder="1" applyAlignment="1">
      <alignment horizontal="left" vertical="center"/>
    </xf>
    <xf numFmtId="10" fontId="0" fillId="3" borderId="24" xfId="0" applyNumberFormat="1" applyFill="1" applyBorder="1" applyAlignment="1">
      <alignment horizontal="center" vertical="center"/>
    </xf>
    <xf numFmtId="10" fontId="0" fillId="3" borderId="18" xfId="0" applyNumberFormat="1" applyFill="1" applyBorder="1" applyAlignment="1">
      <alignment horizontal="center" vertical="center"/>
    </xf>
    <xf numFmtId="165" fontId="0" fillId="3" borderId="19" xfId="2" applyNumberFormat="1" applyFont="1" applyFill="1" applyBorder="1" applyAlignment="1">
      <alignment horizontal="center" vertical="center"/>
    </xf>
    <xf numFmtId="164" fontId="1" fillId="3" borderId="41" xfId="0" applyFont="1" applyFill="1" applyBorder="1" applyAlignment="1">
      <alignment horizontal="center" vertical="center"/>
    </xf>
    <xf numFmtId="164" fontId="1" fillId="3" borderId="42" xfId="0" applyFont="1" applyFill="1" applyBorder="1" applyAlignment="1">
      <alignment horizontal="center" vertical="center"/>
    </xf>
    <xf numFmtId="3" fontId="0" fillId="0" borderId="0" xfId="0" applyNumberFormat="1"/>
    <xf numFmtId="3" fontId="0" fillId="3" borderId="4" xfId="0" applyNumberFormat="1" applyFill="1" applyBorder="1" applyAlignment="1">
      <alignment horizontal="center"/>
    </xf>
    <xf numFmtId="3" fontId="0" fillId="3" borderId="45" xfId="0" applyNumberForma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64" fontId="0" fillId="3" borderId="21" xfId="0" applyNumberFormat="1" applyFill="1" applyBorder="1"/>
    <xf numFmtId="164" fontId="0" fillId="3" borderId="40" xfId="0" applyFill="1" applyBorder="1"/>
    <xf numFmtId="164" fontId="0" fillId="0" borderId="0" xfId="0" applyAlignment="1">
      <alignment horizontal="center" vertical="center" wrapText="1"/>
    </xf>
    <xf numFmtId="164" fontId="1" fillId="3" borderId="18" xfId="0" applyFont="1" applyFill="1" applyBorder="1" applyAlignment="1">
      <alignment horizontal="center" vertical="center" wrapText="1"/>
    </xf>
    <xf numFmtId="164" fontId="1" fillId="3" borderId="17" xfId="0" applyFont="1" applyFill="1" applyBorder="1" applyAlignment="1">
      <alignment horizontal="center" vertical="center" wrapText="1"/>
    </xf>
    <xf numFmtId="164" fontId="7" fillId="3" borderId="17" xfId="0" applyFont="1" applyFill="1" applyBorder="1" applyAlignment="1">
      <alignment horizontal="center" vertical="center" wrapText="1"/>
    </xf>
    <xf numFmtId="164" fontId="1" fillId="3" borderId="19" xfId="0" applyFont="1" applyFill="1" applyBorder="1" applyAlignment="1">
      <alignment horizontal="center" vertical="center" wrapText="1"/>
    </xf>
    <xf numFmtId="164" fontId="0" fillId="3" borderId="24" xfId="0" applyNumberFormat="1" applyFill="1" applyBorder="1"/>
    <xf numFmtId="164" fontId="1" fillId="3" borderId="22" xfId="0" applyFont="1" applyFill="1" applyBorder="1"/>
    <xf numFmtId="164" fontId="0" fillId="3" borderId="23" xfId="0" applyNumberFormat="1" applyFill="1" applyBorder="1"/>
    <xf numFmtId="164" fontId="1" fillId="3" borderId="18" xfId="0" applyFont="1" applyFill="1" applyBorder="1"/>
    <xf numFmtId="164" fontId="0" fillId="3" borderId="48" xfId="0" applyNumberFormat="1" applyFill="1" applyBorder="1"/>
    <xf numFmtId="164" fontId="0" fillId="3" borderId="2" xfId="0" applyNumberFormat="1" applyFill="1" applyBorder="1"/>
    <xf numFmtId="164" fontId="0" fillId="3" borderId="3" xfId="0" applyFill="1" applyBorder="1"/>
    <xf numFmtId="164" fontId="0" fillId="3" borderId="42" xfId="0" applyNumberFormat="1" applyFill="1" applyBorder="1"/>
    <xf numFmtId="164" fontId="0" fillId="3" borderId="20" xfId="0" applyFill="1" applyBorder="1"/>
    <xf numFmtId="164" fontId="0" fillId="3" borderId="23" xfId="0" applyNumberFormat="1" applyFill="1" applyBorder="1" applyAlignment="1">
      <alignment horizontal="center"/>
    </xf>
    <xf numFmtId="164" fontId="0" fillId="3" borderId="49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0" fillId="3" borderId="4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17" xfId="0" applyFill="1" applyBorder="1"/>
    <xf numFmtId="1" fontId="0" fillId="3" borderId="1" xfId="0" applyNumberFormat="1" applyFill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164" fontId="1" fillId="3" borderId="20" xfId="0" applyFon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right" vertical="center"/>
    </xf>
    <xf numFmtId="164" fontId="0" fillId="3" borderId="21" xfId="0" applyNumberFormat="1" applyFill="1" applyBorder="1" applyAlignment="1">
      <alignment vertical="center"/>
    </xf>
    <xf numFmtId="164" fontId="7" fillId="0" borderId="0" xfId="0" applyFont="1" applyFill="1" applyBorder="1"/>
    <xf numFmtId="10" fontId="0" fillId="0" borderId="0" xfId="2" applyNumberFormat="1" applyFont="1" applyFill="1" applyBorder="1"/>
    <xf numFmtId="164" fontId="0" fillId="3" borderId="20" xfId="0" applyFill="1" applyBorder="1" applyAlignment="1">
      <alignment horizontal="center" vertical="center" wrapText="1"/>
    </xf>
    <xf numFmtId="164" fontId="0" fillId="3" borderId="4" xfId="0" applyFill="1" applyBorder="1" applyAlignment="1">
      <alignment horizontal="center" vertical="center" wrapText="1"/>
    </xf>
    <xf numFmtId="10" fontId="0" fillId="3" borderId="21" xfId="2" applyNumberFormat="1" applyFont="1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" vertical="center" wrapText="1"/>
    </xf>
    <xf numFmtId="164" fontId="0" fillId="3" borderId="1" xfId="0" applyFill="1" applyBorder="1" applyAlignment="1">
      <alignment horizontal="center" vertical="center" wrapText="1"/>
    </xf>
    <xf numFmtId="10" fontId="0" fillId="3" borderId="12" xfId="2" applyNumberFormat="1" applyFont="1" applyFill="1" applyBorder="1" applyAlignment="1">
      <alignment horizontal="center" vertical="center" wrapText="1"/>
    </xf>
    <xf numFmtId="164" fontId="0" fillId="3" borderId="13" xfId="0" applyFill="1" applyBorder="1" applyAlignment="1">
      <alignment horizontal="center" vertical="center" wrapText="1"/>
    </xf>
    <xf numFmtId="164" fontId="0" fillId="3" borderId="8" xfId="0" applyFill="1" applyBorder="1" applyAlignment="1">
      <alignment horizontal="center" vertical="center" wrapText="1"/>
    </xf>
    <xf numFmtId="164" fontId="0" fillId="3" borderId="16" xfId="0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4" fontId="0" fillId="3" borderId="1" xfId="0" applyNumberFormat="1" applyFill="1" applyBorder="1"/>
    <xf numFmtId="164" fontId="0" fillId="3" borderId="22" xfId="0" applyFill="1" applyBorder="1"/>
    <xf numFmtId="164" fontId="0" fillId="3" borderId="9" xfId="0" applyFill="1" applyBorder="1"/>
    <xf numFmtId="3" fontId="0" fillId="3" borderId="10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42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164" fontId="0" fillId="3" borderId="23" xfId="0" applyFill="1" applyBorder="1"/>
    <xf numFmtId="3" fontId="0" fillId="3" borderId="4" xfId="0" applyNumberFormat="1" applyFill="1" applyBorder="1" applyAlignment="1">
      <alignment horizontal="right"/>
    </xf>
    <xf numFmtId="10" fontId="8" fillId="2" borderId="12" xfId="0" applyNumberFormat="1" applyFont="1" applyFill="1" applyBorder="1" applyAlignment="1">
      <alignment horizontal="center"/>
    </xf>
    <xf numFmtId="10" fontId="8" fillId="3" borderId="16" xfId="0" applyNumberFormat="1" applyFont="1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8" xfId="0" applyNumberFormat="1" applyFill="1" applyBorder="1"/>
    <xf numFmtId="164" fontId="2" fillId="3" borderId="20" xfId="0" applyFont="1" applyFill="1" applyBorder="1" applyAlignment="1">
      <alignment vertical="center" wrapText="1"/>
    </xf>
    <xf numFmtId="164" fontId="2" fillId="3" borderId="3" xfId="0" applyFont="1" applyFill="1" applyBorder="1" applyAlignment="1">
      <alignment vertical="center" wrapText="1"/>
    </xf>
    <xf numFmtId="10" fontId="7" fillId="2" borderId="27" xfId="0" applyNumberFormat="1" applyFont="1" applyFill="1" applyBorder="1" applyAlignment="1">
      <alignment horizontal="center"/>
    </xf>
    <xf numFmtId="10" fontId="1" fillId="2" borderId="27" xfId="0" applyNumberFormat="1" applyFont="1" applyFill="1" applyBorder="1" applyAlignment="1">
      <alignment horizontal="center"/>
    </xf>
    <xf numFmtId="164" fontId="0" fillId="3" borderId="18" xfId="0" applyFont="1" applyFill="1" applyBorder="1"/>
    <xf numFmtId="164" fontId="0" fillId="3" borderId="17" xfId="0" applyFont="1" applyFill="1" applyBorder="1"/>
    <xf numFmtId="164" fontId="1" fillId="3" borderId="17" xfId="0" applyFont="1" applyFill="1" applyBorder="1" applyAlignment="1">
      <alignment horizontal="center"/>
    </xf>
    <xf numFmtId="164" fontId="1" fillId="3" borderId="19" xfId="0" applyFont="1" applyFill="1" applyBorder="1" applyAlignment="1">
      <alignment horizontal="center"/>
    </xf>
    <xf numFmtId="164" fontId="0" fillId="3" borderId="3" xfId="0" applyFont="1" applyFill="1" applyBorder="1"/>
    <xf numFmtId="164" fontId="0" fillId="3" borderId="1" xfId="0" applyNumberFormat="1" applyFont="1" applyFill="1" applyBorder="1"/>
    <xf numFmtId="164" fontId="0" fillId="3" borderId="12" xfId="0" applyNumberFormat="1" applyFont="1" applyFill="1" applyBorder="1"/>
    <xf numFmtId="164" fontId="4" fillId="3" borderId="3" xfId="0" applyFont="1" applyFill="1" applyBorder="1"/>
    <xf numFmtId="164" fontId="5" fillId="3" borderId="3" xfId="0" applyFont="1" applyFill="1" applyBorder="1"/>
    <xf numFmtId="164" fontId="0" fillId="3" borderId="1" xfId="0" applyNumberFormat="1" applyFont="1" applyFill="1" applyBorder="1"/>
    <xf numFmtId="164" fontId="0" fillId="3" borderId="12" xfId="0" applyNumberFormat="1" applyFont="1" applyFill="1" applyBorder="1"/>
    <xf numFmtId="164" fontId="0" fillId="3" borderId="23" xfId="0" applyNumberFormat="1" applyFont="1" applyFill="1" applyBorder="1"/>
    <xf numFmtId="164" fontId="0" fillId="3" borderId="23" xfId="0" applyNumberFormat="1" applyFont="1" applyFill="1" applyBorder="1"/>
    <xf numFmtId="164" fontId="0" fillId="3" borderId="24" xfId="0" applyNumberFormat="1" applyFont="1" applyFill="1" applyBorder="1"/>
    <xf numFmtId="164" fontId="0" fillId="3" borderId="5" xfId="0" applyNumberFormat="1" applyFont="1" applyFill="1" applyBorder="1"/>
    <xf numFmtId="164" fontId="0" fillId="3" borderId="18" xfId="0" applyNumberFormat="1" applyFont="1" applyFill="1" applyBorder="1"/>
    <xf numFmtId="164" fontId="0" fillId="3" borderId="25" xfId="0" applyFont="1" applyFill="1" applyBorder="1"/>
    <xf numFmtId="164" fontId="0" fillId="3" borderId="4" xfId="0" applyNumberFormat="1" applyFont="1" applyFill="1" applyBorder="1"/>
    <xf numFmtId="164" fontId="0" fillId="3" borderId="4" xfId="0" applyNumberFormat="1" applyFont="1" applyFill="1" applyBorder="1"/>
    <xf numFmtId="164" fontId="0" fillId="3" borderId="6" xfId="0" applyFont="1" applyFill="1" applyBorder="1"/>
    <xf numFmtId="164" fontId="5" fillId="3" borderId="6" xfId="0" applyFont="1" applyFill="1" applyBorder="1"/>
    <xf numFmtId="164" fontId="0" fillId="3" borderId="17" xfId="0" applyNumberFormat="1" applyFont="1" applyFill="1" applyBorder="1"/>
    <xf numFmtId="164" fontId="0" fillId="3" borderId="19" xfId="0" applyNumberFormat="1" applyFont="1" applyFill="1" applyBorder="1"/>
    <xf numFmtId="164" fontId="0" fillId="3" borderId="6" xfId="0" applyFill="1" applyBorder="1"/>
    <xf numFmtId="164" fontId="0" fillId="3" borderId="2" xfId="0" applyNumberFormat="1" applyFont="1" applyFill="1" applyBorder="1"/>
    <xf numFmtId="164" fontId="0" fillId="3" borderId="21" xfId="0" applyNumberFormat="1" applyFont="1" applyFill="1" applyBorder="1"/>
    <xf numFmtId="164" fontId="3" fillId="3" borderId="1" xfId="0" applyNumberFormat="1" applyFont="1" applyFill="1" applyBorder="1"/>
    <xf numFmtId="164" fontId="0" fillId="0" borderId="0" xfId="0" applyNumberFormat="1" applyFont="1" applyFill="1" applyBorder="1"/>
    <xf numFmtId="9" fontId="0" fillId="0" borderId="0" xfId="2" applyFont="1" applyFill="1" applyBorder="1" applyAlignment="1">
      <alignment horizontal="center"/>
    </xf>
    <xf numFmtId="164" fontId="0" fillId="3" borderId="35" xfId="0" applyNumberFormat="1" applyFont="1" applyFill="1" applyBorder="1"/>
    <xf numFmtId="164" fontId="0" fillId="3" borderId="21" xfId="0" applyNumberFormat="1" applyFont="1" applyFill="1" applyBorder="1"/>
    <xf numFmtId="164" fontId="0" fillId="3" borderId="24" xfId="0" applyNumberFormat="1" applyFont="1" applyFill="1" applyBorder="1"/>
    <xf numFmtId="164" fontId="0" fillId="3" borderId="42" xfId="0" applyNumberFormat="1" applyFont="1" applyFill="1" applyBorder="1"/>
    <xf numFmtId="164" fontId="1" fillId="2" borderId="15" xfId="0" applyFont="1" applyFill="1" applyBorder="1"/>
    <xf numFmtId="164" fontId="0" fillId="2" borderId="35" xfId="0" applyNumberFormat="1" applyFont="1" applyFill="1" applyBorder="1"/>
    <xf numFmtId="164" fontId="7" fillId="3" borderId="31" xfId="0" applyFont="1" applyFill="1" applyBorder="1"/>
    <xf numFmtId="164" fontId="0" fillId="3" borderId="26" xfId="0" applyFill="1" applyBorder="1"/>
    <xf numFmtId="164" fontId="0" fillId="3" borderId="3" xfId="0" applyNumberFormat="1" applyFill="1" applyBorder="1"/>
    <xf numFmtId="164" fontId="11" fillId="3" borderId="3" xfId="0" applyFont="1" applyFill="1" applyBorder="1"/>
    <xf numFmtId="164" fontId="12" fillId="3" borderId="6" xfId="0" applyFont="1" applyFill="1" applyBorder="1"/>
    <xf numFmtId="164" fontId="0" fillId="3" borderId="37" xfId="0" applyFill="1" applyBorder="1"/>
    <xf numFmtId="164" fontId="1" fillId="3" borderId="5" xfId="0" applyFont="1" applyFill="1" applyBorder="1"/>
    <xf numFmtId="164" fontId="1" fillId="3" borderId="43" xfId="0" applyFont="1" applyFill="1" applyBorder="1"/>
    <xf numFmtId="164" fontId="5" fillId="3" borderId="13" xfId="0" applyFont="1" applyFill="1" applyBorder="1"/>
    <xf numFmtId="164" fontId="7" fillId="2" borderId="18" xfId="0" applyFont="1" applyFill="1" applyBorder="1" applyAlignment="1">
      <alignment horizontal="center"/>
    </xf>
    <xf numFmtId="164" fontId="7" fillId="2" borderId="17" xfId="0" applyFont="1" applyFill="1" applyBorder="1" applyAlignment="1">
      <alignment horizontal="center"/>
    </xf>
    <xf numFmtId="164" fontId="7" fillId="2" borderId="19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/>
    </xf>
    <xf numFmtId="164" fontId="0" fillId="0" borderId="0" xfId="0"/>
    <xf numFmtId="164" fontId="0" fillId="0" borderId="0" xfId="0" applyFill="1" applyBorder="1"/>
    <xf numFmtId="164" fontId="1" fillId="0" borderId="0" xfId="0" applyFont="1" applyFill="1" applyBorder="1"/>
    <xf numFmtId="164" fontId="1" fillId="0" borderId="0" xfId="0" applyFont="1" applyBorder="1"/>
    <xf numFmtId="164" fontId="0" fillId="0" borderId="0" xfId="0" applyNumberFormat="1" applyFill="1" applyBorder="1"/>
    <xf numFmtId="164" fontId="0" fillId="0" borderId="0" xfId="0" applyFill="1"/>
    <xf numFmtId="164" fontId="7" fillId="3" borderId="17" xfId="0" applyFont="1" applyFill="1" applyBorder="1" applyAlignment="1">
      <alignment horizontal="center"/>
    </xf>
    <xf numFmtId="164" fontId="7" fillId="3" borderId="19" xfId="0" applyFont="1" applyFill="1" applyBorder="1" applyAlignment="1">
      <alignment horizontal="center"/>
    </xf>
    <xf numFmtId="164" fontId="1" fillId="3" borderId="40" xfId="0" applyFont="1" applyFill="1" applyBorder="1" applyAlignment="1">
      <alignment horizontal="center" vertical="center"/>
    </xf>
    <xf numFmtId="164" fontId="0" fillId="3" borderId="17" xfId="0" applyFill="1" applyBorder="1" applyAlignment="1">
      <alignment horizontal="center"/>
    </xf>
    <xf numFmtId="164" fontId="0" fillId="3" borderId="17" xfId="0" applyNumberFormat="1" applyFill="1" applyBorder="1"/>
    <xf numFmtId="164" fontId="0" fillId="3" borderId="19" xfId="0" applyNumberFormat="1" applyFill="1" applyBorder="1"/>
    <xf numFmtId="164" fontId="1" fillId="3" borderId="18" xfId="0" applyFont="1" applyFill="1" applyBorder="1"/>
    <xf numFmtId="164" fontId="0" fillId="3" borderId="4" xfId="0" applyNumberFormat="1" applyFill="1" applyBorder="1" applyAlignment="1">
      <alignment horizontal="right"/>
    </xf>
    <xf numFmtId="164" fontId="0" fillId="3" borderId="20" xfId="0" applyFill="1" applyBorder="1" applyAlignment="1">
      <alignment vertical="center" wrapText="1"/>
    </xf>
    <xf numFmtId="164" fontId="0" fillId="3" borderId="18" xfId="0" applyFill="1" applyBorder="1"/>
    <xf numFmtId="164" fontId="0" fillId="0" borderId="0" xfId="0" applyFill="1" applyBorder="1" applyAlignment="1">
      <alignment horizontal="center"/>
    </xf>
    <xf numFmtId="164" fontId="0" fillId="0" borderId="0" xfId="0" applyNumberFormat="1" applyFill="1"/>
    <xf numFmtId="164" fontId="1" fillId="3" borderId="44" xfId="0" applyFont="1" applyFill="1" applyBorder="1" applyAlignment="1">
      <alignment horizontal="center" vertical="center"/>
    </xf>
    <xf numFmtId="164" fontId="1" fillId="3" borderId="29" xfId="0" applyFont="1" applyFill="1" applyBorder="1" applyAlignment="1">
      <alignment horizontal="center" vertical="center" wrapText="1"/>
    </xf>
    <xf numFmtId="164" fontId="1" fillId="3" borderId="30" xfId="0" applyFont="1" applyFill="1" applyBorder="1" applyAlignment="1">
      <alignment horizontal="center" vertical="center" wrapText="1"/>
    </xf>
    <xf numFmtId="164" fontId="2" fillId="3" borderId="41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164" fontId="0" fillId="3" borderId="42" xfId="0" applyNumberFormat="1" applyFill="1" applyBorder="1" applyAlignment="1">
      <alignment horizontal="right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 wrapText="1"/>
    </xf>
    <xf numFmtId="164" fontId="0" fillId="0" borderId="0" xfId="0"/>
    <xf numFmtId="164" fontId="0" fillId="0" borderId="0" xfId="0" applyBorder="1"/>
    <xf numFmtId="164" fontId="0" fillId="0" borderId="0" xfId="0" applyFill="1" applyBorder="1"/>
    <xf numFmtId="164" fontId="1" fillId="0" borderId="0" xfId="0" applyFont="1" applyFill="1" applyBorder="1"/>
    <xf numFmtId="164" fontId="1" fillId="0" borderId="0" xfId="0" applyNumberFormat="1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3" borderId="1" xfId="0" applyFill="1" applyBorder="1" applyAlignment="1">
      <alignment horizontal="center"/>
    </xf>
    <xf numFmtId="164" fontId="1" fillId="3" borderId="18" xfId="0" applyFont="1" applyFill="1" applyBorder="1" applyAlignment="1">
      <alignment horizontal="center" vertical="center"/>
    </xf>
    <xf numFmtId="164" fontId="1" fillId="3" borderId="17" xfId="0" applyFont="1" applyFill="1" applyBorder="1" applyAlignment="1">
      <alignment horizontal="center" vertical="center"/>
    </xf>
    <xf numFmtId="164" fontId="1" fillId="3" borderId="19" xfId="0" applyFont="1" applyFill="1" applyBorder="1" applyAlignment="1">
      <alignment horizontal="center" vertical="center"/>
    </xf>
    <xf numFmtId="164" fontId="0" fillId="3" borderId="4" xfId="0" applyFill="1" applyBorder="1" applyAlignment="1">
      <alignment horizontal="center"/>
    </xf>
    <xf numFmtId="164" fontId="0" fillId="3" borderId="4" xfId="0" applyNumberFormat="1" applyFill="1" applyBorder="1"/>
    <xf numFmtId="164" fontId="0" fillId="3" borderId="1" xfId="0" applyNumberFormat="1" applyFill="1" applyBorder="1"/>
    <xf numFmtId="164" fontId="0" fillId="0" borderId="0" xfId="0" applyFill="1"/>
    <xf numFmtId="164" fontId="7" fillId="3" borderId="17" xfId="0" applyFont="1" applyFill="1" applyBorder="1" applyAlignment="1">
      <alignment horizontal="center"/>
    </xf>
    <xf numFmtId="164" fontId="7" fillId="3" borderId="19" xfId="0" applyFont="1" applyFill="1" applyBorder="1" applyAlignment="1">
      <alignment horizontal="center"/>
    </xf>
    <xf numFmtId="164" fontId="0" fillId="3" borderId="12" xfId="0" applyNumberFormat="1" applyFill="1" applyBorder="1"/>
    <xf numFmtId="164" fontId="0" fillId="3" borderId="17" xfId="0" applyNumberFormat="1" applyFill="1" applyBorder="1"/>
    <xf numFmtId="164" fontId="0" fillId="3" borderId="19" xfId="0" applyNumberFormat="1" applyFill="1" applyBorder="1"/>
    <xf numFmtId="164" fontId="0" fillId="3" borderId="21" xfId="0" applyNumberFormat="1" applyFill="1" applyBorder="1"/>
    <xf numFmtId="164" fontId="1" fillId="3" borderId="18" xfId="0" applyFont="1" applyFill="1" applyBorder="1" applyAlignment="1">
      <alignment horizontal="center" vertical="center" wrapText="1"/>
    </xf>
    <xf numFmtId="164" fontId="1" fillId="3" borderId="17" xfId="0" applyFont="1" applyFill="1" applyBorder="1" applyAlignment="1">
      <alignment horizontal="center" vertical="center" wrapText="1"/>
    </xf>
    <xf numFmtId="164" fontId="7" fillId="3" borderId="17" xfId="0" applyFont="1" applyFill="1" applyBorder="1" applyAlignment="1">
      <alignment horizontal="center" vertical="center" wrapText="1"/>
    </xf>
    <xf numFmtId="164" fontId="1" fillId="3" borderId="19" xfId="0" applyFont="1" applyFill="1" applyBorder="1" applyAlignment="1">
      <alignment horizontal="center" vertical="center" wrapText="1"/>
    </xf>
    <xf numFmtId="164" fontId="0" fillId="3" borderId="24" xfId="0" applyNumberFormat="1" applyFill="1" applyBorder="1"/>
    <xf numFmtId="164" fontId="0" fillId="3" borderId="23" xfId="0" applyNumberFormat="1" applyFill="1" applyBorder="1"/>
    <xf numFmtId="164" fontId="1" fillId="3" borderId="18" xfId="0" applyFont="1" applyFill="1" applyBorder="1"/>
    <xf numFmtId="164" fontId="0" fillId="3" borderId="23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3" borderId="23" xfId="0" applyNumberFormat="1" applyFill="1" applyBorder="1" applyAlignment="1">
      <alignment horizontal="right"/>
    </xf>
    <xf numFmtId="164" fontId="0" fillId="3" borderId="17" xfId="0" applyFill="1" applyBorder="1"/>
    <xf numFmtId="164" fontId="2" fillId="3" borderId="22" xfId="0" applyFont="1" applyFill="1" applyBorder="1"/>
    <xf numFmtId="164" fontId="0" fillId="3" borderId="3" xfId="0" applyFill="1" applyBorder="1" applyAlignment="1">
      <alignment vertical="center" wrapText="1"/>
    </xf>
    <xf numFmtId="164" fontId="2" fillId="3" borderId="22" xfId="0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164" fontId="0" fillId="3" borderId="21" xfId="0" applyNumberFormat="1" applyFill="1" applyBorder="1" applyAlignment="1">
      <alignment vertical="center"/>
    </xf>
    <xf numFmtId="164" fontId="0" fillId="3" borderId="1" xfId="0" applyNumberFormat="1" applyFill="1" applyBorder="1"/>
    <xf numFmtId="164" fontId="0" fillId="3" borderId="1" xfId="0" applyFill="1" applyBorder="1" applyAlignment="1">
      <alignment horizontal="center" vertical="center"/>
    </xf>
    <xf numFmtId="164" fontId="1" fillId="3" borderId="35" xfId="0" applyFont="1" applyFill="1" applyBorder="1"/>
    <xf numFmtId="164" fontId="0" fillId="3" borderId="37" xfId="0" applyNumberFormat="1" applyFill="1" applyBorder="1"/>
    <xf numFmtId="164" fontId="0" fillId="3" borderId="36" xfId="0" applyNumberFormat="1" applyFill="1" applyBorder="1"/>
    <xf numFmtId="164" fontId="2" fillId="3" borderId="20" xfId="0" applyFont="1" applyFill="1" applyBorder="1" applyAlignment="1">
      <alignment vertical="center" wrapText="1"/>
    </xf>
    <xf numFmtId="164" fontId="2" fillId="3" borderId="3" xfId="0" applyFont="1" applyFill="1" applyBorder="1" applyAlignment="1">
      <alignment vertical="center" wrapText="1"/>
    </xf>
    <xf numFmtId="164" fontId="2" fillId="3" borderId="3" xfId="0" applyFont="1" applyFill="1" applyBorder="1"/>
    <xf numFmtId="164" fontId="2" fillId="3" borderId="9" xfId="0" applyFont="1" applyFill="1" applyBorder="1" applyAlignment="1">
      <alignment vertical="center" wrapText="1"/>
    </xf>
    <xf numFmtId="164" fontId="0" fillId="0" borderId="0" xfId="0" applyFill="1" applyBorder="1" applyAlignment="1">
      <alignment horizontal="center"/>
    </xf>
    <xf numFmtId="164" fontId="0" fillId="3" borderId="23" xfId="0" applyNumberFormat="1" applyFill="1" applyBorder="1" applyAlignment="1">
      <alignment horizontal="right" vertical="center"/>
    </xf>
    <xf numFmtId="164" fontId="1" fillId="3" borderId="27" xfId="0" applyFont="1" applyFill="1" applyBorder="1"/>
    <xf numFmtId="164" fontId="2" fillId="3" borderId="18" xfId="0" applyFont="1" applyFill="1" applyBorder="1" applyAlignment="1">
      <alignment vertical="center" wrapText="1"/>
    </xf>
    <xf numFmtId="164" fontId="0" fillId="3" borderId="17" xfId="0" applyNumberFormat="1" applyFill="1" applyBorder="1" applyAlignment="1">
      <alignment vertical="center"/>
    </xf>
    <xf numFmtId="164" fontId="0" fillId="3" borderId="19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164" fontId="0" fillId="3" borderId="10" xfId="0" applyFill="1" applyBorder="1" applyAlignment="1">
      <alignment horizontal="center"/>
    </xf>
    <xf numFmtId="164" fontId="0" fillId="0" borderId="0" xfId="0" applyNumberFormat="1" applyFont="1" applyFill="1" applyBorder="1"/>
    <xf numFmtId="164" fontId="1" fillId="0" borderId="0" xfId="0" applyFont="1" applyFill="1" applyBorder="1" applyAlignment="1">
      <alignment horizontal="center"/>
    </xf>
    <xf numFmtId="164" fontId="1" fillId="0" borderId="32" xfId="0" applyFont="1" applyFill="1" applyBorder="1"/>
    <xf numFmtId="164" fontId="0" fillId="0" borderId="32" xfId="0" applyFill="1" applyBorder="1"/>
    <xf numFmtId="164" fontId="1" fillId="0" borderId="32" xfId="0" applyNumberFormat="1" applyFont="1" applyFill="1" applyBorder="1"/>
    <xf numFmtId="164" fontId="2" fillId="3" borderId="17" xfId="0" applyNumberFormat="1" applyFont="1" applyFill="1" applyBorder="1"/>
    <xf numFmtId="164" fontId="1" fillId="3" borderId="23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/>
    <xf numFmtId="164" fontId="0" fillId="3" borderId="17" xfId="0" applyNumberFormat="1" applyFill="1" applyBorder="1" applyAlignment="1">
      <alignment horizontal="right" vertical="center"/>
    </xf>
    <xf numFmtId="164" fontId="0" fillId="3" borderId="19" xfId="0" applyNumberFormat="1" applyFont="1" applyFill="1" applyBorder="1"/>
    <xf numFmtId="164" fontId="13" fillId="0" borderId="0" xfId="0" applyFont="1"/>
    <xf numFmtId="164" fontId="2" fillId="3" borderId="20" xfId="0" applyFont="1" applyFill="1" applyBorder="1"/>
    <xf numFmtId="164" fontId="0" fillId="3" borderId="1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horizontal="right" vertical="center"/>
    </xf>
    <xf numFmtId="164" fontId="2" fillId="3" borderId="22" xfId="0" applyFont="1" applyFill="1" applyBorder="1" applyAlignment="1">
      <alignment horizontal="center" vertical="center"/>
    </xf>
    <xf numFmtId="164" fontId="14" fillId="0" borderId="0" xfId="0" applyFont="1"/>
    <xf numFmtId="164" fontId="11" fillId="3" borderId="26" xfId="0" applyFont="1" applyFill="1" applyBorder="1"/>
    <xf numFmtId="164" fontId="0" fillId="3" borderId="49" xfId="0" applyNumberFormat="1" applyFont="1" applyFill="1" applyBorder="1"/>
    <xf numFmtId="164" fontId="0" fillId="3" borderId="12" xfId="0" applyNumberFormat="1" applyFill="1" applyBorder="1" applyAlignment="1">
      <alignment horizontal="right"/>
    </xf>
    <xf numFmtId="164" fontId="0" fillId="3" borderId="24" xfId="0" applyNumberFormat="1" applyFill="1" applyBorder="1" applyAlignment="1">
      <alignment horizontal="right"/>
    </xf>
    <xf numFmtId="164" fontId="0" fillId="3" borderId="25" xfId="0" applyFill="1" applyBorder="1"/>
    <xf numFmtId="164" fontId="0" fillId="3" borderId="51" xfId="0" applyFill="1" applyBorder="1"/>
    <xf numFmtId="164" fontId="0" fillId="3" borderId="1" xfId="1" applyNumberFormat="1" applyFont="1" applyFill="1" applyBorder="1"/>
    <xf numFmtId="164" fontId="1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right" vertical="center"/>
    </xf>
    <xf numFmtId="9" fontId="0" fillId="0" borderId="0" xfId="0" applyNumberFormat="1" applyFill="1" applyAlignment="1">
      <alignment horizontal="center"/>
    </xf>
    <xf numFmtId="164" fontId="0" fillId="3" borderId="24" xfId="0" applyNumberFormat="1" applyFill="1" applyBorder="1" applyAlignment="1">
      <alignment horizontal="right" vertical="center"/>
    </xf>
    <xf numFmtId="164" fontId="0" fillId="3" borderId="19" xfId="0" applyNumberFormat="1" applyFill="1" applyBorder="1" applyAlignment="1">
      <alignment horizontal="right" vertical="center"/>
    </xf>
    <xf numFmtId="164" fontId="0" fillId="2" borderId="19" xfId="0" applyNumberFormat="1" applyFill="1" applyBorder="1" applyAlignment="1">
      <alignment horizontal="right" vertical="center"/>
    </xf>
    <xf numFmtId="164" fontId="0" fillId="2" borderId="36" xfId="0" applyNumberFormat="1" applyFill="1" applyBorder="1"/>
    <xf numFmtId="164" fontId="0" fillId="3" borderId="11" xfId="0" applyNumberFormat="1" applyFill="1" applyBorder="1" applyAlignment="1">
      <alignment horizontal="right" vertical="center"/>
    </xf>
    <xf numFmtId="164" fontId="0" fillId="2" borderId="37" xfId="0" applyFill="1" applyBorder="1"/>
    <xf numFmtId="164" fontId="0" fillId="2" borderId="18" xfId="0" applyNumberFormat="1" applyFill="1" applyBorder="1"/>
    <xf numFmtId="164" fontId="0" fillId="3" borderId="22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3" borderId="9" xfId="0" applyFill="1" applyBorder="1" applyAlignment="1">
      <alignment vertical="center" wrapText="1"/>
    </xf>
    <xf numFmtId="164" fontId="7" fillId="2" borderId="35" xfId="0" applyFont="1" applyFill="1" applyBorder="1" applyAlignment="1">
      <alignment horizontal="center"/>
    </xf>
    <xf numFmtId="9" fontId="7" fillId="2" borderId="35" xfId="0" applyNumberFormat="1" applyFont="1" applyFill="1" applyBorder="1" applyAlignment="1">
      <alignment horizontal="center"/>
    </xf>
    <xf numFmtId="10" fontId="0" fillId="2" borderId="35" xfId="0" applyNumberFormat="1" applyFill="1" applyBorder="1"/>
    <xf numFmtId="164" fontId="0" fillId="0" borderId="0" xfId="0" applyFill="1" applyBorder="1" applyAlignment="1">
      <alignment horizontal="center"/>
    </xf>
    <xf numFmtId="164" fontId="5" fillId="0" borderId="0" xfId="0" applyFont="1" applyFill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64" fontId="0" fillId="0" borderId="13" xfId="0" applyNumberFormat="1" applyFill="1" applyBorder="1"/>
    <xf numFmtId="9" fontId="1" fillId="0" borderId="0" xfId="0" applyNumberFormat="1" applyFont="1" applyFill="1" applyBorder="1"/>
    <xf numFmtId="10" fontId="0" fillId="0" borderId="10" xfId="0" applyNumberFormat="1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/>
    <xf numFmtId="10" fontId="0" fillId="0" borderId="0" xfId="0" applyNumberForma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0" fontId="15" fillId="0" borderId="1" xfId="2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10" fontId="15" fillId="0" borderId="8" xfId="2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7" fillId="2" borderId="15" xfId="0" applyFont="1" applyFill="1" applyBorder="1" applyAlignment="1">
      <alignment horizontal="center"/>
    </xf>
    <xf numFmtId="164" fontId="7" fillId="2" borderId="33" xfId="0" applyFont="1" applyFill="1" applyBorder="1" applyAlignment="1">
      <alignment horizontal="center"/>
    </xf>
    <xf numFmtId="164" fontId="7" fillId="2" borderId="14" xfId="0" applyFont="1" applyFill="1" applyBorder="1" applyAlignment="1">
      <alignment horizontal="center"/>
    </xf>
    <xf numFmtId="164" fontId="1" fillId="2" borderId="46" xfId="0" applyFont="1" applyFill="1" applyBorder="1" applyAlignment="1">
      <alignment horizontal="center" vertical="center"/>
    </xf>
    <xf numFmtId="164" fontId="1" fillId="2" borderId="47" xfId="0" applyFont="1" applyFill="1" applyBorder="1" applyAlignment="1">
      <alignment horizontal="center" vertical="center"/>
    </xf>
    <xf numFmtId="164" fontId="1" fillId="2" borderId="18" xfId="0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horizontal="center" vertical="center"/>
    </xf>
    <xf numFmtId="164" fontId="1" fillId="2" borderId="18" xfId="0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7" fillId="2" borderId="15" xfId="0" applyFont="1" applyFill="1" applyBorder="1" applyAlignment="1">
      <alignment horizontal="center" vertical="center"/>
    </xf>
    <xf numFmtId="164" fontId="7" fillId="2" borderId="33" xfId="0" applyFont="1" applyFill="1" applyBorder="1" applyAlignment="1">
      <alignment horizontal="center" vertical="center"/>
    </xf>
    <xf numFmtId="164" fontId="7" fillId="2" borderId="14" xfId="0" applyFont="1" applyFill="1" applyBorder="1" applyAlignment="1">
      <alignment horizontal="center" vertical="center"/>
    </xf>
    <xf numFmtId="164" fontId="0" fillId="2" borderId="15" xfId="0" applyFill="1" applyBorder="1" applyAlignment="1">
      <alignment horizontal="center" vertical="center"/>
    </xf>
    <xf numFmtId="164" fontId="0" fillId="2" borderId="33" xfId="0" applyFill="1" applyBorder="1" applyAlignment="1">
      <alignment horizontal="center" vertical="center"/>
    </xf>
    <xf numFmtId="164" fontId="0" fillId="2" borderId="14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164" fontId="1" fillId="2" borderId="44" xfId="0" applyFont="1" applyFill="1" applyBorder="1" applyAlignment="1">
      <alignment horizontal="center" vertical="center"/>
    </xf>
    <xf numFmtId="164" fontId="1" fillId="2" borderId="29" xfId="0" applyFont="1" applyFill="1" applyBorder="1" applyAlignment="1">
      <alignment horizontal="center" vertical="center"/>
    </xf>
    <xf numFmtId="164" fontId="1" fillId="2" borderId="30" xfId="0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center" vertical="center" wrapText="1"/>
    </xf>
    <xf numFmtId="164" fontId="1" fillId="2" borderId="33" xfId="0" applyFont="1" applyFill="1" applyBorder="1" applyAlignment="1">
      <alignment horizontal="center" vertical="center" wrapText="1"/>
    </xf>
    <xf numFmtId="164" fontId="1" fillId="2" borderId="14" xfId="0" applyFont="1" applyFill="1" applyBorder="1" applyAlignment="1">
      <alignment horizontal="center" vertical="center" wrapText="1"/>
    </xf>
    <xf numFmtId="164" fontId="1" fillId="2" borderId="15" xfId="0" applyFont="1" applyFill="1" applyBorder="1" applyAlignment="1">
      <alignment horizontal="center" vertical="center"/>
    </xf>
    <xf numFmtId="164" fontId="1" fillId="2" borderId="33" xfId="0" applyFont="1" applyFill="1" applyBorder="1" applyAlignment="1">
      <alignment horizontal="center" vertical="center"/>
    </xf>
    <xf numFmtId="164" fontId="1" fillId="2" borderId="14" xfId="0" applyFont="1" applyFill="1" applyBorder="1" applyAlignment="1">
      <alignment horizontal="center" vertical="center"/>
    </xf>
    <xf numFmtId="164" fontId="1" fillId="2" borderId="46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2" borderId="47" xfId="0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4" fontId="1" fillId="2" borderId="33" xfId="0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4" fontId="7" fillId="2" borderId="15" xfId="0" applyFont="1" applyFill="1" applyBorder="1" applyAlignment="1">
      <alignment horizontal="center" vertical="center" wrapText="1"/>
    </xf>
    <xf numFmtId="164" fontId="7" fillId="2" borderId="33" xfId="0" applyFont="1" applyFill="1" applyBorder="1" applyAlignment="1">
      <alignment horizontal="center" vertical="center" wrapText="1"/>
    </xf>
    <xf numFmtId="164" fontId="7" fillId="2" borderId="14" xfId="0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64" fontId="1" fillId="3" borderId="50" xfId="0" applyNumberFormat="1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7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7" fillId="3" borderId="51" xfId="0" applyFont="1" applyFill="1" applyBorder="1" applyAlignment="1">
      <alignment horizontal="center" vertical="center"/>
    </xf>
    <xf numFmtId="164" fontId="7" fillId="3" borderId="39" xfId="0" applyFont="1" applyFill="1" applyBorder="1" applyAlignment="1">
      <alignment horizontal="center" vertical="center"/>
    </xf>
    <xf numFmtId="164" fontId="7" fillId="3" borderId="22" xfId="0" applyFont="1" applyFill="1" applyBorder="1" applyAlignment="1">
      <alignment horizontal="center" vertical="center" wrapText="1"/>
    </xf>
    <xf numFmtId="164" fontId="7" fillId="3" borderId="24" xfId="0" applyFont="1" applyFill="1" applyBorder="1" applyAlignment="1">
      <alignment horizontal="center" vertical="center" wrapText="1"/>
    </xf>
    <xf numFmtId="164" fontId="7" fillId="2" borderId="9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4" fontId="7" fillId="2" borderId="18" xfId="0" applyFont="1" applyFill="1" applyBorder="1" applyAlignment="1">
      <alignment horizontal="center"/>
    </xf>
    <xf numFmtId="164" fontId="7" fillId="2" borderId="19" xfId="0" applyFont="1" applyFill="1" applyBorder="1" applyAlignment="1">
      <alignment horizontal="center"/>
    </xf>
    <xf numFmtId="164" fontId="1" fillId="0" borderId="34" xfId="0" applyFont="1" applyBorder="1" applyAlignment="1">
      <alignment horizontal="center" vertical="center" wrapText="1"/>
    </xf>
    <xf numFmtId="164" fontId="1" fillId="0" borderId="25" xfId="0" applyFont="1" applyBorder="1" applyAlignment="1">
      <alignment horizontal="center" vertical="center" wrapText="1"/>
    </xf>
    <xf numFmtId="164" fontId="1" fillId="0" borderId="31" xfId="0" applyFont="1" applyBorder="1" applyAlignment="1">
      <alignment horizontal="center" vertical="center" wrapText="1"/>
    </xf>
    <xf numFmtId="164" fontId="1" fillId="0" borderId="34" xfId="0" applyFont="1" applyBorder="1" applyAlignment="1">
      <alignment horizontal="center" vertical="center"/>
    </xf>
    <xf numFmtId="164" fontId="1" fillId="0" borderId="25" xfId="0" applyFont="1" applyBorder="1" applyAlignment="1">
      <alignment horizontal="center" vertical="center"/>
    </xf>
    <xf numFmtId="164" fontId="1" fillId="0" borderId="31" xfId="0" applyFont="1" applyBorder="1" applyAlignment="1">
      <alignment horizontal="center" vertical="center"/>
    </xf>
    <xf numFmtId="164" fontId="5" fillId="0" borderId="32" xfId="0" applyFont="1" applyBorder="1" applyAlignment="1">
      <alignment horizontal="center"/>
    </xf>
    <xf numFmtId="164" fontId="5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557195975503062"/>
          <c:y val="0.18091462525517643"/>
          <c:w val="0.61410826771653548"/>
          <c:h val="0.75379593175853021"/>
        </c:manualLayout>
      </c:layout>
      <c:lineChart>
        <c:grouping val="stacked"/>
        <c:varyColors val="0"/>
        <c:ser>
          <c:idx val="0"/>
          <c:order val="0"/>
          <c:tx>
            <c:strRef>
              <c:f>Sensibilidad!$D$5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Sensibilidad!$C$6:$C$17</c:f>
              <c:numCache>
                <c:formatCode>0%</c:formatCode>
                <c:ptCount val="12"/>
                <c:pt idx="0">
                  <c:v>0.05</c:v>
                </c:pt>
                <c:pt idx="1">
                  <c:v>0</c:v>
                </c:pt>
                <c:pt idx="2">
                  <c:v>-0.05</c:v>
                </c:pt>
                <c:pt idx="3">
                  <c:v>-0.1</c:v>
                </c:pt>
                <c:pt idx="4">
                  <c:v>-0.15</c:v>
                </c:pt>
                <c:pt idx="5">
                  <c:v>-0.2</c:v>
                </c:pt>
                <c:pt idx="6">
                  <c:v>-0.25</c:v>
                </c:pt>
                <c:pt idx="7">
                  <c:v>-0.3</c:v>
                </c:pt>
                <c:pt idx="8">
                  <c:v>-0.35</c:v>
                </c:pt>
                <c:pt idx="9">
                  <c:v>-0.4</c:v>
                </c:pt>
                <c:pt idx="10">
                  <c:v>-0.45</c:v>
                </c:pt>
                <c:pt idx="11">
                  <c:v>-0.5</c:v>
                </c:pt>
              </c:numCache>
            </c:numRef>
          </c:cat>
          <c:val>
            <c:numRef>
              <c:f>Sensibilidad!$D$6:$D$17</c:f>
              <c:numCache>
                <c:formatCode>_-[$$-409]* #,##0.00_ ;_-[$$-409]* \-#,##0.00\ ;_-[$$-409]* "-"??_ ;_-@_ </c:formatCode>
                <c:ptCount val="12"/>
                <c:pt idx="0">
                  <c:v>631272.58008590981</c:v>
                </c:pt>
                <c:pt idx="1">
                  <c:v>522701.69891182694</c:v>
                </c:pt>
                <c:pt idx="2">
                  <c:v>414130.81773774419</c:v>
                </c:pt>
                <c:pt idx="3">
                  <c:v>305559.93656366155</c:v>
                </c:pt>
                <c:pt idx="4">
                  <c:v>196989.05538957869</c:v>
                </c:pt>
                <c:pt idx="5">
                  <c:v>88418.174215496401</c:v>
                </c:pt>
                <c:pt idx="6">
                  <c:v>-20152.706958586466</c:v>
                </c:pt>
                <c:pt idx="7">
                  <c:v>-128723.58813266922</c:v>
                </c:pt>
                <c:pt idx="8">
                  <c:v>-237294.46930675174</c:v>
                </c:pt>
                <c:pt idx="9">
                  <c:v>-345865.35048083449</c:v>
                </c:pt>
                <c:pt idx="10">
                  <c:v>-454436.23165491701</c:v>
                </c:pt>
                <c:pt idx="11">
                  <c:v>-563007.11282899976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87040"/>
        <c:axId val="152488576"/>
      </c:lineChart>
      <c:catAx>
        <c:axId val="15248704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52488576"/>
        <c:crosses val="autoZero"/>
        <c:auto val="1"/>
        <c:lblAlgn val="ctr"/>
        <c:lblOffset val="100"/>
        <c:noMultiLvlLbl val="0"/>
      </c:catAx>
      <c:valAx>
        <c:axId val="152488576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152487040"/>
        <c:crosses val="autoZero"/>
        <c:crossBetween val="between"/>
      </c:valAx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glow rad="228600">
            <a:schemeClr val="accent5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c:spPr>
    </c:plotArea>
    <c:legend>
      <c:legendPos val="r"/>
      <c:overlay val="0"/>
    </c:legend>
    <c:plotVisOnly val="1"/>
    <c:dispBlanksAs val="zero"/>
    <c:showDLblsOverMax val="0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Sensibilidad!$E$5</c:f>
              <c:strCache>
                <c:ptCount val="1"/>
                <c:pt idx="0">
                  <c:v>TIR</c:v>
                </c:pt>
              </c:strCache>
            </c:strRef>
          </c:tx>
          <c:cat>
            <c:numRef>
              <c:f>Sensibilidad!$C$6:$C$17</c:f>
              <c:numCache>
                <c:formatCode>0%</c:formatCode>
                <c:ptCount val="12"/>
                <c:pt idx="0">
                  <c:v>0.05</c:v>
                </c:pt>
                <c:pt idx="1">
                  <c:v>0</c:v>
                </c:pt>
                <c:pt idx="2">
                  <c:v>-0.05</c:v>
                </c:pt>
                <c:pt idx="3">
                  <c:v>-0.1</c:v>
                </c:pt>
                <c:pt idx="4">
                  <c:v>-0.15</c:v>
                </c:pt>
                <c:pt idx="5">
                  <c:v>-0.2</c:v>
                </c:pt>
                <c:pt idx="6">
                  <c:v>-0.25</c:v>
                </c:pt>
                <c:pt idx="7">
                  <c:v>-0.3</c:v>
                </c:pt>
                <c:pt idx="8">
                  <c:v>-0.35</c:v>
                </c:pt>
                <c:pt idx="9">
                  <c:v>-0.4</c:v>
                </c:pt>
                <c:pt idx="10">
                  <c:v>-0.45</c:v>
                </c:pt>
                <c:pt idx="11">
                  <c:v>-0.5</c:v>
                </c:pt>
              </c:numCache>
            </c:numRef>
          </c:cat>
          <c:val>
            <c:numRef>
              <c:f>Sensibilidad!$E$6:$E$17</c:f>
              <c:numCache>
                <c:formatCode>0.00%</c:formatCode>
                <c:ptCount val="12"/>
                <c:pt idx="0">
                  <c:v>0.54997647124668814</c:v>
                </c:pt>
                <c:pt idx="1">
                  <c:v>0.50538405072210124</c:v>
                </c:pt>
                <c:pt idx="2">
                  <c:v>0.46042885859308269</c:v>
                </c:pt>
                <c:pt idx="3">
                  <c:v>0.41502827439860401</c:v>
                </c:pt>
                <c:pt idx="4">
                  <c:v>0.36907982938269246</c:v>
                </c:pt>
                <c:pt idx="5">
                  <c:v>0.32245676698335402</c:v>
                </c:pt>
                <c:pt idx="6">
                  <c:v>0.27500310812680939</c:v>
                </c:pt>
                <c:pt idx="7">
                  <c:v>0.22652873398966444</c:v>
                </c:pt>
                <c:pt idx="8">
                  <c:v>0.17680571810181744</c:v>
                </c:pt>
                <c:pt idx="9">
                  <c:v>0.12556848433250845</c:v>
                </c:pt>
                <c:pt idx="10">
                  <c:v>7.2522597242736575E-2</c:v>
                </c:pt>
                <c:pt idx="11">
                  <c:v>1.7369892497832939E-2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77824"/>
        <c:axId val="154079616"/>
      </c:lineChart>
      <c:catAx>
        <c:axId val="15407782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54079616"/>
        <c:crosses val="autoZero"/>
        <c:auto val="1"/>
        <c:lblAlgn val="ctr"/>
        <c:lblOffset val="100"/>
        <c:noMultiLvlLbl val="0"/>
      </c:catAx>
      <c:valAx>
        <c:axId val="1540796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4077824"/>
        <c:crosses val="autoZero"/>
        <c:crossBetween val="between"/>
      </c:valAx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overlay val="0"/>
    </c:legend>
    <c:plotVisOnly val="1"/>
    <c:dispBlanksAs val="zero"/>
    <c:showDLblsOverMax val="0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Sensibilidad!$D$31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Sensibilidad!$C$32:$C$43</c:f>
              <c:numCache>
                <c:formatCode>0%</c:formatCode>
                <c:ptCount val="12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</c:v>
                </c:pt>
                <c:pt idx="11">
                  <c:v>-0.05</c:v>
                </c:pt>
              </c:numCache>
            </c:numRef>
          </c:cat>
          <c:val>
            <c:numRef>
              <c:f>Sensibilidad!$D$32:$D$43</c:f>
              <c:numCache>
                <c:formatCode>_-[$$-409]* #,##0.00_ ;_-[$$-409]* \-#,##0.00\ ;_-[$$-409]* "-"??_ ;_-@_ </c:formatCode>
                <c:ptCount val="12"/>
                <c:pt idx="0">
                  <c:v>-6968.9583147192607</c:v>
                </c:pt>
                <c:pt idx="1">
                  <c:v>45998.107407935662</c:v>
                </c:pt>
                <c:pt idx="2">
                  <c:v>98965.173130590352</c:v>
                </c:pt>
                <c:pt idx="3">
                  <c:v>151932.23885324469</c:v>
                </c:pt>
                <c:pt idx="4">
                  <c:v>204899.30457589915</c:v>
                </c:pt>
                <c:pt idx="5">
                  <c:v>257866.37029855396</c:v>
                </c:pt>
                <c:pt idx="6">
                  <c:v>310833.43602120853</c:v>
                </c:pt>
                <c:pt idx="7">
                  <c:v>363800.50174386322</c:v>
                </c:pt>
                <c:pt idx="8">
                  <c:v>416767.56746651756</c:v>
                </c:pt>
                <c:pt idx="9">
                  <c:v>469734.63318917237</c:v>
                </c:pt>
                <c:pt idx="10">
                  <c:v>522701.69891182694</c:v>
                </c:pt>
                <c:pt idx="11">
                  <c:v>575668.76463448128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04192"/>
        <c:axId val="154105728"/>
      </c:lineChart>
      <c:catAx>
        <c:axId val="15410419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54105728"/>
        <c:crosses val="autoZero"/>
        <c:auto val="1"/>
        <c:lblAlgn val="ctr"/>
        <c:lblOffset val="100"/>
        <c:noMultiLvlLbl val="0"/>
      </c:catAx>
      <c:valAx>
        <c:axId val="154105728"/>
        <c:scaling>
          <c:orientation val="minMax"/>
        </c:scaling>
        <c:delete val="0"/>
        <c:axPos val="l"/>
        <c:majorGridlines/>
        <c:numFmt formatCode="_-[$$-409]* #,##0.00_ ;_-[$$-409]* \-#,##0.00\ ;_-[$$-409]* &quot;-&quot;??_ ;_-@_ " sourceLinked="1"/>
        <c:majorTickMark val="out"/>
        <c:minorTickMark val="none"/>
        <c:tickLblPos val="nextTo"/>
        <c:crossAx val="154104192"/>
        <c:crosses val="autoZero"/>
        <c:crossBetween val="between"/>
      </c:valAx>
      <c:spPr>
        <a:gradFill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  <c:overlay val="0"/>
    </c:legend>
    <c:plotVisOnly val="1"/>
    <c:dispBlanksAs val="zero"/>
    <c:showDLblsOverMax val="0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Sensibilidad!$E$31</c:f>
              <c:strCache>
                <c:ptCount val="1"/>
                <c:pt idx="0">
                  <c:v>TIR</c:v>
                </c:pt>
              </c:strCache>
            </c:strRef>
          </c:tx>
          <c:marker>
            <c:symbol val="diamond"/>
            <c:size val="9"/>
          </c:marker>
          <c:cat>
            <c:numRef>
              <c:f>Sensibilidad!$C$32:$C$43</c:f>
              <c:numCache>
                <c:formatCode>0%</c:formatCode>
                <c:ptCount val="12"/>
                <c:pt idx="0">
                  <c:v>0.5</c:v>
                </c:pt>
                <c:pt idx="1">
                  <c:v>0.45</c:v>
                </c:pt>
                <c:pt idx="2">
                  <c:v>0.4</c:v>
                </c:pt>
                <c:pt idx="3">
                  <c:v>0.35</c:v>
                </c:pt>
                <c:pt idx="4">
                  <c:v>0.3</c:v>
                </c:pt>
                <c:pt idx="5">
                  <c:v>0.25</c:v>
                </c:pt>
                <c:pt idx="6">
                  <c:v>0.2</c:v>
                </c:pt>
                <c:pt idx="7">
                  <c:v>0.15</c:v>
                </c:pt>
                <c:pt idx="8">
                  <c:v>0.1</c:v>
                </c:pt>
                <c:pt idx="9">
                  <c:v>0.05</c:v>
                </c:pt>
                <c:pt idx="10">
                  <c:v>0</c:v>
                </c:pt>
                <c:pt idx="11">
                  <c:v>-0.05</c:v>
                </c:pt>
              </c:numCache>
            </c:numRef>
          </c:cat>
          <c:val>
            <c:numRef>
              <c:f>Sensibilidad!$E$32:$E$43</c:f>
              <c:numCache>
                <c:formatCode>0.00%</c:formatCode>
                <c:ptCount val="12"/>
                <c:pt idx="0">
                  <c:v>0.28081571257348936</c:v>
                </c:pt>
                <c:pt idx="1">
                  <c:v>0.30402454845464533</c:v>
                </c:pt>
                <c:pt idx="2">
                  <c:v>0.32701959061921837</c:v>
                </c:pt>
                <c:pt idx="3">
                  <c:v>0.34982140282668794</c:v>
                </c:pt>
                <c:pt idx="4">
                  <c:v>0.3724486340471691</c:v>
                </c:pt>
                <c:pt idx="5">
                  <c:v>0.3949181574683851</c:v>
                </c:pt>
                <c:pt idx="6">
                  <c:v>0.41724521279089544</c:v>
                </c:pt>
                <c:pt idx="7">
                  <c:v>0.43944354637277971</c:v>
                </c:pt>
                <c:pt idx="8">
                  <c:v>0.46152554576930349</c:v>
                </c:pt>
                <c:pt idx="9">
                  <c:v>0.48350236660973289</c:v>
                </c:pt>
                <c:pt idx="10">
                  <c:v>0.50538405072210124</c:v>
                </c:pt>
                <c:pt idx="11">
                  <c:v>0.52717963507178278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15456"/>
        <c:axId val="154137728"/>
      </c:lineChart>
      <c:catAx>
        <c:axId val="1541154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54137728"/>
        <c:crosses val="autoZero"/>
        <c:auto val="1"/>
        <c:lblAlgn val="ctr"/>
        <c:lblOffset val="100"/>
        <c:noMultiLvlLbl val="0"/>
      </c:catAx>
      <c:valAx>
        <c:axId val="1541377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54115456"/>
        <c:crosses val="autoZero"/>
        <c:crossBetween val="between"/>
      </c:valAx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  <c:overlay val="0"/>
    </c:legend>
    <c:plotVisOnly val="1"/>
    <c:dispBlanksAs val="zero"/>
    <c:showDLblsOverMax val="0"/>
  </c:chart>
  <c:spPr>
    <a:gradFill rotWithShape="1">
      <a:gsLst>
        <a:gs pos="0">
          <a:schemeClr val="accent5">
            <a:shade val="51000"/>
            <a:satMod val="130000"/>
          </a:schemeClr>
        </a:gs>
        <a:gs pos="80000">
          <a:schemeClr val="accent5">
            <a:shade val="93000"/>
            <a:satMod val="130000"/>
          </a:schemeClr>
        </a:gs>
        <a:gs pos="100000">
          <a:schemeClr val="accent5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b="1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42862</xdr:rowOff>
    </xdr:from>
    <xdr:to>
      <xdr:col>17</xdr:col>
      <xdr:colOff>219075</xdr:colOff>
      <xdr:row>15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17</xdr:row>
      <xdr:rowOff>4762</xdr:rowOff>
    </xdr:from>
    <xdr:to>
      <xdr:col>17</xdr:col>
      <xdr:colOff>180975</xdr:colOff>
      <xdr:row>29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257174</xdr:colOff>
      <xdr:row>30</xdr:row>
      <xdr:rowOff>119062</xdr:rowOff>
    </xdr:from>
    <xdr:to>
      <xdr:col>17</xdr:col>
      <xdr:colOff>200025</xdr:colOff>
      <xdr:row>43</xdr:row>
      <xdr:rowOff>180975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266700</xdr:colOff>
      <xdr:row>45</xdr:row>
      <xdr:rowOff>157162</xdr:rowOff>
    </xdr:from>
    <xdr:to>
      <xdr:col>17</xdr:col>
      <xdr:colOff>28575</xdr:colOff>
      <xdr:row>59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opLeftCell="A12" workbookViewId="0">
      <selection activeCell="C21" sqref="C21:C23"/>
    </sheetView>
  </sheetViews>
  <sheetFormatPr baseColWidth="10" defaultColWidth="11.42578125" defaultRowHeight="15" x14ac:dyDescent="0.25"/>
  <cols>
    <col min="1" max="1" width="2.5703125" customWidth="1"/>
    <col min="2" max="2" width="4.85546875" customWidth="1"/>
    <col min="3" max="3" width="43.7109375" customWidth="1"/>
    <col min="4" max="4" width="15" customWidth="1"/>
    <col min="5" max="5" width="16.42578125" bestFit="1" customWidth="1"/>
    <col min="6" max="6" width="13.140625" bestFit="1" customWidth="1"/>
    <col min="7" max="7" width="21.85546875" bestFit="1" customWidth="1"/>
  </cols>
  <sheetData>
    <row r="1" spans="2:7" ht="15.75" thickBot="1" x14ac:dyDescent="0.3"/>
    <row r="2" spans="2:7" ht="15.75" thickBot="1" x14ac:dyDescent="0.3">
      <c r="B2" s="429" t="s">
        <v>241</v>
      </c>
      <c r="C2" s="430"/>
      <c r="D2" s="430"/>
      <c r="E2" s="430"/>
      <c r="F2" s="430"/>
      <c r="G2" s="431"/>
    </row>
    <row r="3" spans="2:7" ht="15.75" thickBot="1" x14ac:dyDescent="0.3">
      <c r="B3" s="91" t="s">
        <v>92</v>
      </c>
      <c r="C3" s="92" t="s">
        <v>240</v>
      </c>
      <c r="D3" s="92" t="s">
        <v>239</v>
      </c>
      <c r="E3" s="92" t="s">
        <v>238</v>
      </c>
      <c r="F3" s="92" t="s">
        <v>14</v>
      </c>
      <c r="G3" s="93" t="s">
        <v>237</v>
      </c>
    </row>
    <row r="4" spans="2:7" x14ac:dyDescent="0.25">
      <c r="B4" s="66">
        <v>1</v>
      </c>
      <c r="C4" s="94" t="s">
        <v>0</v>
      </c>
      <c r="D4" s="95">
        <v>7</v>
      </c>
      <c r="E4" s="96">
        <v>150</v>
      </c>
      <c r="F4" s="96">
        <f t="shared" ref="F4:F18" si="0">E4*D4</f>
        <v>1050</v>
      </c>
      <c r="G4" s="97" t="s">
        <v>1</v>
      </c>
    </row>
    <row r="5" spans="2:7" x14ac:dyDescent="0.25">
      <c r="B5" s="63">
        <v>2</v>
      </c>
      <c r="C5" s="98" t="s">
        <v>2</v>
      </c>
      <c r="D5" s="42">
        <v>18</v>
      </c>
      <c r="E5" s="99">
        <v>60</v>
      </c>
      <c r="F5" s="99">
        <f t="shared" si="0"/>
        <v>1080</v>
      </c>
      <c r="G5" s="100" t="s">
        <v>1</v>
      </c>
    </row>
    <row r="6" spans="2:7" x14ac:dyDescent="0.25">
      <c r="B6" s="63">
        <v>3</v>
      </c>
      <c r="C6" s="98" t="s">
        <v>243</v>
      </c>
      <c r="D6" s="42">
        <v>1</v>
      </c>
      <c r="E6" s="99">
        <v>80</v>
      </c>
      <c r="F6" s="99">
        <f t="shared" si="0"/>
        <v>80</v>
      </c>
      <c r="G6" s="100" t="s">
        <v>1</v>
      </c>
    </row>
    <row r="7" spans="2:7" x14ac:dyDescent="0.25">
      <c r="B7" s="63">
        <v>4</v>
      </c>
      <c r="C7" s="98" t="s">
        <v>3</v>
      </c>
      <c r="D7" s="42">
        <v>4</v>
      </c>
      <c r="E7" s="99">
        <v>100</v>
      </c>
      <c r="F7" s="99">
        <f t="shared" si="0"/>
        <v>400</v>
      </c>
      <c r="G7" s="100" t="s">
        <v>1</v>
      </c>
    </row>
    <row r="8" spans="2:7" x14ac:dyDescent="0.25">
      <c r="B8" s="63">
        <v>5</v>
      </c>
      <c r="C8" s="98" t="s">
        <v>242</v>
      </c>
      <c r="D8" s="42">
        <v>8</v>
      </c>
      <c r="E8" s="99">
        <v>38</v>
      </c>
      <c r="F8" s="99">
        <f t="shared" si="0"/>
        <v>304</v>
      </c>
      <c r="G8" s="100" t="s">
        <v>4</v>
      </c>
    </row>
    <row r="9" spans="2:7" x14ac:dyDescent="0.25">
      <c r="B9" s="63">
        <v>6</v>
      </c>
      <c r="C9" s="98" t="s">
        <v>5</v>
      </c>
      <c r="D9" s="42">
        <v>1</v>
      </c>
      <c r="E9" s="99">
        <v>80</v>
      </c>
      <c r="F9" s="99">
        <f t="shared" si="0"/>
        <v>80</v>
      </c>
      <c r="G9" s="100" t="s">
        <v>4</v>
      </c>
    </row>
    <row r="10" spans="2:7" x14ac:dyDescent="0.25">
      <c r="B10" s="63">
        <v>7</v>
      </c>
      <c r="C10" s="98" t="s">
        <v>228</v>
      </c>
      <c r="D10" s="42">
        <v>1</v>
      </c>
      <c r="E10" s="99">
        <v>120</v>
      </c>
      <c r="F10" s="99">
        <f t="shared" si="0"/>
        <v>120</v>
      </c>
      <c r="G10" s="100" t="s">
        <v>4</v>
      </c>
    </row>
    <row r="11" spans="2:7" x14ac:dyDescent="0.25">
      <c r="B11" s="63">
        <v>8</v>
      </c>
      <c r="C11" s="98" t="s">
        <v>229</v>
      </c>
      <c r="D11" s="42">
        <v>2</v>
      </c>
      <c r="E11" s="99">
        <v>90</v>
      </c>
      <c r="F11" s="99">
        <f t="shared" si="0"/>
        <v>180</v>
      </c>
      <c r="G11" s="100" t="s">
        <v>4</v>
      </c>
    </row>
    <row r="12" spans="2:7" x14ac:dyDescent="0.25">
      <c r="B12" s="63">
        <v>9</v>
      </c>
      <c r="C12" s="98" t="s">
        <v>6</v>
      </c>
      <c r="D12" s="42">
        <v>7</v>
      </c>
      <c r="E12" s="99">
        <v>350</v>
      </c>
      <c r="F12" s="99">
        <f t="shared" si="0"/>
        <v>2450</v>
      </c>
      <c r="G12" s="100" t="s">
        <v>4</v>
      </c>
    </row>
    <row r="13" spans="2:7" x14ac:dyDescent="0.25">
      <c r="B13" s="63">
        <v>10</v>
      </c>
      <c r="C13" s="98" t="s">
        <v>7</v>
      </c>
      <c r="D13" s="42">
        <v>1</v>
      </c>
      <c r="E13" s="99">
        <v>300</v>
      </c>
      <c r="F13" s="99">
        <f t="shared" si="0"/>
        <v>300</v>
      </c>
      <c r="G13" s="100" t="s">
        <v>7</v>
      </c>
    </row>
    <row r="14" spans="2:7" x14ac:dyDescent="0.25">
      <c r="B14" s="63">
        <v>11</v>
      </c>
      <c r="C14" s="98" t="s">
        <v>227</v>
      </c>
      <c r="D14" s="42">
        <v>8</v>
      </c>
      <c r="E14" s="99">
        <v>150</v>
      </c>
      <c r="F14" s="99">
        <f t="shared" si="0"/>
        <v>1200</v>
      </c>
      <c r="G14" s="100" t="s">
        <v>9</v>
      </c>
    </row>
    <row r="15" spans="2:7" x14ac:dyDescent="0.25">
      <c r="B15" s="63">
        <v>12</v>
      </c>
      <c r="C15" s="98" t="s">
        <v>10</v>
      </c>
      <c r="D15" s="42">
        <v>1</v>
      </c>
      <c r="E15" s="99">
        <v>100</v>
      </c>
      <c r="F15" s="99">
        <f t="shared" si="0"/>
        <v>100</v>
      </c>
      <c r="G15" s="100" t="s">
        <v>9</v>
      </c>
    </row>
    <row r="16" spans="2:7" x14ac:dyDescent="0.25">
      <c r="B16" s="63">
        <v>13</v>
      </c>
      <c r="C16" s="98" t="s">
        <v>12</v>
      </c>
      <c r="D16" s="42">
        <v>1</v>
      </c>
      <c r="E16" s="99">
        <v>451</v>
      </c>
      <c r="F16" s="99">
        <f t="shared" si="0"/>
        <v>451</v>
      </c>
      <c r="G16" s="100" t="s">
        <v>9</v>
      </c>
    </row>
    <row r="17" spans="2:7" x14ac:dyDescent="0.25">
      <c r="B17" s="63">
        <v>14</v>
      </c>
      <c r="C17" s="98" t="s">
        <v>226</v>
      </c>
      <c r="D17" s="42">
        <v>1</v>
      </c>
      <c r="E17" s="99">
        <v>24000</v>
      </c>
      <c r="F17" s="99">
        <f t="shared" si="0"/>
        <v>24000</v>
      </c>
      <c r="G17" s="100" t="s">
        <v>53</v>
      </c>
    </row>
    <row r="18" spans="2:7" x14ac:dyDescent="0.25">
      <c r="B18" s="63">
        <v>15</v>
      </c>
      <c r="C18" s="98" t="s">
        <v>172</v>
      </c>
      <c r="D18" s="42">
        <v>2</v>
      </c>
      <c r="E18" s="99">
        <v>23700</v>
      </c>
      <c r="F18" s="99">
        <f t="shared" si="0"/>
        <v>47400</v>
      </c>
      <c r="G18" s="100" t="s">
        <v>11</v>
      </c>
    </row>
    <row r="19" spans="2:7" ht="30.75" thickBot="1" x14ac:dyDescent="0.3">
      <c r="B19" s="101">
        <v>16</v>
      </c>
      <c r="C19" s="102" t="s">
        <v>225</v>
      </c>
      <c r="D19" s="103">
        <v>36</v>
      </c>
      <c r="E19" s="104">
        <v>20000</v>
      </c>
      <c r="F19" s="104">
        <f>(E19*D19)</f>
        <v>720000</v>
      </c>
      <c r="G19" s="105" t="s">
        <v>13</v>
      </c>
    </row>
    <row r="20" spans="2:7" s="14" customFormat="1" ht="15.75" thickBot="1" x14ac:dyDescent="0.3"/>
    <row r="21" spans="2:7" ht="15.75" thickBot="1" x14ac:dyDescent="0.3">
      <c r="C21" s="106" t="s">
        <v>236</v>
      </c>
      <c r="D21" s="107">
        <f>SUM(F4:F19)</f>
        <v>799195</v>
      </c>
      <c r="E21" s="1"/>
    </row>
    <row r="22" spans="2:7" ht="15.75" thickBot="1" x14ac:dyDescent="0.3">
      <c r="C22" s="44" t="s">
        <v>8</v>
      </c>
      <c r="D22" s="148">
        <v>3000</v>
      </c>
      <c r="E22" s="1"/>
    </row>
    <row r="23" spans="2:7" ht="15.75" thickBot="1" x14ac:dyDescent="0.3">
      <c r="C23" s="106" t="s">
        <v>210</v>
      </c>
      <c r="D23" s="107">
        <f>-'Capital de Trabajo'!N34</f>
        <v>267649.23869728355</v>
      </c>
      <c r="E23" s="1"/>
      <c r="G23" s="1"/>
    </row>
    <row r="24" spans="2:7" ht="15.75" thickBot="1" x14ac:dyDescent="0.3">
      <c r="C24" s="108" t="s">
        <v>211</v>
      </c>
      <c r="D24" s="109">
        <f>SUM(D21:D23)</f>
        <v>1069844.2386972834</v>
      </c>
      <c r="E24" s="1"/>
    </row>
    <row r="25" spans="2:7" x14ac:dyDescent="0.25">
      <c r="C25" s="14"/>
      <c r="E25" s="1"/>
      <c r="F25" s="16"/>
    </row>
    <row r="26" spans="2:7" x14ac:dyDescent="0.25">
      <c r="C26" s="14"/>
      <c r="E26" s="1"/>
      <c r="F26" s="16"/>
    </row>
    <row r="27" spans="2:7" x14ac:dyDescent="0.25">
      <c r="C27" s="14"/>
      <c r="E27" s="1"/>
      <c r="F27" s="16"/>
    </row>
    <row r="28" spans="2:7" x14ac:dyDescent="0.25">
      <c r="C28" s="14"/>
      <c r="F28" s="16"/>
    </row>
    <row r="29" spans="2:7" x14ac:dyDescent="0.25">
      <c r="C29" s="15"/>
      <c r="F29" s="16"/>
    </row>
    <row r="30" spans="2:7" x14ac:dyDescent="0.25">
      <c r="F30" s="1"/>
    </row>
  </sheetData>
  <mergeCells count="1">
    <mergeCell ref="B2:G2"/>
  </mergeCells>
  <phoneticPr fontId="6" type="noConversion"/>
  <pageMargins left="0.7" right="0.7" top="0.75" bottom="0.75" header="0.3" footer="0.3"/>
  <ignoredErrors>
    <ignoredError sqref="F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3"/>
  <sheetViews>
    <sheetView tabSelected="1" topLeftCell="A43" workbookViewId="0">
      <selection activeCell="J46" sqref="J46"/>
    </sheetView>
  </sheetViews>
  <sheetFormatPr baseColWidth="10" defaultColWidth="9.140625" defaultRowHeight="15" x14ac:dyDescent="0.25"/>
  <cols>
    <col min="2" max="2" width="13.42578125" customWidth="1"/>
    <col min="4" max="4" width="17.140625" customWidth="1"/>
    <col min="6" max="6" width="13.7109375" customWidth="1"/>
  </cols>
  <sheetData>
    <row r="4" spans="2:6" ht="15.75" thickBot="1" x14ac:dyDescent="0.3">
      <c r="B4" s="488" t="s">
        <v>173</v>
      </c>
      <c r="C4" s="488"/>
      <c r="D4" s="488"/>
      <c r="E4" s="488"/>
      <c r="F4" s="488"/>
    </row>
    <row r="5" spans="2:6" ht="15.75" thickBot="1" x14ac:dyDescent="0.3">
      <c r="B5" s="485" t="s">
        <v>174</v>
      </c>
      <c r="C5" s="18"/>
      <c r="D5" s="19" t="s">
        <v>102</v>
      </c>
      <c r="E5" s="19" t="s">
        <v>170</v>
      </c>
      <c r="F5" s="20" t="s">
        <v>175</v>
      </c>
    </row>
    <row r="6" spans="2:6" x14ac:dyDescent="0.25">
      <c r="B6" s="486"/>
      <c r="C6" s="24">
        <v>0.05</v>
      </c>
      <c r="D6" s="6">
        <v>631272.58008590981</v>
      </c>
      <c r="E6" s="409">
        <v>0.54997647124668814</v>
      </c>
      <c r="F6" s="7" t="s">
        <v>176</v>
      </c>
    </row>
    <row r="7" spans="2:6" x14ac:dyDescent="0.25">
      <c r="B7" s="486"/>
      <c r="C7" s="24">
        <v>0</v>
      </c>
      <c r="D7" s="27">
        <v>522701.69891182694</v>
      </c>
      <c r="E7" s="32">
        <v>0.50538405072210124</v>
      </c>
      <c r="F7" s="22" t="s">
        <v>176</v>
      </c>
    </row>
    <row r="8" spans="2:6" x14ac:dyDescent="0.25">
      <c r="B8" s="486"/>
      <c r="C8" s="24">
        <v>-0.05</v>
      </c>
      <c r="D8" s="25">
        <v>414130.81773774419</v>
      </c>
      <c r="E8" s="32">
        <v>0.46042885859308269</v>
      </c>
      <c r="F8" s="22" t="s">
        <v>176</v>
      </c>
    </row>
    <row r="9" spans="2:6" x14ac:dyDescent="0.25">
      <c r="B9" s="486"/>
      <c r="C9" s="24">
        <v>-0.1</v>
      </c>
      <c r="D9" s="8">
        <v>305559.93656366155</v>
      </c>
      <c r="E9" s="32">
        <v>0.41502827439860401</v>
      </c>
      <c r="F9" s="22" t="s">
        <v>176</v>
      </c>
    </row>
    <row r="10" spans="2:6" x14ac:dyDescent="0.25">
      <c r="B10" s="486"/>
      <c r="C10" s="24">
        <v>-0.15</v>
      </c>
      <c r="D10" s="8">
        <v>196989.05538957869</v>
      </c>
      <c r="E10" s="32">
        <v>0.36907982938269246</v>
      </c>
      <c r="F10" s="22" t="s">
        <v>176</v>
      </c>
    </row>
    <row r="11" spans="2:6" x14ac:dyDescent="0.25">
      <c r="B11" s="486"/>
      <c r="C11" s="24">
        <v>-0.2</v>
      </c>
      <c r="D11" s="8">
        <v>88418.174215496401</v>
      </c>
      <c r="E11" s="32">
        <v>0.32245676698335402</v>
      </c>
      <c r="F11" s="22" t="s">
        <v>176</v>
      </c>
    </row>
    <row r="12" spans="2:6" x14ac:dyDescent="0.25">
      <c r="B12" s="486"/>
      <c r="C12" s="24">
        <v>-0.25</v>
      </c>
      <c r="D12" s="25">
        <v>-20152.706958586466</v>
      </c>
      <c r="E12" s="32">
        <v>0.27500310812680939</v>
      </c>
      <c r="F12" s="410" t="s">
        <v>193</v>
      </c>
    </row>
    <row r="13" spans="2:6" s="306" customFormat="1" x14ac:dyDescent="0.25">
      <c r="B13" s="486"/>
      <c r="C13" s="24">
        <v>-0.3</v>
      </c>
      <c r="D13" s="25">
        <v>-128723.58813266922</v>
      </c>
      <c r="E13" s="32">
        <v>0.22652873398966444</v>
      </c>
      <c r="F13" s="410" t="s">
        <v>193</v>
      </c>
    </row>
    <row r="14" spans="2:6" s="306" customFormat="1" x14ac:dyDescent="0.25">
      <c r="B14" s="486"/>
      <c r="C14" s="24">
        <v>-0.35</v>
      </c>
      <c r="D14" s="25">
        <v>-237294.46930675174</v>
      </c>
      <c r="E14" s="32">
        <v>0.17680571810181744</v>
      </c>
      <c r="F14" s="410" t="s">
        <v>193</v>
      </c>
    </row>
    <row r="15" spans="2:6" s="306" customFormat="1" x14ac:dyDescent="0.25">
      <c r="B15" s="486"/>
      <c r="C15" s="24">
        <v>-0.4</v>
      </c>
      <c r="D15" s="25">
        <v>-345865.35048083449</v>
      </c>
      <c r="E15" s="32">
        <v>0.12556848433250845</v>
      </c>
      <c r="F15" s="410" t="s">
        <v>193</v>
      </c>
    </row>
    <row r="16" spans="2:6" s="306" customFormat="1" x14ac:dyDescent="0.25">
      <c r="B16" s="486"/>
      <c r="C16" s="24">
        <v>-0.45</v>
      </c>
      <c r="D16" s="25">
        <v>-454436.23165491701</v>
      </c>
      <c r="E16" s="32">
        <v>7.2522597242736575E-2</v>
      </c>
      <c r="F16" s="410" t="s">
        <v>193</v>
      </c>
    </row>
    <row r="17" spans="2:6" ht="15.75" thickBot="1" x14ac:dyDescent="0.3">
      <c r="B17" s="487"/>
      <c r="C17" s="9">
        <v>-0.5</v>
      </c>
      <c r="D17" s="26">
        <v>-563007.11282899976</v>
      </c>
      <c r="E17" s="411">
        <v>1.7369892497832939E-2</v>
      </c>
      <c r="F17" s="23" t="s">
        <v>193</v>
      </c>
    </row>
    <row r="18" spans="2:6" s="306" customFormat="1" x14ac:dyDescent="0.25">
      <c r="B18" s="412"/>
      <c r="C18" s="413"/>
      <c r="D18" s="414"/>
      <c r="E18" s="415"/>
      <c r="F18" s="402"/>
    </row>
    <row r="19" spans="2:6" s="306" customFormat="1" x14ac:dyDescent="0.25">
      <c r="B19" s="412"/>
      <c r="C19" s="413"/>
      <c r="D19" s="414"/>
      <c r="E19" s="415"/>
      <c r="F19" s="402"/>
    </row>
    <row r="20" spans="2:6" s="306" customFormat="1" x14ac:dyDescent="0.25">
      <c r="B20" s="412"/>
      <c r="C20" s="413"/>
      <c r="D20" s="414"/>
      <c r="E20" s="415"/>
      <c r="F20" s="402"/>
    </row>
    <row r="21" spans="2:6" s="306" customFormat="1" x14ac:dyDescent="0.25">
      <c r="B21" s="412"/>
      <c r="C21" s="413"/>
      <c r="D21" s="414"/>
      <c r="E21" s="415"/>
      <c r="F21" s="402"/>
    </row>
    <row r="22" spans="2:6" s="306" customFormat="1" x14ac:dyDescent="0.25">
      <c r="B22" s="412"/>
      <c r="C22" s="413"/>
      <c r="D22" s="414"/>
      <c r="E22" s="415"/>
      <c r="F22" s="402"/>
    </row>
    <row r="23" spans="2:6" s="306" customFormat="1" x14ac:dyDescent="0.25">
      <c r="B23" s="412"/>
      <c r="C23" s="413"/>
      <c r="D23" s="414"/>
      <c r="E23" s="415"/>
      <c r="F23" s="402"/>
    </row>
    <row r="24" spans="2:6" s="306" customFormat="1" x14ac:dyDescent="0.25">
      <c r="B24" s="412"/>
      <c r="C24" s="413"/>
      <c r="D24" s="414"/>
      <c r="E24" s="415"/>
      <c r="F24" s="402"/>
    </row>
    <row r="25" spans="2:6" s="306" customFormat="1" x14ac:dyDescent="0.25">
      <c r="B25" s="412"/>
      <c r="C25" s="413"/>
      <c r="D25" s="414"/>
      <c r="E25" s="415"/>
      <c r="F25" s="402"/>
    </row>
    <row r="26" spans="2:6" s="306" customFormat="1" x14ac:dyDescent="0.25">
      <c r="B26" s="412"/>
      <c r="C26" s="413"/>
      <c r="D26" s="414"/>
      <c r="E26" s="415"/>
      <c r="F26" s="402"/>
    </row>
    <row r="27" spans="2:6" s="306" customFormat="1" x14ac:dyDescent="0.25">
      <c r="B27" s="412"/>
      <c r="C27" s="413"/>
      <c r="D27" s="414"/>
      <c r="E27" s="415"/>
      <c r="F27" s="402"/>
    </row>
    <row r="28" spans="2:6" x14ac:dyDescent="0.25">
      <c r="C28" s="21"/>
    </row>
    <row r="30" spans="2:6" ht="15.75" thickBot="1" x14ac:dyDescent="0.3">
      <c r="B30" s="488" t="s">
        <v>177</v>
      </c>
      <c r="C30" s="488"/>
      <c r="D30" s="488"/>
      <c r="E30" s="488"/>
      <c r="F30" s="488"/>
    </row>
    <row r="31" spans="2:6" ht="15.75" thickBot="1" x14ac:dyDescent="0.3">
      <c r="B31" s="482" t="s">
        <v>174</v>
      </c>
      <c r="C31" s="18"/>
      <c r="D31" s="19" t="s">
        <v>102</v>
      </c>
      <c r="E31" s="19" t="s">
        <v>170</v>
      </c>
      <c r="F31" s="20" t="s">
        <v>175</v>
      </c>
    </row>
    <row r="32" spans="2:6" s="306" customFormat="1" x14ac:dyDescent="0.25">
      <c r="B32" s="483"/>
      <c r="C32" s="416">
        <v>0.5</v>
      </c>
      <c r="D32" s="417">
        <v>-6968.9583147192607</v>
      </c>
      <c r="E32" s="418">
        <v>0.28081571257348936</v>
      </c>
      <c r="F32" s="419" t="s">
        <v>193</v>
      </c>
    </row>
    <row r="33" spans="2:6" s="306" customFormat="1" x14ac:dyDescent="0.25">
      <c r="B33" s="483"/>
      <c r="C33" s="420">
        <v>0.45</v>
      </c>
      <c r="D33" s="421">
        <v>45998.107407935662</v>
      </c>
      <c r="E33" s="422">
        <v>0.30402454845464533</v>
      </c>
      <c r="F33" s="423" t="s">
        <v>176</v>
      </c>
    </row>
    <row r="34" spans="2:6" s="306" customFormat="1" x14ac:dyDescent="0.25">
      <c r="B34" s="483"/>
      <c r="C34" s="420">
        <v>0.4</v>
      </c>
      <c r="D34" s="421">
        <v>98965.173130590352</v>
      </c>
      <c r="E34" s="422">
        <v>0.32701959061921837</v>
      </c>
      <c r="F34" s="423" t="s">
        <v>176</v>
      </c>
    </row>
    <row r="35" spans="2:6" s="306" customFormat="1" x14ac:dyDescent="0.25">
      <c r="B35" s="483"/>
      <c r="C35" s="420">
        <v>0.35</v>
      </c>
      <c r="D35" s="421">
        <v>151932.23885324469</v>
      </c>
      <c r="E35" s="422">
        <v>0.34982140282668794</v>
      </c>
      <c r="F35" s="423" t="s">
        <v>176</v>
      </c>
    </row>
    <row r="36" spans="2:6" x14ac:dyDescent="0.25">
      <c r="B36" s="483"/>
      <c r="C36" s="420">
        <v>0.3</v>
      </c>
      <c r="D36" s="28">
        <v>204899.30457589915</v>
      </c>
      <c r="E36" s="30">
        <v>0.3724486340471691</v>
      </c>
      <c r="F36" s="423" t="s">
        <v>176</v>
      </c>
    </row>
    <row r="37" spans="2:6" x14ac:dyDescent="0.25">
      <c r="B37" s="483"/>
      <c r="C37" s="420">
        <v>0.25</v>
      </c>
      <c r="D37" s="28">
        <v>257866.37029855396</v>
      </c>
      <c r="E37" s="30">
        <v>0.3949181574683851</v>
      </c>
      <c r="F37" s="423" t="s">
        <v>176</v>
      </c>
    </row>
    <row r="38" spans="2:6" x14ac:dyDescent="0.25">
      <c r="B38" s="483"/>
      <c r="C38" s="420">
        <v>0.2</v>
      </c>
      <c r="D38" s="28">
        <v>310833.43602120853</v>
      </c>
      <c r="E38" s="30">
        <v>0.41724521279089544</v>
      </c>
      <c r="F38" s="423" t="s">
        <v>176</v>
      </c>
    </row>
    <row r="39" spans="2:6" x14ac:dyDescent="0.25">
      <c r="B39" s="483"/>
      <c r="C39" s="420">
        <v>0.15</v>
      </c>
      <c r="D39" s="28">
        <v>363800.50174386322</v>
      </c>
      <c r="E39" s="30">
        <v>0.43944354637277971</v>
      </c>
      <c r="F39" s="423" t="s">
        <v>176</v>
      </c>
    </row>
    <row r="40" spans="2:6" x14ac:dyDescent="0.25">
      <c r="B40" s="483"/>
      <c r="C40" s="420">
        <v>0.1</v>
      </c>
      <c r="D40" s="28">
        <v>416767.56746651756</v>
      </c>
      <c r="E40" s="30">
        <v>0.46152554576930349</v>
      </c>
      <c r="F40" s="423" t="s">
        <v>176</v>
      </c>
    </row>
    <row r="41" spans="2:6" x14ac:dyDescent="0.25">
      <c r="B41" s="483"/>
      <c r="C41" s="420">
        <v>0.05</v>
      </c>
      <c r="D41" s="28">
        <v>469734.63318917237</v>
      </c>
      <c r="E41" s="30">
        <v>0.48350236660973289</v>
      </c>
      <c r="F41" s="423" t="s">
        <v>176</v>
      </c>
    </row>
    <row r="42" spans="2:6" x14ac:dyDescent="0.25">
      <c r="B42" s="483"/>
      <c r="C42" s="420">
        <v>0</v>
      </c>
      <c r="D42" s="424">
        <v>522701.69891182694</v>
      </c>
      <c r="E42" s="425">
        <v>0.50538405072210124</v>
      </c>
      <c r="F42" s="423" t="s">
        <v>176</v>
      </c>
    </row>
    <row r="43" spans="2:6" ht="15.75" thickBot="1" x14ac:dyDescent="0.3">
      <c r="B43" s="484"/>
      <c r="C43" s="426">
        <v>-0.05</v>
      </c>
      <c r="D43" s="29">
        <v>575668.76463448128</v>
      </c>
      <c r="E43" s="427">
        <v>0.52717963507178278</v>
      </c>
      <c r="F43" s="428" t="s">
        <v>176</v>
      </c>
    </row>
  </sheetData>
  <mergeCells count="4">
    <mergeCell ref="B31:B43"/>
    <mergeCell ref="B5:B17"/>
    <mergeCell ref="B4:F4"/>
    <mergeCell ref="B30:F30"/>
  </mergeCells>
  <phoneticPr fontId="6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59"/>
  <sheetViews>
    <sheetView zoomScaleNormal="100" workbookViewId="0">
      <selection activeCell="C55" sqref="C55"/>
    </sheetView>
  </sheetViews>
  <sheetFormatPr baseColWidth="10" defaultColWidth="11.42578125" defaultRowHeight="15" x14ac:dyDescent="0.25"/>
  <cols>
    <col min="1" max="1" width="3.140625" style="306" customWidth="1"/>
    <col min="2" max="2" width="43.7109375" style="306" bestFit="1" customWidth="1"/>
    <col min="3" max="3" width="15.85546875" style="306" customWidth="1"/>
    <col min="4" max="4" width="14.42578125" style="306" customWidth="1"/>
    <col min="5" max="5" width="15.7109375" style="306" customWidth="1"/>
    <col min="6" max="7" width="14" style="306" customWidth="1"/>
    <col min="8" max="8" width="13.5703125" style="306" customWidth="1"/>
    <col min="9" max="10" width="14.42578125" style="306" customWidth="1"/>
    <col min="11" max="11" width="15.28515625" style="306" customWidth="1"/>
    <col min="12" max="12" width="16.28515625" style="306" customWidth="1"/>
    <col min="13" max="13" width="15.140625" style="306" customWidth="1"/>
    <col min="14" max="14" width="11.85546875" style="306" bestFit="1" customWidth="1"/>
    <col min="15" max="16384" width="11.42578125" style="306"/>
  </cols>
  <sheetData>
    <row r="1" spans="2:14" ht="15.75" thickBot="1" x14ac:dyDescent="0.3"/>
    <row r="2" spans="2:14" ht="15.75" thickBot="1" x14ac:dyDescent="0.3">
      <c r="B2" s="437" t="s">
        <v>73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38"/>
    </row>
    <row r="3" spans="2:14" ht="15.75" thickBot="1" x14ac:dyDescent="0.3">
      <c r="B3" s="270"/>
      <c r="C3" s="166"/>
      <c r="D3" s="144" t="s">
        <v>77</v>
      </c>
      <c r="E3" s="144" t="s">
        <v>78</v>
      </c>
      <c r="F3" s="144" t="s">
        <v>79</v>
      </c>
      <c r="G3" s="144" t="s">
        <v>80</v>
      </c>
      <c r="H3" s="144" t="s">
        <v>81</v>
      </c>
      <c r="I3" s="144" t="s">
        <v>82</v>
      </c>
      <c r="J3" s="144" t="s">
        <v>83</v>
      </c>
      <c r="K3" s="144" t="s">
        <v>84</v>
      </c>
      <c r="L3" s="144" t="s">
        <v>85</v>
      </c>
      <c r="M3" s="145" t="s">
        <v>86</v>
      </c>
    </row>
    <row r="4" spans="2:14" x14ac:dyDescent="0.25">
      <c r="B4" s="180" t="s">
        <v>28</v>
      </c>
      <c r="C4" s="143"/>
      <c r="D4" s="318">
        <f>Ingresos!C12</f>
        <v>767166.50676561845</v>
      </c>
      <c r="E4" s="318">
        <f>Ingresos!D12</f>
        <v>843883.15744218032</v>
      </c>
      <c r="F4" s="318">
        <f>Ingresos!E12</f>
        <v>928271.47318639839</v>
      </c>
      <c r="G4" s="318">
        <f t="shared" ref="G4:M4" si="0">(F4*0.1)+F4</f>
        <v>1021098.6205050382</v>
      </c>
      <c r="H4" s="318">
        <f t="shared" si="0"/>
        <v>1123208.4825555419</v>
      </c>
      <c r="I4" s="318">
        <f t="shared" si="0"/>
        <v>1235529.3308110961</v>
      </c>
      <c r="J4" s="318">
        <f t="shared" si="0"/>
        <v>1359082.2638922057</v>
      </c>
      <c r="K4" s="318">
        <f t="shared" si="0"/>
        <v>1494990.4902814263</v>
      </c>
      <c r="L4" s="318">
        <f t="shared" si="0"/>
        <v>1644489.5393095689</v>
      </c>
      <c r="M4" s="326">
        <f t="shared" si="0"/>
        <v>1808938.4932405259</v>
      </c>
    </row>
    <row r="5" spans="2:14" ht="15.75" thickBot="1" x14ac:dyDescent="0.3">
      <c r="B5" s="178" t="s">
        <v>74</v>
      </c>
      <c r="C5" s="139"/>
      <c r="D5" s="332">
        <f>Costos!F69</f>
        <v>374267.56</v>
      </c>
      <c r="E5" s="332">
        <f>(D5*0.1)+D5</f>
        <v>411694.31599999999</v>
      </c>
      <c r="F5" s="332">
        <f t="shared" ref="F5:M5" si="1">(E5*0.1)+E5</f>
        <v>452863.7476</v>
      </c>
      <c r="G5" s="332">
        <f t="shared" si="1"/>
        <v>498150.12236000004</v>
      </c>
      <c r="H5" s="332">
        <f t="shared" si="1"/>
        <v>547965.13459600008</v>
      </c>
      <c r="I5" s="332">
        <f t="shared" si="1"/>
        <v>602761.64805560012</v>
      </c>
      <c r="J5" s="332">
        <f t="shared" si="1"/>
        <v>663037.81286116014</v>
      </c>
      <c r="K5" s="332">
        <f t="shared" si="1"/>
        <v>729341.59414727613</v>
      </c>
      <c r="L5" s="332">
        <f t="shared" si="1"/>
        <v>802275.75356200372</v>
      </c>
      <c r="M5" s="331">
        <f t="shared" si="1"/>
        <v>882503.32891820406</v>
      </c>
    </row>
    <row r="6" spans="2:14" ht="15.75" thickBot="1" x14ac:dyDescent="0.3">
      <c r="B6" s="238" t="s">
        <v>90</v>
      </c>
      <c r="C6" s="271"/>
      <c r="D6" s="225">
        <f>D4-D5</f>
        <v>392898.94676561846</v>
      </c>
      <c r="E6" s="324">
        <f t="shared" ref="E6:M6" si="2">E4-E5</f>
        <v>432188.84144218033</v>
      </c>
      <c r="F6" s="324">
        <f t="shared" si="2"/>
        <v>475407.72558639839</v>
      </c>
      <c r="G6" s="324">
        <f t="shared" si="2"/>
        <v>522948.49814503815</v>
      </c>
      <c r="H6" s="324">
        <f t="shared" si="2"/>
        <v>575243.34795954183</v>
      </c>
      <c r="I6" s="324">
        <f t="shared" si="2"/>
        <v>632767.682755496</v>
      </c>
      <c r="J6" s="324">
        <f t="shared" si="2"/>
        <v>696044.45103104552</v>
      </c>
      <c r="K6" s="324">
        <f t="shared" si="2"/>
        <v>765648.89613415021</v>
      </c>
      <c r="L6" s="324">
        <f t="shared" si="2"/>
        <v>842213.78574756521</v>
      </c>
      <c r="M6" s="325">
        <f t="shared" si="2"/>
        <v>926435.16432232189</v>
      </c>
    </row>
    <row r="7" spans="2:14" x14ac:dyDescent="0.25">
      <c r="B7" s="237" t="s">
        <v>326</v>
      </c>
      <c r="C7" s="138"/>
      <c r="D7" s="318"/>
      <c r="E7" s="318"/>
      <c r="F7" s="318"/>
      <c r="G7" s="318"/>
      <c r="H7" s="318"/>
      <c r="I7" s="318"/>
      <c r="J7" s="318"/>
      <c r="K7" s="318"/>
      <c r="L7" s="318"/>
      <c r="M7" s="326"/>
    </row>
    <row r="8" spans="2:14" x14ac:dyDescent="0.25">
      <c r="B8" s="178" t="s">
        <v>31</v>
      </c>
      <c r="C8" s="139"/>
      <c r="D8" s="319">
        <f>Costos!L18</f>
        <v>55865.425000000003</v>
      </c>
      <c r="E8" s="319">
        <f>Costos!M18</f>
        <v>58785.425000000003</v>
      </c>
      <c r="F8" s="319">
        <f t="shared" ref="F8:M9" si="3">(E8*0.05)+E8</f>
        <v>61724.696250000001</v>
      </c>
      <c r="G8" s="319">
        <f t="shared" si="3"/>
        <v>64810.9310625</v>
      </c>
      <c r="H8" s="319">
        <f t="shared" si="3"/>
        <v>68051.477615625001</v>
      </c>
      <c r="I8" s="319">
        <f t="shared" si="3"/>
        <v>71454.051496406246</v>
      </c>
      <c r="J8" s="319">
        <f t="shared" si="3"/>
        <v>75026.754071226562</v>
      </c>
      <c r="K8" s="319">
        <f t="shared" si="3"/>
        <v>78778.091774787885</v>
      </c>
      <c r="L8" s="319">
        <f t="shared" si="3"/>
        <v>82716.996363527272</v>
      </c>
      <c r="M8" s="323">
        <f t="shared" si="3"/>
        <v>86852.84618170363</v>
      </c>
    </row>
    <row r="9" spans="2:14" ht="15.75" thickBot="1" x14ac:dyDescent="0.3">
      <c r="B9" s="178" t="s">
        <v>54</v>
      </c>
      <c r="C9" s="139"/>
      <c r="D9" s="332">
        <f>Costos!D27</f>
        <v>13572</v>
      </c>
      <c r="E9" s="332">
        <f>(D9*0.05)+D9</f>
        <v>14250.6</v>
      </c>
      <c r="F9" s="332">
        <f t="shared" si="3"/>
        <v>14963.130000000001</v>
      </c>
      <c r="G9" s="332">
        <f t="shared" si="3"/>
        <v>15711.286500000002</v>
      </c>
      <c r="H9" s="332">
        <f t="shared" si="3"/>
        <v>16496.850825000001</v>
      </c>
      <c r="I9" s="332">
        <f t="shared" si="3"/>
        <v>17321.693366250001</v>
      </c>
      <c r="J9" s="332">
        <f t="shared" si="3"/>
        <v>18187.7780345625</v>
      </c>
      <c r="K9" s="332">
        <f t="shared" si="3"/>
        <v>19097.166936290625</v>
      </c>
      <c r="L9" s="332">
        <f t="shared" si="3"/>
        <v>20052.025283105155</v>
      </c>
      <c r="M9" s="331">
        <f t="shared" si="3"/>
        <v>21054.626547260414</v>
      </c>
    </row>
    <row r="10" spans="2:14" ht="15.75" thickBot="1" x14ac:dyDescent="0.3">
      <c r="B10" s="237" t="s">
        <v>327</v>
      </c>
      <c r="C10" s="271"/>
      <c r="D10" s="225">
        <f>SUM(D8:D9)</f>
        <v>69437.425000000003</v>
      </c>
      <c r="E10" s="324">
        <f>SUM(E8:E9)</f>
        <v>73036.025000000009</v>
      </c>
      <c r="F10" s="324">
        <f t="shared" ref="F10:M10" si="4">SUM(F8:F9)</f>
        <v>76687.826249999998</v>
      </c>
      <c r="G10" s="324">
        <f t="shared" si="4"/>
        <v>80522.217562500009</v>
      </c>
      <c r="H10" s="324">
        <f t="shared" si="4"/>
        <v>84548.328440625002</v>
      </c>
      <c r="I10" s="324">
        <f t="shared" si="4"/>
        <v>88775.744862656255</v>
      </c>
      <c r="J10" s="324">
        <f t="shared" si="4"/>
        <v>93214.532105789054</v>
      </c>
      <c r="K10" s="324">
        <f t="shared" si="4"/>
        <v>97875.25871107851</v>
      </c>
      <c r="L10" s="324">
        <f t="shared" si="4"/>
        <v>102769.02164663243</v>
      </c>
      <c r="M10" s="325">
        <f t="shared" si="4"/>
        <v>107907.47272896404</v>
      </c>
    </row>
    <row r="11" spans="2:14" ht="15.75" thickBot="1" x14ac:dyDescent="0.3">
      <c r="B11" s="178" t="s">
        <v>87</v>
      </c>
      <c r="C11" s="139"/>
      <c r="D11" s="177">
        <f>'Depreciación y Valor de Desecho'!E10</f>
        <v>13096.066666666666</v>
      </c>
      <c r="E11" s="177">
        <f>D11</f>
        <v>13096.066666666666</v>
      </c>
      <c r="F11" s="177">
        <f t="shared" ref="F11:M11" si="5">E11</f>
        <v>13096.066666666666</v>
      </c>
      <c r="G11" s="177">
        <f t="shared" si="5"/>
        <v>13096.066666666666</v>
      </c>
      <c r="H11" s="177">
        <f t="shared" si="5"/>
        <v>13096.066666666666</v>
      </c>
      <c r="I11" s="177">
        <f t="shared" si="5"/>
        <v>13096.066666666666</v>
      </c>
      <c r="J11" s="177">
        <f t="shared" si="5"/>
        <v>13096.066666666666</v>
      </c>
      <c r="K11" s="177">
        <f t="shared" si="5"/>
        <v>13096.066666666666</v>
      </c>
      <c r="L11" s="177">
        <f t="shared" si="5"/>
        <v>13096.066666666666</v>
      </c>
      <c r="M11" s="179">
        <f t="shared" si="5"/>
        <v>13096.066666666666</v>
      </c>
    </row>
    <row r="12" spans="2:14" ht="15.75" thickBot="1" x14ac:dyDescent="0.3">
      <c r="B12" s="238" t="s">
        <v>91</v>
      </c>
      <c r="C12" s="271"/>
      <c r="D12" s="225">
        <f>D6-D10-D11</f>
        <v>310365.45509895182</v>
      </c>
      <c r="E12" s="324">
        <f t="shared" ref="E12:M12" si="6">E6-E10-E11</f>
        <v>346056.74977551366</v>
      </c>
      <c r="F12" s="324">
        <f t="shared" si="6"/>
        <v>385623.83266973175</v>
      </c>
      <c r="G12" s="324">
        <f t="shared" si="6"/>
        <v>429330.21391587146</v>
      </c>
      <c r="H12" s="324">
        <f t="shared" si="6"/>
        <v>477598.95285225019</v>
      </c>
      <c r="I12" s="324">
        <f t="shared" si="6"/>
        <v>530895.87122617313</v>
      </c>
      <c r="J12" s="324">
        <f t="shared" si="6"/>
        <v>589733.85225858982</v>
      </c>
      <c r="K12" s="324">
        <f t="shared" si="6"/>
        <v>654677.57075640501</v>
      </c>
      <c r="L12" s="324">
        <f t="shared" si="6"/>
        <v>726348.6974342661</v>
      </c>
      <c r="M12" s="325">
        <f t="shared" si="6"/>
        <v>805431.62492669118</v>
      </c>
    </row>
    <row r="13" spans="2:14" ht="15.75" thickBot="1" x14ac:dyDescent="0.3">
      <c r="B13" s="178" t="s">
        <v>309</v>
      </c>
      <c r="C13" s="139"/>
      <c r="D13" s="177">
        <f>Financiamiento!D100</f>
        <v>529.57289815515537</v>
      </c>
      <c r="E13" s="177">
        <f>Financiamiento!D101</f>
        <v>441.55315805388182</v>
      </c>
      <c r="F13" s="177">
        <f>Financiamiento!D102</f>
        <v>353.43659623849692</v>
      </c>
      <c r="G13" s="177">
        <f>Financiamiento!D103</f>
        <v>265.22310620511507</v>
      </c>
      <c r="H13" s="177">
        <f>Financiamiento!D104</f>
        <v>176.91258133269656</v>
      </c>
      <c r="I13" s="177">
        <f>Financiamiento!D105</f>
        <v>88.504914882918385</v>
      </c>
      <c r="J13" s="177"/>
      <c r="K13" s="177"/>
      <c r="L13" s="177"/>
      <c r="M13" s="179"/>
    </row>
    <row r="14" spans="2:14" ht="15.75" thickBot="1" x14ac:dyDescent="0.3">
      <c r="B14" s="238" t="s">
        <v>310</v>
      </c>
      <c r="C14" s="271"/>
      <c r="D14" s="225">
        <f>D12-D13</f>
        <v>309835.88220079668</v>
      </c>
      <c r="E14" s="324">
        <f>E12-E13</f>
        <v>345615.19661745976</v>
      </c>
      <c r="F14" s="324">
        <f>F12-F13</f>
        <v>385270.39607349323</v>
      </c>
      <c r="G14" s="324">
        <f t="shared" ref="G14:M14" si="7">G12-G13</f>
        <v>429064.99080966634</v>
      </c>
      <c r="H14" s="324">
        <f t="shared" si="7"/>
        <v>477422.04027091753</v>
      </c>
      <c r="I14" s="324">
        <f t="shared" si="7"/>
        <v>530807.36631129018</v>
      </c>
      <c r="J14" s="324">
        <f t="shared" si="7"/>
        <v>589733.85225858982</v>
      </c>
      <c r="K14" s="324">
        <f t="shared" si="7"/>
        <v>654677.57075640501</v>
      </c>
      <c r="L14" s="324">
        <f t="shared" si="7"/>
        <v>726348.6974342661</v>
      </c>
      <c r="M14" s="325">
        <f t="shared" si="7"/>
        <v>805431.62492669118</v>
      </c>
    </row>
    <row r="15" spans="2:14" x14ac:dyDescent="0.25">
      <c r="B15" s="178" t="s">
        <v>88</v>
      </c>
      <c r="C15" s="139"/>
      <c r="D15" s="318">
        <f>D14*0.15</f>
        <v>46475.382330119501</v>
      </c>
      <c r="E15" s="318">
        <f t="shared" ref="E15:M15" si="8">E14*0.15</f>
        <v>51842.27949261896</v>
      </c>
      <c r="F15" s="318">
        <f t="shared" si="8"/>
        <v>57790.559411023984</v>
      </c>
      <c r="G15" s="318">
        <f t="shared" si="8"/>
        <v>64359.748621449951</v>
      </c>
      <c r="H15" s="318">
        <f t="shared" si="8"/>
        <v>71613.306040637632</v>
      </c>
      <c r="I15" s="318">
        <f t="shared" si="8"/>
        <v>79621.104946693522</v>
      </c>
      <c r="J15" s="318">
        <f t="shared" si="8"/>
        <v>88460.077838788464</v>
      </c>
      <c r="K15" s="318">
        <f t="shared" si="8"/>
        <v>98201.635613460749</v>
      </c>
      <c r="L15" s="318">
        <f t="shared" si="8"/>
        <v>108952.30461513992</v>
      </c>
      <c r="M15" s="326">
        <f t="shared" si="8"/>
        <v>120814.74373900366</v>
      </c>
      <c r="N15" s="1"/>
    </row>
    <row r="16" spans="2:14" ht="15.75" thickBot="1" x14ac:dyDescent="0.3">
      <c r="B16" s="178" t="s">
        <v>196</v>
      </c>
      <c r="C16" s="139"/>
      <c r="D16" s="332">
        <f>D14*0.23</f>
        <v>71262.252906183247</v>
      </c>
      <c r="E16" s="332">
        <f>E14*0.22</f>
        <v>76035.343255841144</v>
      </c>
      <c r="F16" s="332">
        <f t="shared" ref="F16:M16" si="9">F14*0.22</f>
        <v>84759.487136168507</v>
      </c>
      <c r="G16" s="332">
        <f t="shared" si="9"/>
        <v>94394.297978126589</v>
      </c>
      <c r="H16" s="332">
        <f t="shared" si="9"/>
        <v>105032.84885960186</v>
      </c>
      <c r="I16" s="332">
        <f t="shared" si="9"/>
        <v>116777.62058848384</v>
      </c>
      <c r="J16" s="332">
        <f t="shared" si="9"/>
        <v>129741.44749688976</v>
      </c>
      <c r="K16" s="332">
        <f t="shared" si="9"/>
        <v>144029.06556640912</v>
      </c>
      <c r="L16" s="332">
        <f t="shared" si="9"/>
        <v>159796.71343553855</v>
      </c>
      <c r="M16" s="331">
        <f t="shared" si="9"/>
        <v>177194.95748387207</v>
      </c>
    </row>
    <row r="17" spans="2:13" ht="15.75" thickBot="1" x14ac:dyDescent="0.3">
      <c r="B17" s="273" t="s">
        <v>89</v>
      </c>
      <c r="C17" s="272"/>
      <c r="D17" s="225">
        <f>D14-D15-D16</f>
        <v>192098.24696449394</v>
      </c>
      <c r="E17" s="324">
        <f t="shared" ref="E17:M17" si="10">E14-E15-E16</f>
        <v>217737.57386899964</v>
      </c>
      <c r="F17" s="324">
        <f t="shared" si="10"/>
        <v>242720.34952630074</v>
      </c>
      <c r="G17" s="324">
        <f t="shared" si="10"/>
        <v>270310.94421008986</v>
      </c>
      <c r="H17" s="324">
        <f t="shared" si="10"/>
        <v>300775.88537067804</v>
      </c>
      <c r="I17" s="324">
        <f t="shared" si="10"/>
        <v>334408.64077611279</v>
      </c>
      <c r="J17" s="324">
        <f t="shared" si="10"/>
        <v>371532.32692291163</v>
      </c>
      <c r="K17" s="324">
        <f t="shared" si="10"/>
        <v>412446.86957653507</v>
      </c>
      <c r="L17" s="324">
        <f t="shared" si="10"/>
        <v>457599.67938358756</v>
      </c>
      <c r="M17" s="325">
        <f t="shared" si="10"/>
        <v>507421.92370381544</v>
      </c>
    </row>
    <row r="18" spans="2:13" s="320" customFormat="1" x14ac:dyDescent="0.25">
      <c r="B18" s="403"/>
      <c r="C18" s="309"/>
      <c r="D18" s="312"/>
      <c r="E18" s="312"/>
      <c r="F18" s="312"/>
      <c r="G18" s="312"/>
      <c r="H18" s="312"/>
      <c r="I18" s="312"/>
      <c r="J18" s="312"/>
      <c r="K18" s="312"/>
      <c r="L18" s="312"/>
      <c r="M18" s="312"/>
    </row>
    <row r="19" spans="2:13" s="320" customFormat="1" x14ac:dyDescent="0.25">
      <c r="B19" s="403"/>
      <c r="C19" s="309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2:13" s="320" customFormat="1" x14ac:dyDescent="0.25">
      <c r="B20" s="403"/>
      <c r="C20" s="309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2:13" s="320" customFormat="1" x14ac:dyDescent="0.25">
      <c r="B21" s="403"/>
      <c r="C21" s="309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2:13" s="320" customFormat="1" x14ac:dyDescent="0.25">
      <c r="B22" s="403"/>
      <c r="C22" s="309"/>
      <c r="D22" s="312"/>
      <c r="E22" s="312"/>
      <c r="F22" s="312"/>
      <c r="G22" s="312"/>
      <c r="H22" s="312"/>
      <c r="I22" s="312"/>
      <c r="J22" s="312"/>
      <c r="K22" s="312"/>
      <c r="L22" s="312"/>
      <c r="M22" s="312"/>
    </row>
    <row r="23" spans="2:13" s="320" customFormat="1" ht="15.75" thickBot="1" x14ac:dyDescent="0.3">
      <c r="B23" s="403"/>
      <c r="C23" s="309"/>
      <c r="D23" s="489" t="s">
        <v>173</v>
      </c>
      <c r="E23" s="489"/>
      <c r="F23" s="489"/>
      <c r="G23" s="489"/>
      <c r="H23" s="489"/>
      <c r="I23" s="312"/>
      <c r="J23" s="312"/>
      <c r="K23" s="312"/>
      <c r="L23" s="312"/>
      <c r="M23" s="312"/>
    </row>
    <row r="24" spans="2:13" s="320" customFormat="1" x14ac:dyDescent="0.25">
      <c r="B24" s="403"/>
      <c r="C24" s="408">
        <v>0.5</v>
      </c>
      <c r="D24" s="404">
        <f t="shared" ref="D24:M24" si="11">D4</f>
        <v>767166.50676561845</v>
      </c>
      <c r="E24" s="405">
        <f t="shared" si="11"/>
        <v>843883.15744218032</v>
      </c>
      <c r="F24" s="405">
        <f t="shared" si="11"/>
        <v>928271.47318639839</v>
      </c>
      <c r="G24" s="405">
        <f t="shared" si="11"/>
        <v>1021098.6205050382</v>
      </c>
      <c r="H24" s="405">
        <f t="shared" si="11"/>
        <v>1123208.4825555419</v>
      </c>
      <c r="I24" s="405">
        <f t="shared" si="11"/>
        <v>1235529.3308110961</v>
      </c>
      <c r="J24" s="405">
        <f t="shared" si="11"/>
        <v>1359082.2638922057</v>
      </c>
      <c r="K24" s="405">
        <f t="shared" si="11"/>
        <v>1494990.4902814263</v>
      </c>
      <c r="L24" s="405">
        <f t="shared" si="11"/>
        <v>1644489.5393095689</v>
      </c>
      <c r="M24" s="406">
        <f t="shared" si="11"/>
        <v>1808938.4932405259</v>
      </c>
    </row>
    <row r="25" spans="2:13" s="320" customFormat="1" ht="15.75" thickBot="1" x14ac:dyDescent="0.3">
      <c r="B25" s="403"/>
      <c r="C25" s="309"/>
      <c r="D25" s="407">
        <f>$C$24*D24</f>
        <v>383583.25338280923</v>
      </c>
      <c r="E25" s="407">
        <f t="shared" ref="E25:M25" si="12">$C$24*E24</f>
        <v>421941.57872109016</v>
      </c>
      <c r="F25" s="407">
        <f t="shared" si="12"/>
        <v>464135.7365931992</v>
      </c>
      <c r="G25" s="407">
        <f t="shared" si="12"/>
        <v>510549.31025251909</v>
      </c>
      <c r="H25" s="407">
        <f t="shared" si="12"/>
        <v>561604.24127777095</v>
      </c>
      <c r="I25" s="407">
        <f t="shared" si="12"/>
        <v>617764.66540554806</v>
      </c>
      <c r="J25" s="407">
        <f t="shared" si="12"/>
        <v>679541.13194610283</v>
      </c>
      <c r="K25" s="407">
        <f t="shared" si="12"/>
        <v>747495.24514071317</v>
      </c>
      <c r="L25" s="407">
        <f t="shared" si="12"/>
        <v>822244.76965478447</v>
      </c>
      <c r="M25" s="407">
        <f t="shared" si="12"/>
        <v>904469.24662026297</v>
      </c>
    </row>
    <row r="26" spans="2:13" s="320" customFormat="1" x14ac:dyDescent="0.25">
      <c r="B26" s="403"/>
      <c r="C26" s="309"/>
      <c r="D26" s="312"/>
      <c r="E26" s="312"/>
      <c r="F26" s="312"/>
      <c r="G26" s="312"/>
      <c r="H26" s="312"/>
      <c r="I26" s="312"/>
      <c r="J26" s="312"/>
      <c r="K26" s="312"/>
      <c r="L26" s="312"/>
      <c r="M26" s="312"/>
    </row>
    <row r="27" spans="2:13" s="320" customFormat="1" x14ac:dyDescent="0.25">
      <c r="B27" s="403"/>
      <c r="C27" s="309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2:13" s="320" customFormat="1" x14ac:dyDescent="0.25"/>
    <row r="29" spans="2:13" ht="15.75" thickBot="1" x14ac:dyDescent="0.3"/>
    <row r="30" spans="2:13" s="10" customFormat="1" ht="15.75" thickBot="1" x14ac:dyDescent="0.3">
      <c r="B30" s="461" t="s">
        <v>311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3"/>
    </row>
    <row r="31" spans="2:13" s="10" customFormat="1" ht="15.75" thickBot="1" x14ac:dyDescent="0.3">
      <c r="B31" s="230"/>
      <c r="C31" s="231"/>
      <c r="D31" s="232" t="s">
        <v>77</v>
      </c>
      <c r="E31" s="232" t="s">
        <v>78</v>
      </c>
      <c r="F31" s="232" t="s">
        <v>79</v>
      </c>
      <c r="G31" s="232" t="s">
        <v>80</v>
      </c>
      <c r="H31" s="232" t="s">
        <v>81</v>
      </c>
      <c r="I31" s="232" t="s">
        <v>82</v>
      </c>
      <c r="J31" s="232" t="s">
        <v>83</v>
      </c>
      <c r="K31" s="232" t="s">
        <v>84</v>
      </c>
      <c r="L31" s="232" t="s">
        <v>85</v>
      </c>
      <c r="M31" s="233" t="s">
        <v>86</v>
      </c>
    </row>
    <row r="32" spans="2:13" s="10" customFormat="1" x14ac:dyDescent="0.25">
      <c r="B32" s="234" t="s">
        <v>94</v>
      </c>
      <c r="C32" s="235"/>
      <c r="D32" s="235">
        <f t="shared" ref="D32:M32" si="13">D25</f>
        <v>383583.25338280923</v>
      </c>
      <c r="E32" s="235">
        <f t="shared" si="13"/>
        <v>421941.57872109016</v>
      </c>
      <c r="F32" s="235">
        <f t="shared" si="13"/>
        <v>464135.7365931992</v>
      </c>
      <c r="G32" s="235">
        <f t="shared" si="13"/>
        <v>510549.31025251909</v>
      </c>
      <c r="H32" s="235">
        <f t="shared" si="13"/>
        <v>561604.24127777095</v>
      </c>
      <c r="I32" s="235">
        <f t="shared" si="13"/>
        <v>617764.66540554806</v>
      </c>
      <c r="J32" s="235">
        <f t="shared" si="13"/>
        <v>679541.13194610283</v>
      </c>
      <c r="K32" s="235">
        <f t="shared" si="13"/>
        <v>747495.24514071317</v>
      </c>
      <c r="L32" s="235">
        <f t="shared" si="13"/>
        <v>822244.76965478447</v>
      </c>
      <c r="M32" s="236">
        <f t="shared" si="13"/>
        <v>904469.24662026297</v>
      </c>
    </row>
    <row r="33" spans="2:15" s="10" customFormat="1" x14ac:dyDescent="0.25">
      <c r="B33" s="234" t="s">
        <v>95</v>
      </c>
      <c r="C33" s="235"/>
      <c r="D33" s="235">
        <f t="shared" ref="D33:M33" si="14">D5</f>
        <v>374267.56</v>
      </c>
      <c r="E33" s="235">
        <f t="shared" si="14"/>
        <v>411694.31599999999</v>
      </c>
      <c r="F33" s="235">
        <f t="shared" si="14"/>
        <v>452863.7476</v>
      </c>
      <c r="G33" s="235">
        <f t="shared" si="14"/>
        <v>498150.12236000004</v>
      </c>
      <c r="H33" s="235">
        <f t="shared" si="14"/>
        <v>547965.13459600008</v>
      </c>
      <c r="I33" s="235">
        <f t="shared" si="14"/>
        <v>602761.64805560012</v>
      </c>
      <c r="J33" s="235">
        <f t="shared" si="14"/>
        <v>663037.81286116014</v>
      </c>
      <c r="K33" s="235">
        <f t="shared" si="14"/>
        <v>729341.59414727613</v>
      </c>
      <c r="L33" s="235">
        <f t="shared" si="14"/>
        <v>802275.75356200372</v>
      </c>
      <c r="M33" s="236">
        <f t="shared" si="14"/>
        <v>882503.32891820406</v>
      </c>
    </row>
    <row r="34" spans="2:15" s="10" customFormat="1" x14ac:dyDescent="0.25">
      <c r="B34" s="268" t="s">
        <v>93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6"/>
    </row>
    <row r="35" spans="2:15" s="10" customFormat="1" x14ac:dyDescent="0.25">
      <c r="B35" s="234" t="s">
        <v>98</v>
      </c>
      <c r="C35" s="235"/>
      <c r="D35" s="239">
        <f t="shared" ref="D35:M35" si="15">D8</f>
        <v>55865.425000000003</v>
      </c>
      <c r="E35" s="239">
        <f t="shared" si="15"/>
        <v>58785.425000000003</v>
      </c>
      <c r="F35" s="239">
        <f t="shared" si="15"/>
        <v>61724.696250000001</v>
      </c>
      <c r="G35" s="239">
        <f t="shared" si="15"/>
        <v>64810.9310625</v>
      </c>
      <c r="H35" s="239">
        <f t="shared" si="15"/>
        <v>68051.477615625001</v>
      </c>
      <c r="I35" s="239">
        <f t="shared" si="15"/>
        <v>71454.051496406246</v>
      </c>
      <c r="J35" s="239">
        <f t="shared" si="15"/>
        <v>75026.754071226562</v>
      </c>
      <c r="K35" s="239">
        <f t="shared" si="15"/>
        <v>78778.091774787885</v>
      </c>
      <c r="L35" s="239">
        <f t="shared" si="15"/>
        <v>82716.996363527272</v>
      </c>
      <c r="M35" s="240">
        <f t="shared" si="15"/>
        <v>86852.84618170363</v>
      </c>
    </row>
    <row r="36" spans="2:15" s="10" customFormat="1" ht="15.75" thickBot="1" x14ac:dyDescent="0.3">
      <c r="B36" s="234" t="s">
        <v>99</v>
      </c>
      <c r="C36" s="235"/>
      <c r="D36" s="239">
        <f t="shared" ref="D36:M36" si="16">D9</f>
        <v>13572</v>
      </c>
      <c r="E36" s="239">
        <f t="shared" si="16"/>
        <v>14250.6</v>
      </c>
      <c r="F36" s="239">
        <f t="shared" si="16"/>
        <v>14963.130000000001</v>
      </c>
      <c r="G36" s="239">
        <f t="shared" si="16"/>
        <v>15711.286500000002</v>
      </c>
      <c r="H36" s="239">
        <f t="shared" si="16"/>
        <v>16496.850825000001</v>
      </c>
      <c r="I36" s="239">
        <f t="shared" si="16"/>
        <v>17321.693366250001</v>
      </c>
      <c r="J36" s="239">
        <f t="shared" si="16"/>
        <v>18187.7780345625</v>
      </c>
      <c r="K36" s="239">
        <f t="shared" si="16"/>
        <v>19097.166936290625</v>
      </c>
      <c r="L36" s="239">
        <f t="shared" si="16"/>
        <v>20052.025283105155</v>
      </c>
      <c r="M36" s="240">
        <f t="shared" si="16"/>
        <v>21054.626547260414</v>
      </c>
    </row>
    <row r="37" spans="2:15" s="10" customFormat="1" ht="15.75" thickBot="1" x14ac:dyDescent="0.3">
      <c r="B37" s="378" t="s">
        <v>328</v>
      </c>
      <c r="C37" s="379"/>
      <c r="D37" s="245">
        <f>SUM(D35:D36)</f>
        <v>69437.425000000003</v>
      </c>
      <c r="E37" s="245">
        <f>SUM(E35:E36)</f>
        <v>73036.025000000009</v>
      </c>
      <c r="F37" s="245">
        <f t="shared" ref="F37:M37" si="17">SUM(F35:F36)</f>
        <v>76687.826249999998</v>
      </c>
      <c r="G37" s="245">
        <f t="shared" si="17"/>
        <v>80522.217562500009</v>
      </c>
      <c r="H37" s="245">
        <f t="shared" si="17"/>
        <v>84548.328440625002</v>
      </c>
      <c r="I37" s="245">
        <f t="shared" si="17"/>
        <v>88775.744862656255</v>
      </c>
      <c r="J37" s="245">
        <f t="shared" si="17"/>
        <v>93214.532105789054</v>
      </c>
      <c r="K37" s="245">
        <f t="shared" si="17"/>
        <v>97875.25871107851</v>
      </c>
      <c r="L37" s="245">
        <f t="shared" si="17"/>
        <v>102769.02164663243</v>
      </c>
      <c r="M37" s="259">
        <f t="shared" si="17"/>
        <v>107907.47272896404</v>
      </c>
      <c r="N37" s="257"/>
    </row>
    <row r="38" spans="2:15" s="10" customFormat="1" x14ac:dyDescent="0.25">
      <c r="B38" s="139" t="s">
        <v>307</v>
      </c>
      <c r="C38" s="235"/>
      <c r="D38" s="248">
        <f t="shared" ref="D38:M38" si="18">D11</f>
        <v>13096.066666666666</v>
      </c>
      <c r="E38" s="248">
        <f t="shared" si="18"/>
        <v>13096.066666666666</v>
      </c>
      <c r="F38" s="248">
        <f t="shared" si="18"/>
        <v>13096.066666666666</v>
      </c>
      <c r="G38" s="248">
        <f t="shared" si="18"/>
        <v>13096.066666666666</v>
      </c>
      <c r="H38" s="248">
        <f t="shared" si="18"/>
        <v>13096.066666666666</v>
      </c>
      <c r="I38" s="248">
        <f t="shared" si="18"/>
        <v>13096.066666666666</v>
      </c>
      <c r="J38" s="248">
        <f t="shared" si="18"/>
        <v>13096.066666666666</v>
      </c>
      <c r="K38" s="248">
        <f t="shared" si="18"/>
        <v>13096.066666666666</v>
      </c>
      <c r="L38" s="248">
        <f t="shared" si="18"/>
        <v>13096.066666666666</v>
      </c>
      <c r="M38" s="248">
        <f t="shared" si="18"/>
        <v>13096.066666666666</v>
      </c>
    </row>
    <row r="39" spans="2:15" s="10" customFormat="1" x14ac:dyDescent="0.25">
      <c r="B39" s="246" t="s">
        <v>100</v>
      </c>
      <c r="C39" s="247"/>
      <c r="D39" s="248">
        <f>Financiamiento!$E$100</f>
        <v>80017.94554661226</v>
      </c>
      <c r="E39" s="248">
        <f>Financiamiento!$E$101</f>
        <v>80105.96528671353</v>
      </c>
      <c r="F39" s="248">
        <f>Financiamiento!$E$102</f>
        <v>80194.08184852892</v>
      </c>
      <c r="G39" s="248">
        <f>Financiamiento!$E$103</f>
        <v>80282.295338562297</v>
      </c>
      <c r="H39" s="248">
        <f>Financiamiento!$E$104</f>
        <v>80370.605863434714</v>
      </c>
      <c r="I39" s="248">
        <f>Financiamiento!$E$105</f>
        <v>80459.013529884498</v>
      </c>
      <c r="J39" s="248">
        <f>Financiamiento!$E$165</f>
        <v>0</v>
      </c>
      <c r="K39" s="248">
        <f>Financiamiento!$E$166</f>
        <v>0</v>
      </c>
      <c r="L39" s="248">
        <f>Financiamiento!$E$167</f>
        <v>0</v>
      </c>
      <c r="M39" s="260">
        <f>Financiamiento!$E$168</f>
        <v>0</v>
      </c>
    </row>
    <row r="40" spans="2:15" s="10" customFormat="1" ht="15.75" thickBot="1" x14ac:dyDescent="0.3">
      <c r="B40" s="253" t="s">
        <v>330</v>
      </c>
      <c r="C40" s="235"/>
      <c r="D40" s="242">
        <f>D13</f>
        <v>529.57289815515537</v>
      </c>
      <c r="E40" s="242">
        <f t="shared" ref="E40:I40" si="19">E13</f>
        <v>441.55315805388182</v>
      </c>
      <c r="F40" s="242">
        <f t="shared" si="19"/>
        <v>353.43659623849692</v>
      </c>
      <c r="G40" s="242">
        <f t="shared" si="19"/>
        <v>265.22310620511507</v>
      </c>
      <c r="H40" s="242">
        <f t="shared" si="19"/>
        <v>176.91258133269656</v>
      </c>
      <c r="I40" s="242">
        <f t="shared" si="19"/>
        <v>88.504914882918385</v>
      </c>
      <c r="J40" s="241"/>
      <c r="K40" s="241"/>
      <c r="L40" s="241"/>
      <c r="M40" s="261"/>
      <c r="N40" s="11"/>
    </row>
    <row r="41" spans="2:15" s="10" customFormat="1" ht="15.75" thickBot="1" x14ac:dyDescent="0.3">
      <c r="B41" s="269" t="s">
        <v>301</v>
      </c>
      <c r="C41" s="244"/>
      <c r="D41" s="245">
        <f>D32-D33-D37-D38-D39-D40</f>
        <v>-153765.31672862486</v>
      </c>
      <c r="E41" s="245">
        <f t="shared" ref="E41:M41" si="20">E32-E33-E37-E38-E39-E40</f>
        <v>-156432.34739034393</v>
      </c>
      <c r="F41" s="245">
        <f t="shared" si="20"/>
        <v>-159059.42236823487</v>
      </c>
      <c r="G41" s="245">
        <f t="shared" si="20"/>
        <v>-161766.61478141503</v>
      </c>
      <c r="H41" s="245">
        <f t="shared" si="20"/>
        <v>-164552.80687028819</v>
      </c>
      <c r="I41" s="245">
        <f t="shared" si="20"/>
        <v>-167416.31262414239</v>
      </c>
      <c r="J41" s="245">
        <f t="shared" si="20"/>
        <v>-89807.27968751303</v>
      </c>
      <c r="K41" s="245">
        <f t="shared" si="20"/>
        <v>-92817.674384308135</v>
      </c>
      <c r="L41" s="245">
        <f t="shared" si="20"/>
        <v>-95896.072220518356</v>
      </c>
      <c r="M41" s="245">
        <f t="shared" si="20"/>
        <v>-99037.621693571797</v>
      </c>
      <c r="O41" s="13"/>
    </row>
    <row r="42" spans="2:15" s="10" customFormat="1" ht="15.75" thickBot="1" x14ac:dyDescent="0.3">
      <c r="B42" s="253" t="s">
        <v>302</v>
      </c>
      <c r="C42" s="235"/>
      <c r="D42" s="254">
        <f>D41*0.15</f>
        <v>-23064.79750929373</v>
      </c>
      <c r="E42" s="254">
        <f t="shared" ref="E42:M42" si="21">E41*0.15</f>
        <v>-23464.852108551589</v>
      </c>
      <c r="F42" s="254">
        <f t="shared" si="21"/>
        <v>-23858.913355235229</v>
      </c>
      <c r="G42" s="254">
        <f t="shared" si="21"/>
        <v>-24264.992217212253</v>
      </c>
      <c r="H42" s="254">
        <f t="shared" si="21"/>
        <v>-24682.921030543228</v>
      </c>
      <c r="I42" s="254">
        <f t="shared" si="21"/>
        <v>-25112.446893621356</v>
      </c>
      <c r="J42" s="254">
        <f t="shared" si="21"/>
        <v>-13471.091953126954</v>
      </c>
      <c r="K42" s="254">
        <f t="shared" si="21"/>
        <v>-13922.65115764622</v>
      </c>
      <c r="L42" s="254">
        <f t="shared" si="21"/>
        <v>-14384.410833077753</v>
      </c>
      <c r="M42" s="262">
        <f t="shared" si="21"/>
        <v>-14855.643254035769</v>
      </c>
      <c r="N42" s="31"/>
    </row>
    <row r="43" spans="2:15" s="10" customFormat="1" ht="15.75" thickBot="1" x14ac:dyDescent="0.3">
      <c r="B43" s="250" t="s">
        <v>304</v>
      </c>
      <c r="C43" s="244"/>
      <c r="D43" s="245">
        <f>D41-D42</f>
        <v>-130700.51921933114</v>
      </c>
      <c r="E43" s="251">
        <f t="shared" ref="E43:M43" si="22">E41-E42</f>
        <v>-132967.49528179233</v>
      </c>
      <c r="F43" s="251">
        <f t="shared" si="22"/>
        <v>-135200.50901299965</v>
      </c>
      <c r="G43" s="251">
        <f t="shared" si="22"/>
        <v>-137501.62256420279</v>
      </c>
      <c r="H43" s="251">
        <f t="shared" si="22"/>
        <v>-139869.88583974497</v>
      </c>
      <c r="I43" s="251">
        <f t="shared" si="22"/>
        <v>-142303.86573052104</v>
      </c>
      <c r="J43" s="251">
        <f t="shared" si="22"/>
        <v>-76336.187734386069</v>
      </c>
      <c r="K43" s="251">
        <f t="shared" si="22"/>
        <v>-78895.023226661913</v>
      </c>
      <c r="L43" s="251">
        <f t="shared" si="22"/>
        <v>-81511.661387440603</v>
      </c>
      <c r="M43" s="252">
        <f t="shared" si="22"/>
        <v>-84181.978439536033</v>
      </c>
      <c r="N43" s="31"/>
    </row>
    <row r="44" spans="2:15" s="10" customFormat="1" ht="15.75" thickBot="1" x14ac:dyDescent="0.3">
      <c r="B44" s="253" t="s">
        <v>303</v>
      </c>
      <c r="C44" s="235"/>
      <c r="D44" s="254">
        <f>D43*0.23</f>
        <v>-30061.119420446164</v>
      </c>
      <c r="E44" s="254">
        <f>E43*0.22</f>
        <v>-29252.848961994314</v>
      </c>
      <c r="F44" s="254">
        <f t="shared" ref="F44:M44" si="23">F43*0.22</f>
        <v>-29744.111982859922</v>
      </c>
      <c r="G44" s="254">
        <f t="shared" si="23"/>
        <v>-30250.356964124614</v>
      </c>
      <c r="H44" s="254">
        <f t="shared" si="23"/>
        <v>-30771.374884743891</v>
      </c>
      <c r="I44" s="254">
        <f t="shared" si="23"/>
        <v>-31306.850460714628</v>
      </c>
      <c r="J44" s="254">
        <f t="shared" si="23"/>
        <v>-16793.961301564934</v>
      </c>
      <c r="K44" s="254">
        <f t="shared" si="23"/>
        <v>-17356.90510986562</v>
      </c>
      <c r="L44" s="254">
        <f t="shared" si="23"/>
        <v>-17932.565505236933</v>
      </c>
      <c r="M44" s="262">
        <f t="shared" si="23"/>
        <v>-18520.035256697927</v>
      </c>
      <c r="N44" s="258"/>
    </row>
    <row r="45" spans="2:15" s="10" customFormat="1" ht="15.75" thickBot="1" x14ac:dyDescent="0.3">
      <c r="B45" s="250" t="s">
        <v>305</v>
      </c>
      <c r="C45" s="244"/>
      <c r="D45" s="245">
        <f>D43-D44</f>
        <v>-100639.39979888497</v>
      </c>
      <c r="E45" s="251">
        <f t="shared" ref="E45:M45" si="24">E43-E44</f>
        <v>-103714.64631979802</v>
      </c>
      <c r="F45" s="251">
        <f t="shared" si="24"/>
        <v>-105456.39703013973</v>
      </c>
      <c r="G45" s="251">
        <f t="shared" si="24"/>
        <v>-107251.26560007817</v>
      </c>
      <c r="H45" s="251">
        <f t="shared" si="24"/>
        <v>-109098.51095500108</v>
      </c>
      <c r="I45" s="251">
        <f t="shared" si="24"/>
        <v>-110997.0152698064</v>
      </c>
      <c r="J45" s="251">
        <f t="shared" si="24"/>
        <v>-59542.226432821131</v>
      </c>
      <c r="K45" s="251">
        <f t="shared" si="24"/>
        <v>-61538.118116796293</v>
      </c>
      <c r="L45" s="251">
        <f t="shared" si="24"/>
        <v>-63579.09588220367</v>
      </c>
      <c r="M45" s="252">
        <f t="shared" si="24"/>
        <v>-65661.943182838106</v>
      </c>
    </row>
    <row r="46" spans="2:15" s="10" customFormat="1" x14ac:dyDescent="0.25">
      <c r="B46" s="249" t="s">
        <v>96</v>
      </c>
      <c r="C46" s="235"/>
      <c r="D46" s="242">
        <f>D38</f>
        <v>13096.066666666666</v>
      </c>
      <c r="E46" s="242">
        <f t="shared" ref="E46:M47" si="25">E38</f>
        <v>13096.066666666666</v>
      </c>
      <c r="F46" s="242">
        <f t="shared" si="25"/>
        <v>13096.066666666666</v>
      </c>
      <c r="G46" s="242">
        <f t="shared" si="25"/>
        <v>13096.066666666666</v>
      </c>
      <c r="H46" s="242">
        <f t="shared" si="25"/>
        <v>13096.066666666666</v>
      </c>
      <c r="I46" s="242">
        <f t="shared" si="25"/>
        <v>13096.066666666666</v>
      </c>
      <c r="J46" s="242">
        <f t="shared" si="25"/>
        <v>13096.066666666666</v>
      </c>
      <c r="K46" s="242">
        <f t="shared" si="25"/>
        <v>13096.066666666666</v>
      </c>
      <c r="L46" s="242">
        <f t="shared" si="25"/>
        <v>13096.066666666666</v>
      </c>
      <c r="M46" s="242">
        <f t="shared" si="25"/>
        <v>13096.066666666666</v>
      </c>
    </row>
    <row r="47" spans="2:15" s="10" customFormat="1" x14ac:dyDescent="0.25">
      <c r="B47" s="249" t="s">
        <v>101</v>
      </c>
      <c r="C47" s="235"/>
      <c r="D47" s="239">
        <f>D39</f>
        <v>80017.94554661226</v>
      </c>
      <c r="E47" s="239">
        <f t="shared" si="25"/>
        <v>80105.96528671353</v>
      </c>
      <c r="F47" s="239">
        <f t="shared" si="25"/>
        <v>80194.08184852892</v>
      </c>
      <c r="G47" s="239">
        <f t="shared" si="25"/>
        <v>80282.295338562297</v>
      </c>
      <c r="H47" s="239">
        <f t="shared" si="25"/>
        <v>80370.605863434714</v>
      </c>
      <c r="I47" s="239">
        <f t="shared" si="25"/>
        <v>80459.013529884498</v>
      </c>
      <c r="J47" s="239">
        <f t="shared" si="25"/>
        <v>0</v>
      </c>
      <c r="K47" s="239">
        <f t="shared" si="25"/>
        <v>0</v>
      </c>
      <c r="L47" s="239">
        <f t="shared" si="25"/>
        <v>0</v>
      </c>
      <c r="M47" s="240">
        <f t="shared" si="25"/>
        <v>0</v>
      </c>
    </row>
    <row r="48" spans="2:15" s="10" customFormat="1" x14ac:dyDescent="0.25">
      <c r="B48" s="383" t="s">
        <v>332</v>
      </c>
      <c r="C48" s="384">
        <f>Financiamiento!$C$3</f>
        <v>799195</v>
      </c>
      <c r="D48" s="247"/>
      <c r="E48" s="247"/>
      <c r="F48" s="247"/>
      <c r="G48" s="247"/>
      <c r="H48" s="247"/>
      <c r="I48" s="247"/>
      <c r="J48" s="247"/>
      <c r="K48" s="247"/>
      <c r="L48" s="247"/>
      <c r="M48" s="255"/>
    </row>
    <row r="49" spans="2:257" s="10" customFormat="1" x14ac:dyDescent="0.25">
      <c r="B49" s="382" t="s">
        <v>334</v>
      </c>
      <c r="C49" s="384">
        <f>Financiamiento!$C$4</f>
        <v>3000</v>
      </c>
      <c r="D49" s="254"/>
      <c r="E49" s="254"/>
      <c r="F49" s="254"/>
      <c r="G49" s="254"/>
      <c r="H49" s="254"/>
      <c r="I49" s="254"/>
      <c r="J49" s="254"/>
      <c r="K49" s="254"/>
      <c r="L49" s="254"/>
      <c r="M49" s="262"/>
    </row>
    <row r="50" spans="2:257" s="10" customFormat="1" x14ac:dyDescent="0.25">
      <c r="B50" s="266" t="s">
        <v>329</v>
      </c>
      <c r="C50" s="256">
        <f>Financiamiento!$C$5</f>
        <v>267649.23869728355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61"/>
    </row>
    <row r="51" spans="2:257" s="10" customFormat="1" x14ac:dyDescent="0.25">
      <c r="B51" s="253" t="s">
        <v>194</v>
      </c>
      <c r="C51" s="256">
        <f>Financiamiento!$C$8</f>
        <v>481429.90741377755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6"/>
    </row>
    <row r="52" spans="2:257" s="10" customFormat="1" x14ac:dyDescent="0.25">
      <c r="B52" s="266" t="s">
        <v>308</v>
      </c>
      <c r="C52" s="242"/>
      <c r="D52" s="242"/>
      <c r="E52" s="241"/>
      <c r="F52" s="241"/>
      <c r="G52" s="241"/>
      <c r="H52" s="241"/>
      <c r="I52" s="241"/>
      <c r="J52" s="241"/>
      <c r="K52" s="241"/>
      <c r="L52" s="241"/>
      <c r="M52" s="261">
        <f>Financiamiento!$C$5</f>
        <v>267649.23869728355</v>
      </c>
    </row>
    <row r="53" spans="2:257" s="13" customFormat="1" ht="15.75" thickBot="1" x14ac:dyDescent="0.3">
      <c r="B53" s="267" t="s">
        <v>306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3">
        <f>'Depreciación y Valor de Desecho'!$H$10</f>
        <v>720000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</row>
    <row r="54" spans="2:257" s="10" customFormat="1" ht="15.75" thickBot="1" x14ac:dyDescent="0.3">
      <c r="B54" s="265" t="s">
        <v>97</v>
      </c>
      <c r="C54" s="245">
        <f>-C48-C49-C50+C51</f>
        <v>-588414.33128350589</v>
      </c>
      <c r="D54" s="251">
        <f t="shared" ref="D54:M54" si="26">D45+D46+D47+D52+D53</f>
        <v>-7525.3875856060477</v>
      </c>
      <c r="E54" s="251">
        <f t="shared" si="26"/>
        <v>-10512.614366417823</v>
      </c>
      <c r="F54" s="251">
        <f t="shared" si="26"/>
        <v>-12166.248514944149</v>
      </c>
      <c r="G54" s="251">
        <f t="shared" si="26"/>
        <v>-13872.903594849209</v>
      </c>
      <c r="H54" s="251">
        <f t="shared" si="26"/>
        <v>-15631.838424899703</v>
      </c>
      <c r="I54" s="251">
        <f t="shared" si="26"/>
        <v>-17441.935073255241</v>
      </c>
      <c r="J54" s="251">
        <f t="shared" si="26"/>
        <v>-46446.159766154466</v>
      </c>
      <c r="K54" s="251">
        <f t="shared" si="26"/>
        <v>-48442.051450129627</v>
      </c>
      <c r="L54" s="251">
        <f t="shared" si="26"/>
        <v>-50483.029215537004</v>
      </c>
      <c r="M54" s="252">
        <f t="shared" si="26"/>
        <v>935083.36218111217</v>
      </c>
    </row>
    <row r="55" spans="2:257" s="10" customFormat="1" ht="15.75" thickBot="1" x14ac:dyDescent="0.3">
      <c r="B55" s="263" t="s">
        <v>102</v>
      </c>
      <c r="C55" s="264">
        <f>NPV(C58,D54:M54)+C54</f>
        <v>-563007.11282899976</v>
      </c>
    </row>
    <row r="56" spans="2:257" s="10" customFormat="1" ht="15.75" thickBot="1" x14ac:dyDescent="0.3">
      <c r="D56" s="36"/>
    </row>
    <row r="57" spans="2:257" s="10" customFormat="1" ht="15.75" thickBot="1" x14ac:dyDescent="0.3">
      <c r="C57" s="399" t="s">
        <v>103</v>
      </c>
      <c r="E57" s="400" t="s">
        <v>170</v>
      </c>
    </row>
    <row r="58" spans="2:257" s="10" customFormat="1" ht="15.75" thickBot="1" x14ac:dyDescent="0.3">
      <c r="C58" s="229">
        <f>'Cálculo TMAR'!$C$19</f>
        <v>0.28388233202605967</v>
      </c>
      <c r="E58" s="228">
        <f>IRR(C54:M54)</f>
        <v>1.7369892497832939E-2</v>
      </c>
    </row>
    <row r="59" spans="2:257" s="10" customFormat="1" x14ac:dyDescent="0.25"/>
  </sheetData>
  <mergeCells count="3">
    <mergeCell ref="B2:M2"/>
    <mergeCell ref="B30:M30"/>
    <mergeCell ref="D23:H23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57"/>
  <sheetViews>
    <sheetView topLeftCell="A31" zoomScaleNormal="100" workbookViewId="0">
      <selection activeCell="E56" sqref="E56"/>
    </sheetView>
  </sheetViews>
  <sheetFormatPr baseColWidth="10" defaultColWidth="11.42578125" defaultRowHeight="15" x14ac:dyDescent="0.25"/>
  <cols>
    <col min="1" max="1" width="3.140625" style="306" customWidth="1"/>
    <col min="2" max="2" width="43.7109375" style="306" bestFit="1" customWidth="1"/>
    <col min="3" max="3" width="15.85546875" style="306" customWidth="1"/>
    <col min="4" max="4" width="14.42578125" style="306" customWidth="1"/>
    <col min="5" max="5" width="15.7109375" style="306" customWidth="1"/>
    <col min="6" max="7" width="14" style="306" customWidth="1"/>
    <col min="8" max="8" width="13.5703125" style="306" customWidth="1"/>
    <col min="9" max="10" width="14.42578125" style="306" customWidth="1"/>
    <col min="11" max="11" width="15.28515625" style="306" customWidth="1"/>
    <col min="12" max="12" width="16.28515625" style="306" customWidth="1"/>
    <col min="13" max="13" width="15.140625" style="306" customWidth="1"/>
    <col min="14" max="14" width="11.85546875" style="306" bestFit="1" customWidth="1"/>
    <col min="15" max="16384" width="11.42578125" style="306"/>
  </cols>
  <sheetData>
    <row r="1" spans="2:14" ht="15.75" thickBot="1" x14ac:dyDescent="0.3"/>
    <row r="2" spans="2:14" ht="15.75" thickBot="1" x14ac:dyDescent="0.3">
      <c r="B2" s="437" t="s">
        <v>73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38"/>
    </row>
    <row r="3" spans="2:14" ht="15.75" thickBot="1" x14ac:dyDescent="0.3">
      <c r="B3" s="270"/>
      <c r="C3" s="166"/>
      <c r="D3" s="144" t="s">
        <v>77</v>
      </c>
      <c r="E3" s="144" t="s">
        <v>78</v>
      </c>
      <c r="F3" s="144" t="s">
        <v>79</v>
      </c>
      <c r="G3" s="144" t="s">
        <v>80</v>
      </c>
      <c r="H3" s="144" t="s">
        <v>81</v>
      </c>
      <c r="I3" s="144" t="s">
        <v>82</v>
      </c>
      <c r="J3" s="144" t="s">
        <v>83</v>
      </c>
      <c r="K3" s="144" t="s">
        <v>84</v>
      </c>
      <c r="L3" s="144" t="s">
        <v>85</v>
      </c>
      <c r="M3" s="145" t="s">
        <v>86</v>
      </c>
    </row>
    <row r="4" spans="2:14" x14ac:dyDescent="0.25">
      <c r="B4" s="180" t="s">
        <v>28</v>
      </c>
      <c r="C4" s="143"/>
      <c r="D4" s="318">
        <f>Ingresos!C12</f>
        <v>767166.50676561845</v>
      </c>
      <c r="E4" s="318">
        <f>Ingresos!D12</f>
        <v>843883.15744218032</v>
      </c>
      <c r="F4" s="318">
        <f>Ingresos!E12</f>
        <v>928271.47318639839</v>
      </c>
      <c r="G4" s="318">
        <f t="shared" ref="G4:M4" si="0">(F4*0.1)+F4</f>
        <v>1021098.6205050382</v>
      </c>
      <c r="H4" s="318">
        <f t="shared" si="0"/>
        <v>1123208.4825555419</v>
      </c>
      <c r="I4" s="318">
        <f t="shared" si="0"/>
        <v>1235529.3308110961</v>
      </c>
      <c r="J4" s="318">
        <f t="shared" si="0"/>
        <v>1359082.2638922057</v>
      </c>
      <c r="K4" s="318">
        <f t="shared" si="0"/>
        <v>1494990.4902814263</v>
      </c>
      <c r="L4" s="318">
        <f t="shared" si="0"/>
        <v>1644489.5393095689</v>
      </c>
      <c r="M4" s="326">
        <f t="shared" si="0"/>
        <v>1808938.4932405259</v>
      </c>
    </row>
    <row r="5" spans="2:14" ht="15.75" thickBot="1" x14ac:dyDescent="0.3">
      <c r="B5" s="178" t="s">
        <v>74</v>
      </c>
      <c r="C5" s="139"/>
      <c r="D5" s="332">
        <f>Costos!F69</f>
        <v>374267.56</v>
      </c>
      <c r="E5" s="332">
        <f>(D5*0.1)+D5</f>
        <v>411694.31599999999</v>
      </c>
      <c r="F5" s="332">
        <f t="shared" ref="F5:M5" si="1">(E5*0.1)+E5</f>
        <v>452863.7476</v>
      </c>
      <c r="G5" s="332">
        <f t="shared" si="1"/>
        <v>498150.12236000004</v>
      </c>
      <c r="H5" s="332">
        <f t="shared" si="1"/>
        <v>547965.13459600008</v>
      </c>
      <c r="I5" s="332">
        <f t="shared" si="1"/>
        <v>602761.64805560012</v>
      </c>
      <c r="J5" s="332">
        <f t="shared" si="1"/>
        <v>663037.81286116014</v>
      </c>
      <c r="K5" s="332">
        <f t="shared" si="1"/>
        <v>729341.59414727613</v>
      </c>
      <c r="L5" s="332">
        <f t="shared" si="1"/>
        <v>802275.75356200372</v>
      </c>
      <c r="M5" s="331">
        <f t="shared" si="1"/>
        <v>882503.32891820406</v>
      </c>
    </row>
    <row r="6" spans="2:14" ht="15.75" thickBot="1" x14ac:dyDescent="0.3">
      <c r="B6" s="238" t="s">
        <v>90</v>
      </c>
      <c r="C6" s="271"/>
      <c r="D6" s="225">
        <f>D4-D5</f>
        <v>392898.94676561846</v>
      </c>
      <c r="E6" s="324">
        <f t="shared" ref="E6:M6" si="2">E4-E5</f>
        <v>432188.84144218033</v>
      </c>
      <c r="F6" s="324">
        <f t="shared" si="2"/>
        <v>475407.72558639839</v>
      </c>
      <c r="G6" s="324">
        <f t="shared" si="2"/>
        <v>522948.49814503815</v>
      </c>
      <c r="H6" s="324">
        <f t="shared" si="2"/>
        <v>575243.34795954183</v>
      </c>
      <c r="I6" s="324">
        <f t="shared" si="2"/>
        <v>632767.682755496</v>
      </c>
      <c r="J6" s="324">
        <f t="shared" si="2"/>
        <v>696044.45103104552</v>
      </c>
      <c r="K6" s="324">
        <f t="shared" si="2"/>
        <v>765648.89613415021</v>
      </c>
      <c r="L6" s="324">
        <f t="shared" si="2"/>
        <v>842213.78574756521</v>
      </c>
      <c r="M6" s="325">
        <f t="shared" si="2"/>
        <v>926435.16432232189</v>
      </c>
    </row>
    <row r="7" spans="2:14" x14ac:dyDescent="0.25">
      <c r="B7" s="237" t="s">
        <v>326</v>
      </c>
      <c r="C7" s="138"/>
      <c r="D7" s="318"/>
      <c r="E7" s="318"/>
      <c r="F7" s="318"/>
      <c r="G7" s="318"/>
      <c r="H7" s="318"/>
      <c r="I7" s="318"/>
      <c r="J7" s="318"/>
      <c r="K7" s="318"/>
      <c r="L7" s="318"/>
      <c r="M7" s="326"/>
    </row>
    <row r="8" spans="2:14" x14ac:dyDescent="0.25">
      <c r="B8" s="178" t="s">
        <v>31</v>
      </c>
      <c r="C8" s="139"/>
      <c r="D8" s="319">
        <f>Costos!L18</f>
        <v>55865.425000000003</v>
      </c>
      <c r="E8" s="319">
        <f>Costos!M18</f>
        <v>58785.425000000003</v>
      </c>
      <c r="F8" s="319">
        <f t="shared" ref="F8:M9" si="3">(E8*0.05)+E8</f>
        <v>61724.696250000001</v>
      </c>
      <c r="G8" s="319">
        <f t="shared" si="3"/>
        <v>64810.9310625</v>
      </c>
      <c r="H8" s="319">
        <f t="shared" si="3"/>
        <v>68051.477615625001</v>
      </c>
      <c r="I8" s="319">
        <f t="shared" si="3"/>
        <v>71454.051496406246</v>
      </c>
      <c r="J8" s="319">
        <f t="shared" si="3"/>
        <v>75026.754071226562</v>
      </c>
      <c r="K8" s="319">
        <f t="shared" si="3"/>
        <v>78778.091774787885</v>
      </c>
      <c r="L8" s="319">
        <f t="shared" si="3"/>
        <v>82716.996363527272</v>
      </c>
      <c r="M8" s="323">
        <f t="shared" si="3"/>
        <v>86852.84618170363</v>
      </c>
    </row>
    <row r="9" spans="2:14" ht="15.75" thickBot="1" x14ac:dyDescent="0.3">
      <c r="B9" s="178" t="s">
        <v>54</v>
      </c>
      <c r="C9" s="139"/>
      <c r="D9" s="332">
        <f>Costos!D27</f>
        <v>13572</v>
      </c>
      <c r="E9" s="332">
        <f>(D9*0.05)+D9</f>
        <v>14250.6</v>
      </c>
      <c r="F9" s="332">
        <f t="shared" si="3"/>
        <v>14963.130000000001</v>
      </c>
      <c r="G9" s="332">
        <f t="shared" si="3"/>
        <v>15711.286500000002</v>
      </c>
      <c r="H9" s="332">
        <f t="shared" si="3"/>
        <v>16496.850825000001</v>
      </c>
      <c r="I9" s="332">
        <f t="shared" si="3"/>
        <v>17321.693366250001</v>
      </c>
      <c r="J9" s="332">
        <f t="shared" si="3"/>
        <v>18187.7780345625</v>
      </c>
      <c r="K9" s="332">
        <f t="shared" si="3"/>
        <v>19097.166936290625</v>
      </c>
      <c r="L9" s="332">
        <f t="shared" si="3"/>
        <v>20052.025283105155</v>
      </c>
      <c r="M9" s="331">
        <f t="shared" si="3"/>
        <v>21054.626547260414</v>
      </c>
    </row>
    <row r="10" spans="2:14" ht="15.75" thickBot="1" x14ac:dyDescent="0.3">
      <c r="B10" s="237" t="s">
        <v>327</v>
      </c>
      <c r="C10" s="271"/>
      <c r="D10" s="225">
        <f>SUM(D8:D9)</f>
        <v>69437.425000000003</v>
      </c>
      <c r="E10" s="324">
        <f>SUM(E8:E9)</f>
        <v>73036.025000000009</v>
      </c>
      <c r="F10" s="324">
        <f t="shared" ref="F10:M10" si="4">SUM(F8:F9)</f>
        <v>76687.826249999998</v>
      </c>
      <c r="G10" s="324">
        <f t="shared" si="4"/>
        <v>80522.217562500009</v>
      </c>
      <c r="H10" s="324">
        <f t="shared" si="4"/>
        <v>84548.328440625002</v>
      </c>
      <c r="I10" s="324">
        <f t="shared" si="4"/>
        <v>88775.744862656255</v>
      </c>
      <c r="J10" s="324">
        <f t="shared" si="4"/>
        <v>93214.532105789054</v>
      </c>
      <c r="K10" s="324">
        <f t="shared" si="4"/>
        <v>97875.25871107851</v>
      </c>
      <c r="L10" s="324">
        <f t="shared" si="4"/>
        <v>102769.02164663243</v>
      </c>
      <c r="M10" s="325">
        <f t="shared" si="4"/>
        <v>107907.47272896404</v>
      </c>
    </row>
    <row r="11" spans="2:14" ht="15.75" thickBot="1" x14ac:dyDescent="0.3">
      <c r="B11" s="178" t="s">
        <v>87</v>
      </c>
      <c r="C11" s="139"/>
      <c r="D11" s="177">
        <f>'Depreciación y Valor de Desecho'!E10</f>
        <v>13096.066666666666</v>
      </c>
      <c r="E11" s="177">
        <f>D11</f>
        <v>13096.066666666666</v>
      </c>
      <c r="F11" s="177">
        <f t="shared" ref="F11:M11" si="5">E11</f>
        <v>13096.066666666666</v>
      </c>
      <c r="G11" s="177">
        <f t="shared" si="5"/>
        <v>13096.066666666666</v>
      </c>
      <c r="H11" s="177">
        <f t="shared" si="5"/>
        <v>13096.066666666666</v>
      </c>
      <c r="I11" s="177">
        <f t="shared" si="5"/>
        <v>13096.066666666666</v>
      </c>
      <c r="J11" s="177">
        <f t="shared" si="5"/>
        <v>13096.066666666666</v>
      </c>
      <c r="K11" s="177">
        <f t="shared" si="5"/>
        <v>13096.066666666666</v>
      </c>
      <c r="L11" s="177">
        <f t="shared" si="5"/>
        <v>13096.066666666666</v>
      </c>
      <c r="M11" s="179">
        <f t="shared" si="5"/>
        <v>13096.066666666666</v>
      </c>
    </row>
    <row r="12" spans="2:14" ht="15.75" thickBot="1" x14ac:dyDescent="0.3">
      <c r="B12" s="238" t="s">
        <v>91</v>
      </c>
      <c r="C12" s="271"/>
      <c r="D12" s="225">
        <f>D6-D10-D11</f>
        <v>310365.45509895182</v>
      </c>
      <c r="E12" s="324">
        <f t="shared" ref="E12:M12" si="6">E6-E10-E11</f>
        <v>346056.74977551366</v>
      </c>
      <c r="F12" s="324">
        <f t="shared" si="6"/>
        <v>385623.83266973175</v>
      </c>
      <c r="G12" s="324">
        <f t="shared" si="6"/>
        <v>429330.21391587146</v>
      </c>
      <c r="H12" s="324">
        <f t="shared" si="6"/>
        <v>477598.95285225019</v>
      </c>
      <c r="I12" s="324">
        <f t="shared" si="6"/>
        <v>530895.87122617313</v>
      </c>
      <c r="J12" s="324">
        <f t="shared" si="6"/>
        <v>589733.85225858982</v>
      </c>
      <c r="K12" s="324">
        <f t="shared" si="6"/>
        <v>654677.57075640501</v>
      </c>
      <c r="L12" s="324">
        <f t="shared" si="6"/>
        <v>726348.6974342661</v>
      </c>
      <c r="M12" s="325">
        <f t="shared" si="6"/>
        <v>805431.62492669118</v>
      </c>
    </row>
    <row r="13" spans="2:14" ht="15.75" thickBot="1" x14ac:dyDescent="0.3">
      <c r="B13" s="178" t="s">
        <v>309</v>
      </c>
      <c r="C13" s="139"/>
      <c r="D13" s="177">
        <f>Financiamiento!D100</f>
        <v>529.57289815515537</v>
      </c>
      <c r="E13" s="177">
        <f>Financiamiento!D101</f>
        <v>441.55315805388182</v>
      </c>
      <c r="F13" s="177">
        <f>Financiamiento!D102</f>
        <v>353.43659623849692</v>
      </c>
      <c r="G13" s="177">
        <f>Financiamiento!D103</f>
        <v>265.22310620511507</v>
      </c>
      <c r="H13" s="177">
        <f>Financiamiento!D104</f>
        <v>176.91258133269656</v>
      </c>
      <c r="I13" s="177">
        <f>Financiamiento!D105</f>
        <v>88.504914882918385</v>
      </c>
      <c r="J13" s="177"/>
      <c r="K13" s="177"/>
      <c r="L13" s="177"/>
      <c r="M13" s="179"/>
    </row>
    <row r="14" spans="2:14" ht="15.75" thickBot="1" x14ac:dyDescent="0.3">
      <c r="B14" s="238" t="s">
        <v>310</v>
      </c>
      <c r="C14" s="271"/>
      <c r="D14" s="225">
        <f>D12-D13</f>
        <v>309835.88220079668</v>
      </c>
      <c r="E14" s="324">
        <f>E12-E13</f>
        <v>345615.19661745976</v>
      </c>
      <c r="F14" s="324">
        <f>F12-F13</f>
        <v>385270.39607349323</v>
      </c>
      <c r="G14" s="324">
        <f t="shared" ref="G14:M14" si="7">G12-G13</f>
        <v>429064.99080966634</v>
      </c>
      <c r="H14" s="324">
        <f t="shared" si="7"/>
        <v>477422.04027091753</v>
      </c>
      <c r="I14" s="324">
        <f t="shared" si="7"/>
        <v>530807.36631129018</v>
      </c>
      <c r="J14" s="324">
        <f t="shared" si="7"/>
        <v>589733.85225858982</v>
      </c>
      <c r="K14" s="324">
        <f t="shared" si="7"/>
        <v>654677.57075640501</v>
      </c>
      <c r="L14" s="324">
        <f t="shared" si="7"/>
        <v>726348.6974342661</v>
      </c>
      <c r="M14" s="325">
        <f t="shared" si="7"/>
        <v>805431.62492669118</v>
      </c>
    </row>
    <row r="15" spans="2:14" x14ac:dyDescent="0.25">
      <c r="B15" s="178" t="s">
        <v>88</v>
      </c>
      <c r="C15" s="139"/>
      <c r="D15" s="318">
        <f>D14*0.15</f>
        <v>46475.382330119501</v>
      </c>
      <c r="E15" s="318">
        <f t="shared" ref="E15:M15" si="8">E14*0.15</f>
        <v>51842.27949261896</v>
      </c>
      <c r="F15" s="318">
        <f t="shared" si="8"/>
        <v>57790.559411023984</v>
      </c>
      <c r="G15" s="318">
        <f t="shared" si="8"/>
        <v>64359.748621449951</v>
      </c>
      <c r="H15" s="318">
        <f t="shared" si="8"/>
        <v>71613.306040637632</v>
      </c>
      <c r="I15" s="318">
        <f t="shared" si="8"/>
        <v>79621.104946693522</v>
      </c>
      <c r="J15" s="318">
        <f t="shared" si="8"/>
        <v>88460.077838788464</v>
      </c>
      <c r="K15" s="318">
        <f t="shared" si="8"/>
        <v>98201.635613460749</v>
      </c>
      <c r="L15" s="318">
        <f t="shared" si="8"/>
        <v>108952.30461513992</v>
      </c>
      <c r="M15" s="326">
        <f t="shared" si="8"/>
        <v>120814.74373900366</v>
      </c>
      <c r="N15" s="1"/>
    </row>
    <row r="16" spans="2:14" ht="15.75" thickBot="1" x14ac:dyDescent="0.3">
      <c r="B16" s="178" t="s">
        <v>196</v>
      </c>
      <c r="C16" s="139"/>
      <c r="D16" s="332">
        <f>D14*0.23</f>
        <v>71262.252906183247</v>
      </c>
      <c r="E16" s="332">
        <f>E14*0.22</f>
        <v>76035.343255841144</v>
      </c>
      <c r="F16" s="332">
        <f t="shared" ref="F16:M16" si="9">F14*0.22</f>
        <v>84759.487136168507</v>
      </c>
      <c r="G16" s="332">
        <f t="shared" si="9"/>
        <v>94394.297978126589</v>
      </c>
      <c r="H16" s="332">
        <f t="shared" si="9"/>
        <v>105032.84885960186</v>
      </c>
      <c r="I16" s="332">
        <f t="shared" si="9"/>
        <v>116777.62058848384</v>
      </c>
      <c r="J16" s="332">
        <f t="shared" si="9"/>
        <v>129741.44749688976</v>
      </c>
      <c r="K16" s="332">
        <f t="shared" si="9"/>
        <v>144029.06556640912</v>
      </c>
      <c r="L16" s="332">
        <f t="shared" si="9"/>
        <v>159796.71343553855</v>
      </c>
      <c r="M16" s="331">
        <f t="shared" si="9"/>
        <v>177194.95748387207</v>
      </c>
    </row>
    <row r="17" spans="2:13" ht="15.75" thickBot="1" x14ac:dyDescent="0.3">
      <c r="B17" s="273" t="s">
        <v>89</v>
      </c>
      <c r="C17" s="272"/>
      <c r="D17" s="225">
        <f>D14-D15-D16</f>
        <v>192098.24696449394</v>
      </c>
      <c r="E17" s="324">
        <f t="shared" ref="E17:M17" si="10">E14-E15-E16</f>
        <v>217737.57386899964</v>
      </c>
      <c r="F17" s="324">
        <f t="shared" si="10"/>
        <v>242720.34952630074</v>
      </c>
      <c r="G17" s="324">
        <f t="shared" si="10"/>
        <v>270310.94421008986</v>
      </c>
      <c r="H17" s="324">
        <f t="shared" si="10"/>
        <v>300775.88537067804</v>
      </c>
      <c r="I17" s="324">
        <f t="shared" si="10"/>
        <v>334408.64077611279</v>
      </c>
      <c r="J17" s="324">
        <f t="shared" si="10"/>
        <v>371532.32692291163</v>
      </c>
      <c r="K17" s="324">
        <f t="shared" si="10"/>
        <v>412446.86957653507</v>
      </c>
      <c r="L17" s="324">
        <f t="shared" si="10"/>
        <v>457599.67938358756</v>
      </c>
      <c r="M17" s="325">
        <f t="shared" si="10"/>
        <v>507421.92370381544</v>
      </c>
    </row>
    <row r="18" spans="2:13" s="320" customFormat="1" x14ac:dyDescent="0.25">
      <c r="B18" s="403"/>
      <c r="C18" s="309"/>
      <c r="D18" s="312"/>
      <c r="E18" s="312"/>
      <c r="F18" s="312"/>
      <c r="G18" s="312"/>
      <c r="H18" s="312"/>
      <c r="I18" s="312"/>
      <c r="J18" s="312"/>
      <c r="K18" s="312"/>
      <c r="L18" s="312"/>
      <c r="M18" s="312"/>
    </row>
    <row r="19" spans="2:13" s="320" customFormat="1" x14ac:dyDescent="0.25">
      <c r="B19" s="403"/>
      <c r="C19" s="309"/>
      <c r="D19" s="312"/>
      <c r="E19" s="312"/>
      <c r="F19" s="312"/>
      <c r="G19" s="312"/>
      <c r="H19" s="312"/>
      <c r="I19" s="312"/>
      <c r="J19" s="312"/>
      <c r="K19" s="312"/>
      <c r="L19" s="312"/>
      <c r="M19" s="312"/>
    </row>
    <row r="20" spans="2:13" s="320" customFormat="1" x14ac:dyDescent="0.25">
      <c r="B20" s="403"/>
      <c r="C20" s="309"/>
      <c r="D20" s="312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2:13" s="320" customFormat="1" ht="15.75" thickBot="1" x14ac:dyDescent="0.3">
      <c r="B21" s="403"/>
      <c r="C21" s="309"/>
      <c r="D21" s="489" t="s">
        <v>177</v>
      </c>
      <c r="E21" s="489"/>
      <c r="F21" s="489"/>
      <c r="G21" s="489"/>
      <c r="H21" s="489"/>
      <c r="I21" s="312"/>
      <c r="J21" s="312"/>
      <c r="K21" s="312"/>
      <c r="L21" s="312"/>
      <c r="M21" s="312"/>
    </row>
    <row r="22" spans="2:13" s="320" customFormat="1" x14ac:dyDescent="0.25">
      <c r="B22" s="403"/>
      <c r="C22" s="408">
        <v>1.5</v>
      </c>
      <c r="D22" s="404">
        <f t="shared" ref="D22:M22" si="11">D5</f>
        <v>374267.56</v>
      </c>
      <c r="E22" s="405">
        <f t="shared" si="11"/>
        <v>411694.31599999999</v>
      </c>
      <c r="F22" s="405">
        <f t="shared" si="11"/>
        <v>452863.7476</v>
      </c>
      <c r="G22" s="405">
        <f t="shared" si="11"/>
        <v>498150.12236000004</v>
      </c>
      <c r="H22" s="405">
        <f t="shared" si="11"/>
        <v>547965.13459600008</v>
      </c>
      <c r="I22" s="405">
        <f t="shared" si="11"/>
        <v>602761.64805560012</v>
      </c>
      <c r="J22" s="405">
        <f t="shared" si="11"/>
        <v>663037.81286116014</v>
      </c>
      <c r="K22" s="405">
        <f t="shared" si="11"/>
        <v>729341.59414727613</v>
      </c>
      <c r="L22" s="405">
        <f t="shared" si="11"/>
        <v>802275.75356200372</v>
      </c>
      <c r="M22" s="406">
        <f t="shared" si="11"/>
        <v>882503.32891820406</v>
      </c>
    </row>
    <row r="23" spans="2:13" s="320" customFormat="1" ht="15.75" thickBot="1" x14ac:dyDescent="0.3">
      <c r="B23" s="403"/>
      <c r="C23" s="309"/>
      <c r="D23" s="407">
        <f>$C$22*D22</f>
        <v>561401.34</v>
      </c>
      <c r="E23" s="407">
        <f t="shared" ref="E23:M23" si="12">$C$22*E22</f>
        <v>617541.47399999993</v>
      </c>
      <c r="F23" s="407">
        <f t="shared" si="12"/>
        <v>679295.62140000006</v>
      </c>
      <c r="G23" s="407">
        <f t="shared" si="12"/>
        <v>747225.18354000011</v>
      </c>
      <c r="H23" s="407">
        <f t="shared" si="12"/>
        <v>821947.70189400017</v>
      </c>
      <c r="I23" s="407">
        <f t="shared" si="12"/>
        <v>904142.47208340024</v>
      </c>
      <c r="J23" s="407">
        <f t="shared" si="12"/>
        <v>994556.71929174021</v>
      </c>
      <c r="K23" s="407">
        <f t="shared" si="12"/>
        <v>1094012.3912209142</v>
      </c>
      <c r="L23" s="407">
        <f t="shared" si="12"/>
        <v>1203413.6303430055</v>
      </c>
      <c r="M23" s="407">
        <f t="shared" si="12"/>
        <v>1323754.993377306</v>
      </c>
    </row>
    <row r="24" spans="2:13" s="320" customFormat="1" x14ac:dyDescent="0.25">
      <c r="B24" s="403"/>
      <c r="C24" s="309"/>
      <c r="D24" s="312"/>
      <c r="E24" s="312"/>
      <c r="F24" s="312"/>
      <c r="G24" s="312"/>
      <c r="H24" s="312"/>
      <c r="I24" s="312"/>
      <c r="J24" s="312"/>
      <c r="K24" s="312"/>
      <c r="L24" s="312"/>
      <c r="M24" s="312"/>
    </row>
    <row r="25" spans="2:13" s="320" customFormat="1" x14ac:dyDescent="0.25">
      <c r="B25" s="403"/>
      <c r="C25" s="309"/>
      <c r="D25" s="312"/>
      <c r="E25" s="312"/>
      <c r="F25" s="312"/>
      <c r="G25" s="312"/>
      <c r="H25" s="312"/>
      <c r="I25" s="312"/>
      <c r="J25" s="312"/>
      <c r="K25" s="312"/>
      <c r="L25" s="312"/>
      <c r="M25" s="312"/>
    </row>
    <row r="27" spans="2:13" ht="15.75" thickBot="1" x14ac:dyDescent="0.3"/>
    <row r="28" spans="2:13" s="10" customFormat="1" ht="15.75" thickBot="1" x14ac:dyDescent="0.3">
      <c r="B28" s="461" t="s">
        <v>311</v>
      </c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3"/>
    </row>
    <row r="29" spans="2:13" s="10" customFormat="1" ht="15.75" thickBot="1" x14ac:dyDescent="0.3">
      <c r="B29" s="230"/>
      <c r="C29" s="231"/>
      <c r="D29" s="232" t="s">
        <v>77</v>
      </c>
      <c r="E29" s="232" t="s">
        <v>78</v>
      </c>
      <c r="F29" s="232" t="s">
        <v>79</v>
      </c>
      <c r="G29" s="232" t="s">
        <v>80</v>
      </c>
      <c r="H29" s="232" t="s">
        <v>81</v>
      </c>
      <c r="I29" s="232" t="s">
        <v>82</v>
      </c>
      <c r="J29" s="232" t="s">
        <v>83</v>
      </c>
      <c r="K29" s="232" t="s">
        <v>84</v>
      </c>
      <c r="L29" s="232" t="s">
        <v>85</v>
      </c>
      <c r="M29" s="233" t="s">
        <v>86</v>
      </c>
    </row>
    <row r="30" spans="2:13" s="10" customFormat="1" x14ac:dyDescent="0.25">
      <c r="B30" s="234" t="s">
        <v>94</v>
      </c>
      <c r="C30" s="235"/>
      <c r="D30" s="235">
        <f t="shared" ref="D30:M30" si="13">D4</f>
        <v>767166.50676561845</v>
      </c>
      <c r="E30" s="235">
        <f t="shared" si="13"/>
        <v>843883.15744218032</v>
      </c>
      <c r="F30" s="235">
        <f t="shared" si="13"/>
        <v>928271.47318639839</v>
      </c>
      <c r="G30" s="235">
        <f t="shared" si="13"/>
        <v>1021098.6205050382</v>
      </c>
      <c r="H30" s="235">
        <f t="shared" si="13"/>
        <v>1123208.4825555419</v>
      </c>
      <c r="I30" s="235">
        <f t="shared" si="13"/>
        <v>1235529.3308110961</v>
      </c>
      <c r="J30" s="235">
        <f t="shared" si="13"/>
        <v>1359082.2638922057</v>
      </c>
      <c r="K30" s="235">
        <f t="shared" si="13"/>
        <v>1494990.4902814263</v>
      </c>
      <c r="L30" s="235">
        <f t="shared" si="13"/>
        <v>1644489.5393095689</v>
      </c>
      <c r="M30" s="236">
        <f t="shared" si="13"/>
        <v>1808938.4932405259</v>
      </c>
    </row>
    <row r="31" spans="2:13" s="10" customFormat="1" x14ac:dyDescent="0.25">
      <c r="B31" s="234" t="s">
        <v>95</v>
      </c>
      <c r="C31" s="235"/>
      <c r="D31" s="235">
        <f t="shared" ref="D31:M31" si="14">D23</f>
        <v>561401.34</v>
      </c>
      <c r="E31" s="235">
        <f t="shared" si="14"/>
        <v>617541.47399999993</v>
      </c>
      <c r="F31" s="235">
        <f t="shared" si="14"/>
        <v>679295.62140000006</v>
      </c>
      <c r="G31" s="235">
        <f t="shared" si="14"/>
        <v>747225.18354000011</v>
      </c>
      <c r="H31" s="235">
        <f t="shared" si="14"/>
        <v>821947.70189400017</v>
      </c>
      <c r="I31" s="235">
        <f t="shared" si="14"/>
        <v>904142.47208340024</v>
      </c>
      <c r="J31" s="235">
        <f t="shared" si="14"/>
        <v>994556.71929174021</v>
      </c>
      <c r="K31" s="235">
        <f t="shared" si="14"/>
        <v>1094012.3912209142</v>
      </c>
      <c r="L31" s="235">
        <f t="shared" si="14"/>
        <v>1203413.6303430055</v>
      </c>
      <c r="M31" s="236">
        <f t="shared" si="14"/>
        <v>1323754.993377306</v>
      </c>
    </row>
    <row r="32" spans="2:13" s="10" customFormat="1" x14ac:dyDescent="0.25">
      <c r="B32" s="268" t="s">
        <v>93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6"/>
    </row>
    <row r="33" spans="2:15" s="10" customFormat="1" x14ac:dyDescent="0.25">
      <c r="B33" s="234" t="s">
        <v>98</v>
      </c>
      <c r="C33" s="235"/>
      <c r="D33" s="239">
        <f t="shared" ref="D33:M33" si="15">D8</f>
        <v>55865.425000000003</v>
      </c>
      <c r="E33" s="239">
        <f t="shared" si="15"/>
        <v>58785.425000000003</v>
      </c>
      <c r="F33" s="239">
        <f t="shared" si="15"/>
        <v>61724.696250000001</v>
      </c>
      <c r="G33" s="239">
        <f t="shared" si="15"/>
        <v>64810.9310625</v>
      </c>
      <c r="H33" s="239">
        <f t="shared" si="15"/>
        <v>68051.477615625001</v>
      </c>
      <c r="I33" s="239">
        <f t="shared" si="15"/>
        <v>71454.051496406246</v>
      </c>
      <c r="J33" s="239">
        <f t="shared" si="15"/>
        <v>75026.754071226562</v>
      </c>
      <c r="K33" s="239">
        <f t="shared" si="15"/>
        <v>78778.091774787885</v>
      </c>
      <c r="L33" s="239">
        <f t="shared" si="15"/>
        <v>82716.996363527272</v>
      </c>
      <c r="M33" s="240">
        <f t="shared" si="15"/>
        <v>86852.84618170363</v>
      </c>
    </row>
    <row r="34" spans="2:15" s="10" customFormat="1" ht="15.75" thickBot="1" x14ac:dyDescent="0.3">
      <c r="B34" s="234" t="s">
        <v>99</v>
      </c>
      <c r="C34" s="235"/>
      <c r="D34" s="239">
        <f t="shared" ref="D34:M34" si="16">D9</f>
        <v>13572</v>
      </c>
      <c r="E34" s="239">
        <f t="shared" si="16"/>
        <v>14250.6</v>
      </c>
      <c r="F34" s="239">
        <f t="shared" si="16"/>
        <v>14963.130000000001</v>
      </c>
      <c r="G34" s="239">
        <f t="shared" si="16"/>
        <v>15711.286500000002</v>
      </c>
      <c r="H34" s="239">
        <f t="shared" si="16"/>
        <v>16496.850825000001</v>
      </c>
      <c r="I34" s="239">
        <f t="shared" si="16"/>
        <v>17321.693366250001</v>
      </c>
      <c r="J34" s="239">
        <f t="shared" si="16"/>
        <v>18187.7780345625</v>
      </c>
      <c r="K34" s="239">
        <f t="shared" si="16"/>
        <v>19097.166936290625</v>
      </c>
      <c r="L34" s="239">
        <f t="shared" si="16"/>
        <v>20052.025283105155</v>
      </c>
      <c r="M34" s="240">
        <f t="shared" si="16"/>
        <v>21054.626547260414</v>
      </c>
    </row>
    <row r="35" spans="2:15" s="10" customFormat="1" ht="15.75" thickBot="1" x14ac:dyDescent="0.3">
      <c r="B35" s="378" t="s">
        <v>328</v>
      </c>
      <c r="C35" s="379"/>
      <c r="D35" s="245">
        <f>SUM(D33:D34)</f>
        <v>69437.425000000003</v>
      </c>
      <c r="E35" s="245">
        <f>SUM(E33:E34)</f>
        <v>73036.025000000009</v>
      </c>
      <c r="F35" s="245">
        <f t="shared" ref="F35:M35" si="17">SUM(F33:F34)</f>
        <v>76687.826249999998</v>
      </c>
      <c r="G35" s="245">
        <f t="shared" si="17"/>
        <v>80522.217562500009</v>
      </c>
      <c r="H35" s="245">
        <f t="shared" si="17"/>
        <v>84548.328440625002</v>
      </c>
      <c r="I35" s="245">
        <f t="shared" si="17"/>
        <v>88775.744862656255</v>
      </c>
      <c r="J35" s="245">
        <f t="shared" si="17"/>
        <v>93214.532105789054</v>
      </c>
      <c r="K35" s="245">
        <f t="shared" si="17"/>
        <v>97875.25871107851</v>
      </c>
      <c r="L35" s="245">
        <f t="shared" si="17"/>
        <v>102769.02164663243</v>
      </c>
      <c r="M35" s="259">
        <f t="shared" si="17"/>
        <v>107907.47272896404</v>
      </c>
      <c r="N35" s="257"/>
    </row>
    <row r="36" spans="2:15" s="10" customFormat="1" x14ac:dyDescent="0.25">
      <c r="B36" s="139" t="s">
        <v>307</v>
      </c>
      <c r="C36" s="235"/>
      <c r="D36" s="248">
        <f t="shared" ref="D36:M36" si="18">D11</f>
        <v>13096.066666666666</v>
      </c>
      <c r="E36" s="248">
        <f t="shared" si="18"/>
        <v>13096.066666666666</v>
      </c>
      <c r="F36" s="248">
        <f t="shared" si="18"/>
        <v>13096.066666666666</v>
      </c>
      <c r="G36" s="248">
        <f t="shared" si="18"/>
        <v>13096.066666666666</v>
      </c>
      <c r="H36" s="248">
        <f t="shared" si="18"/>
        <v>13096.066666666666</v>
      </c>
      <c r="I36" s="248">
        <f t="shared" si="18"/>
        <v>13096.066666666666</v>
      </c>
      <c r="J36" s="248">
        <f t="shared" si="18"/>
        <v>13096.066666666666</v>
      </c>
      <c r="K36" s="248">
        <f t="shared" si="18"/>
        <v>13096.066666666666</v>
      </c>
      <c r="L36" s="248">
        <f t="shared" si="18"/>
        <v>13096.066666666666</v>
      </c>
      <c r="M36" s="248">
        <f t="shared" si="18"/>
        <v>13096.066666666666</v>
      </c>
    </row>
    <row r="37" spans="2:15" s="10" customFormat="1" x14ac:dyDescent="0.25">
      <c r="B37" s="246" t="s">
        <v>100</v>
      </c>
      <c r="C37" s="247"/>
      <c r="D37" s="248">
        <f>Financiamiento!$E$100</f>
        <v>80017.94554661226</v>
      </c>
      <c r="E37" s="248">
        <f>Financiamiento!$E$101</f>
        <v>80105.96528671353</v>
      </c>
      <c r="F37" s="248">
        <f>Financiamiento!$E$102</f>
        <v>80194.08184852892</v>
      </c>
      <c r="G37" s="248">
        <f>Financiamiento!$E$103</f>
        <v>80282.295338562297</v>
      </c>
      <c r="H37" s="248">
        <f>Financiamiento!$E$104</f>
        <v>80370.605863434714</v>
      </c>
      <c r="I37" s="248">
        <f>Financiamiento!$E$105</f>
        <v>80459.013529884498</v>
      </c>
      <c r="J37" s="248">
        <f>Financiamiento!$E$165</f>
        <v>0</v>
      </c>
      <c r="K37" s="248">
        <f>Financiamiento!$E$166</f>
        <v>0</v>
      </c>
      <c r="L37" s="248">
        <f>Financiamiento!$E$167</f>
        <v>0</v>
      </c>
      <c r="M37" s="260">
        <f>Financiamiento!$E$168</f>
        <v>0</v>
      </c>
    </row>
    <row r="38" spans="2:15" s="10" customFormat="1" ht="15.75" thickBot="1" x14ac:dyDescent="0.3">
      <c r="B38" s="253" t="s">
        <v>330</v>
      </c>
      <c r="C38" s="235"/>
      <c r="D38" s="242">
        <f t="shared" ref="D38:I38" si="19">D13</f>
        <v>529.57289815515537</v>
      </c>
      <c r="E38" s="242">
        <f t="shared" si="19"/>
        <v>441.55315805388182</v>
      </c>
      <c r="F38" s="242">
        <f t="shared" si="19"/>
        <v>353.43659623849692</v>
      </c>
      <c r="G38" s="242">
        <f t="shared" si="19"/>
        <v>265.22310620511507</v>
      </c>
      <c r="H38" s="242">
        <f t="shared" si="19"/>
        <v>176.91258133269656</v>
      </c>
      <c r="I38" s="242">
        <f t="shared" si="19"/>
        <v>88.504914882918385</v>
      </c>
      <c r="J38" s="241"/>
      <c r="K38" s="241"/>
      <c r="L38" s="241"/>
      <c r="M38" s="261"/>
      <c r="N38" s="11"/>
    </row>
    <row r="39" spans="2:15" s="10" customFormat="1" ht="15.75" thickBot="1" x14ac:dyDescent="0.3">
      <c r="B39" s="269" t="s">
        <v>301</v>
      </c>
      <c r="C39" s="244"/>
      <c r="D39" s="245">
        <f>D30-D31-D35-D36-D37-D38</f>
        <v>42684.156654184415</v>
      </c>
      <c r="E39" s="245">
        <f t="shared" ref="E39:M39" si="20">E30-E31-E35-E36-E37-E38</f>
        <v>59662.073330746309</v>
      </c>
      <c r="F39" s="245">
        <f t="shared" si="20"/>
        <v>78644.440424964283</v>
      </c>
      <c r="G39" s="245">
        <f t="shared" si="20"/>
        <v>99707.634291103968</v>
      </c>
      <c r="H39" s="245">
        <f t="shared" si="20"/>
        <v>123068.86710948269</v>
      </c>
      <c r="I39" s="245">
        <f t="shared" si="20"/>
        <v>148967.52875360553</v>
      </c>
      <c r="J39" s="245">
        <f t="shared" si="20"/>
        <v>258214.94582800975</v>
      </c>
      <c r="K39" s="245">
        <f t="shared" si="20"/>
        <v>290006.773682767</v>
      </c>
      <c r="L39" s="245">
        <f t="shared" si="20"/>
        <v>325210.82065326429</v>
      </c>
      <c r="M39" s="245">
        <f t="shared" si="20"/>
        <v>364179.9604675892</v>
      </c>
      <c r="O39" s="13"/>
    </row>
    <row r="40" spans="2:15" s="10" customFormat="1" ht="15.75" thickBot="1" x14ac:dyDescent="0.3">
      <c r="B40" s="253" t="s">
        <v>302</v>
      </c>
      <c r="C40" s="235"/>
      <c r="D40" s="254">
        <f>D39*0.15</f>
        <v>6402.6234981276621</v>
      </c>
      <c r="E40" s="254">
        <f t="shared" ref="E40:M40" si="21">E39*0.15</f>
        <v>8949.3109996119456</v>
      </c>
      <c r="F40" s="254">
        <f t="shared" si="21"/>
        <v>11796.666063744642</v>
      </c>
      <c r="G40" s="254">
        <f t="shared" si="21"/>
        <v>14956.145143665595</v>
      </c>
      <c r="H40" s="254">
        <f t="shared" si="21"/>
        <v>18460.330066422401</v>
      </c>
      <c r="I40" s="254">
        <f t="shared" si="21"/>
        <v>22345.129313040827</v>
      </c>
      <c r="J40" s="254">
        <f t="shared" si="21"/>
        <v>38732.241874201463</v>
      </c>
      <c r="K40" s="254">
        <f t="shared" si="21"/>
        <v>43501.016052415049</v>
      </c>
      <c r="L40" s="254">
        <f t="shared" si="21"/>
        <v>48781.623097989643</v>
      </c>
      <c r="M40" s="262">
        <f t="shared" si="21"/>
        <v>54626.994070138382</v>
      </c>
      <c r="N40" s="31"/>
    </row>
    <row r="41" spans="2:15" s="10" customFormat="1" ht="15.75" thickBot="1" x14ac:dyDescent="0.3">
      <c r="B41" s="250" t="s">
        <v>304</v>
      </c>
      <c r="C41" s="244"/>
      <c r="D41" s="245">
        <f>D39-D40</f>
        <v>36281.53315605675</v>
      </c>
      <c r="E41" s="251">
        <f t="shared" ref="E41:M41" si="22">E39-E40</f>
        <v>50712.762331134363</v>
      </c>
      <c r="F41" s="251">
        <f t="shared" si="22"/>
        <v>66847.774361219635</v>
      </c>
      <c r="G41" s="251">
        <f t="shared" si="22"/>
        <v>84751.489147438377</v>
      </c>
      <c r="H41" s="251">
        <f t="shared" si="22"/>
        <v>104608.53704306029</v>
      </c>
      <c r="I41" s="251">
        <f t="shared" si="22"/>
        <v>126622.3994405647</v>
      </c>
      <c r="J41" s="251">
        <f t="shared" si="22"/>
        <v>219482.70395380829</v>
      </c>
      <c r="K41" s="251">
        <f t="shared" si="22"/>
        <v>246505.75763035196</v>
      </c>
      <c r="L41" s="251">
        <f t="shared" si="22"/>
        <v>276429.19755527464</v>
      </c>
      <c r="M41" s="252">
        <f t="shared" si="22"/>
        <v>309552.96639745083</v>
      </c>
      <c r="N41" s="31"/>
    </row>
    <row r="42" spans="2:15" s="10" customFormat="1" ht="15.75" thickBot="1" x14ac:dyDescent="0.3">
      <c r="B42" s="253" t="s">
        <v>303</v>
      </c>
      <c r="C42" s="235"/>
      <c r="D42" s="254">
        <f>D41*0.23</f>
        <v>8344.752625893052</v>
      </c>
      <c r="E42" s="254">
        <f>E41*0.22</f>
        <v>11156.807712849561</v>
      </c>
      <c r="F42" s="254">
        <f t="shared" ref="F42:M42" si="23">F41*0.22</f>
        <v>14706.510359468321</v>
      </c>
      <c r="G42" s="254">
        <f t="shared" si="23"/>
        <v>18645.327612436442</v>
      </c>
      <c r="H42" s="254">
        <f t="shared" si="23"/>
        <v>23013.878149473265</v>
      </c>
      <c r="I42" s="254">
        <f t="shared" si="23"/>
        <v>27856.927876924234</v>
      </c>
      <c r="J42" s="254">
        <f t="shared" si="23"/>
        <v>48286.194869837826</v>
      </c>
      <c r="K42" s="254">
        <f t="shared" si="23"/>
        <v>54231.266678677428</v>
      </c>
      <c r="L42" s="254">
        <f t="shared" si="23"/>
        <v>60814.423462160419</v>
      </c>
      <c r="M42" s="262">
        <f t="shared" si="23"/>
        <v>68101.652607439188</v>
      </c>
      <c r="N42" s="258"/>
    </row>
    <row r="43" spans="2:15" s="10" customFormat="1" ht="15.75" thickBot="1" x14ac:dyDescent="0.3">
      <c r="B43" s="250" t="s">
        <v>305</v>
      </c>
      <c r="C43" s="244"/>
      <c r="D43" s="245">
        <f>D41-D42</f>
        <v>27936.780530163698</v>
      </c>
      <c r="E43" s="251">
        <f t="shared" ref="E43:M43" si="24">E41-E42</f>
        <v>39555.954618284799</v>
      </c>
      <c r="F43" s="251">
        <f t="shared" si="24"/>
        <v>52141.264001751319</v>
      </c>
      <c r="G43" s="251">
        <f t="shared" si="24"/>
        <v>66106.161535001942</v>
      </c>
      <c r="H43" s="251">
        <f t="shared" si="24"/>
        <v>81594.658893587024</v>
      </c>
      <c r="I43" s="251">
        <f t="shared" si="24"/>
        <v>98765.471563640458</v>
      </c>
      <c r="J43" s="251">
        <f t="shared" si="24"/>
        <v>171196.50908397045</v>
      </c>
      <c r="K43" s="251">
        <f t="shared" si="24"/>
        <v>192274.49095167452</v>
      </c>
      <c r="L43" s="251">
        <f t="shared" si="24"/>
        <v>215614.77409311422</v>
      </c>
      <c r="M43" s="252">
        <f t="shared" si="24"/>
        <v>241451.31379001163</v>
      </c>
    </row>
    <row r="44" spans="2:15" s="10" customFormat="1" x14ac:dyDescent="0.25">
      <c r="B44" s="249" t="s">
        <v>96</v>
      </c>
      <c r="C44" s="235"/>
      <c r="D44" s="242">
        <f>D36</f>
        <v>13096.066666666666</v>
      </c>
      <c r="E44" s="242">
        <f t="shared" ref="E44:M45" si="25">E36</f>
        <v>13096.066666666666</v>
      </c>
      <c r="F44" s="242">
        <f t="shared" si="25"/>
        <v>13096.066666666666</v>
      </c>
      <c r="G44" s="242">
        <f t="shared" si="25"/>
        <v>13096.066666666666</v>
      </c>
      <c r="H44" s="242">
        <f t="shared" si="25"/>
        <v>13096.066666666666</v>
      </c>
      <c r="I44" s="242">
        <f t="shared" si="25"/>
        <v>13096.066666666666</v>
      </c>
      <c r="J44" s="242">
        <f t="shared" si="25"/>
        <v>13096.066666666666</v>
      </c>
      <c r="K44" s="242">
        <f t="shared" si="25"/>
        <v>13096.066666666666</v>
      </c>
      <c r="L44" s="242">
        <f t="shared" si="25"/>
        <v>13096.066666666666</v>
      </c>
      <c r="M44" s="242">
        <f t="shared" si="25"/>
        <v>13096.066666666666</v>
      </c>
    </row>
    <row r="45" spans="2:15" s="10" customFormat="1" x14ac:dyDescent="0.25">
      <c r="B45" s="249" t="s">
        <v>101</v>
      </c>
      <c r="C45" s="235"/>
      <c r="D45" s="239">
        <f>D37</f>
        <v>80017.94554661226</v>
      </c>
      <c r="E45" s="239">
        <f t="shared" si="25"/>
        <v>80105.96528671353</v>
      </c>
      <c r="F45" s="239">
        <f t="shared" si="25"/>
        <v>80194.08184852892</v>
      </c>
      <c r="G45" s="239">
        <f t="shared" si="25"/>
        <v>80282.295338562297</v>
      </c>
      <c r="H45" s="239">
        <f t="shared" si="25"/>
        <v>80370.605863434714</v>
      </c>
      <c r="I45" s="239">
        <f t="shared" si="25"/>
        <v>80459.013529884498</v>
      </c>
      <c r="J45" s="239">
        <f t="shared" si="25"/>
        <v>0</v>
      </c>
      <c r="K45" s="239">
        <f t="shared" si="25"/>
        <v>0</v>
      </c>
      <c r="L45" s="239">
        <f t="shared" si="25"/>
        <v>0</v>
      </c>
      <c r="M45" s="240">
        <f t="shared" si="25"/>
        <v>0</v>
      </c>
    </row>
    <row r="46" spans="2:15" s="10" customFormat="1" x14ac:dyDescent="0.25">
      <c r="B46" s="383" t="s">
        <v>332</v>
      </c>
      <c r="C46" s="384">
        <f>Financiamiento!$C$3</f>
        <v>799195</v>
      </c>
      <c r="D46" s="247"/>
      <c r="E46" s="247"/>
      <c r="F46" s="247"/>
      <c r="G46" s="247"/>
      <c r="H46" s="247"/>
      <c r="I46" s="247"/>
      <c r="J46" s="247"/>
      <c r="K46" s="247"/>
      <c r="L46" s="247"/>
      <c r="M46" s="255"/>
    </row>
    <row r="47" spans="2:15" s="10" customFormat="1" x14ac:dyDescent="0.25">
      <c r="B47" s="382" t="s">
        <v>334</v>
      </c>
      <c r="C47" s="384">
        <f>Financiamiento!$C$4</f>
        <v>3000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62"/>
    </row>
    <row r="48" spans="2:15" s="10" customFormat="1" x14ac:dyDescent="0.25">
      <c r="B48" s="266" t="s">
        <v>329</v>
      </c>
      <c r="C48" s="256">
        <f>Financiamiento!$C$5</f>
        <v>267649.23869728355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61"/>
    </row>
    <row r="49" spans="2:257" s="10" customFormat="1" x14ac:dyDescent="0.25">
      <c r="B49" s="253" t="s">
        <v>194</v>
      </c>
      <c r="C49" s="256">
        <f>Financiamiento!$C$8</f>
        <v>481429.90741377755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6"/>
    </row>
    <row r="50" spans="2:257" s="10" customFormat="1" x14ac:dyDescent="0.25">
      <c r="B50" s="266" t="s">
        <v>308</v>
      </c>
      <c r="C50" s="242"/>
      <c r="D50" s="242"/>
      <c r="E50" s="241"/>
      <c r="F50" s="241"/>
      <c r="G50" s="241"/>
      <c r="H50" s="241"/>
      <c r="I50" s="241"/>
      <c r="J50" s="241"/>
      <c r="K50" s="241"/>
      <c r="L50" s="241"/>
      <c r="M50" s="261">
        <f>Financiamiento!$C$5</f>
        <v>267649.23869728355</v>
      </c>
    </row>
    <row r="51" spans="2:257" s="13" customFormat="1" ht="15.75" thickBot="1" x14ac:dyDescent="0.3">
      <c r="B51" s="267" t="s">
        <v>306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3">
        <f>'Depreciación y Valor de Desecho'!$H$10</f>
        <v>720000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</row>
    <row r="52" spans="2:257" s="10" customFormat="1" ht="15.75" thickBot="1" x14ac:dyDescent="0.3">
      <c r="B52" s="265" t="s">
        <v>97</v>
      </c>
      <c r="C52" s="245">
        <f>-C46-C47-C48+C49</f>
        <v>-588414.33128350589</v>
      </c>
      <c r="D52" s="251">
        <f t="shared" ref="D52:M52" si="26">D43+D44+D45+D50+D51</f>
        <v>121050.79274344262</v>
      </c>
      <c r="E52" s="251">
        <f t="shared" si="26"/>
        <v>132757.98657166498</v>
      </c>
      <c r="F52" s="251">
        <f t="shared" si="26"/>
        <v>145431.4125169469</v>
      </c>
      <c r="G52" s="251">
        <f t="shared" si="26"/>
        <v>159484.5235402309</v>
      </c>
      <c r="H52" s="251">
        <f t="shared" si="26"/>
        <v>175061.33142368839</v>
      </c>
      <c r="I52" s="251">
        <f t="shared" si="26"/>
        <v>192320.55176019162</v>
      </c>
      <c r="J52" s="251">
        <f t="shared" si="26"/>
        <v>184292.5757506371</v>
      </c>
      <c r="K52" s="251">
        <f t="shared" si="26"/>
        <v>205370.55761834118</v>
      </c>
      <c r="L52" s="251">
        <f t="shared" si="26"/>
        <v>228710.8407597809</v>
      </c>
      <c r="M52" s="252">
        <f t="shared" si="26"/>
        <v>1242196.6191539618</v>
      </c>
    </row>
    <row r="53" spans="2:257" s="10" customFormat="1" ht="15.75" thickBot="1" x14ac:dyDescent="0.3">
      <c r="B53" s="263" t="s">
        <v>102</v>
      </c>
      <c r="C53" s="264">
        <f>NPV(C56,D52:M52)+C52</f>
        <v>-6968.9583147192607</v>
      </c>
    </row>
    <row r="54" spans="2:257" s="10" customFormat="1" ht="15.75" thickBot="1" x14ac:dyDescent="0.3">
      <c r="D54" s="36"/>
    </row>
    <row r="55" spans="2:257" s="10" customFormat="1" ht="15.75" thickBot="1" x14ac:dyDescent="0.3">
      <c r="C55" s="399" t="s">
        <v>103</v>
      </c>
      <c r="E55" s="400" t="s">
        <v>170</v>
      </c>
    </row>
    <row r="56" spans="2:257" s="10" customFormat="1" ht="15.75" thickBot="1" x14ac:dyDescent="0.3">
      <c r="C56" s="229">
        <f>'Cálculo TMAR'!$C$19</f>
        <v>0.28388233202605967</v>
      </c>
      <c r="E56" s="228">
        <f>IRR(C52:M52)</f>
        <v>0.28081571257348936</v>
      </c>
    </row>
    <row r="57" spans="2:257" s="10" customFormat="1" x14ac:dyDescent="0.25"/>
  </sheetData>
  <mergeCells count="3">
    <mergeCell ref="B2:M2"/>
    <mergeCell ref="B28:M28"/>
    <mergeCell ref="D21:H2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71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2.5703125" customWidth="1"/>
    <col min="2" max="2" width="24" customWidth="1"/>
    <col min="3" max="3" width="17.5703125" customWidth="1"/>
    <col min="4" max="4" width="14.85546875" bestFit="1" customWidth="1"/>
    <col min="5" max="5" width="15" customWidth="1"/>
    <col min="6" max="6" width="21.42578125" customWidth="1"/>
    <col min="7" max="7" width="13.5703125" customWidth="1"/>
    <col min="9" max="9" width="10.5703125" bestFit="1" customWidth="1"/>
  </cols>
  <sheetData>
    <row r="1" spans="2:7" ht="15.75" thickBot="1" x14ac:dyDescent="0.3">
      <c r="D1" s="307"/>
    </row>
    <row r="2" spans="2:7" ht="15.75" thickBot="1" x14ac:dyDescent="0.3">
      <c r="B2" s="432" t="s">
        <v>15</v>
      </c>
      <c r="C2" s="433"/>
      <c r="D2" s="385"/>
      <c r="F2" s="385"/>
      <c r="G2" s="385"/>
    </row>
    <row r="3" spans="2:7" x14ac:dyDescent="0.25">
      <c r="B3" s="398" t="s">
        <v>236</v>
      </c>
      <c r="C3" s="393">
        <f>Inversión!$D$21</f>
        <v>799195</v>
      </c>
      <c r="D3" s="304"/>
      <c r="F3" s="308"/>
      <c r="G3" s="397"/>
    </row>
    <row r="4" spans="2:7" x14ac:dyDescent="0.25">
      <c r="B4" s="234" t="s">
        <v>8</v>
      </c>
      <c r="C4" s="387">
        <f>Inversión!D22</f>
        <v>3000</v>
      </c>
      <c r="D4" s="445"/>
      <c r="F4" s="308"/>
      <c r="G4" s="397"/>
    </row>
    <row r="5" spans="2:7" s="306" customFormat="1" ht="15.75" thickBot="1" x14ac:dyDescent="0.3">
      <c r="B5" s="396" t="s">
        <v>210</v>
      </c>
      <c r="C5" s="389">
        <f>Inversión!D23</f>
        <v>267649.23869728355</v>
      </c>
      <c r="D5" s="445"/>
      <c r="F5" s="308"/>
      <c r="G5" s="397"/>
    </row>
    <row r="6" spans="2:7" ht="15.75" thickBot="1" x14ac:dyDescent="0.3">
      <c r="B6" s="230" t="s">
        <v>211</v>
      </c>
      <c r="C6" s="390">
        <f>SUM(C3:C5)</f>
        <v>1069844.2386972834</v>
      </c>
      <c r="D6" s="386"/>
      <c r="F6" s="308"/>
      <c r="G6" s="397"/>
    </row>
    <row r="7" spans="2:7" ht="15.75" thickBot="1" x14ac:dyDescent="0.3">
      <c r="B7" s="395" t="s">
        <v>331</v>
      </c>
      <c r="C7" s="391">
        <f>C6*D7</f>
        <v>588414.33128350589</v>
      </c>
      <c r="D7" s="386">
        <v>0.55000000000000004</v>
      </c>
      <c r="F7" s="110"/>
      <c r="G7" s="397"/>
    </row>
    <row r="8" spans="2:7" ht="15.75" thickBot="1" x14ac:dyDescent="0.3">
      <c r="B8" s="394" t="s">
        <v>333</v>
      </c>
      <c r="C8" s="392">
        <f>C6-C7</f>
        <v>481429.90741377755</v>
      </c>
      <c r="D8" s="388">
        <v>0.45</v>
      </c>
      <c r="F8" s="308"/>
      <c r="G8" s="312"/>
    </row>
    <row r="9" spans="2:7" s="306" customFormat="1" ht="15.75" thickBot="1" x14ac:dyDescent="0.3">
      <c r="C9" s="1"/>
      <c r="F9" s="308"/>
      <c r="G9" s="312"/>
    </row>
    <row r="10" spans="2:7" ht="15.75" thickBot="1" x14ac:dyDescent="0.3">
      <c r="B10" s="434" t="s">
        <v>21</v>
      </c>
      <c r="C10" s="435"/>
      <c r="D10" s="436"/>
    </row>
    <row r="11" spans="2:7" ht="15.75" thickBot="1" x14ac:dyDescent="0.3">
      <c r="B11" s="91" t="s">
        <v>234</v>
      </c>
      <c r="C11" s="92" t="s">
        <v>16</v>
      </c>
      <c r="D11" s="93" t="s">
        <v>17</v>
      </c>
    </row>
    <row r="12" spans="2:7" x14ac:dyDescent="0.25">
      <c r="B12" s="132" t="s">
        <v>18</v>
      </c>
      <c r="C12" s="118">
        <f>$C$7/3</f>
        <v>196138.11042783529</v>
      </c>
      <c r="D12" s="131">
        <f>(C12*$D$15)/$C$15</f>
        <v>0.33333333333333331</v>
      </c>
    </row>
    <row r="13" spans="2:7" x14ac:dyDescent="0.25">
      <c r="B13" s="133" t="s">
        <v>19</v>
      </c>
      <c r="C13" s="118">
        <f>$C$7/3</f>
        <v>196138.11042783529</v>
      </c>
      <c r="D13" s="130">
        <f>(C13*$D$15)/$C$15</f>
        <v>0.33333333333333331</v>
      </c>
    </row>
    <row r="14" spans="2:7" ht="15.75" thickBot="1" x14ac:dyDescent="0.3">
      <c r="B14" s="155" t="s">
        <v>20</v>
      </c>
      <c r="C14" s="118">
        <f>$C$7/3</f>
        <v>196138.11042783529</v>
      </c>
      <c r="D14" s="156">
        <f>(C14*$D$15)/$C$15</f>
        <v>0.33333333333333331</v>
      </c>
    </row>
    <row r="15" spans="2:7" ht="15.75" thickBot="1" x14ac:dyDescent="0.3">
      <c r="B15" s="152" t="s">
        <v>14</v>
      </c>
      <c r="C15" s="153">
        <f>SUM(C12:C14)</f>
        <v>588414.33128350589</v>
      </c>
      <c r="D15" s="154">
        <v>1</v>
      </c>
    </row>
    <row r="16" spans="2:7" ht="15.75" thickBot="1" x14ac:dyDescent="0.3"/>
    <row r="17" spans="2:7" ht="15.75" thickBot="1" x14ac:dyDescent="0.3">
      <c r="B17" s="437" t="s">
        <v>235</v>
      </c>
      <c r="C17" s="438"/>
    </row>
    <row r="18" spans="2:7" ht="15.75" thickBot="1" x14ac:dyDescent="0.3">
      <c r="B18" s="159" t="s">
        <v>22</v>
      </c>
      <c r="C18" s="160" t="s">
        <v>23</v>
      </c>
    </row>
    <row r="19" spans="2:7" ht="15.75" thickBot="1" x14ac:dyDescent="0.3">
      <c r="B19" s="157">
        <v>0.11</v>
      </c>
      <c r="C19" s="158">
        <f>B19/12</f>
        <v>9.1666666666666667E-3</v>
      </c>
    </row>
    <row r="20" spans="2:7" ht="15.75" thickBot="1" x14ac:dyDescent="0.3">
      <c r="B20" s="2"/>
      <c r="C20" s="2"/>
    </row>
    <row r="21" spans="2:7" ht="15.75" thickBot="1" x14ac:dyDescent="0.3">
      <c r="B21" s="442" t="s">
        <v>233</v>
      </c>
      <c r="C21" s="443"/>
      <c r="D21" s="443"/>
      <c r="E21" s="443"/>
      <c r="F21" s="443"/>
      <c r="G21" s="444"/>
    </row>
    <row r="22" spans="2:7" ht="15.75" thickBot="1" x14ac:dyDescent="0.3">
      <c r="B22" s="119" t="s">
        <v>230</v>
      </c>
      <c r="C22" s="120" t="s">
        <v>24</v>
      </c>
      <c r="D22" s="120" t="s">
        <v>231</v>
      </c>
      <c r="E22" s="120" t="s">
        <v>25</v>
      </c>
      <c r="F22" s="120" t="s">
        <v>26</v>
      </c>
      <c r="G22" s="121" t="s">
        <v>27</v>
      </c>
    </row>
    <row r="23" spans="2:7" x14ac:dyDescent="0.25">
      <c r="B23" s="127">
        <v>0</v>
      </c>
      <c r="C23" s="128">
        <v>0</v>
      </c>
      <c r="D23" s="128">
        <v>0</v>
      </c>
      <c r="E23" s="128">
        <v>0</v>
      </c>
      <c r="F23" s="128">
        <v>0</v>
      </c>
      <c r="G23" s="129">
        <f>C8</f>
        <v>481429.90741377755</v>
      </c>
    </row>
    <row r="24" spans="2:7" x14ac:dyDescent="0.25">
      <c r="B24" s="43">
        <v>1</v>
      </c>
      <c r="C24" s="122">
        <f>(($G$23*(($C$19/100))/(1-(1+($C$19/100))^-72)))</f>
        <v>6708.9227613632156</v>
      </c>
      <c r="D24" s="122">
        <f>G23*($C$19/100)</f>
        <v>44.131074846262941</v>
      </c>
      <c r="E24" s="122">
        <f>C24-D24</f>
        <v>6664.7916865169527</v>
      </c>
      <c r="F24" s="122">
        <f>E24</f>
        <v>6664.7916865169527</v>
      </c>
      <c r="G24" s="123">
        <f>G23-E24</f>
        <v>474765.11572726059</v>
      </c>
    </row>
    <row r="25" spans="2:7" x14ac:dyDescent="0.25">
      <c r="B25" s="43">
        <v>2</v>
      </c>
      <c r="C25" s="122">
        <f t="shared" ref="C25:C88" si="0">(($G$23*(($C$19/100))/(1-(1+($C$19/100))^-72)))</f>
        <v>6708.9227613632156</v>
      </c>
      <c r="D25" s="122">
        <f t="shared" ref="D25:D88" si="1">G24*($C$19/100)</f>
        <v>43.520135608332218</v>
      </c>
      <c r="E25" s="122">
        <f t="shared" ref="E25:E88" si="2">C25-D25</f>
        <v>6665.402625754883</v>
      </c>
      <c r="F25" s="122">
        <f>F24+E25</f>
        <v>13330.194312271837</v>
      </c>
      <c r="G25" s="123">
        <f t="shared" ref="G25:G88" si="3">G24-E25</f>
        <v>468099.71310150571</v>
      </c>
    </row>
    <row r="26" spans="2:7" x14ac:dyDescent="0.25">
      <c r="B26" s="43">
        <v>3</v>
      </c>
      <c r="C26" s="122">
        <f t="shared" si="0"/>
        <v>6708.9227613632156</v>
      </c>
      <c r="D26" s="122">
        <f t="shared" si="1"/>
        <v>42.909140367638024</v>
      </c>
      <c r="E26" s="122">
        <f t="shared" si="2"/>
        <v>6666.0136209955772</v>
      </c>
      <c r="F26" s="122">
        <f t="shared" ref="F26:F89" si="4">F25+E26</f>
        <v>19996.207933267415</v>
      </c>
      <c r="G26" s="123">
        <f t="shared" si="3"/>
        <v>461433.69948051014</v>
      </c>
    </row>
    <row r="27" spans="2:7" x14ac:dyDescent="0.25">
      <c r="B27" s="43">
        <v>4</v>
      </c>
      <c r="C27" s="122">
        <f t="shared" si="0"/>
        <v>6708.9227613632156</v>
      </c>
      <c r="D27" s="122">
        <f t="shared" si="1"/>
        <v>42.298089119046764</v>
      </c>
      <c r="E27" s="122">
        <f t="shared" si="2"/>
        <v>6666.6246722441692</v>
      </c>
      <c r="F27" s="122">
        <f t="shared" si="4"/>
        <v>26662.832605511583</v>
      </c>
      <c r="G27" s="123">
        <f t="shared" si="3"/>
        <v>454767.07480826596</v>
      </c>
    </row>
    <row r="28" spans="2:7" x14ac:dyDescent="0.25">
      <c r="B28" s="43">
        <v>5</v>
      </c>
      <c r="C28" s="122">
        <f t="shared" si="0"/>
        <v>6708.9227613632156</v>
      </c>
      <c r="D28" s="122">
        <f t="shared" si="1"/>
        <v>41.686981857424378</v>
      </c>
      <c r="E28" s="122">
        <f t="shared" si="2"/>
        <v>6667.2357795057915</v>
      </c>
      <c r="F28" s="122">
        <f t="shared" si="4"/>
        <v>33330.068385017374</v>
      </c>
      <c r="G28" s="123">
        <f t="shared" si="3"/>
        <v>448099.83902876015</v>
      </c>
    </row>
    <row r="29" spans="2:7" x14ac:dyDescent="0.25">
      <c r="B29" s="43">
        <v>6</v>
      </c>
      <c r="C29" s="122">
        <f t="shared" si="0"/>
        <v>6708.9227613632156</v>
      </c>
      <c r="D29" s="122">
        <f t="shared" si="1"/>
        <v>41.075818577636348</v>
      </c>
      <c r="E29" s="122">
        <f t="shared" si="2"/>
        <v>6667.8469427855789</v>
      </c>
      <c r="F29" s="122">
        <f t="shared" si="4"/>
        <v>39997.915327802955</v>
      </c>
      <c r="G29" s="123">
        <f t="shared" si="3"/>
        <v>441431.99208597455</v>
      </c>
    </row>
    <row r="30" spans="2:7" x14ac:dyDescent="0.25">
      <c r="B30" s="43">
        <v>7</v>
      </c>
      <c r="C30" s="122">
        <f t="shared" si="0"/>
        <v>6708.9227613632156</v>
      </c>
      <c r="D30" s="122">
        <f t="shared" si="1"/>
        <v>40.464599274547666</v>
      </c>
      <c r="E30" s="122">
        <f t="shared" si="2"/>
        <v>6668.4581620886684</v>
      </c>
      <c r="F30" s="122">
        <f t="shared" si="4"/>
        <v>46666.373489891623</v>
      </c>
      <c r="G30" s="123">
        <f t="shared" si="3"/>
        <v>434763.5339238859</v>
      </c>
    </row>
    <row r="31" spans="2:7" x14ac:dyDescent="0.25">
      <c r="B31" s="43">
        <v>8</v>
      </c>
      <c r="C31" s="122">
        <f t="shared" si="0"/>
        <v>6708.9227613632156</v>
      </c>
      <c r="D31" s="122">
        <f t="shared" si="1"/>
        <v>39.853323943022872</v>
      </c>
      <c r="E31" s="122">
        <f t="shared" si="2"/>
        <v>6669.069437420193</v>
      </c>
      <c r="F31" s="122">
        <f t="shared" si="4"/>
        <v>53335.442927311815</v>
      </c>
      <c r="G31" s="123">
        <f t="shared" si="3"/>
        <v>428094.46448646573</v>
      </c>
    </row>
    <row r="32" spans="2:7" x14ac:dyDescent="0.25">
      <c r="B32" s="43">
        <v>9</v>
      </c>
      <c r="C32" s="122">
        <f t="shared" si="0"/>
        <v>6708.9227613632156</v>
      </c>
      <c r="D32" s="122">
        <f t="shared" si="1"/>
        <v>39.241992577926027</v>
      </c>
      <c r="E32" s="122">
        <f t="shared" si="2"/>
        <v>6669.6807687852897</v>
      </c>
      <c r="F32" s="122">
        <f t="shared" si="4"/>
        <v>60005.123696097107</v>
      </c>
      <c r="G32" s="123">
        <f t="shared" si="3"/>
        <v>421424.78371768043</v>
      </c>
    </row>
    <row r="33" spans="2:20" x14ac:dyDescent="0.25">
      <c r="B33" s="43">
        <v>10</v>
      </c>
      <c r="C33" s="122">
        <f t="shared" si="0"/>
        <v>6708.9227613632156</v>
      </c>
      <c r="D33" s="122">
        <f t="shared" si="1"/>
        <v>38.63060517412071</v>
      </c>
      <c r="E33" s="122">
        <f t="shared" si="2"/>
        <v>6670.2921561890953</v>
      </c>
      <c r="F33" s="122">
        <f t="shared" si="4"/>
        <v>66675.415852286198</v>
      </c>
      <c r="G33" s="123">
        <f t="shared" si="3"/>
        <v>414754.49156149133</v>
      </c>
    </row>
    <row r="34" spans="2:20" x14ac:dyDescent="0.25">
      <c r="B34" s="43">
        <v>11</v>
      </c>
      <c r="C34" s="122">
        <f t="shared" si="0"/>
        <v>6708.9227613632156</v>
      </c>
      <c r="D34" s="122">
        <f t="shared" si="1"/>
        <v>38.019161726470038</v>
      </c>
      <c r="E34" s="122">
        <f t="shared" si="2"/>
        <v>6670.9035996367456</v>
      </c>
      <c r="F34" s="122">
        <f t="shared" si="4"/>
        <v>73346.319451922944</v>
      </c>
      <c r="G34" s="123">
        <f t="shared" si="3"/>
        <v>408083.58796185459</v>
      </c>
    </row>
    <row r="35" spans="2:20" x14ac:dyDescent="0.25">
      <c r="B35" s="43">
        <v>12</v>
      </c>
      <c r="C35" s="122">
        <f t="shared" si="0"/>
        <v>6708.9227613632156</v>
      </c>
      <c r="D35" s="122">
        <f t="shared" si="1"/>
        <v>37.407662229836674</v>
      </c>
      <c r="E35" s="122">
        <f t="shared" si="2"/>
        <v>6671.5150991333785</v>
      </c>
      <c r="F35" s="122">
        <f t="shared" si="4"/>
        <v>80017.834551056323</v>
      </c>
      <c r="G35" s="123">
        <f t="shared" si="3"/>
        <v>401412.07286272122</v>
      </c>
    </row>
    <row r="36" spans="2:20" x14ac:dyDescent="0.25">
      <c r="B36" s="43">
        <v>13</v>
      </c>
      <c r="C36" s="122">
        <f t="shared" si="0"/>
        <v>6708.9227613632156</v>
      </c>
      <c r="D36" s="122">
        <f>G35*($C$19/100)</f>
        <v>36.796106679082776</v>
      </c>
      <c r="E36" s="122">
        <f t="shared" si="2"/>
        <v>6672.1266546841325</v>
      </c>
      <c r="F36" s="122">
        <f t="shared" si="4"/>
        <v>86689.961205740459</v>
      </c>
      <c r="G36" s="123">
        <f>G35-E36</f>
        <v>394739.94620803709</v>
      </c>
    </row>
    <row r="37" spans="2:20" x14ac:dyDescent="0.25">
      <c r="B37" s="43">
        <v>14</v>
      </c>
      <c r="C37" s="122">
        <f t="shared" si="0"/>
        <v>6708.9227613632156</v>
      </c>
      <c r="D37" s="122">
        <f t="shared" si="1"/>
        <v>36.184495069070067</v>
      </c>
      <c r="E37" s="122">
        <f t="shared" si="2"/>
        <v>6672.7382662941454</v>
      </c>
      <c r="F37" s="122">
        <f t="shared" si="4"/>
        <v>93362.699472034612</v>
      </c>
      <c r="G37" s="123">
        <f t="shared" si="3"/>
        <v>388067.20794174296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x14ac:dyDescent="0.25">
      <c r="B38" s="43">
        <v>15</v>
      </c>
      <c r="C38" s="122">
        <f t="shared" si="0"/>
        <v>6708.9227613632156</v>
      </c>
      <c r="D38" s="122">
        <f t="shared" si="1"/>
        <v>35.572827394659775</v>
      </c>
      <c r="E38" s="122">
        <f t="shared" si="2"/>
        <v>6673.3499339685559</v>
      </c>
      <c r="F38" s="122">
        <f t="shared" si="4"/>
        <v>100036.04940600316</v>
      </c>
      <c r="G38" s="123">
        <f t="shared" si="3"/>
        <v>381393.8580077744</v>
      </c>
      <c r="I38" s="1"/>
      <c r="J38" s="1"/>
    </row>
    <row r="39" spans="2:20" x14ac:dyDescent="0.25">
      <c r="B39" s="43">
        <v>16</v>
      </c>
      <c r="C39" s="122">
        <f t="shared" si="0"/>
        <v>6708.9227613632156</v>
      </c>
      <c r="D39" s="122">
        <f t="shared" si="1"/>
        <v>34.961103650712651</v>
      </c>
      <c r="E39" s="122">
        <f t="shared" si="2"/>
        <v>6673.9616577125025</v>
      </c>
      <c r="F39" s="122">
        <f t="shared" si="4"/>
        <v>106710.01106371566</v>
      </c>
      <c r="G39" s="123">
        <f t="shared" si="3"/>
        <v>374719.89635006187</v>
      </c>
      <c r="I39" s="1"/>
      <c r="J39" s="1"/>
    </row>
    <row r="40" spans="2:20" x14ac:dyDescent="0.25">
      <c r="B40" s="43">
        <v>17</v>
      </c>
      <c r="C40" s="122">
        <f t="shared" si="0"/>
        <v>6708.9227613632156</v>
      </c>
      <c r="D40" s="122">
        <f t="shared" si="1"/>
        <v>34.349323832089006</v>
      </c>
      <c r="E40" s="122">
        <f t="shared" si="2"/>
        <v>6674.5734375311267</v>
      </c>
      <c r="F40" s="122">
        <f t="shared" si="4"/>
        <v>113384.58450124679</v>
      </c>
      <c r="G40" s="123">
        <f t="shared" si="3"/>
        <v>368045.32291253074</v>
      </c>
      <c r="I40" s="1"/>
      <c r="J40" s="1"/>
    </row>
    <row r="41" spans="2:20" x14ac:dyDescent="0.25">
      <c r="B41" s="43">
        <v>18</v>
      </c>
      <c r="C41" s="122">
        <f t="shared" si="0"/>
        <v>6708.9227613632156</v>
      </c>
      <c r="D41" s="122">
        <f t="shared" si="1"/>
        <v>33.737487933648652</v>
      </c>
      <c r="E41" s="122">
        <f t="shared" si="2"/>
        <v>6675.1852734295671</v>
      </c>
      <c r="F41" s="122">
        <f t="shared" si="4"/>
        <v>120059.76977467636</v>
      </c>
      <c r="G41" s="123">
        <f t="shared" si="3"/>
        <v>361370.13763910119</v>
      </c>
      <c r="I41" s="1"/>
      <c r="J41" s="1"/>
    </row>
    <row r="42" spans="2:20" x14ac:dyDescent="0.25">
      <c r="B42" s="43">
        <v>19</v>
      </c>
      <c r="C42" s="122">
        <f t="shared" si="0"/>
        <v>6708.9227613632156</v>
      </c>
      <c r="D42" s="122">
        <f t="shared" si="1"/>
        <v>33.12559595025094</v>
      </c>
      <c r="E42" s="122">
        <f t="shared" si="2"/>
        <v>6675.7971654129651</v>
      </c>
      <c r="F42" s="122">
        <f t="shared" si="4"/>
        <v>126735.56694008932</v>
      </c>
      <c r="G42" s="123">
        <f t="shared" si="3"/>
        <v>354694.34047368821</v>
      </c>
      <c r="I42" s="1"/>
      <c r="J42" s="1"/>
    </row>
    <row r="43" spans="2:20" x14ac:dyDescent="0.25">
      <c r="B43" s="43">
        <v>20</v>
      </c>
      <c r="C43" s="122">
        <f t="shared" si="0"/>
        <v>6708.9227613632156</v>
      </c>
      <c r="D43" s="122">
        <f t="shared" si="1"/>
        <v>32.513647876754753</v>
      </c>
      <c r="E43" s="122">
        <f t="shared" si="2"/>
        <v>6676.4091134864611</v>
      </c>
      <c r="F43" s="122">
        <f t="shared" si="4"/>
        <v>133411.97605357578</v>
      </c>
      <c r="G43" s="123">
        <f t="shared" si="3"/>
        <v>348017.93136020174</v>
      </c>
      <c r="I43" s="1"/>
      <c r="J43" s="1"/>
    </row>
    <row r="44" spans="2:20" x14ac:dyDescent="0.25">
      <c r="B44" s="43">
        <v>21</v>
      </c>
      <c r="C44" s="122">
        <f t="shared" si="0"/>
        <v>6708.9227613632156</v>
      </c>
      <c r="D44" s="122">
        <f t="shared" si="1"/>
        <v>31.901643708018494</v>
      </c>
      <c r="E44" s="122">
        <f t="shared" si="2"/>
        <v>6677.0211176551975</v>
      </c>
      <c r="F44" s="122">
        <f t="shared" si="4"/>
        <v>140088.99717123099</v>
      </c>
      <c r="G44" s="123">
        <f t="shared" si="3"/>
        <v>341340.91024254652</v>
      </c>
      <c r="I44" s="1"/>
      <c r="J44" s="1"/>
    </row>
    <row r="45" spans="2:20" x14ac:dyDescent="0.25">
      <c r="B45" s="43">
        <v>22</v>
      </c>
      <c r="C45" s="122">
        <f t="shared" si="0"/>
        <v>6708.9227613632156</v>
      </c>
      <c r="D45" s="122">
        <f t="shared" si="1"/>
        <v>31.289583438900099</v>
      </c>
      <c r="E45" s="122">
        <f t="shared" si="2"/>
        <v>6677.6331779243155</v>
      </c>
      <c r="F45" s="122">
        <f t="shared" si="4"/>
        <v>146766.63034915531</v>
      </c>
      <c r="G45" s="123">
        <f t="shared" si="3"/>
        <v>334663.27706462221</v>
      </c>
      <c r="I45" s="1"/>
      <c r="J45" s="1"/>
    </row>
    <row r="46" spans="2:20" x14ac:dyDescent="0.25">
      <c r="B46" s="43">
        <v>23</v>
      </c>
      <c r="C46" s="122">
        <f t="shared" si="0"/>
        <v>6708.9227613632156</v>
      </c>
      <c r="D46" s="122">
        <f t="shared" si="1"/>
        <v>30.677467064257037</v>
      </c>
      <c r="E46" s="122">
        <f t="shared" si="2"/>
        <v>6678.2452942989585</v>
      </c>
      <c r="F46" s="122">
        <f t="shared" si="4"/>
        <v>153444.87564345426</v>
      </c>
      <c r="G46" s="123">
        <f t="shared" si="3"/>
        <v>327985.03177032323</v>
      </c>
      <c r="I46" s="3"/>
      <c r="J46" s="3"/>
    </row>
    <row r="47" spans="2:20" x14ac:dyDescent="0.25">
      <c r="B47" s="43">
        <v>24</v>
      </c>
      <c r="C47" s="122">
        <f t="shared" si="0"/>
        <v>6708.9227613632156</v>
      </c>
      <c r="D47" s="122">
        <f t="shared" si="1"/>
        <v>30.065294578946297</v>
      </c>
      <c r="E47" s="122">
        <f t="shared" si="2"/>
        <v>6678.8574667842695</v>
      </c>
      <c r="F47" s="122">
        <f t="shared" si="4"/>
        <v>160123.73311023854</v>
      </c>
      <c r="G47" s="123">
        <f t="shared" si="3"/>
        <v>321306.17430353898</v>
      </c>
    </row>
    <row r="48" spans="2:20" x14ac:dyDescent="0.25">
      <c r="B48" s="43">
        <v>25</v>
      </c>
      <c r="C48" s="122">
        <f t="shared" si="0"/>
        <v>6708.9227613632156</v>
      </c>
      <c r="D48" s="122">
        <f>G47*($C$19/100)</f>
        <v>29.453065977824409</v>
      </c>
      <c r="E48" s="124">
        <f t="shared" si="2"/>
        <v>6679.4696953853909</v>
      </c>
      <c r="F48" s="122">
        <f t="shared" si="4"/>
        <v>166803.20280562394</v>
      </c>
      <c r="G48" s="123">
        <f>G47-E48</f>
        <v>314626.70460815361</v>
      </c>
    </row>
    <row r="49" spans="2:7" x14ac:dyDescent="0.25">
      <c r="B49" s="43">
        <v>26</v>
      </c>
      <c r="C49" s="122">
        <f t="shared" si="0"/>
        <v>6708.9227613632156</v>
      </c>
      <c r="D49" s="122">
        <f t="shared" si="1"/>
        <v>28.840781255747416</v>
      </c>
      <c r="E49" s="124">
        <f t="shared" si="2"/>
        <v>6680.0819801074686</v>
      </c>
      <c r="F49" s="122">
        <f t="shared" si="4"/>
        <v>173483.2847857314</v>
      </c>
      <c r="G49" s="123">
        <f t="shared" si="3"/>
        <v>307946.62262804614</v>
      </c>
    </row>
    <row r="50" spans="2:7" x14ac:dyDescent="0.25">
      <c r="B50" s="43">
        <v>27</v>
      </c>
      <c r="C50" s="122">
        <f t="shared" si="0"/>
        <v>6708.9227613632156</v>
      </c>
      <c r="D50" s="122">
        <f t="shared" si="1"/>
        <v>28.228440407570897</v>
      </c>
      <c r="E50" s="124">
        <f t="shared" si="2"/>
        <v>6680.6943209556448</v>
      </c>
      <c r="F50" s="122">
        <f t="shared" si="4"/>
        <v>180163.97910668704</v>
      </c>
      <c r="G50" s="123">
        <f t="shared" si="3"/>
        <v>301265.92830709048</v>
      </c>
    </row>
    <row r="51" spans="2:7" x14ac:dyDescent="0.25">
      <c r="B51" s="43">
        <v>28</v>
      </c>
      <c r="C51" s="122">
        <f t="shared" si="0"/>
        <v>6708.9227613632156</v>
      </c>
      <c r="D51" s="122">
        <f t="shared" si="1"/>
        <v>27.616043428149961</v>
      </c>
      <c r="E51" s="124">
        <f t="shared" si="2"/>
        <v>6681.3067179350655</v>
      </c>
      <c r="F51" s="122">
        <f t="shared" si="4"/>
        <v>186845.28582462211</v>
      </c>
      <c r="G51" s="123">
        <f t="shared" si="3"/>
        <v>294584.6215891554</v>
      </c>
    </row>
    <row r="52" spans="2:7" x14ac:dyDescent="0.25">
      <c r="B52" s="43">
        <v>29</v>
      </c>
      <c r="C52" s="122">
        <f t="shared" si="0"/>
        <v>6708.9227613632156</v>
      </c>
      <c r="D52" s="122">
        <f t="shared" si="1"/>
        <v>27.003590312339245</v>
      </c>
      <c r="E52" s="124">
        <f t="shared" si="2"/>
        <v>6681.9191710508767</v>
      </c>
      <c r="F52" s="122">
        <f t="shared" si="4"/>
        <v>193527.204995673</v>
      </c>
      <c r="G52" s="123">
        <f t="shared" si="3"/>
        <v>287902.70241810451</v>
      </c>
    </row>
    <row r="53" spans="2:7" x14ac:dyDescent="0.25">
      <c r="B53" s="43">
        <v>30</v>
      </c>
      <c r="C53" s="122">
        <f t="shared" si="0"/>
        <v>6708.9227613632156</v>
      </c>
      <c r="D53" s="122">
        <f t="shared" si="1"/>
        <v>26.391081054992913</v>
      </c>
      <c r="E53" s="124">
        <f t="shared" si="2"/>
        <v>6682.5316803082223</v>
      </c>
      <c r="F53" s="122">
        <f t="shared" si="4"/>
        <v>200209.73667598123</v>
      </c>
      <c r="G53" s="123">
        <f t="shared" si="3"/>
        <v>281220.17073779629</v>
      </c>
    </row>
    <row r="54" spans="2:7" x14ac:dyDescent="0.25">
      <c r="B54" s="43">
        <v>31</v>
      </c>
      <c r="C54" s="122">
        <f t="shared" si="0"/>
        <v>6708.9227613632156</v>
      </c>
      <c r="D54" s="122">
        <f t="shared" si="1"/>
        <v>25.77851565096466</v>
      </c>
      <c r="E54" s="124">
        <f t="shared" si="2"/>
        <v>6683.1442457122512</v>
      </c>
      <c r="F54" s="122">
        <f t="shared" si="4"/>
        <v>206892.88092169349</v>
      </c>
      <c r="G54" s="123">
        <f t="shared" si="3"/>
        <v>274537.02649208403</v>
      </c>
    </row>
    <row r="55" spans="2:7" x14ac:dyDescent="0.25">
      <c r="B55" s="43">
        <v>32</v>
      </c>
      <c r="C55" s="122">
        <f t="shared" si="0"/>
        <v>6708.9227613632156</v>
      </c>
      <c r="D55" s="122">
        <f t="shared" si="1"/>
        <v>25.165894095107703</v>
      </c>
      <c r="E55" s="124">
        <f t="shared" si="2"/>
        <v>6683.7568672681082</v>
      </c>
      <c r="F55" s="122">
        <f t="shared" si="4"/>
        <v>213576.63778896158</v>
      </c>
      <c r="G55" s="123">
        <f t="shared" si="3"/>
        <v>267853.2696248159</v>
      </c>
    </row>
    <row r="56" spans="2:7" x14ac:dyDescent="0.25">
      <c r="B56" s="43">
        <v>33</v>
      </c>
      <c r="C56" s="122">
        <f t="shared" si="0"/>
        <v>6708.9227613632156</v>
      </c>
      <c r="D56" s="122">
        <f t="shared" si="1"/>
        <v>24.55321638227479</v>
      </c>
      <c r="E56" s="124">
        <f t="shared" si="2"/>
        <v>6684.3695449809411</v>
      </c>
      <c r="F56" s="122">
        <f t="shared" si="4"/>
        <v>220261.00733394251</v>
      </c>
      <c r="G56" s="123">
        <f t="shared" si="3"/>
        <v>261168.90007983497</v>
      </c>
    </row>
    <row r="57" spans="2:7" x14ac:dyDescent="0.25">
      <c r="B57" s="43">
        <v>34</v>
      </c>
      <c r="C57" s="122">
        <f t="shared" si="0"/>
        <v>6708.9227613632156</v>
      </c>
      <c r="D57" s="122">
        <f t="shared" si="1"/>
        <v>23.940482507318205</v>
      </c>
      <c r="E57" s="124">
        <f t="shared" si="2"/>
        <v>6684.9822788558977</v>
      </c>
      <c r="F57" s="122">
        <f t="shared" si="4"/>
        <v>226945.98961279841</v>
      </c>
      <c r="G57" s="123">
        <f t="shared" si="3"/>
        <v>254483.91780097908</v>
      </c>
    </row>
    <row r="58" spans="2:7" x14ac:dyDescent="0.25">
      <c r="B58" s="43">
        <v>35</v>
      </c>
      <c r="C58" s="122">
        <f t="shared" si="0"/>
        <v>6708.9227613632156</v>
      </c>
      <c r="D58" s="122">
        <f t="shared" si="1"/>
        <v>23.327692465089751</v>
      </c>
      <c r="E58" s="124">
        <f t="shared" si="2"/>
        <v>6685.5950688981256</v>
      </c>
      <c r="F58" s="122">
        <f t="shared" si="4"/>
        <v>233631.58468169655</v>
      </c>
      <c r="G58" s="123">
        <f t="shared" si="3"/>
        <v>247798.32273208094</v>
      </c>
    </row>
    <row r="59" spans="2:7" x14ac:dyDescent="0.25">
      <c r="B59" s="43">
        <v>36</v>
      </c>
      <c r="C59" s="122">
        <f t="shared" si="0"/>
        <v>6708.9227613632156</v>
      </c>
      <c r="D59" s="122">
        <f t="shared" si="1"/>
        <v>22.714846250440754</v>
      </c>
      <c r="E59" s="124">
        <f t="shared" si="2"/>
        <v>6686.2079151127746</v>
      </c>
      <c r="F59" s="122">
        <f t="shared" si="4"/>
        <v>240317.79259680933</v>
      </c>
      <c r="G59" s="123">
        <f t="shared" si="3"/>
        <v>241112.11481696815</v>
      </c>
    </row>
    <row r="60" spans="2:7" x14ac:dyDescent="0.25">
      <c r="B60" s="43">
        <v>37</v>
      </c>
      <c r="C60" s="122">
        <f t="shared" si="0"/>
        <v>6708.9227613632156</v>
      </c>
      <c r="D60" s="122">
        <f>G59*($C$19/100)</f>
        <v>22.101943858222082</v>
      </c>
      <c r="E60" s="122">
        <f t="shared" si="2"/>
        <v>6686.8208175049931</v>
      </c>
      <c r="F60" s="122">
        <f t="shared" si="4"/>
        <v>247004.61341431431</v>
      </c>
      <c r="G60" s="123">
        <f>G59-E60</f>
        <v>234425.29399946317</v>
      </c>
    </row>
    <row r="61" spans="2:7" x14ac:dyDescent="0.25">
      <c r="B61" s="43">
        <v>38</v>
      </c>
      <c r="C61" s="122">
        <f t="shared" si="0"/>
        <v>6708.9227613632156</v>
      </c>
      <c r="D61" s="122">
        <f>G60*($C$19/100)</f>
        <v>21.488985283284123</v>
      </c>
      <c r="E61" s="122">
        <f t="shared" si="2"/>
        <v>6687.4337760799317</v>
      </c>
      <c r="F61" s="122">
        <f t="shared" si="4"/>
        <v>253692.04719039425</v>
      </c>
      <c r="G61" s="123">
        <f>G60-E61</f>
        <v>227737.86022338324</v>
      </c>
    </row>
    <row r="62" spans="2:7" x14ac:dyDescent="0.25">
      <c r="B62" s="43">
        <v>39</v>
      </c>
      <c r="C62" s="122">
        <f t="shared" si="0"/>
        <v>6708.9227613632156</v>
      </c>
      <c r="D62" s="122">
        <f t="shared" si="1"/>
        <v>20.875970520476798</v>
      </c>
      <c r="E62" s="122">
        <f t="shared" si="2"/>
        <v>6688.046790842739</v>
      </c>
      <c r="F62" s="122">
        <f t="shared" si="4"/>
        <v>260380.09398123701</v>
      </c>
      <c r="G62" s="123">
        <f t="shared" si="3"/>
        <v>221049.81343254048</v>
      </c>
    </row>
    <row r="63" spans="2:7" x14ac:dyDescent="0.25">
      <c r="B63" s="43">
        <v>40</v>
      </c>
      <c r="C63" s="122">
        <f t="shared" si="0"/>
        <v>6708.9227613632156</v>
      </c>
      <c r="D63" s="122">
        <f t="shared" si="1"/>
        <v>20.262899564649544</v>
      </c>
      <c r="E63" s="122">
        <f t="shared" si="2"/>
        <v>6688.6598617985665</v>
      </c>
      <c r="F63" s="122">
        <f t="shared" si="4"/>
        <v>267068.75384303555</v>
      </c>
      <c r="G63" s="123">
        <f t="shared" si="3"/>
        <v>214361.15357074191</v>
      </c>
    </row>
    <row r="64" spans="2:7" x14ac:dyDescent="0.25">
      <c r="B64" s="43">
        <v>41</v>
      </c>
      <c r="C64" s="122">
        <f t="shared" si="0"/>
        <v>6708.9227613632156</v>
      </c>
      <c r="D64" s="122">
        <f t="shared" si="1"/>
        <v>19.649772410651341</v>
      </c>
      <c r="E64" s="122">
        <f t="shared" si="2"/>
        <v>6689.2729889525644</v>
      </c>
      <c r="F64" s="122">
        <f t="shared" si="4"/>
        <v>273758.02683198813</v>
      </c>
      <c r="G64" s="123">
        <f t="shared" si="3"/>
        <v>207671.88058178936</v>
      </c>
    </row>
    <row r="65" spans="2:7" x14ac:dyDescent="0.25">
      <c r="B65" s="43">
        <v>42</v>
      </c>
      <c r="C65" s="122">
        <f t="shared" si="0"/>
        <v>6708.9227613632156</v>
      </c>
      <c r="D65" s="122">
        <f t="shared" si="1"/>
        <v>19.03658905333069</v>
      </c>
      <c r="E65" s="122">
        <f t="shared" si="2"/>
        <v>6689.8861723098853</v>
      </c>
      <c r="F65" s="122">
        <f t="shared" si="4"/>
        <v>280447.913004298</v>
      </c>
      <c r="G65" s="123">
        <f t="shared" si="3"/>
        <v>200981.99440947946</v>
      </c>
    </row>
    <row r="66" spans="2:7" x14ac:dyDescent="0.25">
      <c r="B66" s="43">
        <v>43</v>
      </c>
      <c r="C66" s="122">
        <f t="shared" si="0"/>
        <v>6708.9227613632156</v>
      </c>
      <c r="D66" s="122">
        <f t="shared" si="1"/>
        <v>18.423349487535617</v>
      </c>
      <c r="E66" s="122">
        <f t="shared" si="2"/>
        <v>6690.4994118756804</v>
      </c>
      <c r="F66" s="122">
        <f t="shared" si="4"/>
        <v>287138.41241617367</v>
      </c>
      <c r="G66" s="123">
        <f t="shared" si="3"/>
        <v>194291.49499760379</v>
      </c>
    </row>
    <row r="67" spans="2:7" x14ac:dyDescent="0.25">
      <c r="B67" s="43">
        <v>44</v>
      </c>
      <c r="C67" s="122">
        <f t="shared" si="0"/>
        <v>6708.9227613632156</v>
      </c>
      <c r="D67" s="122">
        <f t="shared" si="1"/>
        <v>17.810053708113681</v>
      </c>
      <c r="E67" s="122">
        <f t="shared" si="2"/>
        <v>6691.112707655102</v>
      </c>
      <c r="F67" s="122">
        <f t="shared" si="4"/>
        <v>293829.52512382879</v>
      </c>
      <c r="G67" s="123">
        <f t="shared" si="3"/>
        <v>187600.3822899487</v>
      </c>
    </row>
    <row r="68" spans="2:7" x14ac:dyDescent="0.25">
      <c r="B68" s="43">
        <v>45</v>
      </c>
      <c r="C68" s="122">
        <f t="shared" si="0"/>
        <v>6708.9227613632156</v>
      </c>
      <c r="D68" s="122">
        <f t="shared" si="1"/>
        <v>17.196701709911963</v>
      </c>
      <c r="E68" s="122">
        <f t="shared" si="2"/>
        <v>6691.7260596533033</v>
      </c>
      <c r="F68" s="122">
        <f t="shared" si="4"/>
        <v>300521.25118348212</v>
      </c>
      <c r="G68" s="123">
        <f t="shared" si="3"/>
        <v>180908.6562302954</v>
      </c>
    </row>
    <row r="69" spans="2:7" x14ac:dyDescent="0.25">
      <c r="B69" s="43">
        <v>46</v>
      </c>
      <c r="C69" s="122">
        <f t="shared" si="0"/>
        <v>6708.9227613632156</v>
      </c>
      <c r="D69" s="122">
        <f t="shared" si="1"/>
        <v>16.583293487777077</v>
      </c>
      <c r="E69" s="122">
        <f t="shared" si="2"/>
        <v>6692.3394678754385</v>
      </c>
      <c r="F69" s="122">
        <f t="shared" si="4"/>
        <v>307213.59065135755</v>
      </c>
      <c r="G69" s="123">
        <f t="shared" si="3"/>
        <v>174216.31676241997</v>
      </c>
    </row>
    <row r="70" spans="2:7" x14ac:dyDescent="0.25">
      <c r="B70" s="43">
        <v>47</v>
      </c>
      <c r="C70" s="122">
        <f t="shared" si="0"/>
        <v>6708.9227613632156</v>
      </c>
      <c r="D70" s="122">
        <f t="shared" si="1"/>
        <v>15.969829036555165</v>
      </c>
      <c r="E70" s="122">
        <f t="shared" si="2"/>
        <v>6692.9529323266606</v>
      </c>
      <c r="F70" s="122">
        <f t="shared" si="4"/>
        <v>313906.54358368419</v>
      </c>
      <c r="G70" s="123">
        <f t="shared" si="3"/>
        <v>167523.36383009332</v>
      </c>
    </row>
    <row r="71" spans="2:7" x14ac:dyDescent="0.25">
      <c r="B71" s="43">
        <v>48</v>
      </c>
      <c r="C71" s="122">
        <f t="shared" si="0"/>
        <v>6708.9227613632156</v>
      </c>
      <c r="D71" s="122">
        <f t="shared" si="1"/>
        <v>15.356308351091888</v>
      </c>
      <c r="E71" s="122">
        <f t="shared" si="2"/>
        <v>6693.5664530121239</v>
      </c>
      <c r="F71" s="122">
        <f t="shared" si="4"/>
        <v>320600.11003669631</v>
      </c>
      <c r="G71" s="123">
        <f t="shared" si="3"/>
        <v>160829.79737708121</v>
      </c>
    </row>
    <row r="72" spans="2:7" x14ac:dyDescent="0.25">
      <c r="B72" s="43">
        <v>49</v>
      </c>
      <c r="C72" s="122">
        <f t="shared" si="0"/>
        <v>6708.9227613632156</v>
      </c>
      <c r="D72" s="122">
        <f>G71*($C$19/100)</f>
        <v>14.742731426232444</v>
      </c>
      <c r="E72" s="122">
        <f t="shared" si="2"/>
        <v>6694.1800299369834</v>
      </c>
      <c r="F72" s="122">
        <f t="shared" si="4"/>
        <v>327294.29006663332</v>
      </c>
      <c r="G72" s="123">
        <f>G71-E72</f>
        <v>154135.61734714423</v>
      </c>
    </row>
    <row r="73" spans="2:7" x14ac:dyDescent="0.25">
      <c r="B73" s="43">
        <v>50</v>
      </c>
      <c r="C73" s="122">
        <f t="shared" si="0"/>
        <v>6708.9227613632156</v>
      </c>
      <c r="D73" s="122">
        <f t="shared" si="1"/>
        <v>14.129098256821555</v>
      </c>
      <c r="E73" s="122">
        <f t="shared" si="2"/>
        <v>6694.793663106394</v>
      </c>
      <c r="F73" s="122">
        <f t="shared" si="4"/>
        <v>333989.08372973971</v>
      </c>
      <c r="G73" s="123">
        <f t="shared" si="3"/>
        <v>147440.82368403784</v>
      </c>
    </row>
    <row r="74" spans="2:7" x14ac:dyDescent="0.25">
      <c r="B74" s="43">
        <v>51</v>
      </c>
      <c r="C74" s="122">
        <f t="shared" si="0"/>
        <v>6708.9227613632156</v>
      </c>
      <c r="D74" s="122">
        <f t="shared" si="1"/>
        <v>13.515408837703468</v>
      </c>
      <c r="E74" s="122">
        <f t="shared" si="2"/>
        <v>6695.4073525255126</v>
      </c>
      <c r="F74" s="122">
        <f t="shared" si="4"/>
        <v>340684.49108226522</v>
      </c>
      <c r="G74" s="123">
        <f t="shared" si="3"/>
        <v>140745.41633151233</v>
      </c>
    </row>
    <row r="75" spans="2:7" x14ac:dyDescent="0.25">
      <c r="B75" s="43">
        <v>52</v>
      </c>
      <c r="C75" s="122">
        <f t="shared" si="0"/>
        <v>6708.9227613632156</v>
      </c>
      <c r="D75" s="122">
        <f t="shared" si="1"/>
        <v>12.901663163721963</v>
      </c>
      <c r="E75" s="122">
        <f t="shared" si="2"/>
        <v>6696.0210981994933</v>
      </c>
      <c r="F75" s="122">
        <f t="shared" si="4"/>
        <v>347380.51218046469</v>
      </c>
      <c r="G75" s="123">
        <f t="shared" si="3"/>
        <v>134049.39523331283</v>
      </c>
    </row>
    <row r="76" spans="2:7" x14ac:dyDescent="0.25">
      <c r="B76" s="43">
        <v>53</v>
      </c>
      <c r="C76" s="122">
        <f t="shared" si="0"/>
        <v>6708.9227613632156</v>
      </c>
      <c r="D76" s="122">
        <f t="shared" si="1"/>
        <v>12.287861229720342</v>
      </c>
      <c r="E76" s="122">
        <f t="shared" si="2"/>
        <v>6696.6349001334956</v>
      </c>
      <c r="F76" s="122">
        <f t="shared" si="4"/>
        <v>354077.14708059817</v>
      </c>
      <c r="G76" s="123">
        <f t="shared" si="3"/>
        <v>127352.76033317934</v>
      </c>
    </row>
    <row r="77" spans="2:7" x14ac:dyDescent="0.25">
      <c r="B77" s="43">
        <v>54</v>
      </c>
      <c r="C77" s="122">
        <f t="shared" si="0"/>
        <v>6708.9227613632156</v>
      </c>
      <c r="D77" s="122">
        <f t="shared" si="1"/>
        <v>11.674003030541439</v>
      </c>
      <c r="E77" s="122">
        <f t="shared" si="2"/>
        <v>6697.2487583326738</v>
      </c>
      <c r="F77" s="122">
        <f t="shared" si="4"/>
        <v>360774.39583893085</v>
      </c>
      <c r="G77" s="123">
        <f t="shared" si="3"/>
        <v>120655.51157484666</v>
      </c>
    </row>
    <row r="78" spans="2:7" x14ac:dyDescent="0.25">
      <c r="B78" s="43">
        <v>55</v>
      </c>
      <c r="C78" s="122">
        <f t="shared" si="0"/>
        <v>6708.9227613632156</v>
      </c>
      <c r="D78" s="122">
        <f t="shared" si="1"/>
        <v>11.060088561027611</v>
      </c>
      <c r="E78" s="122">
        <f t="shared" si="2"/>
        <v>6697.8626728021882</v>
      </c>
      <c r="F78" s="122">
        <f t="shared" si="4"/>
        <v>367472.25851173303</v>
      </c>
      <c r="G78" s="123">
        <f t="shared" si="3"/>
        <v>113957.64890204447</v>
      </c>
    </row>
    <row r="79" spans="2:7" x14ac:dyDescent="0.25">
      <c r="B79" s="43">
        <v>56</v>
      </c>
      <c r="C79" s="122">
        <f t="shared" si="0"/>
        <v>6708.9227613632156</v>
      </c>
      <c r="D79" s="122">
        <f t="shared" si="1"/>
        <v>10.446117816020744</v>
      </c>
      <c r="E79" s="122">
        <f t="shared" si="2"/>
        <v>6698.4766435471947</v>
      </c>
      <c r="F79" s="122">
        <f t="shared" si="4"/>
        <v>374170.73515528021</v>
      </c>
      <c r="G79" s="123">
        <f t="shared" si="3"/>
        <v>107259.17225849727</v>
      </c>
    </row>
    <row r="80" spans="2:7" x14ac:dyDescent="0.25">
      <c r="B80" s="43">
        <v>57</v>
      </c>
      <c r="C80" s="122">
        <f t="shared" si="0"/>
        <v>6708.9227613632156</v>
      </c>
      <c r="D80" s="122">
        <f t="shared" si="1"/>
        <v>9.8320907903622494</v>
      </c>
      <c r="E80" s="122">
        <f t="shared" si="2"/>
        <v>6699.090670572853</v>
      </c>
      <c r="F80" s="122">
        <f t="shared" si="4"/>
        <v>380869.82582585304</v>
      </c>
      <c r="G80" s="123">
        <f t="shared" si="3"/>
        <v>100560.08158792442</v>
      </c>
    </row>
    <row r="81" spans="2:7" x14ac:dyDescent="0.25">
      <c r="B81" s="43">
        <v>58</v>
      </c>
      <c r="C81" s="122">
        <f t="shared" si="0"/>
        <v>6708.9227613632156</v>
      </c>
      <c r="D81" s="122">
        <f t="shared" si="1"/>
        <v>9.218007478893071</v>
      </c>
      <c r="E81" s="122">
        <f t="shared" si="2"/>
        <v>6699.7047538843226</v>
      </c>
      <c r="F81" s="122">
        <f t="shared" si="4"/>
        <v>387569.53057973739</v>
      </c>
      <c r="G81" s="123">
        <f t="shared" si="3"/>
        <v>93860.3768340401</v>
      </c>
    </row>
    <row r="82" spans="2:7" x14ac:dyDescent="0.25">
      <c r="B82" s="43">
        <v>59</v>
      </c>
      <c r="C82" s="122">
        <f t="shared" si="0"/>
        <v>6708.9227613632156</v>
      </c>
      <c r="D82" s="122">
        <f t="shared" si="1"/>
        <v>8.6038678764536751</v>
      </c>
      <c r="E82" s="122">
        <f t="shared" si="2"/>
        <v>6700.3188934867621</v>
      </c>
      <c r="F82" s="122">
        <f t="shared" si="4"/>
        <v>394269.84947322414</v>
      </c>
      <c r="G82" s="123">
        <f t="shared" si="3"/>
        <v>87160.057940553335</v>
      </c>
    </row>
    <row r="83" spans="2:7" x14ac:dyDescent="0.25">
      <c r="B83" s="43">
        <v>60</v>
      </c>
      <c r="C83" s="122">
        <f t="shared" si="0"/>
        <v>6708.9227613632156</v>
      </c>
      <c r="D83" s="122">
        <f t="shared" si="1"/>
        <v>7.9896719778840559</v>
      </c>
      <c r="E83" s="122">
        <f t="shared" si="2"/>
        <v>6700.9330893853312</v>
      </c>
      <c r="F83" s="122">
        <f t="shared" si="4"/>
        <v>400970.78256260947</v>
      </c>
      <c r="G83" s="123">
        <f t="shared" si="3"/>
        <v>80459.124851168002</v>
      </c>
    </row>
    <row r="84" spans="2:7" x14ac:dyDescent="0.25">
      <c r="B84" s="43">
        <v>61</v>
      </c>
      <c r="C84" s="122">
        <f t="shared" si="0"/>
        <v>6708.9227613632156</v>
      </c>
      <c r="D84" s="122">
        <f>G83*($C$19/100)</f>
        <v>7.3754197780237334</v>
      </c>
      <c r="E84" s="122">
        <f t="shared" si="2"/>
        <v>6701.547341585192</v>
      </c>
      <c r="F84" s="122">
        <f t="shared" si="4"/>
        <v>407672.32990419469</v>
      </c>
      <c r="G84" s="123">
        <f>G83-E84</f>
        <v>73757.577509582814</v>
      </c>
    </row>
    <row r="85" spans="2:7" x14ac:dyDescent="0.25">
      <c r="B85" s="43">
        <v>62</v>
      </c>
      <c r="C85" s="122">
        <f t="shared" si="0"/>
        <v>6708.9227613632156</v>
      </c>
      <c r="D85" s="122">
        <f t="shared" si="1"/>
        <v>6.7611112717117576</v>
      </c>
      <c r="E85" s="122">
        <f t="shared" si="2"/>
        <v>6702.1616500915043</v>
      </c>
      <c r="F85" s="122">
        <f t="shared" si="4"/>
        <v>414374.49155428621</v>
      </c>
      <c r="G85" s="123">
        <f t="shared" si="3"/>
        <v>67055.415859491302</v>
      </c>
    </row>
    <row r="86" spans="2:7" x14ac:dyDescent="0.25">
      <c r="B86" s="43">
        <v>63</v>
      </c>
      <c r="C86" s="122">
        <f t="shared" si="0"/>
        <v>6708.9227613632156</v>
      </c>
      <c r="D86" s="122">
        <f t="shared" si="1"/>
        <v>6.1467464537867027</v>
      </c>
      <c r="E86" s="122">
        <f t="shared" si="2"/>
        <v>6702.7760149094293</v>
      </c>
      <c r="F86" s="122">
        <f t="shared" si="4"/>
        <v>421077.26756919565</v>
      </c>
      <c r="G86" s="123">
        <f t="shared" si="3"/>
        <v>60352.63984458187</v>
      </c>
    </row>
    <row r="87" spans="2:7" x14ac:dyDescent="0.25">
      <c r="B87" s="43">
        <v>64</v>
      </c>
      <c r="C87" s="122">
        <f t="shared" si="0"/>
        <v>6708.9227613632156</v>
      </c>
      <c r="D87" s="122">
        <f t="shared" si="1"/>
        <v>5.5323253190866719</v>
      </c>
      <c r="E87" s="122">
        <f t="shared" si="2"/>
        <v>6703.3904360441293</v>
      </c>
      <c r="F87" s="122">
        <f t="shared" si="4"/>
        <v>427780.65800523979</v>
      </c>
      <c r="G87" s="123">
        <f t="shared" si="3"/>
        <v>53649.24940853774</v>
      </c>
    </row>
    <row r="88" spans="2:7" x14ac:dyDescent="0.25">
      <c r="B88" s="43">
        <v>65</v>
      </c>
      <c r="C88" s="122">
        <f t="shared" si="0"/>
        <v>6708.9227613632156</v>
      </c>
      <c r="D88" s="122">
        <f t="shared" si="1"/>
        <v>4.9178478624492925</v>
      </c>
      <c r="E88" s="122">
        <f t="shared" si="2"/>
        <v>6704.0049135007666</v>
      </c>
      <c r="F88" s="122">
        <f t="shared" si="4"/>
        <v>434484.66291874053</v>
      </c>
      <c r="G88" s="123">
        <f t="shared" si="3"/>
        <v>46945.244495036975</v>
      </c>
    </row>
    <row r="89" spans="2:7" x14ac:dyDescent="0.25">
      <c r="B89" s="43">
        <v>66</v>
      </c>
      <c r="C89" s="122">
        <f t="shared" ref="C89:C95" si="5">(($G$23*(($C$19/100))/(1-(1+($C$19/100))^-72)))</f>
        <v>6708.9227613632156</v>
      </c>
      <c r="D89" s="122">
        <f t="shared" ref="D89:D95" si="6">G88*($C$19/100)</f>
        <v>4.3033140787117228</v>
      </c>
      <c r="E89" s="122">
        <f t="shared" ref="E89:E95" si="7">C89-D89</f>
        <v>6704.6194472845036</v>
      </c>
      <c r="F89" s="122">
        <f t="shared" si="4"/>
        <v>441189.28236602503</v>
      </c>
      <c r="G89" s="123">
        <f t="shared" ref="G89:G95" si="8">G88-E89</f>
        <v>40240.625047752474</v>
      </c>
    </row>
    <row r="90" spans="2:7" x14ac:dyDescent="0.25">
      <c r="B90" s="43">
        <v>67</v>
      </c>
      <c r="C90" s="122">
        <f t="shared" si="5"/>
        <v>6708.9227613632156</v>
      </c>
      <c r="D90" s="122">
        <f t="shared" si="6"/>
        <v>3.6887239627106436</v>
      </c>
      <c r="E90" s="122">
        <f t="shared" si="7"/>
        <v>6705.2340374005053</v>
      </c>
      <c r="F90" s="122">
        <f t="shared" ref="F90:F95" si="9">F89+E90</f>
        <v>447894.51640342554</v>
      </c>
      <c r="G90" s="123">
        <f t="shared" si="8"/>
        <v>33535.391010351967</v>
      </c>
    </row>
    <row r="91" spans="2:7" x14ac:dyDescent="0.25">
      <c r="B91" s="43">
        <v>68</v>
      </c>
      <c r="C91" s="122">
        <f t="shared" si="5"/>
        <v>6708.9227613632156</v>
      </c>
      <c r="D91" s="122">
        <f t="shared" si="6"/>
        <v>3.0740775092822634</v>
      </c>
      <c r="E91" s="122">
        <f t="shared" si="7"/>
        <v>6705.8486838539329</v>
      </c>
      <c r="F91" s="122">
        <f t="shared" si="9"/>
        <v>454600.36508727947</v>
      </c>
      <c r="G91" s="123">
        <f t="shared" si="8"/>
        <v>26829.542326498035</v>
      </c>
    </row>
    <row r="92" spans="2:7" x14ac:dyDescent="0.25">
      <c r="B92" s="43">
        <v>69</v>
      </c>
      <c r="C92" s="122">
        <f t="shared" si="5"/>
        <v>6708.9227613632156</v>
      </c>
      <c r="D92" s="122">
        <f t="shared" si="6"/>
        <v>2.4593747132623198</v>
      </c>
      <c r="E92" s="122">
        <f t="shared" si="7"/>
        <v>6706.4633866499535</v>
      </c>
      <c r="F92" s="122">
        <f t="shared" si="9"/>
        <v>461306.82847392943</v>
      </c>
      <c r="G92" s="123">
        <f t="shared" si="8"/>
        <v>20123.078939848081</v>
      </c>
    </row>
    <row r="93" spans="2:7" x14ac:dyDescent="0.25">
      <c r="B93" s="43">
        <v>70</v>
      </c>
      <c r="C93" s="122">
        <f t="shared" si="5"/>
        <v>6708.9227613632156</v>
      </c>
      <c r="D93" s="122">
        <f t="shared" si="6"/>
        <v>1.8446155694860742</v>
      </c>
      <c r="E93" s="122">
        <f t="shared" si="7"/>
        <v>6707.0781457937292</v>
      </c>
      <c r="F93" s="122">
        <f t="shared" si="9"/>
        <v>468013.90661972319</v>
      </c>
      <c r="G93" s="123">
        <f t="shared" si="8"/>
        <v>13416.000794054351</v>
      </c>
    </row>
    <row r="94" spans="2:7" x14ac:dyDescent="0.25">
      <c r="B94" s="43">
        <v>71</v>
      </c>
      <c r="C94" s="122">
        <f t="shared" si="5"/>
        <v>6708.9227613632156</v>
      </c>
      <c r="D94" s="122">
        <f t="shared" si="6"/>
        <v>1.2298000727883156</v>
      </c>
      <c r="E94" s="122">
        <f t="shared" si="7"/>
        <v>6707.6929612904269</v>
      </c>
      <c r="F94" s="122">
        <f t="shared" si="9"/>
        <v>474721.59958101361</v>
      </c>
      <c r="G94" s="123">
        <f t="shared" si="8"/>
        <v>6708.3078327639241</v>
      </c>
    </row>
    <row r="95" spans="2:7" ht="15.75" thickBot="1" x14ac:dyDescent="0.3">
      <c r="B95" s="41">
        <v>72</v>
      </c>
      <c r="C95" s="125">
        <f t="shared" si="5"/>
        <v>6708.9227613632156</v>
      </c>
      <c r="D95" s="125">
        <f t="shared" si="6"/>
        <v>0.61492821800335973</v>
      </c>
      <c r="E95" s="125">
        <f t="shared" si="7"/>
        <v>6708.3078331452125</v>
      </c>
      <c r="F95" s="125">
        <f t="shared" si="9"/>
        <v>481429.90741415881</v>
      </c>
      <c r="G95" s="126">
        <f t="shared" si="8"/>
        <v>-3.8128837331896648E-7</v>
      </c>
    </row>
    <row r="96" spans="2:7" s="111" customFormat="1" ht="15.75" thickBot="1" x14ac:dyDescent="0.3">
      <c r="B96" s="14"/>
      <c r="C96" s="34"/>
      <c r="D96" s="34"/>
      <c r="E96" s="34"/>
      <c r="F96" s="34"/>
      <c r="G96" s="110"/>
    </row>
    <row r="97" spans="2:7" ht="15.75" thickBot="1" x14ac:dyDescent="0.3">
      <c r="B97" s="439" t="s">
        <v>232</v>
      </c>
      <c r="C97" s="440"/>
      <c r="D97" s="440"/>
      <c r="E97" s="440"/>
      <c r="F97" s="440"/>
      <c r="G97" s="441"/>
    </row>
    <row r="98" spans="2:7" ht="15.75" thickBot="1" x14ac:dyDescent="0.3">
      <c r="B98" s="119" t="s">
        <v>230</v>
      </c>
      <c r="C98" s="120" t="s">
        <v>24</v>
      </c>
      <c r="D98" s="120" t="s">
        <v>231</v>
      </c>
      <c r="E98" s="120" t="s">
        <v>25</v>
      </c>
      <c r="F98" s="120" t="s">
        <v>26</v>
      </c>
      <c r="G98" s="121" t="s">
        <v>27</v>
      </c>
    </row>
    <row r="99" spans="2:7" x14ac:dyDescent="0.25">
      <c r="B99" s="149">
        <v>0</v>
      </c>
      <c r="C99" s="150">
        <v>0</v>
      </c>
      <c r="D99" s="150">
        <v>0</v>
      </c>
      <c r="E99" s="150">
        <v>0</v>
      </c>
      <c r="F99" s="150">
        <v>0</v>
      </c>
      <c r="G99" s="151">
        <f>C8</f>
        <v>481429.90741377755</v>
      </c>
    </row>
    <row r="100" spans="2:7" x14ac:dyDescent="0.25">
      <c r="B100" s="112">
        <v>1</v>
      </c>
      <c r="C100" s="113">
        <f t="shared" ref="C100:C105" si="10">(($G$99*($B$19/100))/(1-(1+($B$19/100))^-6))</f>
        <v>80547.518444767411</v>
      </c>
      <c r="D100" s="113">
        <f>G99*($B$19/100)</f>
        <v>529.57289815515537</v>
      </c>
      <c r="E100" s="113">
        <f t="shared" ref="E100:E105" si="11">C100-D100</f>
        <v>80017.94554661226</v>
      </c>
      <c r="F100" s="113">
        <f>E100</f>
        <v>80017.94554661226</v>
      </c>
      <c r="G100" s="114">
        <f t="shared" ref="G100:G104" si="12">G99-E100</f>
        <v>401411.96186716529</v>
      </c>
    </row>
    <row r="101" spans="2:7" x14ac:dyDescent="0.25">
      <c r="B101" s="112">
        <v>2</v>
      </c>
      <c r="C101" s="113">
        <f t="shared" si="10"/>
        <v>80547.518444767411</v>
      </c>
      <c r="D101" s="113">
        <f t="shared" ref="D101:D105" si="13">G100*($B$19/100)</f>
        <v>441.55315805388182</v>
      </c>
      <c r="E101" s="113">
        <f t="shared" si="11"/>
        <v>80105.96528671353</v>
      </c>
      <c r="F101" s="113">
        <f>F100+E101</f>
        <v>160123.91083332579</v>
      </c>
      <c r="G101" s="114">
        <f t="shared" si="12"/>
        <v>321305.99658045173</v>
      </c>
    </row>
    <row r="102" spans="2:7" x14ac:dyDescent="0.25">
      <c r="B102" s="112">
        <v>3</v>
      </c>
      <c r="C102" s="113">
        <f t="shared" si="10"/>
        <v>80547.518444767411</v>
      </c>
      <c r="D102" s="113">
        <f t="shared" si="13"/>
        <v>353.43659623849692</v>
      </c>
      <c r="E102" s="113">
        <f t="shared" si="11"/>
        <v>80194.08184852892</v>
      </c>
      <c r="F102" s="113">
        <f t="shared" ref="F102:F105" si="14">F101+E102</f>
        <v>240317.9926818547</v>
      </c>
      <c r="G102" s="114">
        <f t="shared" si="12"/>
        <v>241111.91473192279</v>
      </c>
    </row>
    <row r="103" spans="2:7" x14ac:dyDescent="0.25">
      <c r="B103" s="112">
        <v>4</v>
      </c>
      <c r="C103" s="113">
        <f t="shared" si="10"/>
        <v>80547.518444767411</v>
      </c>
      <c r="D103" s="113">
        <f t="shared" si="13"/>
        <v>265.22310620511507</v>
      </c>
      <c r="E103" s="113">
        <f t="shared" si="11"/>
        <v>80282.295338562297</v>
      </c>
      <c r="F103" s="113">
        <f t="shared" si="14"/>
        <v>320600.28802041698</v>
      </c>
      <c r="G103" s="114">
        <f t="shared" si="12"/>
        <v>160829.61939336051</v>
      </c>
    </row>
    <row r="104" spans="2:7" x14ac:dyDescent="0.25">
      <c r="B104" s="112">
        <v>5</v>
      </c>
      <c r="C104" s="113">
        <f t="shared" si="10"/>
        <v>80547.518444767411</v>
      </c>
      <c r="D104" s="113">
        <f t="shared" si="13"/>
        <v>176.91258133269656</v>
      </c>
      <c r="E104" s="113">
        <f t="shared" si="11"/>
        <v>80370.605863434714</v>
      </c>
      <c r="F104" s="113">
        <f t="shared" si="14"/>
        <v>400970.89388385171</v>
      </c>
      <c r="G104" s="114">
        <f t="shared" si="12"/>
        <v>80459.013529925796</v>
      </c>
    </row>
    <row r="105" spans="2:7" ht="15.75" thickBot="1" x14ac:dyDescent="0.3">
      <c r="B105" s="115">
        <v>6</v>
      </c>
      <c r="C105" s="116">
        <f t="shared" si="10"/>
        <v>80547.518444767411</v>
      </c>
      <c r="D105" s="116">
        <f t="shared" si="13"/>
        <v>88.504914882918385</v>
      </c>
      <c r="E105" s="116">
        <f t="shared" si="11"/>
        <v>80459.013529884498</v>
      </c>
      <c r="F105" s="116">
        <f t="shared" si="14"/>
        <v>481429.90741373622</v>
      </c>
      <c r="G105" s="117">
        <f>G104-E105</f>
        <v>4.1298335418105125E-8</v>
      </c>
    </row>
    <row r="107" spans="2:7" x14ac:dyDescent="0.25">
      <c r="B107" s="33"/>
      <c r="C107" s="33"/>
    </row>
    <row r="108" spans="2:7" x14ac:dyDescent="0.25">
      <c r="B108" s="15"/>
      <c r="C108" s="15"/>
      <c r="D108" s="2"/>
      <c r="E108" s="2"/>
      <c r="F108" s="2"/>
      <c r="G108" s="2"/>
    </row>
    <row r="109" spans="2:7" x14ac:dyDescent="0.25">
      <c r="B109" s="37"/>
      <c r="C109" s="37"/>
    </row>
    <row r="111" spans="2:7" x14ac:dyDescent="0.25">
      <c r="B111" s="14"/>
      <c r="C111" s="14"/>
      <c r="D111" s="14"/>
      <c r="E111" s="14"/>
      <c r="F111" s="14"/>
      <c r="G111" s="14"/>
    </row>
    <row r="112" spans="2:7" x14ac:dyDescent="0.25">
      <c r="B112" s="14"/>
      <c r="C112" s="34"/>
      <c r="D112" s="34"/>
      <c r="E112" s="34"/>
      <c r="F112" s="34"/>
      <c r="G112" s="34"/>
    </row>
    <row r="113" spans="2:7" x14ac:dyDescent="0.25">
      <c r="B113" s="14"/>
      <c r="C113" s="34"/>
      <c r="D113" s="34"/>
      <c r="E113" s="34"/>
      <c r="F113" s="34"/>
      <c r="G113" s="34"/>
    </row>
    <row r="114" spans="2:7" x14ac:dyDescent="0.25">
      <c r="B114" s="14"/>
      <c r="C114" s="34"/>
      <c r="D114" s="34"/>
      <c r="E114" s="34"/>
      <c r="F114" s="34"/>
      <c r="G114" s="34"/>
    </row>
    <row r="115" spans="2:7" x14ac:dyDescent="0.25">
      <c r="B115" s="14"/>
      <c r="C115" s="34"/>
      <c r="D115" s="34"/>
      <c r="E115" s="34"/>
      <c r="F115" s="34"/>
      <c r="G115" s="34"/>
    </row>
    <row r="116" spans="2:7" x14ac:dyDescent="0.25">
      <c r="B116" s="14"/>
      <c r="C116" s="34"/>
      <c r="D116" s="34"/>
      <c r="E116" s="34"/>
      <c r="F116" s="34"/>
      <c r="G116" s="34"/>
    </row>
    <row r="117" spans="2:7" x14ac:dyDescent="0.25">
      <c r="B117" s="14"/>
      <c r="C117" s="34"/>
      <c r="D117" s="34"/>
      <c r="E117" s="34"/>
      <c r="F117" s="34"/>
      <c r="G117" s="34"/>
    </row>
    <row r="118" spans="2:7" x14ac:dyDescent="0.25">
      <c r="B118" s="14"/>
      <c r="C118" s="34"/>
      <c r="D118" s="34"/>
      <c r="E118" s="34"/>
      <c r="F118" s="34"/>
      <c r="G118" s="34"/>
    </row>
    <row r="119" spans="2:7" x14ac:dyDescent="0.25">
      <c r="B119" s="14"/>
      <c r="C119" s="34"/>
      <c r="D119" s="34"/>
      <c r="E119" s="34"/>
      <c r="F119" s="34"/>
      <c r="G119" s="34"/>
    </row>
    <row r="120" spans="2:7" x14ac:dyDescent="0.25">
      <c r="B120" s="14"/>
      <c r="C120" s="34"/>
      <c r="D120" s="34"/>
      <c r="E120" s="34"/>
      <c r="F120" s="34"/>
      <c r="G120" s="34"/>
    </row>
    <row r="121" spans="2:7" x14ac:dyDescent="0.25">
      <c r="B121" s="14"/>
      <c r="C121" s="34"/>
      <c r="D121" s="34"/>
      <c r="E121" s="34"/>
      <c r="F121" s="34"/>
      <c r="G121" s="34"/>
    </row>
    <row r="122" spans="2:7" x14ac:dyDescent="0.25">
      <c r="B122" s="14"/>
      <c r="C122" s="34"/>
      <c r="D122" s="34"/>
      <c r="E122" s="34"/>
      <c r="F122" s="34"/>
      <c r="G122" s="34"/>
    </row>
    <row r="123" spans="2:7" x14ac:dyDescent="0.25">
      <c r="B123" s="14"/>
      <c r="C123" s="34"/>
      <c r="D123" s="34"/>
      <c r="E123" s="34"/>
      <c r="F123" s="34"/>
      <c r="G123" s="34"/>
    </row>
    <row r="124" spans="2:7" x14ac:dyDescent="0.25">
      <c r="B124" s="14"/>
      <c r="C124" s="34"/>
      <c r="D124" s="34"/>
      <c r="E124" s="34"/>
      <c r="F124" s="34"/>
      <c r="G124" s="34"/>
    </row>
    <row r="125" spans="2:7" x14ac:dyDescent="0.25">
      <c r="B125" s="14"/>
      <c r="C125" s="34"/>
      <c r="D125" s="34"/>
      <c r="E125" s="34"/>
      <c r="F125" s="34"/>
      <c r="G125" s="34"/>
    </row>
    <row r="126" spans="2:7" x14ac:dyDescent="0.25">
      <c r="B126" s="14"/>
      <c r="C126" s="34"/>
      <c r="D126" s="34"/>
      <c r="E126" s="34"/>
      <c r="F126" s="34"/>
      <c r="G126" s="34"/>
    </row>
    <row r="127" spans="2:7" x14ac:dyDescent="0.25">
      <c r="B127" s="14"/>
      <c r="C127" s="34"/>
      <c r="D127" s="34"/>
      <c r="E127" s="34"/>
      <c r="F127" s="34"/>
      <c r="G127" s="34"/>
    </row>
    <row r="128" spans="2:7" x14ac:dyDescent="0.25">
      <c r="B128" s="14"/>
      <c r="C128" s="34"/>
      <c r="D128" s="34"/>
      <c r="E128" s="34"/>
      <c r="F128" s="34"/>
      <c r="G128" s="34"/>
    </row>
    <row r="129" spans="2:7" x14ac:dyDescent="0.25">
      <c r="B129" s="14"/>
      <c r="C129" s="34"/>
      <c r="D129" s="34"/>
      <c r="E129" s="34"/>
      <c r="F129" s="34"/>
      <c r="G129" s="34"/>
    </row>
    <row r="130" spans="2:7" x14ac:dyDescent="0.25">
      <c r="B130" s="14"/>
      <c r="C130" s="34"/>
      <c r="D130" s="34"/>
      <c r="E130" s="34"/>
      <c r="F130" s="34"/>
      <c r="G130" s="34"/>
    </row>
    <row r="131" spans="2:7" x14ac:dyDescent="0.25">
      <c r="B131" s="14"/>
      <c r="C131" s="34"/>
      <c r="D131" s="34"/>
      <c r="E131" s="34"/>
      <c r="F131" s="34"/>
      <c r="G131" s="34"/>
    </row>
    <row r="132" spans="2:7" x14ac:dyDescent="0.25">
      <c r="B132" s="14"/>
      <c r="C132" s="34"/>
      <c r="D132" s="34"/>
      <c r="E132" s="34"/>
      <c r="F132" s="34"/>
      <c r="G132" s="34"/>
    </row>
    <row r="133" spans="2:7" x14ac:dyDescent="0.25">
      <c r="B133" s="14"/>
      <c r="C133" s="34"/>
      <c r="D133" s="34"/>
      <c r="E133" s="34"/>
      <c r="F133" s="34"/>
      <c r="G133" s="34"/>
    </row>
    <row r="134" spans="2:7" x14ac:dyDescent="0.25">
      <c r="B134" s="14"/>
      <c r="C134" s="34"/>
      <c r="D134" s="34"/>
      <c r="E134" s="34"/>
      <c r="F134" s="34"/>
      <c r="G134" s="34"/>
    </row>
    <row r="135" spans="2:7" x14ac:dyDescent="0.25">
      <c r="B135" s="14"/>
      <c r="C135" s="34"/>
      <c r="D135" s="34"/>
      <c r="E135" s="34"/>
      <c r="F135" s="34"/>
      <c r="G135" s="34"/>
    </row>
    <row r="136" spans="2:7" x14ac:dyDescent="0.25">
      <c r="B136" s="14"/>
      <c r="C136" s="34"/>
      <c r="D136" s="34"/>
      <c r="E136" s="34"/>
      <c r="F136" s="34"/>
      <c r="G136" s="34"/>
    </row>
    <row r="137" spans="2:7" x14ac:dyDescent="0.25">
      <c r="B137" s="14"/>
      <c r="C137" s="34"/>
      <c r="D137" s="34"/>
      <c r="E137" s="34"/>
      <c r="F137" s="34"/>
      <c r="G137" s="34"/>
    </row>
    <row r="138" spans="2:7" x14ac:dyDescent="0.25">
      <c r="B138" s="14"/>
      <c r="C138" s="34"/>
      <c r="D138" s="34"/>
      <c r="E138" s="34"/>
      <c r="F138" s="34"/>
      <c r="G138" s="34"/>
    </row>
    <row r="139" spans="2:7" x14ac:dyDescent="0.25">
      <c r="B139" s="14"/>
      <c r="C139" s="34"/>
      <c r="D139" s="34"/>
      <c r="E139" s="34"/>
      <c r="F139" s="34"/>
      <c r="G139" s="34"/>
    </row>
    <row r="140" spans="2:7" x14ac:dyDescent="0.25">
      <c r="B140" s="14"/>
      <c r="C140" s="34"/>
      <c r="D140" s="34"/>
      <c r="E140" s="34"/>
      <c r="F140" s="34"/>
      <c r="G140" s="34"/>
    </row>
    <row r="141" spans="2:7" x14ac:dyDescent="0.25">
      <c r="B141" s="14"/>
      <c r="C141" s="34"/>
      <c r="D141" s="34"/>
      <c r="E141" s="34"/>
      <c r="F141" s="34"/>
      <c r="G141" s="34"/>
    </row>
    <row r="142" spans="2:7" x14ac:dyDescent="0.25">
      <c r="B142" s="14"/>
      <c r="C142" s="34"/>
      <c r="D142" s="34"/>
      <c r="E142" s="34"/>
      <c r="F142" s="34"/>
      <c r="G142" s="34"/>
    </row>
    <row r="143" spans="2:7" x14ac:dyDescent="0.25">
      <c r="B143" s="14"/>
      <c r="C143" s="34"/>
      <c r="D143" s="34"/>
      <c r="E143" s="34"/>
      <c r="F143" s="34"/>
      <c r="G143" s="34"/>
    </row>
    <row r="144" spans="2:7" x14ac:dyDescent="0.25">
      <c r="B144" s="14"/>
      <c r="C144" s="34"/>
      <c r="D144" s="34"/>
      <c r="E144" s="34"/>
      <c r="F144" s="34"/>
      <c r="G144" s="34"/>
    </row>
    <row r="145" spans="2:7" x14ac:dyDescent="0.25">
      <c r="B145" s="14"/>
      <c r="C145" s="34"/>
      <c r="D145" s="34"/>
      <c r="E145" s="34"/>
      <c r="F145" s="34"/>
      <c r="G145" s="34"/>
    </row>
    <row r="146" spans="2:7" x14ac:dyDescent="0.25">
      <c r="B146" s="14"/>
      <c r="C146" s="34"/>
      <c r="D146" s="34"/>
      <c r="E146" s="34"/>
      <c r="F146" s="34"/>
      <c r="G146" s="34"/>
    </row>
    <row r="147" spans="2:7" x14ac:dyDescent="0.25">
      <c r="B147" s="14"/>
      <c r="C147" s="34"/>
      <c r="D147" s="34"/>
      <c r="E147" s="34"/>
      <c r="F147" s="34"/>
      <c r="G147" s="34"/>
    </row>
    <row r="148" spans="2:7" x14ac:dyDescent="0.25">
      <c r="B148" s="14"/>
      <c r="C148" s="34"/>
      <c r="D148" s="34"/>
      <c r="E148" s="34"/>
      <c r="F148" s="34"/>
      <c r="G148" s="34"/>
    </row>
    <row r="149" spans="2:7" x14ac:dyDescent="0.25">
      <c r="B149" s="14"/>
      <c r="C149" s="34"/>
      <c r="D149" s="34"/>
      <c r="E149" s="34"/>
      <c r="F149" s="34"/>
      <c r="G149" s="34"/>
    </row>
    <row r="150" spans="2:7" x14ac:dyDescent="0.25">
      <c r="B150" s="14"/>
      <c r="C150" s="34"/>
      <c r="D150" s="34"/>
      <c r="E150" s="34"/>
      <c r="F150" s="34"/>
      <c r="G150" s="34"/>
    </row>
    <row r="151" spans="2:7" x14ac:dyDescent="0.25">
      <c r="B151" s="14"/>
      <c r="C151" s="34"/>
      <c r="D151" s="34"/>
      <c r="E151" s="34"/>
      <c r="F151" s="34"/>
      <c r="G151" s="34"/>
    </row>
    <row r="152" spans="2:7" x14ac:dyDescent="0.25">
      <c r="B152" s="14"/>
      <c r="C152" s="34"/>
      <c r="D152" s="34"/>
      <c r="E152" s="34"/>
      <c r="F152" s="34"/>
      <c r="G152" s="34"/>
    </row>
    <row r="153" spans="2:7" x14ac:dyDescent="0.25">
      <c r="B153" s="14"/>
      <c r="C153" s="34"/>
      <c r="D153" s="34"/>
      <c r="E153" s="34"/>
      <c r="F153" s="34"/>
      <c r="G153" s="34"/>
    </row>
    <row r="154" spans="2:7" x14ac:dyDescent="0.25">
      <c r="B154" s="14"/>
      <c r="C154" s="34"/>
      <c r="D154" s="34"/>
      <c r="E154" s="34"/>
      <c r="F154" s="34"/>
      <c r="G154" s="34"/>
    </row>
    <row r="155" spans="2:7" x14ac:dyDescent="0.25">
      <c r="B155" s="14"/>
      <c r="C155" s="34"/>
      <c r="D155" s="34"/>
      <c r="E155" s="34"/>
      <c r="F155" s="34"/>
      <c r="G155" s="34"/>
    </row>
    <row r="156" spans="2:7" x14ac:dyDescent="0.25">
      <c r="B156" s="14"/>
      <c r="C156" s="34"/>
      <c r="D156" s="34"/>
      <c r="E156" s="34"/>
      <c r="F156" s="34"/>
      <c r="G156" s="34"/>
    </row>
    <row r="157" spans="2:7" x14ac:dyDescent="0.25">
      <c r="B157" s="14"/>
      <c r="C157" s="34"/>
      <c r="D157" s="34"/>
      <c r="E157" s="34"/>
      <c r="F157" s="34"/>
      <c r="G157" s="34"/>
    </row>
    <row r="158" spans="2:7" x14ac:dyDescent="0.25">
      <c r="B158" s="14"/>
      <c r="C158" s="34"/>
      <c r="D158" s="34"/>
      <c r="E158" s="34"/>
      <c r="F158" s="34"/>
      <c r="G158" s="34"/>
    </row>
    <row r="159" spans="2:7" x14ac:dyDescent="0.25">
      <c r="B159" s="14"/>
      <c r="C159" s="34"/>
      <c r="D159" s="34"/>
      <c r="E159" s="34"/>
      <c r="F159" s="34"/>
      <c r="G159" s="34"/>
    </row>
    <row r="160" spans="2:7" x14ac:dyDescent="0.25">
      <c r="B160" s="14"/>
      <c r="C160" s="34"/>
      <c r="D160" s="34"/>
      <c r="E160" s="34"/>
      <c r="F160" s="34"/>
      <c r="G160" s="34"/>
    </row>
    <row r="161" spans="2:7" x14ac:dyDescent="0.25">
      <c r="B161" s="14"/>
      <c r="C161" s="34"/>
      <c r="D161" s="34"/>
      <c r="E161" s="34"/>
      <c r="F161" s="34"/>
      <c r="G161" s="34"/>
    </row>
    <row r="162" spans="2:7" x14ac:dyDescent="0.25">
      <c r="B162" s="14"/>
      <c r="C162" s="34"/>
      <c r="D162" s="34"/>
      <c r="E162" s="34"/>
      <c r="F162" s="34"/>
      <c r="G162" s="34"/>
    </row>
    <row r="163" spans="2:7" x14ac:dyDescent="0.25">
      <c r="B163" s="14"/>
      <c r="C163" s="14"/>
      <c r="D163" s="14"/>
      <c r="E163" s="14"/>
      <c r="F163" s="14"/>
      <c r="G163" s="14"/>
    </row>
    <row r="164" spans="2:7" x14ac:dyDescent="0.25">
      <c r="B164" s="14"/>
      <c r="C164" s="34"/>
      <c r="D164" s="34"/>
      <c r="E164" s="34"/>
      <c r="F164" s="34"/>
      <c r="G164" s="34"/>
    </row>
    <row r="165" spans="2:7" x14ac:dyDescent="0.25">
      <c r="B165" s="14"/>
      <c r="C165" s="34"/>
      <c r="D165" s="34"/>
      <c r="E165" s="34"/>
      <c r="F165" s="34"/>
      <c r="G165" s="34"/>
    </row>
    <row r="166" spans="2:7" x14ac:dyDescent="0.25">
      <c r="B166" s="14"/>
      <c r="C166" s="34"/>
      <c r="D166" s="34"/>
      <c r="E166" s="34"/>
      <c r="F166" s="34"/>
      <c r="G166" s="34"/>
    </row>
    <row r="167" spans="2:7" x14ac:dyDescent="0.25">
      <c r="B167" s="14"/>
      <c r="C167" s="34"/>
      <c r="D167" s="34"/>
      <c r="E167" s="34"/>
      <c r="F167" s="34"/>
      <c r="G167" s="34"/>
    </row>
    <row r="168" spans="2:7" x14ac:dyDescent="0.25">
      <c r="B168" s="14"/>
      <c r="C168" s="34"/>
      <c r="D168" s="34"/>
      <c r="E168" s="34"/>
      <c r="F168" s="34"/>
      <c r="G168" s="34"/>
    </row>
    <row r="171" spans="2:7" x14ac:dyDescent="0.25">
      <c r="D171" s="1">
        <f>D165+D100</f>
        <v>529.57289815515537</v>
      </c>
      <c r="E171" s="1">
        <f>D166+D101</f>
        <v>441.55315805388182</v>
      </c>
    </row>
  </sheetData>
  <mergeCells count="6">
    <mergeCell ref="B2:C2"/>
    <mergeCell ref="B10:D10"/>
    <mergeCell ref="B17:C17"/>
    <mergeCell ref="B97:G97"/>
    <mergeCell ref="B21:G21"/>
    <mergeCell ref="D4:D5"/>
  </mergeCells>
  <phoneticPr fontId="6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2.85546875" customWidth="1"/>
    <col min="2" max="2" width="16.28515625" customWidth="1"/>
    <col min="3" max="3" width="13.140625" bestFit="1" customWidth="1"/>
    <col min="6" max="6" width="13.42578125" customWidth="1"/>
    <col min="7" max="7" width="13.28515625" customWidth="1"/>
    <col min="8" max="8" width="14" customWidth="1"/>
    <col min="9" max="9" width="13.140625" customWidth="1"/>
    <col min="10" max="10" width="14.140625" customWidth="1"/>
    <col min="11" max="11" width="12.85546875" customWidth="1"/>
    <col min="12" max="12" width="13" customWidth="1"/>
    <col min="15" max="15" width="11.5703125" bestFit="1" customWidth="1"/>
  </cols>
  <sheetData>
    <row r="1" spans="2:16" ht="15.75" thickBot="1" x14ac:dyDescent="0.3"/>
    <row r="2" spans="2:16" ht="15.75" thickBot="1" x14ac:dyDescent="0.3">
      <c r="B2" s="446" t="s">
        <v>30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8"/>
    </row>
    <row r="3" spans="2:16" ht="15.75" thickBot="1" x14ac:dyDescent="0.3">
      <c r="B3" s="91"/>
      <c r="C3" s="92">
        <v>1</v>
      </c>
      <c r="D3" s="92">
        <v>2</v>
      </c>
      <c r="E3" s="92">
        <v>3</v>
      </c>
      <c r="F3" s="92">
        <v>4</v>
      </c>
      <c r="G3" s="92">
        <v>5</v>
      </c>
      <c r="H3" s="92">
        <v>6</v>
      </c>
      <c r="I3" s="92">
        <v>7</v>
      </c>
      <c r="J3" s="92">
        <v>8</v>
      </c>
      <c r="K3" s="92">
        <v>9</v>
      </c>
      <c r="L3" s="92">
        <v>10</v>
      </c>
      <c r="M3" s="92">
        <v>11</v>
      </c>
      <c r="N3" s="93">
        <v>12</v>
      </c>
    </row>
    <row r="4" spans="2:16" x14ac:dyDescent="0.25">
      <c r="B4" s="146" t="s">
        <v>28</v>
      </c>
      <c r="C4" s="162">
        <v>0</v>
      </c>
      <c r="D4" s="162">
        <v>7200</v>
      </c>
      <c r="E4" s="162">
        <f t="shared" ref="E4:N4" si="0">(D4*0.05)+D4</f>
        <v>7560</v>
      </c>
      <c r="F4" s="162">
        <f t="shared" si="0"/>
        <v>7938</v>
      </c>
      <c r="G4" s="162">
        <f>(F4*0.05)+F4</f>
        <v>8334.9</v>
      </c>
      <c r="H4" s="162">
        <f t="shared" si="0"/>
        <v>8751.6450000000004</v>
      </c>
      <c r="I4" s="162">
        <f t="shared" si="0"/>
        <v>9189.2272499999999</v>
      </c>
      <c r="J4" s="162">
        <f t="shared" si="0"/>
        <v>9648.6886125000001</v>
      </c>
      <c r="K4" s="162">
        <f t="shared" si="0"/>
        <v>10131.123043125001</v>
      </c>
      <c r="L4" s="163">
        <f t="shared" si="0"/>
        <v>10637.679195281251</v>
      </c>
      <c r="M4" s="162">
        <f t="shared" si="0"/>
        <v>11169.563155045313</v>
      </c>
      <c r="N4" s="164">
        <f t="shared" si="0"/>
        <v>11728.041312797579</v>
      </c>
      <c r="O4" s="161">
        <f>SUM(C4:N4)</f>
        <v>102288.86756874913</v>
      </c>
    </row>
    <row r="5" spans="2:16" ht="15.75" thickBot="1" x14ac:dyDescent="0.3">
      <c r="B5" s="173" t="s">
        <v>29</v>
      </c>
      <c r="C5" s="181">
        <v>0</v>
      </c>
      <c r="D5" s="181">
        <v>7.5</v>
      </c>
      <c r="E5" s="181">
        <v>7.5</v>
      </c>
      <c r="F5" s="181">
        <v>7.5</v>
      </c>
      <c r="G5" s="181">
        <v>7.5</v>
      </c>
      <c r="H5" s="181">
        <v>7.5</v>
      </c>
      <c r="I5" s="181">
        <v>7.5</v>
      </c>
      <c r="J5" s="181">
        <v>7.5</v>
      </c>
      <c r="K5" s="181">
        <v>7.5</v>
      </c>
      <c r="L5" s="182">
        <v>7.5</v>
      </c>
      <c r="M5" s="181">
        <v>7.5</v>
      </c>
      <c r="N5" s="183">
        <v>7.5</v>
      </c>
    </row>
    <row r="6" spans="2:16" ht="15.75" thickBot="1" x14ac:dyDescent="0.3">
      <c r="B6" s="175" t="s">
        <v>244</v>
      </c>
      <c r="C6" s="184">
        <v>0</v>
      </c>
      <c r="D6" s="184">
        <f t="shared" ref="D6:N6" si="1">D4*D5</f>
        <v>54000</v>
      </c>
      <c r="E6" s="184">
        <f t="shared" si="1"/>
        <v>56700</v>
      </c>
      <c r="F6" s="184">
        <f t="shared" si="1"/>
        <v>59535</v>
      </c>
      <c r="G6" s="184">
        <f t="shared" si="1"/>
        <v>62511.75</v>
      </c>
      <c r="H6" s="184">
        <f t="shared" si="1"/>
        <v>65637.337500000009</v>
      </c>
      <c r="I6" s="184">
        <f t="shared" si="1"/>
        <v>68919.204375000001</v>
      </c>
      <c r="J6" s="184">
        <f t="shared" si="1"/>
        <v>72365.16459375</v>
      </c>
      <c r="K6" s="184">
        <f t="shared" si="1"/>
        <v>75983.422823437504</v>
      </c>
      <c r="L6" s="185">
        <f t="shared" si="1"/>
        <v>79782.593964609376</v>
      </c>
      <c r="M6" s="184">
        <f t="shared" si="1"/>
        <v>83771.723662839839</v>
      </c>
      <c r="N6" s="186">
        <f t="shared" si="1"/>
        <v>87960.309845981843</v>
      </c>
      <c r="O6" s="34">
        <f>SUM(C6:N6)</f>
        <v>767166.50676561857</v>
      </c>
      <c r="P6" s="2"/>
    </row>
    <row r="7" spans="2:16" ht="15.75" thickBot="1" x14ac:dyDescent="0.3"/>
    <row r="8" spans="2:16" ht="15.75" thickBot="1" x14ac:dyDescent="0.3">
      <c r="B8" s="434" t="s">
        <v>178</v>
      </c>
      <c r="C8" s="435"/>
      <c r="D8" s="435"/>
      <c r="E8" s="435"/>
      <c r="F8" s="435"/>
      <c r="G8" s="435"/>
      <c r="H8" s="435"/>
      <c r="I8" s="435"/>
      <c r="J8" s="435"/>
      <c r="K8" s="435"/>
      <c r="L8" s="436"/>
    </row>
    <row r="9" spans="2:16" ht="15.75" thickBot="1" x14ac:dyDescent="0.3">
      <c r="B9" s="91"/>
      <c r="C9" s="92">
        <v>1</v>
      </c>
      <c r="D9" s="92">
        <v>2</v>
      </c>
      <c r="E9" s="92">
        <v>3</v>
      </c>
      <c r="F9" s="92">
        <v>4</v>
      </c>
      <c r="G9" s="92">
        <v>5</v>
      </c>
      <c r="H9" s="92">
        <v>6</v>
      </c>
      <c r="I9" s="92">
        <v>7</v>
      </c>
      <c r="J9" s="92">
        <v>8</v>
      </c>
      <c r="K9" s="92">
        <v>9</v>
      </c>
      <c r="L9" s="93">
        <v>10</v>
      </c>
    </row>
    <row r="10" spans="2:16" x14ac:dyDescent="0.25">
      <c r="B10" s="142" t="s">
        <v>28</v>
      </c>
      <c r="C10" s="162">
        <f>SUM(C4:N4)</f>
        <v>102288.86756874913</v>
      </c>
      <c r="D10" s="162">
        <f>(C10*0.1)+C10</f>
        <v>112517.75432562405</v>
      </c>
      <c r="E10" s="162">
        <f>(D10*0.1)+D10</f>
        <v>123769.52975818646</v>
      </c>
      <c r="F10" s="162">
        <f t="shared" ref="F10:L10" si="2">(E10*0.1)+E10</f>
        <v>136146.48273400511</v>
      </c>
      <c r="G10" s="162">
        <f>(F10*0.1)+F10</f>
        <v>149761.13100740564</v>
      </c>
      <c r="H10" s="162">
        <f t="shared" si="2"/>
        <v>164737.2441081462</v>
      </c>
      <c r="I10" s="162">
        <f t="shared" si="2"/>
        <v>181210.96851896081</v>
      </c>
      <c r="J10" s="162">
        <f t="shared" si="2"/>
        <v>199332.0653708569</v>
      </c>
      <c r="K10" s="162">
        <f t="shared" si="2"/>
        <v>219265.2719079426</v>
      </c>
      <c r="L10" s="164">
        <f t="shared" si="2"/>
        <v>241191.79909873687</v>
      </c>
    </row>
    <row r="11" spans="2:16" ht="15.75" thickBot="1" x14ac:dyDescent="0.3">
      <c r="B11" s="173" t="s">
        <v>29</v>
      </c>
      <c r="C11" s="181">
        <f>D5</f>
        <v>7.5</v>
      </c>
      <c r="D11" s="181">
        <f t="shared" ref="D11:L11" si="3">D5</f>
        <v>7.5</v>
      </c>
      <c r="E11" s="181">
        <f t="shared" si="3"/>
        <v>7.5</v>
      </c>
      <c r="F11" s="181">
        <f t="shared" si="3"/>
        <v>7.5</v>
      </c>
      <c r="G11" s="181">
        <f t="shared" si="3"/>
        <v>7.5</v>
      </c>
      <c r="H11" s="181">
        <f t="shared" si="3"/>
        <v>7.5</v>
      </c>
      <c r="I11" s="181">
        <f t="shared" si="3"/>
        <v>7.5</v>
      </c>
      <c r="J11" s="181">
        <f t="shared" si="3"/>
        <v>7.5</v>
      </c>
      <c r="K11" s="181">
        <f t="shared" si="3"/>
        <v>7.5</v>
      </c>
      <c r="L11" s="183">
        <f t="shared" si="3"/>
        <v>7.5</v>
      </c>
    </row>
    <row r="12" spans="2:16" ht="15.75" thickBot="1" x14ac:dyDescent="0.3">
      <c r="B12" s="175" t="s">
        <v>244</v>
      </c>
      <c r="C12" s="184">
        <f>C10*C11</f>
        <v>767166.50676561845</v>
      </c>
      <c r="D12" s="184">
        <f>D10*D11</f>
        <v>843883.15744218032</v>
      </c>
      <c r="E12" s="184">
        <f>E10*E11</f>
        <v>928271.47318639839</v>
      </c>
      <c r="F12" s="184">
        <f t="shared" ref="F12:L12" si="4">F10*F11</f>
        <v>1021098.6205050383</v>
      </c>
      <c r="G12" s="184">
        <f t="shared" si="4"/>
        <v>1123208.4825555424</v>
      </c>
      <c r="H12" s="184">
        <f t="shared" si="4"/>
        <v>1235529.3308110966</v>
      </c>
      <c r="I12" s="184">
        <f t="shared" si="4"/>
        <v>1359082.2638922061</v>
      </c>
      <c r="J12" s="184">
        <f t="shared" si="4"/>
        <v>1494990.4902814268</v>
      </c>
      <c r="K12" s="184">
        <f t="shared" si="4"/>
        <v>1644489.5393095696</v>
      </c>
      <c r="L12" s="186">
        <f t="shared" si="4"/>
        <v>1808938.4932405264</v>
      </c>
    </row>
  </sheetData>
  <mergeCells count="2">
    <mergeCell ref="B2:N2"/>
    <mergeCell ref="B8:L8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topLeftCell="A60" workbookViewId="0">
      <selection activeCell="M19" sqref="M19"/>
    </sheetView>
  </sheetViews>
  <sheetFormatPr baseColWidth="10" defaultColWidth="11.42578125" defaultRowHeight="15" x14ac:dyDescent="0.25"/>
  <cols>
    <col min="1" max="1" width="2.7109375" customWidth="1"/>
    <col min="2" max="2" width="28.5703125" customWidth="1"/>
    <col min="3" max="3" width="16" customWidth="1"/>
    <col min="4" max="4" width="15.7109375" customWidth="1"/>
    <col min="5" max="5" width="14.85546875" customWidth="1"/>
    <col min="6" max="6" width="14.140625" customWidth="1"/>
    <col min="7" max="7" width="14.42578125" customWidth="1"/>
    <col min="8" max="8" width="14.7109375" customWidth="1"/>
    <col min="9" max="9" width="15.28515625" customWidth="1"/>
    <col min="10" max="10" width="15.85546875" customWidth="1"/>
    <col min="11" max="11" width="14.28515625" customWidth="1"/>
    <col min="12" max="12" width="15.140625" customWidth="1"/>
    <col min="13" max="13" width="15.5703125" customWidth="1"/>
    <col min="14" max="14" width="13" customWidth="1"/>
    <col min="15" max="15" width="18.85546875" customWidth="1"/>
  </cols>
  <sheetData>
    <row r="1" spans="2:13" s="306" customFormat="1" x14ac:dyDescent="0.25"/>
    <row r="2" spans="2:13" s="306" customFormat="1" x14ac:dyDescent="0.25">
      <c r="B2" s="372" t="s">
        <v>313</v>
      </c>
    </row>
    <row r="3" spans="2:13" s="306" customFormat="1" x14ac:dyDescent="0.25"/>
    <row r="4" spans="2:13" s="306" customFormat="1" x14ac:dyDescent="0.25">
      <c r="B4" s="377" t="s">
        <v>93</v>
      </c>
    </row>
    <row r="5" spans="2:13" ht="15.75" thickBot="1" x14ac:dyDescent="0.3"/>
    <row r="6" spans="2:13" ht="15.75" thickBot="1" x14ac:dyDescent="0.3">
      <c r="B6" s="455" t="s">
        <v>245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7"/>
    </row>
    <row r="7" spans="2:13" s="167" customFormat="1" ht="45.75" thickBot="1" x14ac:dyDescent="0.3">
      <c r="B7" s="168" t="s">
        <v>246</v>
      </c>
      <c r="C7" s="169" t="s">
        <v>251</v>
      </c>
      <c r="D7" s="170" t="s">
        <v>248</v>
      </c>
      <c r="E7" s="170" t="s">
        <v>250</v>
      </c>
      <c r="F7" s="169" t="s">
        <v>249</v>
      </c>
      <c r="G7" s="169" t="s">
        <v>252</v>
      </c>
      <c r="H7" s="169" t="s">
        <v>253</v>
      </c>
      <c r="I7" s="169" t="s">
        <v>254</v>
      </c>
      <c r="J7" s="169" t="s">
        <v>255</v>
      </c>
      <c r="K7" s="169" t="s">
        <v>256</v>
      </c>
      <c r="L7" s="169" t="s">
        <v>258</v>
      </c>
      <c r="M7" s="171" t="s">
        <v>257</v>
      </c>
    </row>
    <row r="8" spans="2:13" x14ac:dyDescent="0.25">
      <c r="B8" s="226" t="s">
        <v>36</v>
      </c>
      <c r="C8" s="96">
        <v>600</v>
      </c>
      <c r="D8" s="96">
        <f>(C8*0.0935)</f>
        <v>56.1</v>
      </c>
      <c r="E8" s="96">
        <f>C8-D8</f>
        <v>543.9</v>
      </c>
      <c r="F8" s="96">
        <f>E8*12</f>
        <v>6526.7999999999993</v>
      </c>
      <c r="G8" s="96">
        <f>F8/12</f>
        <v>543.9</v>
      </c>
      <c r="H8" s="96">
        <f>(292/12)*12</f>
        <v>292</v>
      </c>
      <c r="I8" s="96">
        <f>F8/24</f>
        <v>271.95</v>
      </c>
      <c r="J8" s="96">
        <f>((C8*11.15)/100)*12</f>
        <v>802.80000000000007</v>
      </c>
      <c r="K8" s="96">
        <f>H8</f>
        <v>292</v>
      </c>
      <c r="L8" s="96">
        <f>SUM(F8:J8)</f>
        <v>8437.4499999999989</v>
      </c>
      <c r="M8" s="165">
        <f>SUM(F8:K8)</f>
        <v>8729.4499999999989</v>
      </c>
    </row>
    <row r="9" spans="2:13" x14ac:dyDescent="0.25">
      <c r="B9" s="227" t="s">
        <v>32</v>
      </c>
      <c r="C9" s="99">
        <v>300</v>
      </c>
      <c r="D9" s="99">
        <f t="shared" ref="D9:D17" si="0">(C9*0.0935)</f>
        <v>28.05</v>
      </c>
      <c r="E9" s="99">
        <f t="shared" ref="E9:E17" si="1">C9-D9</f>
        <v>271.95</v>
      </c>
      <c r="F9" s="99">
        <f t="shared" ref="F9:F17" si="2">E9*12</f>
        <v>3263.3999999999996</v>
      </c>
      <c r="G9" s="99">
        <f t="shared" ref="G9:G17" si="3">F9/12</f>
        <v>271.95</v>
      </c>
      <c r="H9" s="99">
        <f t="shared" ref="H9:H17" si="4">(292/12)*12</f>
        <v>292</v>
      </c>
      <c r="I9" s="99">
        <f t="shared" ref="I9:I17" si="5">F9/24</f>
        <v>135.97499999999999</v>
      </c>
      <c r="J9" s="99">
        <f t="shared" ref="J9:J17" si="6">((C9*11.15)/100)*12</f>
        <v>401.40000000000003</v>
      </c>
      <c r="K9" s="99">
        <f t="shared" ref="K9:K17" si="7">H9</f>
        <v>292</v>
      </c>
      <c r="L9" s="99">
        <f t="shared" ref="L9:L17" si="8">SUM(F9:J9)</f>
        <v>4364.7249999999995</v>
      </c>
      <c r="M9" s="141">
        <f t="shared" ref="M9:M17" si="9">SUM(F9:K9)</f>
        <v>4656.7249999999995</v>
      </c>
    </row>
    <row r="10" spans="2:13" x14ac:dyDescent="0.25">
      <c r="B10" s="227" t="s">
        <v>261</v>
      </c>
      <c r="C10" s="99">
        <v>400</v>
      </c>
      <c r="D10" s="99">
        <f t="shared" si="0"/>
        <v>37.4</v>
      </c>
      <c r="E10" s="99">
        <f t="shared" si="1"/>
        <v>362.6</v>
      </c>
      <c r="F10" s="99">
        <f t="shared" si="2"/>
        <v>4351.2000000000007</v>
      </c>
      <c r="G10" s="99">
        <f t="shared" si="3"/>
        <v>362.60000000000008</v>
      </c>
      <c r="H10" s="99">
        <f t="shared" si="4"/>
        <v>292</v>
      </c>
      <c r="I10" s="99">
        <f t="shared" si="5"/>
        <v>181.30000000000004</v>
      </c>
      <c r="J10" s="99">
        <f t="shared" si="6"/>
        <v>535.20000000000005</v>
      </c>
      <c r="K10" s="99">
        <f t="shared" si="7"/>
        <v>292</v>
      </c>
      <c r="L10" s="99">
        <f t="shared" si="8"/>
        <v>5722.3000000000011</v>
      </c>
      <c r="M10" s="141">
        <f t="shared" si="9"/>
        <v>6014.3000000000011</v>
      </c>
    </row>
    <row r="11" spans="2:13" x14ac:dyDescent="0.25">
      <c r="B11" s="227" t="s">
        <v>33</v>
      </c>
      <c r="C11" s="99">
        <v>400</v>
      </c>
      <c r="D11" s="99">
        <f t="shared" si="0"/>
        <v>37.4</v>
      </c>
      <c r="E11" s="99">
        <f t="shared" si="1"/>
        <v>362.6</v>
      </c>
      <c r="F11" s="99">
        <f t="shared" si="2"/>
        <v>4351.2000000000007</v>
      </c>
      <c r="G11" s="99">
        <f t="shared" si="3"/>
        <v>362.60000000000008</v>
      </c>
      <c r="H11" s="99">
        <f t="shared" si="4"/>
        <v>292</v>
      </c>
      <c r="I11" s="99">
        <f t="shared" si="5"/>
        <v>181.30000000000004</v>
      </c>
      <c r="J11" s="99">
        <f t="shared" si="6"/>
        <v>535.20000000000005</v>
      </c>
      <c r="K11" s="99">
        <f t="shared" si="7"/>
        <v>292</v>
      </c>
      <c r="L11" s="99">
        <f t="shared" si="8"/>
        <v>5722.3000000000011</v>
      </c>
      <c r="M11" s="141">
        <f t="shared" si="9"/>
        <v>6014.3000000000011</v>
      </c>
    </row>
    <row r="12" spans="2:13" x14ac:dyDescent="0.25">
      <c r="B12" s="227" t="s">
        <v>34</v>
      </c>
      <c r="C12" s="99">
        <v>400</v>
      </c>
      <c r="D12" s="99">
        <f t="shared" si="0"/>
        <v>37.4</v>
      </c>
      <c r="E12" s="99">
        <f t="shared" si="1"/>
        <v>362.6</v>
      </c>
      <c r="F12" s="99">
        <f t="shared" si="2"/>
        <v>4351.2000000000007</v>
      </c>
      <c r="G12" s="99">
        <f t="shared" si="3"/>
        <v>362.60000000000008</v>
      </c>
      <c r="H12" s="99">
        <f t="shared" si="4"/>
        <v>292</v>
      </c>
      <c r="I12" s="99">
        <f t="shared" si="5"/>
        <v>181.30000000000004</v>
      </c>
      <c r="J12" s="99">
        <f t="shared" si="6"/>
        <v>535.20000000000005</v>
      </c>
      <c r="K12" s="99">
        <f t="shared" si="7"/>
        <v>292</v>
      </c>
      <c r="L12" s="99">
        <f t="shared" si="8"/>
        <v>5722.3000000000011</v>
      </c>
      <c r="M12" s="141">
        <f t="shared" si="9"/>
        <v>6014.3000000000011</v>
      </c>
    </row>
    <row r="13" spans="2:13" x14ac:dyDescent="0.25">
      <c r="B13" s="227" t="s">
        <v>38</v>
      </c>
      <c r="C13" s="99">
        <v>400</v>
      </c>
      <c r="D13" s="99">
        <f t="shared" si="0"/>
        <v>37.4</v>
      </c>
      <c r="E13" s="99">
        <f t="shared" si="1"/>
        <v>362.6</v>
      </c>
      <c r="F13" s="99">
        <f t="shared" si="2"/>
        <v>4351.2000000000007</v>
      </c>
      <c r="G13" s="99">
        <f t="shared" si="3"/>
        <v>362.60000000000008</v>
      </c>
      <c r="H13" s="99">
        <f t="shared" si="4"/>
        <v>292</v>
      </c>
      <c r="I13" s="99">
        <f t="shared" si="5"/>
        <v>181.30000000000004</v>
      </c>
      <c r="J13" s="99">
        <f t="shared" si="6"/>
        <v>535.20000000000005</v>
      </c>
      <c r="K13" s="99">
        <f t="shared" si="7"/>
        <v>292</v>
      </c>
      <c r="L13" s="99">
        <f t="shared" si="8"/>
        <v>5722.3000000000011</v>
      </c>
      <c r="M13" s="141">
        <f t="shared" si="9"/>
        <v>6014.3000000000011</v>
      </c>
    </row>
    <row r="14" spans="2:13" x14ac:dyDescent="0.25">
      <c r="B14" s="227" t="s">
        <v>35</v>
      </c>
      <c r="C14" s="99">
        <v>300</v>
      </c>
      <c r="D14" s="99">
        <f t="shared" si="0"/>
        <v>28.05</v>
      </c>
      <c r="E14" s="99">
        <f t="shared" si="1"/>
        <v>271.95</v>
      </c>
      <c r="F14" s="99">
        <f t="shared" si="2"/>
        <v>3263.3999999999996</v>
      </c>
      <c r="G14" s="99">
        <f t="shared" si="3"/>
        <v>271.95</v>
      </c>
      <c r="H14" s="99">
        <f t="shared" si="4"/>
        <v>292</v>
      </c>
      <c r="I14" s="99">
        <f t="shared" si="5"/>
        <v>135.97499999999999</v>
      </c>
      <c r="J14" s="99">
        <f t="shared" si="6"/>
        <v>401.40000000000003</v>
      </c>
      <c r="K14" s="99">
        <f t="shared" si="7"/>
        <v>292</v>
      </c>
      <c r="L14" s="99">
        <f t="shared" si="8"/>
        <v>4364.7249999999995</v>
      </c>
      <c r="M14" s="141">
        <f t="shared" si="9"/>
        <v>4656.7249999999995</v>
      </c>
    </row>
    <row r="15" spans="2:13" x14ac:dyDescent="0.25">
      <c r="B15" s="227" t="s">
        <v>37</v>
      </c>
      <c r="C15" s="99">
        <v>350</v>
      </c>
      <c r="D15" s="99">
        <f t="shared" si="0"/>
        <v>32.725000000000001</v>
      </c>
      <c r="E15" s="99">
        <f t="shared" si="1"/>
        <v>317.27499999999998</v>
      </c>
      <c r="F15" s="99">
        <f t="shared" si="2"/>
        <v>3807.2999999999997</v>
      </c>
      <c r="G15" s="99">
        <f t="shared" si="3"/>
        <v>317.27499999999998</v>
      </c>
      <c r="H15" s="99">
        <f t="shared" si="4"/>
        <v>292</v>
      </c>
      <c r="I15" s="99">
        <f t="shared" si="5"/>
        <v>158.63749999999999</v>
      </c>
      <c r="J15" s="99">
        <f t="shared" si="6"/>
        <v>468.29999999999995</v>
      </c>
      <c r="K15" s="99">
        <f t="shared" si="7"/>
        <v>292</v>
      </c>
      <c r="L15" s="99">
        <f t="shared" si="8"/>
        <v>5043.5124999999998</v>
      </c>
      <c r="M15" s="141">
        <f t="shared" si="9"/>
        <v>5335.5124999999998</v>
      </c>
    </row>
    <row r="16" spans="2:13" ht="30" x14ac:dyDescent="0.25">
      <c r="B16" s="227" t="s">
        <v>259</v>
      </c>
      <c r="C16" s="99">
        <v>450</v>
      </c>
      <c r="D16" s="99">
        <f t="shared" si="0"/>
        <v>42.075000000000003</v>
      </c>
      <c r="E16" s="99">
        <f t="shared" si="1"/>
        <v>407.92500000000001</v>
      </c>
      <c r="F16" s="99">
        <f t="shared" si="2"/>
        <v>4895.1000000000004</v>
      </c>
      <c r="G16" s="99">
        <f t="shared" si="3"/>
        <v>407.92500000000001</v>
      </c>
      <c r="H16" s="99">
        <f t="shared" si="4"/>
        <v>292</v>
      </c>
      <c r="I16" s="99">
        <f t="shared" si="5"/>
        <v>203.96250000000001</v>
      </c>
      <c r="J16" s="99">
        <f t="shared" si="6"/>
        <v>602.09999999999991</v>
      </c>
      <c r="K16" s="99">
        <f t="shared" si="7"/>
        <v>292</v>
      </c>
      <c r="L16" s="99">
        <f t="shared" si="8"/>
        <v>6401.0874999999996</v>
      </c>
      <c r="M16" s="141">
        <f t="shared" si="9"/>
        <v>6693.0874999999996</v>
      </c>
    </row>
    <row r="17" spans="2:15" ht="15.75" thickBot="1" x14ac:dyDescent="0.3">
      <c r="B17" s="227" t="s">
        <v>39</v>
      </c>
      <c r="C17" s="99">
        <v>300</v>
      </c>
      <c r="D17" s="99">
        <f t="shared" si="0"/>
        <v>28.05</v>
      </c>
      <c r="E17" s="99">
        <f t="shared" si="1"/>
        <v>271.95</v>
      </c>
      <c r="F17" s="99">
        <f t="shared" si="2"/>
        <v>3263.3999999999996</v>
      </c>
      <c r="G17" s="99">
        <f t="shared" si="3"/>
        <v>271.95</v>
      </c>
      <c r="H17" s="99">
        <f t="shared" si="4"/>
        <v>292</v>
      </c>
      <c r="I17" s="99">
        <f t="shared" si="5"/>
        <v>135.97499999999999</v>
      </c>
      <c r="J17" s="99">
        <f t="shared" si="6"/>
        <v>401.40000000000003</v>
      </c>
      <c r="K17" s="99">
        <f t="shared" si="7"/>
        <v>292</v>
      </c>
      <c r="L17" s="99">
        <f t="shared" si="8"/>
        <v>4364.7249999999995</v>
      </c>
      <c r="M17" s="141">
        <f t="shared" si="9"/>
        <v>4656.7249999999995</v>
      </c>
    </row>
    <row r="18" spans="2:15" ht="15.75" thickBot="1" x14ac:dyDescent="0.3">
      <c r="B18" s="175" t="s">
        <v>14</v>
      </c>
      <c r="C18" s="147">
        <f t="shared" ref="C18:M18" si="10">SUM(C8:C17)</f>
        <v>3900</v>
      </c>
      <c r="D18" s="147">
        <f t="shared" si="10"/>
        <v>364.65000000000003</v>
      </c>
      <c r="E18" s="147">
        <f t="shared" si="10"/>
        <v>3535.3499999999995</v>
      </c>
      <c r="F18" s="147">
        <f t="shared" si="10"/>
        <v>42424.200000000004</v>
      </c>
      <c r="G18" s="147">
        <f t="shared" si="10"/>
        <v>3535.3500000000004</v>
      </c>
      <c r="H18" s="147">
        <f t="shared" si="10"/>
        <v>2920</v>
      </c>
      <c r="I18" s="147">
        <f t="shared" si="10"/>
        <v>1767.6750000000002</v>
      </c>
      <c r="J18" s="147">
        <f t="shared" si="10"/>
        <v>5218.1999999999989</v>
      </c>
      <c r="K18" s="147">
        <f t="shared" si="10"/>
        <v>2920</v>
      </c>
      <c r="L18" s="176">
        <f t="shared" si="10"/>
        <v>55865.425000000003</v>
      </c>
      <c r="M18" s="148">
        <f t="shared" si="10"/>
        <v>58785.425000000003</v>
      </c>
    </row>
    <row r="19" spans="2:15" s="320" customFormat="1" ht="15.75" thickBot="1" x14ac:dyDescent="0.3">
      <c r="B19" s="309"/>
      <c r="C19" s="312"/>
      <c r="D19" s="312"/>
      <c r="E19" s="312"/>
      <c r="F19" s="312"/>
      <c r="G19" s="312"/>
      <c r="H19" s="312"/>
      <c r="I19" s="312"/>
      <c r="J19" s="312"/>
      <c r="K19" s="312"/>
      <c r="L19" s="312">
        <f>L18/12</f>
        <v>4655.4520833333336</v>
      </c>
      <c r="M19" s="312">
        <f>M18/12</f>
        <v>4898.7854166666666</v>
      </c>
    </row>
    <row r="20" spans="2:15" s="320" customFormat="1" ht="15.75" thickBot="1" x14ac:dyDescent="0.3">
      <c r="B20" s="461" t="s">
        <v>268</v>
      </c>
      <c r="C20" s="462"/>
      <c r="D20" s="463"/>
      <c r="E20" s="312"/>
      <c r="F20" s="312"/>
      <c r="G20" s="312"/>
      <c r="H20" s="312"/>
      <c r="I20" s="312"/>
      <c r="J20" s="312"/>
      <c r="K20" s="312"/>
      <c r="L20" s="312"/>
      <c r="M20" s="312"/>
    </row>
    <row r="21" spans="2:15" s="320" customFormat="1" ht="15.75" thickBot="1" x14ac:dyDescent="0.3">
      <c r="B21" s="314" t="s">
        <v>240</v>
      </c>
      <c r="C21" s="315" t="s">
        <v>273</v>
      </c>
      <c r="D21" s="316" t="s">
        <v>208</v>
      </c>
      <c r="E21" s="312"/>
      <c r="F21" s="312"/>
      <c r="G21" s="312"/>
      <c r="H21" s="312"/>
      <c r="I21" s="312"/>
      <c r="J21" s="312"/>
      <c r="K21" s="312"/>
      <c r="L21" s="312"/>
      <c r="M21" s="312"/>
    </row>
    <row r="22" spans="2:15" s="320" customFormat="1" x14ac:dyDescent="0.25">
      <c r="B22" s="373" t="s">
        <v>60</v>
      </c>
      <c r="C22" s="318">
        <v>550</v>
      </c>
      <c r="D22" s="326">
        <f>C22*12</f>
        <v>6600</v>
      </c>
      <c r="E22" s="312"/>
      <c r="F22" s="312"/>
      <c r="G22" s="312"/>
      <c r="H22" s="312"/>
      <c r="I22" s="312"/>
      <c r="J22" s="312"/>
      <c r="K22" s="312"/>
      <c r="L22" s="312"/>
      <c r="M22" s="312"/>
    </row>
    <row r="23" spans="2:15" s="320" customFormat="1" x14ac:dyDescent="0.25">
      <c r="B23" s="351" t="s">
        <v>61</v>
      </c>
      <c r="C23" s="319">
        <v>51</v>
      </c>
      <c r="D23" s="323">
        <f>C23*12</f>
        <v>612</v>
      </c>
      <c r="E23" s="312"/>
      <c r="F23" s="312"/>
      <c r="G23" s="312"/>
      <c r="H23" s="312"/>
      <c r="I23" s="312"/>
      <c r="J23" s="312"/>
      <c r="K23" s="312"/>
      <c r="L23" s="312"/>
      <c r="M23" s="312"/>
    </row>
    <row r="24" spans="2:15" s="320" customFormat="1" x14ac:dyDescent="0.25">
      <c r="B24" s="351" t="s">
        <v>57</v>
      </c>
      <c r="C24" s="319">
        <v>250</v>
      </c>
      <c r="D24" s="323">
        <f>C24*12</f>
        <v>3000</v>
      </c>
      <c r="E24" s="312"/>
      <c r="F24" s="312"/>
      <c r="G24" s="312"/>
      <c r="H24" s="312"/>
      <c r="I24" s="312"/>
      <c r="J24" s="312"/>
      <c r="K24" s="312"/>
      <c r="L24" s="312"/>
      <c r="M24" s="312"/>
    </row>
    <row r="25" spans="2:15" s="320" customFormat="1" x14ac:dyDescent="0.25">
      <c r="B25" s="351" t="s">
        <v>58</v>
      </c>
      <c r="C25" s="319">
        <v>100</v>
      </c>
      <c r="D25" s="323">
        <f>C25*12</f>
        <v>1200</v>
      </c>
      <c r="E25" s="312"/>
      <c r="F25" s="312"/>
      <c r="G25" s="312"/>
      <c r="H25" s="312"/>
      <c r="I25" s="312"/>
      <c r="J25" s="312"/>
      <c r="K25" s="312"/>
      <c r="L25" s="312"/>
      <c r="M25" s="312"/>
    </row>
    <row r="26" spans="2:15" s="320" customFormat="1" ht="15.75" thickBot="1" x14ac:dyDescent="0.3">
      <c r="B26" s="338" t="s">
        <v>59</v>
      </c>
      <c r="C26" s="332">
        <v>180</v>
      </c>
      <c r="D26" s="331">
        <f>C26*12</f>
        <v>2160</v>
      </c>
      <c r="E26" s="312"/>
      <c r="F26" s="312"/>
      <c r="G26" s="312"/>
      <c r="H26" s="312"/>
      <c r="I26" s="312"/>
      <c r="J26" s="312"/>
      <c r="K26" s="312"/>
      <c r="L26" s="312"/>
      <c r="M26" s="312"/>
    </row>
    <row r="27" spans="2:15" s="320" customFormat="1" ht="15.75" thickBot="1" x14ac:dyDescent="0.3">
      <c r="B27" s="333" t="s">
        <v>14</v>
      </c>
      <c r="C27" s="324">
        <f>SUM(C22:C26)</f>
        <v>1131</v>
      </c>
      <c r="D27" s="325">
        <f>SUM(D22:D26)</f>
        <v>13572</v>
      </c>
      <c r="E27" s="312"/>
      <c r="F27" s="312"/>
      <c r="G27" s="312"/>
      <c r="H27" s="312"/>
      <c r="I27" s="312"/>
      <c r="J27" s="312"/>
      <c r="K27" s="312"/>
      <c r="L27" s="312"/>
      <c r="M27" s="312"/>
    </row>
    <row r="28" spans="2:15" s="306" customFormat="1" x14ac:dyDescent="0.25"/>
    <row r="29" spans="2:15" s="279" customFormat="1" x14ac:dyDescent="0.25">
      <c r="B29" s="459" t="s">
        <v>325</v>
      </c>
      <c r="C29" s="459"/>
      <c r="D29" s="459"/>
      <c r="E29" s="459"/>
      <c r="F29" s="459"/>
    </row>
    <row r="30" spans="2:15" s="280" customFormat="1" ht="15.75" thickBot="1" x14ac:dyDescent="0.3">
      <c r="B30" s="304"/>
      <c r="C30" s="304"/>
      <c r="D30" s="304"/>
      <c r="E30" s="304"/>
    </row>
    <row r="31" spans="2:15" s="279" customFormat="1" ht="15.75" thickBot="1" x14ac:dyDescent="0.3">
      <c r="B31" s="437" t="s">
        <v>321</v>
      </c>
      <c r="C31" s="458"/>
      <c r="D31" s="458"/>
      <c r="E31" s="458"/>
      <c r="F31" s="438"/>
    </row>
    <row r="32" spans="2:15" ht="15.75" thickBot="1" x14ac:dyDescent="0.3">
      <c r="B32" s="291"/>
      <c r="C32" s="287" t="s">
        <v>263</v>
      </c>
      <c r="D32" s="287" t="s">
        <v>264</v>
      </c>
      <c r="E32" s="285" t="s">
        <v>208</v>
      </c>
      <c r="F32" s="286" t="s">
        <v>209</v>
      </c>
      <c r="G32" s="17"/>
      <c r="H32" s="17"/>
      <c r="I32" s="17"/>
      <c r="J32" s="17"/>
      <c r="K32" s="17"/>
      <c r="L32" s="17"/>
      <c r="M32" s="17"/>
      <c r="N32" s="17"/>
      <c r="O32" s="17"/>
    </row>
    <row r="33" spans="2:19" s="279" customFormat="1" ht="15.75" thickBot="1" x14ac:dyDescent="0.3">
      <c r="B33" s="294" t="s">
        <v>75</v>
      </c>
      <c r="C33" s="288" t="s">
        <v>76</v>
      </c>
      <c r="D33" s="289">
        <v>1.9</v>
      </c>
      <c r="E33" s="289">
        <f>D33*36*12*100</f>
        <v>82080</v>
      </c>
      <c r="F33" s="290">
        <f>E33/12</f>
        <v>6840</v>
      </c>
      <c r="G33" s="282"/>
      <c r="H33" s="282"/>
      <c r="I33" s="282"/>
      <c r="J33" s="282"/>
      <c r="K33" s="282"/>
      <c r="L33" s="282"/>
      <c r="M33" s="282"/>
      <c r="N33" s="282"/>
      <c r="O33" s="282"/>
    </row>
    <row r="34" spans="2:19" s="279" customFormat="1" ht="15.75" thickBot="1" x14ac:dyDescent="0.3">
      <c r="B34" s="280"/>
      <c r="C34" s="295"/>
      <c r="D34" s="283"/>
      <c r="E34" s="283"/>
      <c r="F34" s="283"/>
      <c r="G34" s="281"/>
      <c r="H34" s="282"/>
      <c r="I34" s="282"/>
      <c r="J34" s="282"/>
      <c r="K34" s="282"/>
      <c r="L34" s="282"/>
      <c r="M34" s="282"/>
      <c r="N34" s="282"/>
      <c r="O34" s="282"/>
    </row>
    <row r="35" spans="2:19" s="279" customFormat="1" ht="15.75" thickBot="1" x14ac:dyDescent="0.3">
      <c r="B35" s="461" t="s">
        <v>317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3"/>
      <c r="N35" s="282"/>
      <c r="O35" s="282"/>
    </row>
    <row r="36" spans="2:19" s="279" customFormat="1" ht="45.75" thickBot="1" x14ac:dyDescent="0.3">
      <c r="B36" s="327" t="s">
        <v>246</v>
      </c>
      <c r="C36" s="328" t="s">
        <v>251</v>
      </c>
      <c r="D36" s="329" t="s">
        <v>248</v>
      </c>
      <c r="E36" s="329" t="s">
        <v>250</v>
      </c>
      <c r="F36" s="328" t="s">
        <v>249</v>
      </c>
      <c r="G36" s="328" t="s">
        <v>252</v>
      </c>
      <c r="H36" s="328" t="s">
        <v>253</v>
      </c>
      <c r="I36" s="328" t="s">
        <v>254</v>
      </c>
      <c r="J36" s="328" t="s">
        <v>255</v>
      </c>
      <c r="K36" s="328" t="s">
        <v>256</v>
      </c>
      <c r="L36" s="328" t="s">
        <v>258</v>
      </c>
      <c r="M36" s="330" t="s">
        <v>257</v>
      </c>
      <c r="N36" s="282"/>
      <c r="O36" s="282"/>
    </row>
    <row r="37" spans="2:19" s="279" customFormat="1" ht="45.75" thickBot="1" x14ac:dyDescent="0.3">
      <c r="B37" s="356" t="s">
        <v>260</v>
      </c>
      <c r="C37" s="357">
        <v>12000</v>
      </c>
      <c r="D37" s="357">
        <v>1122</v>
      </c>
      <c r="E37" s="357">
        <v>10878</v>
      </c>
      <c r="F37" s="357">
        <v>130536</v>
      </c>
      <c r="G37" s="357">
        <v>10878</v>
      </c>
      <c r="H37" s="357">
        <v>87600</v>
      </c>
      <c r="I37" s="357">
        <v>5439</v>
      </c>
      <c r="J37" s="357">
        <v>16056</v>
      </c>
      <c r="K37" s="357">
        <v>7300</v>
      </c>
      <c r="L37" s="357">
        <v>250509</v>
      </c>
      <c r="M37" s="358">
        <v>257809</v>
      </c>
      <c r="N37" s="282"/>
      <c r="O37" s="282"/>
    </row>
    <row r="38" spans="2:19" s="279" customFormat="1" ht="15.75" thickBot="1" x14ac:dyDescent="0.3">
      <c r="B38" s="355" t="s">
        <v>300</v>
      </c>
      <c r="C38" s="311"/>
      <c r="D38" s="311"/>
      <c r="E38" s="306"/>
      <c r="F38" s="306"/>
      <c r="G38" s="306"/>
      <c r="H38" s="306"/>
      <c r="I38" s="306"/>
      <c r="J38" s="306"/>
      <c r="K38" s="306"/>
      <c r="L38" s="347">
        <f>SUM(L37:L37)</f>
        <v>250509</v>
      </c>
      <c r="M38" s="348">
        <f>SUM(M37:M37)</f>
        <v>257809</v>
      </c>
      <c r="N38" s="282"/>
      <c r="O38" s="282"/>
    </row>
    <row r="39" spans="2:19" s="279" customFormat="1" ht="15.75" thickBot="1" x14ac:dyDescent="0.3">
      <c r="B39" s="346" t="s">
        <v>247</v>
      </c>
      <c r="C39" s="306"/>
      <c r="D39" s="307"/>
      <c r="E39" s="307"/>
      <c r="F39" s="307"/>
      <c r="G39" s="306"/>
      <c r="H39" s="306"/>
      <c r="I39" s="306"/>
      <c r="J39" s="306"/>
      <c r="K39" s="306"/>
      <c r="L39" s="347">
        <f>L38/12</f>
        <v>20875.75</v>
      </c>
      <c r="M39" s="348">
        <f>M38/12</f>
        <v>21484.083333333332</v>
      </c>
      <c r="N39" s="282"/>
      <c r="O39" s="282"/>
    </row>
    <row r="40" spans="2:19" s="308" customFormat="1" ht="15.75" thickBot="1" x14ac:dyDescent="0.3">
      <c r="C40" s="353"/>
      <c r="D40" s="312"/>
      <c r="E40" s="312"/>
      <c r="F40" s="312"/>
      <c r="G40" s="309"/>
      <c r="H40" s="309"/>
      <c r="I40" s="309"/>
      <c r="J40" s="309"/>
      <c r="K40" s="309"/>
      <c r="L40" s="309"/>
      <c r="M40" s="309"/>
      <c r="N40" s="309"/>
      <c r="O40" s="309"/>
    </row>
    <row r="41" spans="2:19" s="279" customFormat="1" ht="15.75" thickBot="1" x14ac:dyDescent="0.3">
      <c r="B41" s="464" t="s">
        <v>314</v>
      </c>
      <c r="C41" s="465"/>
      <c r="D41" s="465"/>
      <c r="E41" s="465"/>
      <c r="F41" s="466"/>
      <c r="G41" s="31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</row>
    <row r="42" spans="2:19" s="306" customFormat="1" ht="15.75" thickBot="1" x14ac:dyDescent="0.3">
      <c r="B42" s="333"/>
      <c r="C42" s="315" t="s">
        <v>263</v>
      </c>
      <c r="D42" s="315" t="s">
        <v>264</v>
      </c>
      <c r="E42" s="321" t="s">
        <v>208</v>
      </c>
      <c r="F42" s="322" t="s">
        <v>209</v>
      </c>
      <c r="G42" s="310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</row>
    <row r="43" spans="2:19" x14ac:dyDescent="0.25">
      <c r="B43" s="293" t="s">
        <v>41</v>
      </c>
      <c r="C43" s="317" t="s">
        <v>51</v>
      </c>
      <c r="D43" s="292">
        <v>48.62</v>
      </c>
      <c r="E43" s="292">
        <f>D43*36</f>
        <v>1750.32</v>
      </c>
      <c r="F43" s="326">
        <f>E43/12</f>
        <v>145.85999999999999</v>
      </c>
      <c r="G43" s="309"/>
      <c r="H43" s="305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</row>
    <row r="44" spans="2:19" x14ac:dyDescent="0.25">
      <c r="B44" s="339" t="s">
        <v>42</v>
      </c>
      <c r="C44" s="313" t="s">
        <v>51</v>
      </c>
      <c r="D44" s="335">
        <v>73.260000000000005</v>
      </c>
      <c r="E44" s="335">
        <f>D44*36</f>
        <v>2637.36</v>
      </c>
      <c r="F44" s="323">
        <f t="shared" ref="F44:F57" si="11">E44/12</f>
        <v>219.78</v>
      </c>
      <c r="G44" s="308"/>
      <c r="H44" s="309"/>
      <c r="I44" s="312"/>
      <c r="J44" s="312"/>
      <c r="K44" s="308"/>
      <c r="L44" s="308"/>
      <c r="M44" s="308"/>
      <c r="N44" s="308"/>
      <c r="O44" s="308"/>
      <c r="P44" s="308"/>
      <c r="Q44" s="308"/>
      <c r="R44" s="312"/>
      <c r="S44" s="312"/>
    </row>
    <row r="45" spans="2:19" x14ac:dyDescent="0.25">
      <c r="B45" s="339" t="s">
        <v>43</v>
      </c>
      <c r="C45" s="313" t="s">
        <v>51</v>
      </c>
      <c r="D45" s="335">
        <v>47.27</v>
      </c>
      <c r="E45" s="335">
        <f>D45*36</f>
        <v>1701.72</v>
      </c>
      <c r="F45" s="323">
        <f t="shared" si="11"/>
        <v>141.81</v>
      </c>
      <c r="G45" s="308"/>
      <c r="H45" s="309"/>
      <c r="I45" s="308"/>
      <c r="J45" s="308"/>
      <c r="K45" s="308"/>
      <c r="L45" s="308"/>
      <c r="M45" s="308"/>
      <c r="N45" s="308"/>
      <c r="O45" s="308"/>
      <c r="P45" s="308"/>
      <c r="Q45" s="308"/>
      <c r="R45" s="312"/>
      <c r="S45" s="312"/>
    </row>
    <row r="46" spans="2:19" x14ac:dyDescent="0.25">
      <c r="B46" s="339" t="s">
        <v>44</v>
      </c>
      <c r="C46" s="313" t="s">
        <v>51</v>
      </c>
      <c r="D46" s="335">
        <v>24.31</v>
      </c>
      <c r="E46" s="335">
        <f>D46*36</f>
        <v>875.16</v>
      </c>
      <c r="F46" s="323">
        <f t="shared" si="11"/>
        <v>72.929999999999993</v>
      </c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</row>
    <row r="47" spans="2:19" ht="30" x14ac:dyDescent="0.25">
      <c r="B47" s="339" t="s">
        <v>265</v>
      </c>
      <c r="C47" s="313" t="s">
        <v>51</v>
      </c>
      <c r="D47" s="335">
        <v>57</v>
      </c>
      <c r="E47" s="335">
        <f t="shared" ref="E47:E55" si="12">D47*36</f>
        <v>2052</v>
      </c>
      <c r="F47" s="323">
        <f t="shared" si="11"/>
        <v>171</v>
      </c>
    </row>
    <row r="48" spans="2:19" x14ac:dyDescent="0.25">
      <c r="B48" s="339" t="s">
        <v>266</v>
      </c>
      <c r="C48" s="313" t="s">
        <v>51</v>
      </c>
      <c r="D48" s="335">
        <v>13.23</v>
      </c>
      <c r="E48" s="335">
        <f t="shared" si="12"/>
        <v>476.28000000000003</v>
      </c>
      <c r="F48" s="323">
        <f t="shared" si="11"/>
        <v>39.690000000000005</v>
      </c>
    </row>
    <row r="49" spans="2:6" x14ac:dyDescent="0.25">
      <c r="B49" s="339" t="s">
        <v>45</v>
      </c>
      <c r="C49" s="313" t="s">
        <v>51</v>
      </c>
      <c r="D49" s="335">
        <v>1.36</v>
      </c>
      <c r="E49" s="335">
        <f t="shared" si="12"/>
        <v>48.96</v>
      </c>
      <c r="F49" s="323">
        <f t="shared" si="11"/>
        <v>4.08</v>
      </c>
    </row>
    <row r="50" spans="2:6" x14ac:dyDescent="0.25">
      <c r="B50" s="339" t="s">
        <v>46</v>
      </c>
      <c r="C50" s="313" t="s">
        <v>51</v>
      </c>
      <c r="D50" s="335">
        <v>25.72</v>
      </c>
      <c r="E50" s="335">
        <f t="shared" si="12"/>
        <v>925.92</v>
      </c>
      <c r="F50" s="323">
        <f t="shared" si="11"/>
        <v>77.16</v>
      </c>
    </row>
    <row r="51" spans="2:6" x14ac:dyDescent="0.25">
      <c r="B51" s="339" t="s">
        <v>47</v>
      </c>
      <c r="C51" s="313" t="s">
        <v>51</v>
      </c>
      <c r="D51" s="335">
        <v>648.29999999999995</v>
      </c>
      <c r="E51" s="335">
        <f t="shared" si="12"/>
        <v>23338.799999999999</v>
      </c>
      <c r="F51" s="323">
        <f t="shared" si="11"/>
        <v>1944.8999999999999</v>
      </c>
    </row>
    <row r="52" spans="2:6" x14ac:dyDescent="0.25">
      <c r="B52" s="339" t="s">
        <v>267</v>
      </c>
      <c r="C52" s="313" t="s">
        <v>51</v>
      </c>
      <c r="D52" s="335">
        <v>542.95000000000005</v>
      </c>
      <c r="E52" s="335">
        <f t="shared" si="12"/>
        <v>19546.2</v>
      </c>
      <c r="F52" s="323">
        <f t="shared" si="11"/>
        <v>1628.8500000000001</v>
      </c>
    </row>
    <row r="53" spans="2:6" x14ac:dyDescent="0.25">
      <c r="B53" s="339" t="s">
        <v>48</v>
      </c>
      <c r="C53" s="313" t="s">
        <v>51</v>
      </c>
      <c r="D53" s="335">
        <v>87.52</v>
      </c>
      <c r="E53" s="335">
        <f t="shared" si="12"/>
        <v>3150.72</v>
      </c>
      <c r="F53" s="323">
        <f t="shared" si="11"/>
        <v>262.56</v>
      </c>
    </row>
    <row r="54" spans="2:6" x14ac:dyDescent="0.25">
      <c r="B54" s="339" t="s">
        <v>49</v>
      </c>
      <c r="C54" s="313" t="s">
        <v>51</v>
      </c>
      <c r="D54" s="335">
        <v>166.94</v>
      </c>
      <c r="E54" s="335">
        <f t="shared" si="12"/>
        <v>6009.84</v>
      </c>
      <c r="F54" s="323">
        <f t="shared" si="11"/>
        <v>500.82</v>
      </c>
    </row>
    <row r="55" spans="2:6" x14ac:dyDescent="0.25">
      <c r="B55" s="339" t="s">
        <v>50</v>
      </c>
      <c r="C55" s="313" t="s">
        <v>51</v>
      </c>
      <c r="D55" s="335">
        <v>244.89</v>
      </c>
      <c r="E55" s="335">
        <f t="shared" si="12"/>
        <v>8816.0399999999991</v>
      </c>
      <c r="F55" s="323">
        <f t="shared" si="11"/>
        <v>734.67</v>
      </c>
    </row>
    <row r="56" spans="2:6" ht="30" x14ac:dyDescent="0.25">
      <c r="B56" s="339" t="s">
        <v>274</v>
      </c>
      <c r="C56" s="345" t="s">
        <v>299</v>
      </c>
      <c r="D56" s="341">
        <v>4550</v>
      </c>
      <c r="E56" s="341">
        <f>D56*12</f>
        <v>54600</v>
      </c>
      <c r="F56" s="323">
        <f t="shared" si="11"/>
        <v>4550</v>
      </c>
    </row>
    <row r="57" spans="2:6" ht="15.75" thickBot="1" x14ac:dyDescent="0.3">
      <c r="B57" s="340" t="s">
        <v>52</v>
      </c>
      <c r="C57" s="334" t="s">
        <v>40</v>
      </c>
      <c r="D57" s="336">
        <v>2.5</v>
      </c>
      <c r="E57" s="336">
        <f>D57*1800*12</f>
        <v>54000</v>
      </c>
      <c r="F57" s="331">
        <f t="shared" si="11"/>
        <v>4500</v>
      </c>
    </row>
    <row r="58" spans="2:6" ht="15.75" thickBot="1" x14ac:dyDescent="0.3">
      <c r="B58" s="333" t="s">
        <v>315</v>
      </c>
      <c r="C58" s="337"/>
      <c r="D58" s="337"/>
      <c r="E58" s="367">
        <f>SUM(E43:E57)</f>
        <v>179929.32</v>
      </c>
      <c r="F58" s="325">
        <f>SUM(F43:F57)</f>
        <v>14994.11</v>
      </c>
    </row>
    <row r="59" spans="2:6" s="284" customFormat="1" ht="15.75" thickBot="1" x14ac:dyDescent="0.3">
      <c r="B59" s="364"/>
      <c r="C59" s="365"/>
      <c r="D59" s="365"/>
      <c r="E59" s="366"/>
      <c r="F59" s="296"/>
    </row>
    <row r="60" spans="2:6" ht="15.75" thickBot="1" x14ac:dyDescent="0.3">
      <c r="B60" s="437" t="s">
        <v>262</v>
      </c>
      <c r="C60" s="458"/>
      <c r="D60" s="458"/>
      <c r="E60" s="458"/>
      <c r="F60" s="438"/>
    </row>
    <row r="61" spans="2:6" ht="45.75" thickBot="1" x14ac:dyDescent="0.3">
      <c r="B61" s="297" t="s">
        <v>240</v>
      </c>
      <c r="C61" s="298" t="s">
        <v>269</v>
      </c>
      <c r="D61" s="298" t="s">
        <v>270</v>
      </c>
      <c r="E61" s="298" t="s">
        <v>271</v>
      </c>
      <c r="F61" s="299" t="s">
        <v>272</v>
      </c>
    </row>
    <row r="62" spans="2:6" s="306" customFormat="1" ht="15.75" thickBot="1" x14ac:dyDescent="0.3">
      <c r="B62" s="452" t="s">
        <v>323</v>
      </c>
      <c r="C62" s="453"/>
      <c r="D62" s="453"/>
      <c r="E62" s="453"/>
      <c r="F62" s="454"/>
    </row>
    <row r="63" spans="2:6" ht="30.75" thickBot="1" x14ac:dyDescent="0.3">
      <c r="B63" s="300" t="s">
        <v>207</v>
      </c>
      <c r="C63" s="301"/>
      <c r="D63" s="302">
        <v>981.96400000000006</v>
      </c>
      <c r="E63" s="302">
        <f>F63/12</f>
        <v>3273.2133333333336</v>
      </c>
      <c r="F63" s="303">
        <f>D63*40</f>
        <v>39278.560000000005</v>
      </c>
    </row>
    <row r="64" spans="2:6" s="306" customFormat="1" ht="15.75" thickBot="1" x14ac:dyDescent="0.3">
      <c r="B64" s="449" t="s">
        <v>322</v>
      </c>
      <c r="C64" s="450"/>
      <c r="D64" s="450"/>
      <c r="E64" s="450"/>
      <c r="F64" s="451"/>
    </row>
    <row r="65" spans="2:7" x14ac:dyDescent="0.25">
      <c r="B65" s="352" t="s">
        <v>55</v>
      </c>
      <c r="C65" s="361" t="s">
        <v>56</v>
      </c>
      <c r="D65" s="223">
        <v>50</v>
      </c>
      <c r="E65" s="223">
        <f>D65*4</f>
        <v>200</v>
      </c>
      <c r="F65" s="224">
        <f>E65*12</f>
        <v>2400</v>
      </c>
    </row>
    <row r="66" spans="2:7" s="306" customFormat="1" ht="30" x14ac:dyDescent="0.25">
      <c r="B66" s="349" t="s">
        <v>324</v>
      </c>
      <c r="C66" s="375"/>
      <c r="D66" s="342"/>
      <c r="E66" s="342">
        <f>F66/12</f>
        <v>6840</v>
      </c>
      <c r="F66" s="343">
        <v>82080</v>
      </c>
    </row>
    <row r="67" spans="2:7" s="306" customFormat="1" ht="30" x14ac:dyDescent="0.25">
      <c r="B67" s="350" t="s">
        <v>318</v>
      </c>
      <c r="C67" s="360"/>
      <c r="D67" s="341"/>
      <c r="E67" s="341">
        <f t="shared" ref="E67:E68" si="13">F67/12</f>
        <v>20875.75</v>
      </c>
      <c r="F67" s="374">
        <v>250509</v>
      </c>
      <c r="G67" s="362"/>
    </row>
    <row r="68" spans="2:7" s="279" customFormat="1" ht="15.75" thickBot="1" x14ac:dyDescent="0.3">
      <c r="B68" s="376" t="s">
        <v>316</v>
      </c>
      <c r="C68" s="368"/>
      <c r="D68" s="368"/>
      <c r="E68" s="354">
        <f t="shared" si="13"/>
        <v>27915.75</v>
      </c>
      <c r="F68" s="369">
        <f>SUM(F65:F67)</f>
        <v>334989</v>
      </c>
      <c r="G68" s="362"/>
    </row>
    <row r="69" spans="2:7" ht="15.75" thickBot="1" x14ac:dyDescent="0.3">
      <c r="B69" s="333" t="s">
        <v>319</v>
      </c>
      <c r="C69" s="337"/>
      <c r="D69" s="324"/>
      <c r="E69" s="370">
        <f>F69/12</f>
        <v>31188.963333333333</v>
      </c>
      <c r="F69" s="371">
        <f>F63+F68</f>
        <v>374267.56</v>
      </c>
      <c r="G69" s="362"/>
    </row>
    <row r="70" spans="2:7" s="284" customFormat="1" x14ac:dyDescent="0.25"/>
  </sheetData>
  <mergeCells count="10">
    <mergeCell ref="B64:F64"/>
    <mergeCell ref="B62:F62"/>
    <mergeCell ref="B6:M6"/>
    <mergeCell ref="B31:F31"/>
    <mergeCell ref="B29:F29"/>
    <mergeCell ref="H41:S41"/>
    <mergeCell ref="B60:F60"/>
    <mergeCell ref="B35:M35"/>
    <mergeCell ref="B41:F41"/>
    <mergeCell ref="B20:D20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A19" workbookViewId="0">
      <selection activeCell="N34" sqref="N34"/>
    </sheetView>
  </sheetViews>
  <sheetFormatPr baseColWidth="10" defaultColWidth="11.42578125" defaultRowHeight="15" x14ac:dyDescent="0.25"/>
  <cols>
    <col min="1" max="1" width="3.42578125" customWidth="1"/>
    <col min="2" max="2" width="27" bestFit="1" customWidth="1"/>
    <col min="3" max="3" width="12.28515625" bestFit="1" customWidth="1"/>
    <col min="4" max="5" width="0" hidden="1" customWidth="1"/>
    <col min="6" max="6" width="14.85546875" customWidth="1"/>
    <col min="7" max="7" width="13" customWidth="1"/>
    <col min="8" max="8" width="12" customWidth="1"/>
    <col min="9" max="9" width="12.28515625" customWidth="1"/>
    <col min="10" max="10" width="13.28515625" customWidth="1"/>
    <col min="11" max="11" width="12" customWidth="1"/>
    <col min="12" max="13" width="12.140625" customWidth="1"/>
    <col min="14" max="14" width="14.7109375" customWidth="1"/>
    <col min="15" max="15" width="12.42578125" customWidth="1"/>
    <col min="16" max="16" width="12.140625" customWidth="1"/>
  </cols>
  <sheetData>
    <row r="1" spans="2:16" ht="15.75" thickBot="1" x14ac:dyDescent="0.3"/>
    <row r="2" spans="2:16" ht="15.75" thickBot="1" x14ac:dyDescent="0.3">
      <c r="B2" s="429" t="s">
        <v>312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1"/>
    </row>
    <row r="3" spans="2:16" ht="15.75" thickBot="1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6" s="137" customFormat="1" ht="15.75" thickBot="1" x14ac:dyDescent="0.3">
      <c r="B4" s="274"/>
      <c r="C4" s="275" t="s">
        <v>179</v>
      </c>
      <c r="D4" s="275"/>
      <c r="E4" s="275"/>
      <c r="F4" s="275" t="s">
        <v>180</v>
      </c>
      <c r="G4" s="275" t="s">
        <v>181</v>
      </c>
      <c r="H4" s="275" t="s">
        <v>182</v>
      </c>
      <c r="I4" s="275" t="s">
        <v>183</v>
      </c>
      <c r="J4" s="275" t="s">
        <v>184</v>
      </c>
      <c r="K4" s="275" t="s">
        <v>185</v>
      </c>
      <c r="L4" s="275" t="s">
        <v>199</v>
      </c>
      <c r="M4" s="275" t="s">
        <v>186</v>
      </c>
      <c r="N4" s="275" t="s">
        <v>187</v>
      </c>
      <c r="O4" s="275" t="s">
        <v>188</v>
      </c>
      <c r="P4" s="276" t="s">
        <v>189</v>
      </c>
    </row>
    <row r="5" spans="2:16" x14ac:dyDescent="0.25">
      <c r="B5" s="180" t="s">
        <v>29</v>
      </c>
      <c r="C5" s="96"/>
      <c r="D5" s="96"/>
      <c r="E5" s="96"/>
      <c r="F5" s="96">
        <f>Ingresos!D5</f>
        <v>7.5</v>
      </c>
      <c r="G5" s="96">
        <f>Ingresos!E5</f>
        <v>7.5</v>
      </c>
      <c r="H5" s="96">
        <f>Ingresos!F5</f>
        <v>7.5</v>
      </c>
      <c r="I5" s="96">
        <f>Ingresos!G5</f>
        <v>7.5</v>
      </c>
      <c r="J5" s="96">
        <f>Ingresos!H5</f>
        <v>7.5</v>
      </c>
      <c r="K5" s="96">
        <f>Ingresos!I5</f>
        <v>7.5</v>
      </c>
      <c r="L5" s="96">
        <f>Ingresos!J5</f>
        <v>7.5</v>
      </c>
      <c r="M5" s="96">
        <f>Ingresos!K5</f>
        <v>7.5</v>
      </c>
      <c r="N5" s="96">
        <f>Ingresos!L5</f>
        <v>7.5</v>
      </c>
      <c r="O5" s="96">
        <f>Ingresos!M5</f>
        <v>7.5</v>
      </c>
      <c r="P5" s="165">
        <f>Ingresos!N5</f>
        <v>7.5</v>
      </c>
    </row>
    <row r="6" spans="2:16" x14ac:dyDescent="0.25">
      <c r="B6" s="178" t="s">
        <v>197</v>
      </c>
      <c r="C6" s="99"/>
      <c r="D6" s="99"/>
      <c r="E6" s="99"/>
      <c r="F6" s="219">
        <f>Ingresos!D4</f>
        <v>7200</v>
      </c>
      <c r="G6" s="219">
        <f>(Ingresos!$E$4*0.05)+$F$6</f>
        <v>7578</v>
      </c>
      <c r="H6" s="219">
        <f t="shared" ref="H6:P6" si="0">(G6*0.05)+G6</f>
        <v>7956.9</v>
      </c>
      <c r="I6" s="219">
        <f t="shared" si="0"/>
        <v>8354.744999999999</v>
      </c>
      <c r="J6" s="219">
        <f t="shared" si="0"/>
        <v>8772.4822499999991</v>
      </c>
      <c r="K6" s="219">
        <f t="shared" si="0"/>
        <v>9211.1063624999988</v>
      </c>
      <c r="L6" s="219">
        <f t="shared" si="0"/>
        <v>9671.6616806249986</v>
      </c>
      <c r="M6" s="219">
        <f t="shared" si="0"/>
        <v>10155.244764656249</v>
      </c>
      <c r="N6" s="219">
        <f t="shared" si="0"/>
        <v>10663.00700288906</v>
      </c>
      <c r="O6" s="219">
        <f t="shared" si="0"/>
        <v>11196.157353033514</v>
      </c>
      <c r="P6" s="219">
        <f t="shared" si="0"/>
        <v>11755.96522068519</v>
      </c>
    </row>
    <row r="7" spans="2:16" ht="15.75" thickBot="1" x14ac:dyDescent="0.3">
      <c r="B7" s="210" t="s">
        <v>198</v>
      </c>
      <c r="C7" s="174"/>
      <c r="D7" s="174"/>
      <c r="E7" s="174"/>
      <c r="F7" s="174">
        <f>F5*F6</f>
        <v>54000</v>
      </c>
      <c r="G7" s="174">
        <f t="shared" ref="G7:P7" si="1">G5*G6</f>
        <v>56835</v>
      </c>
      <c r="H7" s="174">
        <f t="shared" si="1"/>
        <v>59676.75</v>
      </c>
      <c r="I7" s="174">
        <f t="shared" si="1"/>
        <v>62660.587499999994</v>
      </c>
      <c r="J7" s="174">
        <f t="shared" si="1"/>
        <v>65793.616874999992</v>
      </c>
      <c r="K7" s="174">
        <f t="shared" si="1"/>
        <v>69083.297718749993</v>
      </c>
      <c r="L7" s="174">
        <f t="shared" si="1"/>
        <v>72537.462604687491</v>
      </c>
      <c r="M7" s="174">
        <f t="shared" si="1"/>
        <v>76164.335734921871</v>
      </c>
      <c r="N7" s="174">
        <f t="shared" si="1"/>
        <v>79972.552521667953</v>
      </c>
      <c r="O7" s="174">
        <f t="shared" si="1"/>
        <v>83971.180147751351</v>
      </c>
      <c r="P7" s="172">
        <f t="shared" si="1"/>
        <v>88169.73915513893</v>
      </c>
    </row>
    <row r="8" spans="2:16" s="137" customFormat="1" ht="15.75" thickBot="1" x14ac:dyDescent="0.3">
      <c r="B8" s="274"/>
      <c r="C8" s="277" t="s">
        <v>179</v>
      </c>
      <c r="D8" s="277"/>
      <c r="E8" s="277"/>
      <c r="F8" s="277" t="s">
        <v>180</v>
      </c>
      <c r="G8" s="277" t="s">
        <v>181</v>
      </c>
      <c r="H8" s="277" t="s">
        <v>182</v>
      </c>
      <c r="I8" s="277" t="s">
        <v>183</v>
      </c>
      <c r="J8" s="277" t="s">
        <v>184</v>
      </c>
      <c r="K8" s="277" t="s">
        <v>185</v>
      </c>
      <c r="L8" s="277" t="s">
        <v>199</v>
      </c>
      <c r="M8" s="277" t="s">
        <v>186</v>
      </c>
      <c r="N8" s="277" t="s">
        <v>187</v>
      </c>
      <c r="O8" s="277" t="s">
        <v>188</v>
      </c>
      <c r="P8" s="278" t="s">
        <v>189</v>
      </c>
    </row>
    <row r="9" spans="2:16" x14ac:dyDescent="0.25">
      <c r="B9" s="180" t="s">
        <v>287</v>
      </c>
      <c r="C9" s="96"/>
      <c r="D9" s="96"/>
      <c r="E9" s="96"/>
      <c r="F9" s="96">
        <f>F7*0.3</f>
        <v>16200</v>
      </c>
      <c r="G9" s="96">
        <f>G7*0.3</f>
        <v>17050.5</v>
      </c>
      <c r="H9" s="96">
        <f>H7*0.3</f>
        <v>17903.024999999998</v>
      </c>
      <c r="I9" s="96">
        <f t="shared" ref="I9:P9" si="2">I7*0.3</f>
        <v>18798.176249999997</v>
      </c>
      <c r="J9" s="96">
        <f t="shared" si="2"/>
        <v>19738.085062499998</v>
      </c>
      <c r="K9" s="96">
        <f t="shared" si="2"/>
        <v>20724.989315624996</v>
      </c>
      <c r="L9" s="96">
        <f t="shared" si="2"/>
        <v>21761.238781406246</v>
      </c>
      <c r="M9" s="96">
        <f t="shared" si="2"/>
        <v>22849.30072047656</v>
      </c>
      <c r="N9" s="96">
        <f t="shared" si="2"/>
        <v>23991.765756500386</v>
      </c>
      <c r="O9" s="96">
        <f t="shared" si="2"/>
        <v>25191.354044325406</v>
      </c>
      <c r="P9" s="165">
        <f t="shared" si="2"/>
        <v>26450.921746541677</v>
      </c>
    </row>
    <row r="10" spans="2:16" x14ac:dyDescent="0.25">
      <c r="B10" s="178" t="s">
        <v>288</v>
      </c>
      <c r="C10" s="139"/>
      <c r="D10" s="139"/>
      <c r="E10" s="139"/>
      <c r="F10" s="99"/>
      <c r="G10" s="99">
        <f t="shared" ref="G10:P10" si="3">F7*0.4</f>
        <v>21600</v>
      </c>
      <c r="H10" s="99">
        <f t="shared" si="3"/>
        <v>22734</v>
      </c>
      <c r="I10" s="99">
        <f t="shared" si="3"/>
        <v>23870.7</v>
      </c>
      <c r="J10" s="99">
        <f t="shared" si="3"/>
        <v>25064.235000000001</v>
      </c>
      <c r="K10" s="99">
        <f t="shared" si="3"/>
        <v>26317.446749999999</v>
      </c>
      <c r="L10" s="99">
        <f t="shared" si="3"/>
        <v>27633.3190875</v>
      </c>
      <c r="M10" s="99">
        <f t="shared" si="3"/>
        <v>29014.985041874999</v>
      </c>
      <c r="N10" s="99">
        <f t="shared" si="3"/>
        <v>30465.734293968751</v>
      </c>
      <c r="O10" s="99">
        <f t="shared" si="3"/>
        <v>31989.021008667183</v>
      </c>
      <c r="P10" s="141">
        <f t="shared" si="3"/>
        <v>33588.472059100539</v>
      </c>
    </row>
    <row r="11" spans="2:16" ht="15.75" thickBot="1" x14ac:dyDescent="0.3">
      <c r="B11" s="210" t="s">
        <v>289</v>
      </c>
      <c r="C11" s="218"/>
      <c r="D11" s="218"/>
      <c r="E11" s="218"/>
      <c r="F11" s="174"/>
      <c r="G11" s="174"/>
      <c r="H11" s="174">
        <f t="shared" ref="H11:P11" si="4">F7*0.3</f>
        <v>16200</v>
      </c>
      <c r="I11" s="174">
        <f t="shared" si="4"/>
        <v>17050.5</v>
      </c>
      <c r="J11" s="174">
        <f t="shared" si="4"/>
        <v>17903.024999999998</v>
      </c>
      <c r="K11" s="174">
        <f t="shared" si="4"/>
        <v>18798.176249999997</v>
      </c>
      <c r="L11" s="174">
        <f t="shared" si="4"/>
        <v>19738.085062499998</v>
      </c>
      <c r="M11" s="174">
        <f t="shared" si="4"/>
        <v>20724.989315624996</v>
      </c>
      <c r="N11" s="174">
        <f t="shared" si="4"/>
        <v>21761.238781406246</v>
      </c>
      <c r="O11" s="174">
        <f t="shared" si="4"/>
        <v>22849.30072047656</v>
      </c>
      <c r="P11" s="172">
        <f t="shared" si="4"/>
        <v>23991.765756500386</v>
      </c>
    </row>
    <row r="12" spans="2:16" ht="15.75" thickBot="1" x14ac:dyDescent="0.3">
      <c r="B12" s="44" t="s">
        <v>285</v>
      </c>
      <c r="C12" s="187"/>
      <c r="D12" s="147"/>
      <c r="E12" s="147"/>
      <c r="F12" s="147">
        <f>SUM(F9:F11)</f>
        <v>16200</v>
      </c>
      <c r="G12" s="147">
        <f t="shared" ref="G12:P12" si="5">SUM(G9:G11)</f>
        <v>38650.5</v>
      </c>
      <c r="H12" s="147">
        <f t="shared" si="5"/>
        <v>56837.024999999994</v>
      </c>
      <c r="I12" s="147">
        <f t="shared" si="5"/>
        <v>59719.376250000001</v>
      </c>
      <c r="J12" s="147">
        <f t="shared" si="5"/>
        <v>62705.345062499997</v>
      </c>
      <c r="K12" s="147">
        <f t="shared" si="5"/>
        <v>65840.612315624981</v>
      </c>
      <c r="L12" s="147">
        <f t="shared" si="5"/>
        <v>69132.642931406241</v>
      </c>
      <c r="M12" s="147">
        <f t="shared" si="5"/>
        <v>72589.275077976548</v>
      </c>
      <c r="N12" s="147">
        <f t="shared" si="5"/>
        <v>76218.73883187538</v>
      </c>
      <c r="O12" s="147">
        <f t="shared" si="5"/>
        <v>80029.675773469149</v>
      </c>
      <c r="P12" s="148">
        <f t="shared" si="5"/>
        <v>84031.15956214261</v>
      </c>
    </row>
    <row r="13" spans="2:16" ht="15.75" thickBot="1" x14ac:dyDescent="0.3">
      <c r="B13" s="1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6" s="137" customFormat="1" ht="15.75" thickBot="1" x14ac:dyDescent="0.3">
      <c r="B14" s="274"/>
      <c r="C14" s="277" t="s">
        <v>179</v>
      </c>
      <c r="D14" s="275"/>
      <c r="E14" s="275"/>
      <c r="F14" s="277" t="s">
        <v>180</v>
      </c>
      <c r="G14" s="277" t="s">
        <v>181</v>
      </c>
      <c r="H14" s="277" t="s">
        <v>182</v>
      </c>
      <c r="I14" s="277" t="s">
        <v>183</v>
      </c>
      <c r="J14" s="277" t="s">
        <v>184</v>
      </c>
      <c r="K14" s="277" t="s">
        <v>185</v>
      </c>
      <c r="L14" s="277" t="s">
        <v>199</v>
      </c>
      <c r="M14" s="277" t="s">
        <v>186</v>
      </c>
      <c r="N14" s="277" t="s">
        <v>187</v>
      </c>
      <c r="O14" s="277" t="s">
        <v>188</v>
      </c>
      <c r="P14" s="278" t="s">
        <v>189</v>
      </c>
    </row>
    <row r="15" spans="2:16" x14ac:dyDescent="0.25">
      <c r="B15" s="211" t="s">
        <v>28</v>
      </c>
      <c r="C15" s="212"/>
      <c r="D15" s="212"/>
      <c r="E15" s="212"/>
      <c r="F15" s="212">
        <f>F6</f>
        <v>7200</v>
      </c>
      <c r="G15" s="212">
        <f t="shared" ref="G15:P15" si="6">G6</f>
        <v>7578</v>
      </c>
      <c r="H15" s="212">
        <f t="shared" si="6"/>
        <v>7956.9</v>
      </c>
      <c r="I15" s="212">
        <f t="shared" si="6"/>
        <v>8354.744999999999</v>
      </c>
      <c r="J15" s="212">
        <f t="shared" si="6"/>
        <v>8772.4822499999991</v>
      </c>
      <c r="K15" s="212">
        <f t="shared" si="6"/>
        <v>9211.1063624999988</v>
      </c>
      <c r="L15" s="212">
        <f t="shared" si="6"/>
        <v>9671.6616806249986</v>
      </c>
      <c r="M15" s="212">
        <f t="shared" si="6"/>
        <v>10155.244764656249</v>
      </c>
      <c r="N15" s="212">
        <f t="shared" si="6"/>
        <v>10663.00700288906</v>
      </c>
      <c r="O15" s="212">
        <f t="shared" si="6"/>
        <v>11196.157353033514</v>
      </c>
      <c r="P15" s="213">
        <f t="shared" si="6"/>
        <v>11755.96522068519</v>
      </c>
    </row>
    <row r="16" spans="2:16" x14ac:dyDescent="0.25">
      <c r="B16" s="178" t="s">
        <v>200</v>
      </c>
      <c r="C16" s="162">
        <f>(F15*66.67)/100</f>
        <v>4800.24</v>
      </c>
      <c r="D16" s="162">
        <f>(G15*66.67)/100</f>
        <v>5052.2525999999998</v>
      </c>
      <c r="E16" s="162">
        <f>(H15*66.67)/100</f>
        <v>5304.8652300000003</v>
      </c>
      <c r="F16" s="162">
        <f t="shared" ref="F16:O16" si="7">(G15*66.67)/100</f>
        <v>5052.2525999999998</v>
      </c>
      <c r="G16" s="162">
        <f t="shared" si="7"/>
        <v>5304.8652300000003</v>
      </c>
      <c r="H16" s="162">
        <f t="shared" si="7"/>
        <v>5570.1084914999992</v>
      </c>
      <c r="I16" s="162">
        <f t="shared" si="7"/>
        <v>5848.613916074999</v>
      </c>
      <c r="J16" s="162">
        <f t="shared" si="7"/>
        <v>6141.0446118787486</v>
      </c>
      <c r="K16" s="162">
        <f t="shared" si="7"/>
        <v>6448.0968424726871</v>
      </c>
      <c r="L16" s="162">
        <f t="shared" si="7"/>
        <v>6770.501684596321</v>
      </c>
      <c r="M16" s="162">
        <f t="shared" si="7"/>
        <v>7109.0267688261365</v>
      </c>
      <c r="N16" s="162">
        <f t="shared" si="7"/>
        <v>7464.4781072674432</v>
      </c>
      <c r="O16" s="162">
        <f t="shared" si="7"/>
        <v>7837.7020126308162</v>
      </c>
      <c r="P16" s="164">
        <f>(O15*66.67)/100</f>
        <v>7464.4781072674432</v>
      </c>
    </row>
    <row r="17" spans="2:16" ht="15.75" thickBot="1" x14ac:dyDescent="0.3">
      <c r="B17" s="210" t="s">
        <v>201</v>
      </c>
      <c r="C17" s="214"/>
      <c r="D17" s="214"/>
      <c r="E17" s="214"/>
      <c r="F17" s="214">
        <f>C16</f>
        <v>4800.24</v>
      </c>
      <c r="G17" s="214">
        <f t="shared" ref="G17:P17" si="8">F16</f>
        <v>5052.2525999999998</v>
      </c>
      <c r="H17" s="214">
        <f t="shared" si="8"/>
        <v>5304.8652300000003</v>
      </c>
      <c r="I17" s="214">
        <f t="shared" si="8"/>
        <v>5570.1084914999992</v>
      </c>
      <c r="J17" s="214">
        <f t="shared" si="8"/>
        <v>5848.613916074999</v>
      </c>
      <c r="K17" s="214">
        <f t="shared" si="8"/>
        <v>6141.0446118787486</v>
      </c>
      <c r="L17" s="214">
        <f t="shared" si="8"/>
        <v>6448.0968424726871</v>
      </c>
      <c r="M17" s="214">
        <f t="shared" si="8"/>
        <v>6770.501684596321</v>
      </c>
      <c r="N17" s="214">
        <f t="shared" si="8"/>
        <v>7109.0267688261365</v>
      </c>
      <c r="O17" s="214">
        <f t="shared" si="8"/>
        <v>7464.4781072674432</v>
      </c>
      <c r="P17" s="215">
        <f t="shared" si="8"/>
        <v>7837.7020126308162</v>
      </c>
    </row>
    <row r="18" spans="2:16" ht="15.75" thickBot="1" x14ac:dyDescent="0.3">
      <c r="B18" s="44" t="s">
        <v>286</v>
      </c>
      <c r="C18" s="216">
        <f>C15+C16-C17</f>
        <v>4800.24</v>
      </c>
      <c r="D18" s="216">
        <f t="shared" ref="D18:P18" si="9">D15+D16-D17</f>
        <v>5052.2525999999998</v>
      </c>
      <c r="E18" s="216">
        <f t="shared" si="9"/>
        <v>5304.8652300000003</v>
      </c>
      <c r="F18" s="216">
        <f>F15+F16-F17</f>
        <v>7452.0126</v>
      </c>
      <c r="G18" s="216">
        <f t="shared" si="9"/>
        <v>7830.6126299999996</v>
      </c>
      <c r="H18" s="216">
        <f t="shared" si="9"/>
        <v>8222.1432614999976</v>
      </c>
      <c r="I18" s="216">
        <f t="shared" si="9"/>
        <v>8633.2504245749988</v>
      </c>
      <c r="J18" s="216">
        <f t="shared" si="9"/>
        <v>9064.9129458037496</v>
      </c>
      <c r="K18" s="216">
        <f t="shared" si="9"/>
        <v>9518.1585930939364</v>
      </c>
      <c r="L18" s="216">
        <f t="shared" si="9"/>
        <v>9994.0665227486334</v>
      </c>
      <c r="M18" s="216">
        <f t="shared" si="9"/>
        <v>10493.769848886062</v>
      </c>
      <c r="N18" s="216">
        <f t="shared" si="9"/>
        <v>11018.458341330366</v>
      </c>
      <c r="O18" s="216">
        <f t="shared" si="9"/>
        <v>11569.381258396885</v>
      </c>
      <c r="P18" s="217">
        <f t="shared" si="9"/>
        <v>11382.741315321819</v>
      </c>
    </row>
    <row r="19" spans="2:16" ht="15.75" thickBot="1" x14ac:dyDescent="0.3"/>
    <row r="20" spans="2:16" s="137" customFormat="1" ht="15.75" thickBot="1" x14ac:dyDescent="0.3">
      <c r="B20" s="274"/>
      <c r="C20" s="275" t="s">
        <v>179</v>
      </c>
      <c r="D20" s="275"/>
      <c r="E20" s="275"/>
      <c r="F20" s="275" t="s">
        <v>180</v>
      </c>
      <c r="G20" s="275" t="s">
        <v>181</v>
      </c>
      <c r="H20" s="275" t="s">
        <v>182</v>
      </c>
      <c r="I20" s="275" t="s">
        <v>183</v>
      </c>
      <c r="J20" s="275" t="s">
        <v>184</v>
      </c>
      <c r="K20" s="275" t="s">
        <v>185</v>
      </c>
      <c r="L20" s="275" t="s">
        <v>199</v>
      </c>
      <c r="M20" s="275" t="s">
        <v>186</v>
      </c>
      <c r="N20" s="275" t="s">
        <v>187</v>
      </c>
      <c r="O20" s="275" t="s">
        <v>188</v>
      </c>
      <c r="P20" s="276" t="s">
        <v>189</v>
      </c>
    </row>
    <row r="21" spans="2:16" x14ac:dyDescent="0.25">
      <c r="B21" s="180" t="s">
        <v>202</v>
      </c>
      <c r="C21" s="96">
        <f>Costos!$F$33</f>
        <v>6840</v>
      </c>
      <c r="D21" s="318">
        <f>Costos!$F$33</f>
        <v>6840</v>
      </c>
      <c r="E21" s="318">
        <f>Costos!$F$33</f>
        <v>6840</v>
      </c>
      <c r="F21" s="318">
        <f>Costos!$F$33</f>
        <v>6840</v>
      </c>
      <c r="G21" s="318">
        <f>Costos!$F$33</f>
        <v>6840</v>
      </c>
      <c r="H21" s="318">
        <f>Costos!$F$33</f>
        <v>6840</v>
      </c>
      <c r="I21" s="318">
        <f>Costos!$F$33</f>
        <v>6840</v>
      </c>
      <c r="J21" s="318">
        <f>Costos!$F$33</f>
        <v>6840</v>
      </c>
      <c r="K21" s="318">
        <f>Costos!$F$33</f>
        <v>6840</v>
      </c>
      <c r="L21" s="318">
        <f>Costos!$F$33</f>
        <v>6840</v>
      </c>
      <c r="M21" s="318">
        <f>Costos!$F$33</f>
        <v>6840</v>
      </c>
      <c r="N21" s="318">
        <f>Costos!$F$33</f>
        <v>6840</v>
      </c>
      <c r="O21" s="318">
        <f>Costos!$F$33</f>
        <v>6840</v>
      </c>
      <c r="P21" s="318">
        <f>Costos!$F$33</f>
        <v>6840</v>
      </c>
    </row>
    <row r="22" spans="2:16" x14ac:dyDescent="0.25">
      <c r="B22" s="178" t="s">
        <v>284</v>
      </c>
      <c r="C22" s="99">
        <f>Costos!$L$39</f>
        <v>20875.75</v>
      </c>
      <c r="D22" s="319">
        <f>Costos!$L$39</f>
        <v>20875.75</v>
      </c>
      <c r="E22" s="319">
        <f>Costos!$L$39</f>
        <v>20875.75</v>
      </c>
      <c r="F22" s="319">
        <f>Costos!$L$39</f>
        <v>20875.75</v>
      </c>
      <c r="G22" s="319">
        <f>Costos!$L$39</f>
        <v>20875.75</v>
      </c>
      <c r="H22" s="319">
        <f>Costos!$L$39</f>
        <v>20875.75</v>
      </c>
      <c r="I22" s="319">
        <f>Costos!$L$39</f>
        <v>20875.75</v>
      </c>
      <c r="J22" s="319">
        <f>Costos!$L$39</f>
        <v>20875.75</v>
      </c>
      <c r="K22" s="319">
        <f>Costos!$L$39</f>
        <v>20875.75</v>
      </c>
      <c r="L22" s="319">
        <f>Costos!$L$39</f>
        <v>20875.75</v>
      </c>
      <c r="M22" s="319">
        <f>Costos!$L$39</f>
        <v>20875.75</v>
      </c>
      <c r="N22" s="319">
        <f>Costos!$L$39</f>
        <v>20875.75</v>
      </c>
      <c r="O22" s="319">
        <f>Costos!$L$39</f>
        <v>20875.75</v>
      </c>
      <c r="P22" s="319">
        <f>Costos!$L$39</f>
        <v>20875.75</v>
      </c>
    </row>
    <row r="23" spans="2:16" x14ac:dyDescent="0.25">
      <c r="B23" s="178" t="s">
        <v>320</v>
      </c>
      <c r="C23" s="209">
        <f>Costos!$F$58</f>
        <v>14994.11</v>
      </c>
      <c r="D23" s="344">
        <f>Costos!$F$58</f>
        <v>14994.11</v>
      </c>
      <c r="E23" s="344">
        <f>Costos!$F$58</f>
        <v>14994.11</v>
      </c>
      <c r="F23" s="344">
        <f>Costos!$F$58</f>
        <v>14994.11</v>
      </c>
      <c r="G23" s="344">
        <f>Costos!$F$58</f>
        <v>14994.11</v>
      </c>
      <c r="H23" s="344">
        <f>Costos!$F$58</f>
        <v>14994.11</v>
      </c>
      <c r="I23" s="344">
        <f>Costos!$F$58</f>
        <v>14994.11</v>
      </c>
      <c r="J23" s="344">
        <f>Costos!$F$58</f>
        <v>14994.11</v>
      </c>
      <c r="K23" s="344">
        <f>Costos!$F$58</f>
        <v>14994.11</v>
      </c>
      <c r="L23" s="344">
        <f>Costos!$F$58</f>
        <v>14994.11</v>
      </c>
      <c r="M23" s="344">
        <f>Costos!$F$58</f>
        <v>14994.11</v>
      </c>
      <c r="N23" s="344">
        <f>Costos!$F$58</f>
        <v>14994.11</v>
      </c>
      <c r="O23" s="344">
        <f>Costos!$F$58</f>
        <v>14994.11</v>
      </c>
      <c r="P23" s="344">
        <f>Costos!$F$58</f>
        <v>14994.11</v>
      </c>
    </row>
    <row r="24" spans="2:16" x14ac:dyDescent="0.25">
      <c r="B24" s="178" t="s">
        <v>203</v>
      </c>
      <c r="C24" s="99">
        <f>SUM(C21:C23)</f>
        <v>42709.86</v>
      </c>
      <c r="D24" s="99">
        <f t="shared" ref="D24:P24" si="10">SUM(D21:D23)</f>
        <v>42709.86</v>
      </c>
      <c r="E24" s="99">
        <f t="shared" si="10"/>
        <v>42709.86</v>
      </c>
      <c r="F24" s="99">
        <f t="shared" si="10"/>
        <v>42709.86</v>
      </c>
      <c r="G24" s="99">
        <f t="shared" si="10"/>
        <v>42709.86</v>
      </c>
      <c r="H24" s="99">
        <f t="shared" si="10"/>
        <v>42709.86</v>
      </c>
      <c r="I24" s="99">
        <f t="shared" si="10"/>
        <v>42709.86</v>
      </c>
      <c r="J24" s="99">
        <f t="shared" si="10"/>
        <v>42709.86</v>
      </c>
      <c r="K24" s="99">
        <f t="shared" si="10"/>
        <v>42709.86</v>
      </c>
      <c r="L24" s="99">
        <f t="shared" si="10"/>
        <v>42709.86</v>
      </c>
      <c r="M24" s="99">
        <f t="shared" si="10"/>
        <v>42709.86</v>
      </c>
      <c r="N24" s="99">
        <f t="shared" si="10"/>
        <v>42709.86</v>
      </c>
      <c r="O24" s="99">
        <f t="shared" si="10"/>
        <v>42709.86</v>
      </c>
      <c r="P24" s="141">
        <f t="shared" si="10"/>
        <v>42709.86</v>
      </c>
    </row>
    <row r="25" spans="2:16" x14ac:dyDescent="0.25">
      <c r="B25" s="178" t="s">
        <v>204</v>
      </c>
      <c r="C25" s="99">
        <f>Costos!$E$63</f>
        <v>3273.2133333333336</v>
      </c>
      <c r="D25" s="319">
        <f>Costos!$E$63</f>
        <v>3273.2133333333336</v>
      </c>
      <c r="E25" s="319">
        <f>Costos!$E$63</f>
        <v>3273.2133333333336</v>
      </c>
      <c r="F25" s="319">
        <f>Costos!$E$63</f>
        <v>3273.2133333333336</v>
      </c>
      <c r="G25" s="319">
        <f>Costos!$E$63</f>
        <v>3273.2133333333336</v>
      </c>
      <c r="H25" s="319">
        <f>Costos!$E$63</f>
        <v>3273.2133333333336</v>
      </c>
      <c r="I25" s="319">
        <f>Costos!$E$63</f>
        <v>3273.2133333333336</v>
      </c>
      <c r="J25" s="319">
        <f>Costos!$E$63</f>
        <v>3273.2133333333336</v>
      </c>
      <c r="K25" s="319">
        <f>Costos!$E$63</f>
        <v>3273.2133333333336</v>
      </c>
      <c r="L25" s="319">
        <f>Costos!$E$63</f>
        <v>3273.2133333333336</v>
      </c>
      <c r="M25" s="319">
        <f>Costos!$E$63</f>
        <v>3273.2133333333336</v>
      </c>
      <c r="N25" s="319">
        <f>Costos!$E$63</f>
        <v>3273.2133333333336</v>
      </c>
      <c r="O25" s="319">
        <f>Costos!$E$63</f>
        <v>3273.2133333333336</v>
      </c>
      <c r="P25" s="319">
        <f>Costos!$E$63</f>
        <v>3273.2133333333336</v>
      </c>
    </row>
    <row r="26" spans="2:16" x14ac:dyDescent="0.25">
      <c r="B26" s="178" t="s">
        <v>205</v>
      </c>
      <c r="C26" s="99">
        <f>Costos!$E$68</f>
        <v>27915.75</v>
      </c>
      <c r="D26" s="319">
        <f>Costos!$E$68</f>
        <v>27915.75</v>
      </c>
      <c r="E26" s="319">
        <f>Costos!$E$68</f>
        <v>27915.75</v>
      </c>
      <c r="F26" s="319">
        <f>Costos!$E$68</f>
        <v>27915.75</v>
      </c>
      <c r="G26" s="319">
        <f>Costos!$E$68</f>
        <v>27915.75</v>
      </c>
      <c r="H26" s="319">
        <f>Costos!$E$68</f>
        <v>27915.75</v>
      </c>
      <c r="I26" s="319">
        <f>Costos!$E$68</f>
        <v>27915.75</v>
      </c>
      <c r="J26" s="319">
        <f>Costos!$E$68</f>
        <v>27915.75</v>
      </c>
      <c r="K26" s="319">
        <f>Costos!$E$68</f>
        <v>27915.75</v>
      </c>
      <c r="L26" s="319">
        <f>Costos!$E$68</f>
        <v>27915.75</v>
      </c>
      <c r="M26" s="319">
        <f>Costos!$E$68</f>
        <v>27915.75</v>
      </c>
      <c r="N26" s="319">
        <f>Costos!$E$68</f>
        <v>27915.75</v>
      </c>
      <c r="O26" s="319">
        <f>Costos!$E$68</f>
        <v>27915.75</v>
      </c>
      <c r="P26" s="319">
        <f>Costos!$E$68</f>
        <v>27915.75</v>
      </c>
    </row>
    <row r="27" spans="2:16" ht="15.75" thickBot="1" x14ac:dyDescent="0.3">
      <c r="B27" s="210" t="s">
        <v>206</v>
      </c>
      <c r="C27" s="174">
        <f>Costos!$L$19</f>
        <v>4655.4520833333336</v>
      </c>
      <c r="D27" s="332">
        <f>Costos!$L$19</f>
        <v>4655.4520833333336</v>
      </c>
      <c r="E27" s="332">
        <f>Costos!$L$19</f>
        <v>4655.4520833333336</v>
      </c>
      <c r="F27" s="332">
        <f>Costos!$L$19</f>
        <v>4655.4520833333336</v>
      </c>
      <c r="G27" s="332">
        <f>Costos!$L$19</f>
        <v>4655.4520833333336</v>
      </c>
      <c r="H27" s="332">
        <f>Costos!$L$19</f>
        <v>4655.4520833333336</v>
      </c>
      <c r="I27" s="332">
        <f>Costos!$L$19</f>
        <v>4655.4520833333336</v>
      </c>
      <c r="J27" s="332">
        <f>Costos!$L$19</f>
        <v>4655.4520833333336</v>
      </c>
      <c r="K27" s="332">
        <f>Costos!$L$19</f>
        <v>4655.4520833333336</v>
      </c>
      <c r="L27" s="332">
        <f>Costos!$L$19</f>
        <v>4655.4520833333336</v>
      </c>
      <c r="M27" s="332">
        <f>Costos!$L$19</f>
        <v>4655.4520833333336</v>
      </c>
      <c r="N27" s="332">
        <f>Costos!$L$19</f>
        <v>4655.4520833333336</v>
      </c>
      <c r="O27" s="332">
        <f>Costos!$L$19</f>
        <v>4655.4520833333336</v>
      </c>
      <c r="P27" s="332">
        <f>Costos!$L$19</f>
        <v>4655.4520833333336</v>
      </c>
    </row>
    <row r="28" spans="2:16" ht="15.75" thickBot="1" x14ac:dyDescent="0.3">
      <c r="B28" s="44" t="s">
        <v>291</v>
      </c>
      <c r="C28" s="147">
        <f>C24+C25+C26+C27</f>
        <v>78554.275416666671</v>
      </c>
      <c r="D28" s="147">
        <f t="shared" ref="D28:P28" si="11">D24+D25+D26+D27</f>
        <v>78554.275416666671</v>
      </c>
      <c r="E28" s="147">
        <f t="shared" si="11"/>
        <v>78554.275416666671</v>
      </c>
      <c r="F28" s="147">
        <f t="shared" si="11"/>
        <v>78554.275416666671</v>
      </c>
      <c r="G28" s="147">
        <f t="shared" si="11"/>
        <v>78554.275416666671</v>
      </c>
      <c r="H28" s="147">
        <f t="shared" si="11"/>
        <v>78554.275416666671</v>
      </c>
      <c r="I28" s="147">
        <f t="shared" si="11"/>
        <v>78554.275416666671</v>
      </c>
      <c r="J28" s="147">
        <f t="shared" si="11"/>
        <v>78554.275416666671</v>
      </c>
      <c r="K28" s="147">
        <f t="shared" si="11"/>
        <v>78554.275416666671</v>
      </c>
      <c r="L28" s="147">
        <f t="shared" si="11"/>
        <v>78554.275416666671</v>
      </c>
      <c r="M28" s="147">
        <f t="shared" si="11"/>
        <v>78554.275416666671</v>
      </c>
      <c r="N28" s="147">
        <f t="shared" si="11"/>
        <v>78554.275416666671</v>
      </c>
      <c r="O28" s="147">
        <f t="shared" si="11"/>
        <v>78554.275416666671</v>
      </c>
      <c r="P28" s="148">
        <f t="shared" si="11"/>
        <v>78554.275416666671</v>
      </c>
    </row>
    <row r="29" spans="2:16" ht="15.75" thickBot="1" x14ac:dyDescent="0.3"/>
    <row r="30" spans="2:16" s="137" customFormat="1" x14ac:dyDescent="0.25">
      <c r="B30" s="206"/>
      <c r="C30" s="207" t="s">
        <v>179</v>
      </c>
      <c r="D30" s="207"/>
      <c r="E30" s="207"/>
      <c r="F30" s="207" t="s">
        <v>180</v>
      </c>
      <c r="G30" s="207" t="s">
        <v>181</v>
      </c>
      <c r="H30" s="207" t="s">
        <v>182</v>
      </c>
      <c r="I30" s="207" t="s">
        <v>183</v>
      </c>
      <c r="J30" s="207" t="s">
        <v>184</v>
      </c>
      <c r="K30" s="207" t="s">
        <v>185</v>
      </c>
      <c r="L30" s="207" t="s">
        <v>199</v>
      </c>
      <c r="M30" s="207" t="s">
        <v>186</v>
      </c>
      <c r="N30" s="207" t="s">
        <v>187</v>
      </c>
      <c r="O30" s="207" t="s">
        <v>188</v>
      </c>
      <c r="P30" s="208" t="s">
        <v>189</v>
      </c>
    </row>
    <row r="31" spans="2:16" x14ac:dyDescent="0.25">
      <c r="B31" s="178" t="s">
        <v>191</v>
      </c>
      <c r="C31" s="139"/>
      <c r="D31" s="139"/>
      <c r="E31" s="139"/>
      <c r="F31" s="99">
        <f>F12</f>
        <v>16200</v>
      </c>
      <c r="G31" s="99">
        <f t="shared" ref="G31:P31" si="12">G12</f>
        <v>38650.5</v>
      </c>
      <c r="H31" s="99">
        <f t="shared" si="12"/>
        <v>56837.024999999994</v>
      </c>
      <c r="I31" s="99">
        <f t="shared" si="12"/>
        <v>59719.376250000001</v>
      </c>
      <c r="J31" s="99">
        <f t="shared" si="12"/>
        <v>62705.345062499997</v>
      </c>
      <c r="K31" s="99">
        <f t="shared" si="12"/>
        <v>65840.612315624981</v>
      </c>
      <c r="L31" s="99">
        <f t="shared" si="12"/>
        <v>69132.642931406241</v>
      </c>
      <c r="M31" s="99">
        <f t="shared" si="12"/>
        <v>72589.275077976548</v>
      </c>
      <c r="N31" s="99">
        <f t="shared" si="12"/>
        <v>76218.73883187538</v>
      </c>
      <c r="O31" s="99">
        <f t="shared" si="12"/>
        <v>80029.675773469149</v>
      </c>
      <c r="P31" s="141">
        <f t="shared" si="12"/>
        <v>84031.15956214261</v>
      </c>
    </row>
    <row r="32" spans="2:16" x14ac:dyDescent="0.25">
      <c r="B32" s="178" t="s">
        <v>190</v>
      </c>
      <c r="C32" s="99">
        <f>C28</f>
        <v>78554.275416666671</v>
      </c>
      <c r="D32" s="99">
        <f t="shared" ref="D32:P32" si="13">D28</f>
        <v>78554.275416666671</v>
      </c>
      <c r="E32" s="99">
        <f t="shared" si="13"/>
        <v>78554.275416666671</v>
      </c>
      <c r="F32" s="99">
        <f t="shared" si="13"/>
        <v>78554.275416666671</v>
      </c>
      <c r="G32" s="99">
        <f t="shared" si="13"/>
        <v>78554.275416666671</v>
      </c>
      <c r="H32" s="99">
        <f t="shared" si="13"/>
        <v>78554.275416666671</v>
      </c>
      <c r="I32" s="99">
        <f t="shared" si="13"/>
        <v>78554.275416666671</v>
      </c>
      <c r="J32" s="99">
        <f t="shared" si="13"/>
        <v>78554.275416666671</v>
      </c>
      <c r="K32" s="99">
        <f t="shared" si="13"/>
        <v>78554.275416666671</v>
      </c>
      <c r="L32" s="99">
        <f t="shared" si="13"/>
        <v>78554.275416666671</v>
      </c>
      <c r="M32" s="99">
        <f t="shared" si="13"/>
        <v>78554.275416666671</v>
      </c>
      <c r="N32" s="99">
        <f t="shared" si="13"/>
        <v>78554.275416666671</v>
      </c>
      <c r="O32" s="99">
        <f t="shared" si="13"/>
        <v>78554.275416666671</v>
      </c>
      <c r="P32" s="141">
        <f t="shared" si="13"/>
        <v>78554.275416666671</v>
      </c>
    </row>
    <row r="33" spans="2:16" ht="15.75" thickBot="1" x14ac:dyDescent="0.3">
      <c r="B33" s="210" t="s">
        <v>192</v>
      </c>
      <c r="C33" s="174">
        <f>C31-C32</f>
        <v>-78554.275416666671</v>
      </c>
      <c r="D33" s="174">
        <f t="shared" ref="D33:P33" si="14">D31-D32</f>
        <v>-78554.275416666671</v>
      </c>
      <c r="E33" s="174">
        <f t="shared" si="14"/>
        <v>-78554.275416666671</v>
      </c>
      <c r="F33" s="174">
        <f t="shared" si="14"/>
        <v>-62354.275416666671</v>
      </c>
      <c r="G33" s="174">
        <f t="shared" si="14"/>
        <v>-39903.775416666671</v>
      </c>
      <c r="H33" s="174">
        <f t="shared" si="14"/>
        <v>-21717.250416666677</v>
      </c>
      <c r="I33" s="174">
        <f t="shared" si="14"/>
        <v>-18834.89916666667</v>
      </c>
      <c r="J33" s="174">
        <f t="shared" si="14"/>
        <v>-15848.930354166674</v>
      </c>
      <c r="K33" s="174">
        <f t="shared" si="14"/>
        <v>-12713.66310104169</v>
      </c>
      <c r="L33" s="174">
        <f t="shared" si="14"/>
        <v>-9421.6324852604303</v>
      </c>
      <c r="M33" s="174">
        <f t="shared" si="14"/>
        <v>-5965.0003386901226</v>
      </c>
      <c r="N33" s="174">
        <f t="shared" si="14"/>
        <v>-2335.5365847912908</v>
      </c>
      <c r="O33" s="174">
        <f t="shared" si="14"/>
        <v>1475.4003568024782</v>
      </c>
      <c r="P33" s="172">
        <f t="shared" si="14"/>
        <v>5476.8841454759386</v>
      </c>
    </row>
    <row r="34" spans="2:16" ht="15.75" thickBot="1" x14ac:dyDescent="0.3">
      <c r="B34" s="44" t="s">
        <v>290</v>
      </c>
      <c r="C34" s="147">
        <f>C33</f>
        <v>-78554.275416666671</v>
      </c>
      <c r="D34" s="187"/>
      <c r="E34" s="187"/>
      <c r="F34" s="147">
        <f>C34+F33</f>
        <v>-140908.55083333334</v>
      </c>
      <c r="G34" s="147">
        <f>F34+G33</f>
        <v>-180812.32625000001</v>
      </c>
      <c r="H34" s="147">
        <f t="shared" ref="H34:P34" si="15">G34+H33</f>
        <v>-202529.57666666669</v>
      </c>
      <c r="I34" s="147">
        <f t="shared" si="15"/>
        <v>-221364.47583333336</v>
      </c>
      <c r="J34" s="147">
        <f t="shared" si="15"/>
        <v>-237213.40618750005</v>
      </c>
      <c r="K34" s="147">
        <f t="shared" si="15"/>
        <v>-249927.06928854174</v>
      </c>
      <c r="L34" s="147">
        <f t="shared" si="15"/>
        <v>-259348.70177380217</v>
      </c>
      <c r="M34" s="147">
        <f t="shared" si="15"/>
        <v>-265313.70211249229</v>
      </c>
      <c r="N34" s="147">
        <f t="shared" si="15"/>
        <v>-267649.23869728355</v>
      </c>
      <c r="O34" s="147">
        <f t="shared" si="15"/>
        <v>-266173.83834048104</v>
      </c>
      <c r="P34" s="148">
        <f t="shared" si="15"/>
        <v>-260696.95419500512</v>
      </c>
    </row>
  </sheetData>
  <mergeCells count="1">
    <mergeCell ref="B2:P2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G9" sqref="G9"/>
    </sheetView>
  </sheetViews>
  <sheetFormatPr baseColWidth="10" defaultColWidth="11.42578125" defaultRowHeight="15" x14ac:dyDescent="0.25"/>
  <cols>
    <col min="1" max="1" width="3.140625" customWidth="1"/>
    <col min="2" max="2" width="19.140625" customWidth="1"/>
    <col min="3" max="3" width="17.5703125" customWidth="1"/>
    <col min="4" max="4" width="15.28515625" customWidth="1"/>
    <col min="5" max="5" width="20.42578125" customWidth="1"/>
    <col min="6" max="6" width="21.5703125" customWidth="1"/>
    <col min="7" max="7" width="25.7109375" customWidth="1"/>
    <col min="8" max="8" width="16.28515625" customWidth="1"/>
  </cols>
  <sheetData>
    <row r="1" spans="2:8" ht="15.75" thickBot="1" x14ac:dyDescent="0.3"/>
    <row r="2" spans="2:8" ht="15.75" thickBot="1" x14ac:dyDescent="0.3">
      <c r="B2" s="439" t="s">
        <v>275</v>
      </c>
      <c r="C2" s="440"/>
      <c r="D2" s="440"/>
      <c r="E2" s="440"/>
      <c r="F2" s="440"/>
      <c r="G2" s="440"/>
      <c r="H2" s="441"/>
    </row>
    <row r="3" spans="2:8" ht="30" customHeight="1" thickBot="1" x14ac:dyDescent="0.3">
      <c r="B3" s="91" t="s">
        <v>62</v>
      </c>
      <c r="C3" s="92" t="s">
        <v>63</v>
      </c>
      <c r="D3" s="92" t="s">
        <v>64</v>
      </c>
      <c r="E3" s="92" t="s">
        <v>65</v>
      </c>
      <c r="F3" s="92" t="s">
        <v>276</v>
      </c>
      <c r="G3" s="92" t="s">
        <v>66</v>
      </c>
      <c r="H3" s="93" t="s">
        <v>67</v>
      </c>
    </row>
    <row r="4" spans="2:8" ht="15" customHeight="1" x14ac:dyDescent="0.25">
      <c r="B4" s="190" t="s">
        <v>13</v>
      </c>
      <c r="C4" s="191">
        <f>Inversión!F19</f>
        <v>720000</v>
      </c>
      <c r="D4" s="192" t="s">
        <v>195</v>
      </c>
      <c r="E4" s="193" t="s">
        <v>195</v>
      </c>
      <c r="F4" s="118" t="s">
        <v>195</v>
      </c>
      <c r="G4" s="193" t="s">
        <v>195</v>
      </c>
      <c r="H4" s="194">
        <f>C4</f>
        <v>720000</v>
      </c>
    </row>
    <row r="5" spans="2:8" x14ac:dyDescent="0.25">
      <c r="B5" s="140" t="s">
        <v>68</v>
      </c>
      <c r="C5" s="99">
        <f>Inversión!F4+Inversión!F5+Inversión!F6+Inversión!F7</f>
        <v>2610</v>
      </c>
      <c r="D5" s="188">
        <v>10</v>
      </c>
      <c r="E5" s="99">
        <f>C5/D5</f>
        <v>261</v>
      </c>
      <c r="F5" s="188">
        <v>10</v>
      </c>
      <c r="G5" s="99">
        <f>E5*F5</f>
        <v>2610</v>
      </c>
      <c r="H5" s="380">
        <f>C5-G5</f>
        <v>0</v>
      </c>
    </row>
    <row r="6" spans="2:8" x14ac:dyDescent="0.25">
      <c r="B6" s="140" t="s">
        <v>4</v>
      </c>
      <c r="C6" s="99">
        <f>Inversión!F8+Inversión!F9</f>
        <v>384</v>
      </c>
      <c r="D6" s="188">
        <v>10</v>
      </c>
      <c r="E6" s="99">
        <f>C6/D6</f>
        <v>38.4</v>
      </c>
      <c r="F6" s="188">
        <v>10</v>
      </c>
      <c r="G6" s="99">
        <f>E6*F6</f>
        <v>384</v>
      </c>
      <c r="H6" s="380">
        <f>C6-G6</f>
        <v>0</v>
      </c>
    </row>
    <row r="7" spans="2:8" x14ac:dyDescent="0.25">
      <c r="B7" s="140" t="s">
        <v>69</v>
      </c>
      <c r="C7" s="99">
        <f>Inversión!F10+Inversión!F11+Inversión!F12</f>
        <v>2750</v>
      </c>
      <c r="D7" s="188">
        <v>3</v>
      </c>
      <c r="E7" s="99">
        <f>C7/D7</f>
        <v>916.66666666666663</v>
      </c>
      <c r="F7" s="188">
        <v>10</v>
      </c>
      <c r="G7" s="99">
        <f>E7*F7</f>
        <v>9166.6666666666661</v>
      </c>
      <c r="H7" s="380">
        <v>0</v>
      </c>
    </row>
    <row r="8" spans="2:8" x14ac:dyDescent="0.25">
      <c r="B8" s="140" t="s">
        <v>70</v>
      </c>
      <c r="C8" s="99">
        <f>23700*2</f>
        <v>47400</v>
      </c>
      <c r="D8" s="188">
        <v>5</v>
      </c>
      <c r="E8" s="99">
        <f>C8/D8</f>
        <v>9480</v>
      </c>
      <c r="F8" s="188">
        <v>10</v>
      </c>
      <c r="G8" s="99">
        <f>E8*F8</f>
        <v>94800</v>
      </c>
      <c r="H8" s="380">
        <v>0</v>
      </c>
    </row>
    <row r="9" spans="2:8" ht="15.75" thickBot="1" x14ac:dyDescent="0.3">
      <c r="B9" s="173" t="s">
        <v>71</v>
      </c>
      <c r="C9" s="174">
        <f>Inversión!E17</f>
        <v>24000</v>
      </c>
      <c r="D9" s="189">
        <v>10</v>
      </c>
      <c r="E9" s="174">
        <f>C9/D9</f>
        <v>2400</v>
      </c>
      <c r="F9" s="188">
        <v>10</v>
      </c>
      <c r="G9" s="174">
        <f>E9*F9</f>
        <v>24000</v>
      </c>
      <c r="H9" s="381">
        <f>C9-G9</f>
        <v>0</v>
      </c>
    </row>
    <row r="10" spans="2:8" ht="15.75" thickBot="1" x14ac:dyDescent="0.3">
      <c r="B10" s="468" t="s">
        <v>65</v>
      </c>
      <c r="C10" s="469"/>
      <c r="D10" s="470"/>
      <c r="E10" s="147">
        <f>SUM(E5:E9)</f>
        <v>13096.066666666666</v>
      </c>
      <c r="F10" s="467" t="s">
        <v>72</v>
      </c>
      <c r="G10" s="467"/>
      <c r="H10" s="148">
        <f>SUM(H4:H9)</f>
        <v>720000</v>
      </c>
    </row>
    <row r="11" spans="2:8" x14ac:dyDescent="0.25">
      <c r="C11" s="1"/>
      <c r="D11" s="1"/>
      <c r="E11" s="1"/>
      <c r="F11" s="1"/>
      <c r="G11" s="1"/>
      <c r="H11" s="1"/>
    </row>
  </sheetData>
  <mergeCells count="3">
    <mergeCell ref="F10:G10"/>
    <mergeCell ref="B2:H2"/>
    <mergeCell ref="B10:D10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opLeftCell="A4" workbookViewId="0">
      <selection activeCell="C19" sqref="C19"/>
    </sheetView>
  </sheetViews>
  <sheetFormatPr baseColWidth="10" defaultRowHeight="15" x14ac:dyDescent="0.25"/>
  <cols>
    <col min="1" max="1" width="3.42578125" customWidth="1"/>
    <col min="2" max="2" width="13.85546875" customWidth="1"/>
    <col min="3" max="3" width="12.28515625" bestFit="1" customWidth="1"/>
    <col min="4" max="4" width="12.85546875" customWidth="1"/>
    <col min="6" max="6" width="13.5703125" bestFit="1" customWidth="1"/>
  </cols>
  <sheetData>
    <row r="1" spans="2:10" ht="15.75" thickBot="1" x14ac:dyDescent="0.3"/>
    <row r="2" spans="2:10" ht="15.75" thickBot="1" x14ac:dyDescent="0.3">
      <c r="B2" s="429" t="s">
        <v>282</v>
      </c>
      <c r="C2" s="431"/>
    </row>
    <row r="3" spans="2:10" ht="15.75" thickBot="1" x14ac:dyDescent="0.3">
      <c r="B3" s="40"/>
      <c r="C3" s="38"/>
    </row>
    <row r="4" spans="2:10" ht="15.75" thickBot="1" x14ac:dyDescent="0.3">
      <c r="B4" s="67" t="s">
        <v>216</v>
      </c>
      <c r="C4" s="471" t="s">
        <v>224</v>
      </c>
      <c r="D4" s="471"/>
      <c r="H4" s="429" t="s">
        <v>169</v>
      </c>
      <c r="I4" s="430"/>
      <c r="J4" s="431"/>
    </row>
    <row r="5" spans="2:10" ht="15.75" thickBot="1" x14ac:dyDescent="0.3">
      <c r="B5" s="67" t="s">
        <v>107</v>
      </c>
      <c r="C5" s="471" t="s">
        <v>223</v>
      </c>
      <c r="D5" s="471"/>
      <c r="H5" s="134" t="s">
        <v>278</v>
      </c>
      <c r="I5" s="135" t="s">
        <v>279</v>
      </c>
      <c r="J5" s="136" t="s">
        <v>277</v>
      </c>
    </row>
    <row r="6" spans="2:10" ht="15.75" thickBot="1" x14ac:dyDescent="0.3">
      <c r="D6" s="38"/>
      <c r="E6" s="38"/>
      <c r="H6" s="197" t="s">
        <v>168</v>
      </c>
      <c r="I6" s="198">
        <v>43.19</v>
      </c>
      <c r="J6" s="199">
        <f t="shared" ref="J6:J37" si="0">(I7/I6)-1</f>
        <v>0.1060430655244271</v>
      </c>
    </row>
    <row r="7" spans="2:10" ht="15.75" thickBot="1" x14ac:dyDescent="0.3">
      <c r="B7" s="480" t="s">
        <v>281</v>
      </c>
      <c r="C7" s="481"/>
      <c r="E7" s="478" t="s">
        <v>280</v>
      </c>
      <c r="F7" s="479"/>
      <c r="H7" s="200" t="s">
        <v>167</v>
      </c>
      <c r="I7" s="201">
        <v>47.77</v>
      </c>
      <c r="J7" s="202">
        <f t="shared" si="0"/>
        <v>-6.1126229851371172E-2</v>
      </c>
    </row>
    <row r="8" spans="2:10" ht="41.25" customHeight="1" thickBot="1" x14ac:dyDescent="0.3">
      <c r="B8" s="474" t="s">
        <v>222</v>
      </c>
      <c r="C8" s="475"/>
      <c r="E8" s="476" t="s">
        <v>221</v>
      </c>
      <c r="F8" s="477"/>
      <c r="H8" s="200" t="s">
        <v>166</v>
      </c>
      <c r="I8" s="201">
        <v>44.85</v>
      </c>
      <c r="J8" s="202">
        <f t="shared" si="0"/>
        <v>4.3255295429208473E-2</v>
      </c>
    </row>
    <row r="9" spans="2:10" x14ac:dyDescent="0.25">
      <c r="B9" s="63" t="s">
        <v>106</v>
      </c>
      <c r="C9" s="62">
        <v>0.45</v>
      </c>
      <c r="E9" s="65" t="s">
        <v>220</v>
      </c>
      <c r="F9" s="64">
        <v>0.69</v>
      </c>
      <c r="H9" s="200" t="s">
        <v>165</v>
      </c>
      <c r="I9" s="201">
        <v>46.79</v>
      </c>
      <c r="J9" s="202">
        <f t="shared" si="0"/>
        <v>-0.12160718102158574</v>
      </c>
    </row>
    <row r="10" spans="2:10" x14ac:dyDescent="0.25">
      <c r="B10" s="63" t="s">
        <v>105</v>
      </c>
      <c r="C10" s="62">
        <v>0.23</v>
      </c>
      <c r="E10" s="59" t="s">
        <v>219</v>
      </c>
      <c r="F10" s="60">
        <v>4292075</v>
      </c>
      <c r="H10" s="200" t="s">
        <v>164</v>
      </c>
      <c r="I10" s="201">
        <v>41.1</v>
      </c>
      <c r="J10" s="202">
        <f t="shared" si="0"/>
        <v>-6.8126520681265346E-2</v>
      </c>
    </row>
    <row r="11" spans="2:10" ht="30.75" thickBot="1" x14ac:dyDescent="0.3">
      <c r="B11" s="57" t="s">
        <v>218</v>
      </c>
      <c r="C11" s="61">
        <f>(F14*(1-(C9*C10))/(1-C9))</f>
        <v>0.88556185484767491</v>
      </c>
      <c r="D11" s="45"/>
      <c r="E11" s="59" t="s">
        <v>217</v>
      </c>
      <c r="F11" s="60">
        <v>1300770</v>
      </c>
      <c r="H11" s="200" t="s">
        <v>163</v>
      </c>
      <c r="I11" s="201">
        <v>38.299999999999997</v>
      </c>
      <c r="J11" s="202">
        <f t="shared" si="0"/>
        <v>-3.2898172323759689E-2</v>
      </c>
    </row>
    <row r="12" spans="2:10" x14ac:dyDescent="0.25">
      <c r="D12" s="45"/>
      <c r="E12" s="59" t="s">
        <v>106</v>
      </c>
      <c r="F12" s="58">
        <f>F11/F10</f>
        <v>0.30306320369518241</v>
      </c>
      <c r="H12" s="200" t="s">
        <v>162</v>
      </c>
      <c r="I12" s="201">
        <v>37.04</v>
      </c>
      <c r="J12" s="202">
        <f t="shared" si="0"/>
        <v>0.19492440604751615</v>
      </c>
    </row>
    <row r="13" spans="2:10" ht="15.75" thickBot="1" x14ac:dyDescent="0.3">
      <c r="D13" s="45"/>
      <c r="E13" s="57" t="s">
        <v>105</v>
      </c>
      <c r="F13" s="46">
        <v>0.37900208804593699</v>
      </c>
      <c r="H13" s="200" t="s">
        <v>161</v>
      </c>
      <c r="I13" s="201">
        <v>44.26</v>
      </c>
      <c r="J13" s="202">
        <f t="shared" si="0"/>
        <v>0.10619069136918213</v>
      </c>
    </row>
    <row r="14" spans="2:10" ht="15.75" thickBot="1" x14ac:dyDescent="0.3">
      <c r="D14" s="45"/>
      <c r="E14" s="56" t="s">
        <v>216</v>
      </c>
      <c r="F14" s="55">
        <f>((1-F12)*F9)/(1-(F12*F13))</f>
        <v>0.54328948150164114</v>
      </c>
      <c r="H14" s="200" t="s">
        <v>160</v>
      </c>
      <c r="I14" s="201">
        <v>48.96</v>
      </c>
      <c r="J14" s="202">
        <f t="shared" si="0"/>
        <v>1.1846405228758128E-2</v>
      </c>
    </row>
    <row r="15" spans="2:10" ht="15.75" thickBot="1" x14ac:dyDescent="0.3">
      <c r="D15" s="45"/>
      <c r="H15" s="200" t="s">
        <v>159</v>
      </c>
      <c r="I15" s="201">
        <v>49.54</v>
      </c>
      <c r="J15" s="202">
        <f t="shared" si="0"/>
        <v>-0.13181267662494955</v>
      </c>
    </row>
    <row r="16" spans="2:10" ht="15.75" thickBot="1" x14ac:dyDescent="0.3">
      <c r="B16" s="429" t="s">
        <v>283</v>
      </c>
      <c r="C16" s="431"/>
      <c r="D16" s="45"/>
      <c r="H16" s="200" t="s">
        <v>158</v>
      </c>
      <c r="I16" s="201">
        <v>43.01</v>
      </c>
      <c r="J16" s="202">
        <f t="shared" si="0"/>
        <v>-5.1383399209486202E-2</v>
      </c>
    </row>
    <row r="17" spans="2:10" ht="15.75" thickBot="1" x14ac:dyDescent="0.3">
      <c r="D17" s="45"/>
      <c r="H17" s="200" t="s">
        <v>157</v>
      </c>
      <c r="I17" s="201">
        <v>40.799999999999997</v>
      </c>
      <c r="J17" s="202">
        <f t="shared" si="0"/>
        <v>-3.3333333333333326E-2</v>
      </c>
    </row>
    <row r="18" spans="2:10" ht="15.75" customHeight="1" thickBot="1" x14ac:dyDescent="0.3">
      <c r="B18" s="54" t="s">
        <v>104</v>
      </c>
      <c r="C18" s="45" t="s">
        <v>215</v>
      </c>
      <c r="D18" s="45"/>
      <c r="E18" s="53" t="s">
        <v>214</v>
      </c>
      <c r="F18" s="52">
        <v>1.9300000000000001E-2</v>
      </c>
      <c r="H18" s="200" t="s">
        <v>156</v>
      </c>
      <c r="I18" s="201">
        <v>39.44</v>
      </c>
      <c r="J18" s="202">
        <f t="shared" si="0"/>
        <v>-0.10877281947261663</v>
      </c>
    </row>
    <row r="19" spans="2:10" ht="15.75" thickBot="1" x14ac:dyDescent="0.3">
      <c r="B19" s="51" t="s">
        <v>104</v>
      </c>
      <c r="C19" s="50">
        <f>F18+((C11)*(F19-F18))+F20</f>
        <v>0.28388233202605967</v>
      </c>
      <c r="D19" s="14"/>
      <c r="E19" s="49" t="s">
        <v>212</v>
      </c>
      <c r="F19" s="48">
        <f>L66</f>
        <v>0.22683189742761894</v>
      </c>
      <c r="H19" s="200" t="s">
        <v>155</v>
      </c>
      <c r="I19" s="201">
        <v>35.15</v>
      </c>
      <c r="J19" s="202">
        <f t="shared" si="0"/>
        <v>-6.2019914651493591E-2</v>
      </c>
    </row>
    <row r="20" spans="2:10" ht="15.75" thickBot="1" x14ac:dyDescent="0.3">
      <c r="D20" s="14"/>
      <c r="E20" s="47" t="s">
        <v>213</v>
      </c>
      <c r="F20" s="46">
        <v>8.0799999999999997E-2</v>
      </c>
      <c r="H20" s="200" t="s">
        <v>154</v>
      </c>
      <c r="I20" s="201">
        <v>32.97</v>
      </c>
      <c r="J20" s="202">
        <f t="shared" si="0"/>
        <v>-1.0009099181073622E-2</v>
      </c>
    </row>
    <row r="21" spans="2:10" x14ac:dyDescent="0.25">
      <c r="B21" s="45"/>
      <c r="C21" s="45"/>
      <c r="D21" s="45"/>
      <c r="H21" s="200" t="s">
        <v>153</v>
      </c>
      <c r="I21" s="201">
        <v>32.64</v>
      </c>
      <c r="J21" s="202">
        <f t="shared" si="0"/>
        <v>-0.1115196078431373</v>
      </c>
    </row>
    <row r="22" spans="2:10" ht="30" x14ac:dyDescent="0.25">
      <c r="B22" s="472"/>
      <c r="C22" s="472"/>
      <c r="D22" s="14"/>
      <c r="E22" s="14"/>
      <c r="F22" s="14"/>
      <c r="H22" s="200" t="s">
        <v>152</v>
      </c>
      <c r="I22" s="201">
        <v>29</v>
      </c>
      <c r="J22" s="202">
        <f t="shared" si="0"/>
        <v>-0.183103448275862</v>
      </c>
    </row>
    <row r="23" spans="2:10" x14ac:dyDescent="0.25">
      <c r="B23" s="14"/>
      <c r="C23" s="14"/>
      <c r="D23" s="14"/>
      <c r="E23" s="14"/>
      <c r="F23" s="14"/>
      <c r="H23" s="200" t="s">
        <v>151</v>
      </c>
      <c r="I23" s="201">
        <v>23.69</v>
      </c>
      <c r="J23" s="202">
        <f t="shared" si="0"/>
        <v>-6.416209371042636E-2</v>
      </c>
    </row>
    <row r="24" spans="2:10" x14ac:dyDescent="0.25">
      <c r="B24" s="51"/>
      <c r="C24" s="473"/>
      <c r="D24" s="473"/>
      <c r="E24" s="195"/>
      <c r="F24" s="37"/>
      <c r="H24" s="200" t="s">
        <v>150</v>
      </c>
      <c r="I24" s="201">
        <v>22.17</v>
      </c>
      <c r="J24" s="202">
        <f t="shared" si="0"/>
        <v>-0.174109156517817</v>
      </c>
    </row>
    <row r="25" spans="2:10" x14ac:dyDescent="0.25">
      <c r="B25" s="51"/>
      <c r="C25" s="196"/>
      <c r="D25" s="14"/>
      <c r="E25" s="14"/>
      <c r="F25" s="14"/>
      <c r="H25" s="200" t="s">
        <v>149</v>
      </c>
      <c r="I25" s="201">
        <v>18.309999999999999</v>
      </c>
      <c r="J25" s="202">
        <f t="shared" si="0"/>
        <v>9.3937738940469862E-2</v>
      </c>
    </row>
    <row r="26" spans="2:10" x14ac:dyDescent="0.25">
      <c r="H26" s="200" t="s">
        <v>148</v>
      </c>
      <c r="I26" s="201">
        <v>20.03</v>
      </c>
      <c r="J26" s="202">
        <f t="shared" si="0"/>
        <v>-0.46480279580629058</v>
      </c>
    </row>
    <row r="27" spans="2:10" x14ac:dyDescent="0.25">
      <c r="H27" s="200" t="s">
        <v>147</v>
      </c>
      <c r="I27" s="201">
        <v>10.72</v>
      </c>
      <c r="J27" s="202">
        <f t="shared" si="0"/>
        <v>-1.3059701492537323E-2</v>
      </c>
    </row>
    <row r="28" spans="2:10" x14ac:dyDescent="0.25">
      <c r="H28" s="200" t="s">
        <v>146</v>
      </c>
      <c r="I28" s="201">
        <v>10.58</v>
      </c>
      <c r="J28" s="202">
        <f t="shared" si="0"/>
        <v>-0.10775047258979209</v>
      </c>
    </row>
    <row r="29" spans="2:10" x14ac:dyDescent="0.25">
      <c r="H29" s="200" t="s">
        <v>145</v>
      </c>
      <c r="I29" s="201">
        <v>9.44</v>
      </c>
      <c r="J29" s="202">
        <f t="shared" si="0"/>
        <v>8.5805084745762761E-2</v>
      </c>
    </row>
    <row r="30" spans="2:10" x14ac:dyDescent="0.25">
      <c r="H30" s="200" t="s">
        <v>144</v>
      </c>
      <c r="I30" s="201">
        <v>10.25</v>
      </c>
      <c r="J30" s="202">
        <f t="shared" si="0"/>
        <v>0.18536585365853653</v>
      </c>
    </row>
    <row r="31" spans="2:10" x14ac:dyDescent="0.25">
      <c r="H31" s="200" t="s">
        <v>143</v>
      </c>
      <c r="I31" s="201">
        <v>12.15</v>
      </c>
      <c r="J31" s="202">
        <f t="shared" si="0"/>
        <v>0.38271604938271597</v>
      </c>
    </row>
    <row r="32" spans="2:10" x14ac:dyDescent="0.25">
      <c r="H32" s="200" t="s">
        <v>142</v>
      </c>
      <c r="I32" s="201">
        <v>16.8</v>
      </c>
      <c r="J32" s="202">
        <f t="shared" si="0"/>
        <v>0.23392857142857149</v>
      </c>
    </row>
    <row r="33" spans="8:10" x14ac:dyDescent="0.25">
      <c r="H33" s="200" t="s">
        <v>141</v>
      </c>
      <c r="I33" s="201">
        <v>20.73</v>
      </c>
      <c r="J33" s="202">
        <f t="shared" si="0"/>
        <v>-8.9725036179450046E-2</v>
      </c>
    </row>
    <row r="34" spans="8:10" ht="30" x14ac:dyDescent="0.25">
      <c r="H34" s="200" t="s">
        <v>140</v>
      </c>
      <c r="I34" s="201">
        <v>18.87</v>
      </c>
      <c r="J34" s="202">
        <f t="shared" si="0"/>
        <v>5.8293587705351424E-3</v>
      </c>
    </row>
    <row r="35" spans="8:10" x14ac:dyDescent="0.25">
      <c r="H35" s="200" t="s">
        <v>139</v>
      </c>
      <c r="I35" s="201">
        <v>18.98</v>
      </c>
      <c r="J35" s="202">
        <f t="shared" si="0"/>
        <v>0.27449947312961021</v>
      </c>
    </row>
    <row r="36" spans="8:10" x14ac:dyDescent="0.25">
      <c r="H36" s="200" t="s">
        <v>138</v>
      </c>
      <c r="I36" s="201">
        <v>24.19</v>
      </c>
      <c r="J36" s="202">
        <f t="shared" si="0"/>
        <v>0.20214964861513018</v>
      </c>
    </row>
    <row r="37" spans="8:10" x14ac:dyDescent="0.25">
      <c r="H37" s="200" t="s">
        <v>137</v>
      </c>
      <c r="I37" s="201">
        <v>29.08</v>
      </c>
      <c r="J37" s="202">
        <f t="shared" si="0"/>
        <v>4.8486932599724808E-2</v>
      </c>
    </row>
    <row r="38" spans="8:10" x14ac:dyDescent="0.25">
      <c r="H38" s="200" t="s">
        <v>136</v>
      </c>
      <c r="I38" s="201">
        <v>30.49</v>
      </c>
      <c r="J38" s="202">
        <f t="shared" ref="J38:J65" si="1">(I39/I38)-1</f>
        <v>5.1492292554936148E-2</v>
      </c>
    </row>
    <row r="39" spans="8:10" x14ac:dyDescent="0.25">
      <c r="H39" s="200" t="s">
        <v>135</v>
      </c>
      <c r="I39" s="201">
        <v>32.06</v>
      </c>
      <c r="J39" s="202">
        <f t="shared" si="1"/>
        <v>-0.19993761696818479</v>
      </c>
    </row>
    <row r="40" spans="8:10" x14ac:dyDescent="0.25">
      <c r="H40" s="200" t="s">
        <v>134</v>
      </c>
      <c r="I40" s="201">
        <v>25.65</v>
      </c>
      <c r="J40" s="202">
        <f t="shared" si="1"/>
        <v>7.0175438596491224E-2</v>
      </c>
    </row>
    <row r="41" spans="8:10" x14ac:dyDescent="0.25">
      <c r="H41" s="200" t="s">
        <v>133</v>
      </c>
      <c r="I41" s="201">
        <v>27.45</v>
      </c>
      <c r="J41" s="202">
        <f t="shared" si="1"/>
        <v>-8.3788706739527097E-3</v>
      </c>
    </row>
    <row r="42" spans="8:10" x14ac:dyDescent="0.25">
      <c r="H42" s="200" t="s">
        <v>132</v>
      </c>
      <c r="I42" s="201">
        <v>27.22</v>
      </c>
      <c r="J42" s="202">
        <f t="shared" si="1"/>
        <v>0.30382072005878036</v>
      </c>
    </row>
    <row r="43" spans="8:10" x14ac:dyDescent="0.25">
      <c r="H43" s="200" t="s">
        <v>131</v>
      </c>
      <c r="I43" s="201">
        <v>35.49</v>
      </c>
      <c r="J43" s="202">
        <f t="shared" si="1"/>
        <v>1.8596787827557026E-2</v>
      </c>
    </row>
    <row r="44" spans="8:10" x14ac:dyDescent="0.25">
      <c r="H44" s="200" t="s">
        <v>130</v>
      </c>
      <c r="I44" s="201">
        <v>36.15</v>
      </c>
      <c r="J44" s="202">
        <f t="shared" si="1"/>
        <v>7.9391424619640549E-2</v>
      </c>
    </row>
    <row r="45" spans="8:10" x14ac:dyDescent="0.25">
      <c r="H45" s="200" t="s">
        <v>129</v>
      </c>
      <c r="I45" s="201">
        <v>39.020000000000003</v>
      </c>
      <c r="J45" s="202">
        <f t="shared" si="1"/>
        <v>3.6135315222962427E-2</v>
      </c>
    </row>
    <row r="46" spans="8:10" ht="30" x14ac:dyDescent="0.25">
      <c r="H46" s="200" t="s">
        <v>128</v>
      </c>
      <c r="I46" s="201">
        <v>40.43</v>
      </c>
      <c r="J46" s="202">
        <f t="shared" si="1"/>
        <v>-0.10907741775908975</v>
      </c>
    </row>
    <row r="47" spans="8:10" x14ac:dyDescent="0.25">
      <c r="H47" s="200" t="s">
        <v>127</v>
      </c>
      <c r="I47" s="201">
        <v>36.020000000000003</v>
      </c>
      <c r="J47" s="202">
        <f t="shared" si="1"/>
        <v>5.4136590782898342E-2</v>
      </c>
    </row>
    <row r="48" spans="8:10" x14ac:dyDescent="0.25">
      <c r="H48" s="200" t="s">
        <v>126</v>
      </c>
      <c r="I48" s="201">
        <v>37.97</v>
      </c>
      <c r="J48" s="202">
        <f t="shared" si="1"/>
        <v>-8.3750329207268881E-2</v>
      </c>
    </row>
    <row r="49" spans="8:11" x14ac:dyDescent="0.25">
      <c r="H49" s="200" t="s">
        <v>125</v>
      </c>
      <c r="I49" s="201">
        <v>34.79</v>
      </c>
      <c r="J49" s="202">
        <f t="shared" si="1"/>
        <v>6.668582926128197E-2</v>
      </c>
    </row>
    <row r="50" spans="8:11" x14ac:dyDescent="0.25">
      <c r="H50" s="200" t="s">
        <v>124</v>
      </c>
      <c r="I50" s="201">
        <v>37.11</v>
      </c>
      <c r="J50" s="202">
        <f t="shared" si="1"/>
        <v>7.1139854486661269E-2</v>
      </c>
    </row>
    <row r="51" spans="8:11" x14ac:dyDescent="0.25">
      <c r="H51" s="200" t="s">
        <v>123</v>
      </c>
      <c r="I51" s="201">
        <v>39.75</v>
      </c>
      <c r="J51" s="202">
        <f t="shared" si="1"/>
        <v>0.18792452830188666</v>
      </c>
      <c r="K51" s="38"/>
    </row>
    <row r="52" spans="8:11" x14ac:dyDescent="0.25">
      <c r="H52" s="200" t="s">
        <v>122</v>
      </c>
      <c r="I52" s="201">
        <v>47.22</v>
      </c>
      <c r="J52" s="202">
        <f t="shared" si="1"/>
        <v>7.1368064379500273E-2</v>
      </c>
      <c r="K52" s="38"/>
    </row>
    <row r="53" spans="8:11" x14ac:dyDescent="0.25">
      <c r="H53" s="200" t="s">
        <v>121</v>
      </c>
      <c r="I53" s="201">
        <v>50.59</v>
      </c>
      <c r="J53" s="202">
        <f t="shared" si="1"/>
        <v>2.213876260130454E-2</v>
      </c>
      <c r="K53" s="38"/>
    </row>
    <row r="54" spans="8:11" x14ac:dyDescent="0.25">
      <c r="H54" s="200" t="s">
        <v>120</v>
      </c>
      <c r="I54" s="201">
        <v>51.71</v>
      </c>
      <c r="J54" s="202">
        <f t="shared" si="1"/>
        <v>0.13246954167472436</v>
      </c>
      <c r="K54" s="38"/>
    </row>
    <row r="55" spans="8:11" x14ac:dyDescent="0.25">
      <c r="H55" s="200" t="s">
        <v>119</v>
      </c>
      <c r="I55" s="201">
        <v>58.56</v>
      </c>
      <c r="J55" s="202">
        <f t="shared" si="1"/>
        <v>0.12534153005464477</v>
      </c>
      <c r="K55" s="38"/>
    </row>
    <row r="56" spans="8:11" x14ac:dyDescent="0.25">
      <c r="H56" s="200" t="s">
        <v>118</v>
      </c>
      <c r="I56" s="201">
        <v>65.900000000000006</v>
      </c>
      <c r="J56" s="202">
        <f t="shared" si="1"/>
        <v>-4.7647951441578296E-2</v>
      </c>
      <c r="K56" s="38"/>
    </row>
    <row r="57" spans="8:11" x14ac:dyDescent="0.25">
      <c r="H57" s="200" t="s">
        <v>117</v>
      </c>
      <c r="I57" s="201">
        <v>62.76</v>
      </c>
      <c r="J57" s="202">
        <f t="shared" si="1"/>
        <v>-2.5493945188017841E-2</v>
      </c>
      <c r="K57" s="38"/>
    </row>
    <row r="58" spans="8:11" ht="30" x14ac:dyDescent="0.25">
      <c r="H58" s="200" t="s">
        <v>116</v>
      </c>
      <c r="I58" s="201">
        <v>61.16</v>
      </c>
      <c r="J58" s="202">
        <f t="shared" si="1"/>
        <v>3.7442773054283895E-2</v>
      </c>
      <c r="K58" s="38"/>
    </row>
    <row r="59" spans="8:11" x14ac:dyDescent="0.25">
      <c r="H59" s="200" t="s">
        <v>115</v>
      </c>
      <c r="I59" s="201">
        <v>63.45</v>
      </c>
      <c r="J59" s="202">
        <f t="shared" si="1"/>
        <v>5.1221434200157567E-2</v>
      </c>
      <c r="K59" s="38"/>
    </row>
    <row r="60" spans="8:11" x14ac:dyDescent="0.25">
      <c r="H60" s="200" t="s">
        <v>114</v>
      </c>
      <c r="I60" s="201">
        <v>66.7</v>
      </c>
      <c r="J60" s="202">
        <f t="shared" si="1"/>
        <v>-9.8950524737630996E-3</v>
      </c>
      <c r="K60" s="38"/>
    </row>
    <row r="61" spans="8:11" x14ac:dyDescent="0.25">
      <c r="H61" s="200" t="s">
        <v>113</v>
      </c>
      <c r="I61" s="201">
        <v>66.040000000000006</v>
      </c>
      <c r="J61" s="202">
        <f t="shared" si="1"/>
        <v>-1.105390672319817E-2</v>
      </c>
      <c r="K61" s="38"/>
    </row>
    <row r="62" spans="8:11" x14ac:dyDescent="0.25">
      <c r="H62" s="200" t="s">
        <v>112</v>
      </c>
      <c r="I62" s="201">
        <v>65.31</v>
      </c>
      <c r="J62" s="202">
        <f t="shared" si="1"/>
        <v>0.10427193385392752</v>
      </c>
      <c r="K62" s="38"/>
    </row>
    <row r="63" spans="8:11" x14ac:dyDescent="0.25">
      <c r="H63" s="200" t="s">
        <v>111</v>
      </c>
      <c r="I63" s="201">
        <v>72.12</v>
      </c>
      <c r="J63" s="202">
        <f t="shared" si="1"/>
        <v>-5.5740432612312985E-2</v>
      </c>
      <c r="K63" s="38"/>
    </row>
    <row r="64" spans="8:11" x14ac:dyDescent="0.25">
      <c r="H64" s="200" t="s">
        <v>110</v>
      </c>
      <c r="I64" s="201">
        <v>68.099999999999994</v>
      </c>
      <c r="J64" s="202">
        <f t="shared" si="1"/>
        <v>2.1732745961820843E-2</v>
      </c>
      <c r="K64" s="38"/>
    </row>
    <row r="65" spans="8:12" ht="15.75" thickBot="1" x14ac:dyDescent="0.3">
      <c r="H65" s="200" t="s">
        <v>109</v>
      </c>
      <c r="I65" s="201">
        <v>69.58</v>
      </c>
      <c r="J65" s="202">
        <f t="shared" si="1"/>
        <v>9.3992526588100089E-2</v>
      </c>
      <c r="K65" s="38"/>
    </row>
    <row r="66" spans="8:12" ht="15.75" thickBot="1" x14ac:dyDescent="0.3">
      <c r="H66" s="203" t="s">
        <v>108</v>
      </c>
      <c r="I66" s="204">
        <v>76.12</v>
      </c>
      <c r="J66" s="205"/>
      <c r="K66" s="40" t="s">
        <v>212</v>
      </c>
      <c r="L66" s="39">
        <f>J67*12</f>
        <v>0.22683189742761894</v>
      </c>
    </row>
    <row r="67" spans="8:12" x14ac:dyDescent="0.25">
      <c r="J67" s="5">
        <f>AVERAGE(J6:J65)</f>
        <v>1.8902658118968244E-2</v>
      </c>
    </row>
    <row r="68" spans="8:12" x14ac:dyDescent="0.25">
      <c r="H68" s="38"/>
      <c r="I68" s="38"/>
      <c r="J68" s="38"/>
      <c r="K68" s="38"/>
    </row>
  </sheetData>
  <mergeCells count="11">
    <mergeCell ref="B22:C22"/>
    <mergeCell ref="C24:D24"/>
    <mergeCell ref="B8:C8"/>
    <mergeCell ref="E8:F8"/>
    <mergeCell ref="E7:F7"/>
    <mergeCell ref="B7:C7"/>
    <mergeCell ref="C4:D4"/>
    <mergeCell ref="C5:D5"/>
    <mergeCell ref="B2:C2"/>
    <mergeCell ref="B16:C16"/>
    <mergeCell ref="H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3.140625" customWidth="1"/>
    <col min="2" max="2" width="5.5703125" customWidth="1"/>
    <col min="3" max="3" width="16.85546875" customWidth="1"/>
    <col min="4" max="4" width="17.85546875" customWidth="1"/>
    <col min="5" max="5" width="18.28515625" customWidth="1"/>
    <col min="6" max="6" width="19.140625" customWidth="1"/>
    <col min="7" max="7" width="18.5703125" customWidth="1"/>
    <col min="8" max="8" width="19.28515625" customWidth="1"/>
  </cols>
  <sheetData>
    <row r="1" spans="2:8" ht="15.75" thickBot="1" x14ac:dyDescent="0.3">
      <c r="F1" s="4"/>
    </row>
    <row r="2" spans="2:8" ht="15.75" thickBot="1" x14ac:dyDescent="0.3">
      <c r="B2" s="461" t="s">
        <v>171</v>
      </c>
      <c r="C2" s="462"/>
      <c r="D2" s="462"/>
      <c r="E2" s="462"/>
      <c r="F2" s="462"/>
      <c r="G2" s="462"/>
      <c r="H2" s="463"/>
    </row>
    <row r="3" spans="2:8" ht="51.75" thickBot="1" x14ac:dyDescent="0.3">
      <c r="B3" s="90" t="s">
        <v>295</v>
      </c>
      <c r="C3" s="89" t="s">
        <v>292</v>
      </c>
      <c r="D3" s="89" t="s">
        <v>293</v>
      </c>
      <c r="E3" s="89" t="s">
        <v>294</v>
      </c>
      <c r="F3" s="89" t="s">
        <v>296</v>
      </c>
      <c r="G3" s="89" t="s">
        <v>297</v>
      </c>
      <c r="H3" s="88" t="s">
        <v>298</v>
      </c>
    </row>
    <row r="4" spans="2:8" x14ac:dyDescent="0.25">
      <c r="B4" s="87">
        <v>0</v>
      </c>
      <c r="C4" s="86">
        <f>Inversión!$D$24</f>
        <v>1069844.2386972834</v>
      </c>
      <c r="D4" s="77">
        <v>0</v>
      </c>
      <c r="E4" s="86">
        <f>$C$4</f>
        <v>1069844.2386972834</v>
      </c>
      <c r="F4" s="77">
        <v>0</v>
      </c>
      <c r="G4" s="85" t="s">
        <v>195</v>
      </c>
      <c r="H4" s="84">
        <v>1</v>
      </c>
    </row>
    <row r="5" spans="2:8" x14ac:dyDescent="0.25">
      <c r="B5" s="78">
        <v>1</v>
      </c>
      <c r="C5" s="77">
        <v>0</v>
      </c>
      <c r="D5" s="76">
        <f>'E. de Resultados y F. de Efect.'!$D$44</f>
        <v>243529.85175344261</v>
      </c>
      <c r="E5" s="75">
        <f t="shared" ref="E5:E14" si="0">D5*(1+$E$16)^-B5</f>
        <v>189682.3763974809</v>
      </c>
      <c r="F5" s="75">
        <f t="shared" ref="F5:F14" si="1">E5+F4</f>
        <v>189682.3763974809</v>
      </c>
      <c r="G5" s="74">
        <f t="shared" ref="G5:G14" si="2">F5/$E$4</f>
        <v>0.1772990586260027</v>
      </c>
      <c r="H5" s="68">
        <f>H4-G5</f>
        <v>0.8227009413739973</v>
      </c>
    </row>
    <row r="6" spans="2:8" x14ac:dyDescent="0.25">
      <c r="B6" s="78">
        <v>2</v>
      </c>
      <c r="C6" s="77">
        <v>0</v>
      </c>
      <c r="D6" s="76">
        <f>'E. de Resultados y F. de Efect.'!$E$44</f>
        <v>269234.65232566488</v>
      </c>
      <c r="E6" s="75">
        <f t="shared" si="0"/>
        <v>163335.47166012379</v>
      </c>
      <c r="F6" s="75">
        <f t="shared" si="1"/>
        <v>353017.84805760469</v>
      </c>
      <c r="G6" s="74">
        <f t="shared" si="2"/>
        <v>0.3299712568321756</v>
      </c>
      <c r="H6" s="68">
        <f>H5-G6</f>
        <v>0.4927296845418217</v>
      </c>
    </row>
    <row r="7" spans="2:8" x14ac:dyDescent="0.25">
      <c r="B7" s="78">
        <v>3</v>
      </c>
      <c r="C7" s="77">
        <v>0</v>
      </c>
      <c r="D7" s="76">
        <f>'E. de Resultados y F. de Efect.'!$F$44</f>
        <v>295555.7448463469</v>
      </c>
      <c r="E7" s="75">
        <f t="shared" si="0"/>
        <v>139657.33104560411</v>
      </c>
      <c r="F7" s="75">
        <f t="shared" si="1"/>
        <v>492675.17910320882</v>
      </c>
      <c r="G7" s="74">
        <f t="shared" si="2"/>
        <v>0.46051112982869757</v>
      </c>
      <c r="H7" s="68">
        <f>H6-G7</f>
        <v>3.2218554713124126E-2</v>
      </c>
    </row>
    <row r="8" spans="2:8" x14ac:dyDescent="0.25">
      <c r="B8" s="83">
        <v>4</v>
      </c>
      <c r="C8" s="82">
        <v>0</v>
      </c>
      <c r="D8" s="81">
        <f>'E. de Resultados y F. de Efect.'!$G$44</f>
        <v>324621.28910257097</v>
      </c>
      <c r="E8" s="80">
        <f t="shared" si="0"/>
        <v>119474.74393437956</v>
      </c>
      <c r="F8" s="80">
        <f t="shared" si="1"/>
        <v>612149.92303758836</v>
      </c>
      <c r="G8" s="79">
        <f t="shared" si="2"/>
        <v>0.57218602568069588</v>
      </c>
      <c r="H8" s="220">
        <v>0</v>
      </c>
    </row>
    <row r="9" spans="2:8" x14ac:dyDescent="0.25">
      <c r="B9" s="78">
        <v>5</v>
      </c>
      <c r="C9" s="77">
        <v>0</v>
      </c>
      <c r="D9" s="76">
        <f>'E. de Resultados y F. de Efect.'!$H$44</f>
        <v>356711.77354226244</v>
      </c>
      <c r="E9" s="75">
        <f t="shared" si="0"/>
        <v>102256.59605587181</v>
      </c>
      <c r="F9" s="75">
        <f t="shared" si="1"/>
        <v>714406.51909346017</v>
      </c>
      <c r="G9" s="74">
        <f t="shared" si="2"/>
        <v>0.66776685170859185</v>
      </c>
      <c r="H9" s="68">
        <v>0</v>
      </c>
    </row>
    <row r="10" spans="2:8" x14ac:dyDescent="0.25">
      <c r="B10" s="78">
        <v>6</v>
      </c>
      <c r="C10" s="77">
        <v>0</v>
      </c>
      <c r="D10" s="76">
        <f>'E. de Resultados y F. de Efect.'!$I$44</f>
        <v>392136.0380906231</v>
      </c>
      <c r="E10" s="75">
        <f t="shared" si="0"/>
        <v>87555.901133311738</v>
      </c>
      <c r="F10" s="75">
        <f t="shared" si="1"/>
        <v>801962.42022677185</v>
      </c>
      <c r="G10" s="74">
        <f t="shared" si="2"/>
        <v>0.74960671022848802</v>
      </c>
      <c r="H10" s="68">
        <v>0</v>
      </c>
    </row>
    <row r="11" spans="2:8" x14ac:dyDescent="0.25">
      <c r="B11" s="78">
        <v>7</v>
      </c>
      <c r="C11" s="77">
        <v>0</v>
      </c>
      <c r="D11" s="76">
        <f>'E. de Resultados y F. de Efect.'!$J$44</f>
        <v>404089.61071411171</v>
      </c>
      <c r="E11" s="75">
        <f t="shared" si="0"/>
        <v>70275.044263554446</v>
      </c>
      <c r="F11" s="75">
        <f t="shared" si="1"/>
        <v>872237.46449032635</v>
      </c>
      <c r="G11" s="74">
        <f t="shared" si="2"/>
        <v>0.81529388385773172</v>
      </c>
      <c r="H11" s="68">
        <v>0</v>
      </c>
    </row>
    <row r="12" spans="2:8" x14ac:dyDescent="0.25">
      <c r="B12" s="78">
        <v>8</v>
      </c>
      <c r="C12" s="77">
        <v>0</v>
      </c>
      <c r="D12" s="76">
        <f>'E. de Resultados y F. de Efect.'!$K$44</f>
        <v>447147.29607816314</v>
      </c>
      <c r="E12" s="75">
        <f t="shared" si="0"/>
        <v>60568.7804967962</v>
      </c>
      <c r="F12" s="75">
        <f t="shared" si="1"/>
        <v>932806.2449871226</v>
      </c>
      <c r="G12" s="74">
        <f t="shared" si="2"/>
        <v>0.87190846222901774</v>
      </c>
      <c r="H12" s="68">
        <v>0</v>
      </c>
    </row>
    <row r="13" spans="2:8" x14ac:dyDescent="0.25">
      <c r="B13" s="78">
        <v>9</v>
      </c>
      <c r="C13" s="77">
        <v>0</v>
      </c>
      <c r="D13" s="76">
        <f>'E. de Resultados y F. de Efect.'!$L$44</f>
        <v>494665.25306558504</v>
      </c>
      <c r="E13" s="75">
        <f t="shared" si="0"/>
        <v>52189.65229145559</v>
      </c>
      <c r="F13" s="75">
        <f t="shared" si="1"/>
        <v>984995.89727857814</v>
      </c>
      <c r="G13" s="74">
        <f t="shared" si="2"/>
        <v>0.92069093953151304</v>
      </c>
      <c r="H13" s="68">
        <v>0</v>
      </c>
    </row>
    <row r="14" spans="2:8" ht="15.75" thickBot="1" x14ac:dyDescent="0.3">
      <c r="B14" s="73">
        <v>10</v>
      </c>
      <c r="C14" s="72">
        <v>0</v>
      </c>
      <c r="D14" s="71">
        <f>'E. de Resultados y F. de Efect.'!$M$44</f>
        <v>1534746.4726903464</v>
      </c>
      <c r="E14" s="70">
        <f t="shared" si="0"/>
        <v>126120.1329167545</v>
      </c>
      <c r="F14" s="70">
        <f t="shared" si="1"/>
        <v>1111116.0301953326</v>
      </c>
      <c r="G14" s="69">
        <f t="shared" si="2"/>
        <v>1.0385773835154775</v>
      </c>
      <c r="H14" s="221">
        <v>0</v>
      </c>
    </row>
    <row r="15" spans="2:8" ht="15.75" thickBot="1" x14ac:dyDescent="0.3"/>
    <row r="16" spans="2:8" ht="15.75" thickBot="1" x14ac:dyDescent="0.3">
      <c r="D16" s="222" t="s">
        <v>103</v>
      </c>
      <c r="E16" s="401">
        <f>'Cálculo TMAR'!$C$19</f>
        <v>0.28388233202605967</v>
      </c>
    </row>
  </sheetData>
  <mergeCells count="1">
    <mergeCell ref="B2:H2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W49"/>
  <sheetViews>
    <sheetView topLeftCell="A17" zoomScaleNormal="100" workbookViewId="0">
      <selection activeCell="D18" sqref="D18"/>
    </sheetView>
  </sheetViews>
  <sheetFormatPr baseColWidth="10" defaultColWidth="11.42578125" defaultRowHeight="15" x14ac:dyDescent="0.25"/>
  <cols>
    <col min="1" max="1" width="3.140625" customWidth="1"/>
    <col min="2" max="2" width="43.7109375" bestFit="1" customWidth="1"/>
    <col min="3" max="3" width="15.85546875" customWidth="1"/>
    <col min="4" max="4" width="14.42578125" customWidth="1"/>
    <col min="5" max="5" width="15.7109375" customWidth="1"/>
    <col min="6" max="7" width="14" customWidth="1"/>
    <col min="8" max="8" width="13.5703125" customWidth="1"/>
    <col min="9" max="10" width="14.42578125" customWidth="1"/>
    <col min="11" max="11" width="15.28515625" customWidth="1"/>
    <col min="12" max="12" width="16.28515625" customWidth="1"/>
    <col min="13" max="13" width="15.140625" customWidth="1"/>
    <col min="14" max="14" width="11.85546875" bestFit="1" customWidth="1"/>
  </cols>
  <sheetData>
    <row r="1" spans="2:14" ht="15.75" thickBot="1" x14ac:dyDescent="0.3"/>
    <row r="2" spans="2:14" ht="15.75" thickBot="1" x14ac:dyDescent="0.3">
      <c r="B2" s="437" t="s">
        <v>73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38"/>
    </row>
    <row r="3" spans="2:14" ht="15.75" thickBot="1" x14ac:dyDescent="0.3">
      <c r="B3" s="270"/>
      <c r="C3" s="166"/>
      <c r="D3" s="144" t="s">
        <v>77</v>
      </c>
      <c r="E3" s="144" t="s">
        <v>78</v>
      </c>
      <c r="F3" s="144" t="s">
        <v>79</v>
      </c>
      <c r="G3" s="144" t="s">
        <v>80</v>
      </c>
      <c r="H3" s="144" t="s">
        <v>81</v>
      </c>
      <c r="I3" s="144" t="s">
        <v>82</v>
      </c>
      <c r="J3" s="144" t="s">
        <v>83</v>
      </c>
      <c r="K3" s="144" t="s">
        <v>84</v>
      </c>
      <c r="L3" s="144" t="s">
        <v>85</v>
      </c>
      <c r="M3" s="145" t="s">
        <v>86</v>
      </c>
    </row>
    <row r="4" spans="2:14" x14ac:dyDescent="0.25">
      <c r="B4" s="180" t="s">
        <v>28</v>
      </c>
      <c r="C4" s="143"/>
      <c r="D4" s="96">
        <f>Ingresos!C12</f>
        <v>767166.50676561845</v>
      </c>
      <c r="E4" s="96">
        <f>Ingresos!D12</f>
        <v>843883.15744218032</v>
      </c>
      <c r="F4" s="96">
        <f>Ingresos!E12</f>
        <v>928271.47318639839</v>
      </c>
      <c r="G4" s="96">
        <f t="shared" ref="G4:M4" si="0">(F4*0.1)+F4</f>
        <v>1021098.6205050382</v>
      </c>
      <c r="H4" s="96">
        <f t="shared" si="0"/>
        <v>1123208.4825555419</v>
      </c>
      <c r="I4" s="96">
        <f t="shared" si="0"/>
        <v>1235529.3308110961</v>
      </c>
      <c r="J4" s="96">
        <f t="shared" si="0"/>
        <v>1359082.2638922057</v>
      </c>
      <c r="K4" s="96">
        <f t="shared" si="0"/>
        <v>1494990.4902814263</v>
      </c>
      <c r="L4" s="96">
        <f t="shared" si="0"/>
        <v>1644489.5393095689</v>
      </c>
      <c r="M4" s="165">
        <f t="shared" si="0"/>
        <v>1808938.4932405259</v>
      </c>
    </row>
    <row r="5" spans="2:14" ht="15.75" thickBot="1" x14ac:dyDescent="0.3">
      <c r="B5" s="178" t="s">
        <v>74</v>
      </c>
      <c r="C5" s="139"/>
      <c r="D5" s="174">
        <f>Costos!F69</f>
        <v>374267.56</v>
      </c>
      <c r="E5" s="174">
        <f>(D5*0.1)+D5</f>
        <v>411694.31599999999</v>
      </c>
      <c r="F5" s="174">
        <f t="shared" ref="F5:M5" si="1">(E5*0.1)+E5</f>
        <v>452863.7476</v>
      </c>
      <c r="G5" s="174">
        <f t="shared" si="1"/>
        <v>498150.12236000004</v>
      </c>
      <c r="H5" s="174">
        <f t="shared" si="1"/>
        <v>547965.13459600008</v>
      </c>
      <c r="I5" s="174">
        <f t="shared" si="1"/>
        <v>602761.64805560012</v>
      </c>
      <c r="J5" s="174">
        <f t="shared" si="1"/>
        <v>663037.81286116014</v>
      </c>
      <c r="K5" s="174">
        <f t="shared" si="1"/>
        <v>729341.59414727613</v>
      </c>
      <c r="L5" s="174">
        <f t="shared" si="1"/>
        <v>802275.75356200372</v>
      </c>
      <c r="M5" s="172">
        <f t="shared" si="1"/>
        <v>882503.32891820406</v>
      </c>
    </row>
    <row r="6" spans="2:14" ht="15.75" thickBot="1" x14ac:dyDescent="0.3">
      <c r="B6" s="238" t="s">
        <v>90</v>
      </c>
      <c r="C6" s="271"/>
      <c r="D6" s="225">
        <f>D4-D5</f>
        <v>392898.94676561846</v>
      </c>
      <c r="E6" s="147">
        <f t="shared" ref="E6:M6" si="2">E4-E5</f>
        <v>432188.84144218033</v>
      </c>
      <c r="F6" s="147">
        <f t="shared" si="2"/>
        <v>475407.72558639839</v>
      </c>
      <c r="G6" s="147">
        <f t="shared" si="2"/>
        <v>522948.49814503815</v>
      </c>
      <c r="H6" s="147">
        <f t="shared" si="2"/>
        <v>575243.34795954183</v>
      </c>
      <c r="I6" s="147">
        <f t="shared" si="2"/>
        <v>632767.682755496</v>
      </c>
      <c r="J6" s="147">
        <f t="shared" si="2"/>
        <v>696044.45103104552</v>
      </c>
      <c r="K6" s="147">
        <f t="shared" si="2"/>
        <v>765648.89613415021</v>
      </c>
      <c r="L6" s="147">
        <f t="shared" si="2"/>
        <v>842213.78574756521</v>
      </c>
      <c r="M6" s="148">
        <f t="shared" si="2"/>
        <v>926435.16432232189</v>
      </c>
    </row>
    <row r="7" spans="2:14" x14ac:dyDescent="0.25">
      <c r="B7" s="237" t="s">
        <v>326</v>
      </c>
      <c r="C7" s="138"/>
      <c r="D7" s="96"/>
      <c r="E7" s="96"/>
      <c r="F7" s="96"/>
      <c r="G7" s="96"/>
      <c r="H7" s="96"/>
      <c r="I7" s="96"/>
      <c r="J7" s="96"/>
      <c r="K7" s="96"/>
      <c r="L7" s="96"/>
      <c r="M7" s="165"/>
    </row>
    <row r="8" spans="2:14" x14ac:dyDescent="0.25">
      <c r="B8" s="178" t="s">
        <v>31</v>
      </c>
      <c r="C8" s="139"/>
      <c r="D8" s="99">
        <f>Costos!L18</f>
        <v>55865.425000000003</v>
      </c>
      <c r="E8" s="99">
        <f>Costos!M18</f>
        <v>58785.425000000003</v>
      </c>
      <c r="F8" s="99">
        <f t="shared" ref="F8:M8" si="3">(E8*0.05)+E8</f>
        <v>61724.696250000001</v>
      </c>
      <c r="G8" s="99">
        <f t="shared" si="3"/>
        <v>64810.9310625</v>
      </c>
      <c r="H8" s="99">
        <f t="shared" si="3"/>
        <v>68051.477615625001</v>
      </c>
      <c r="I8" s="99">
        <f t="shared" si="3"/>
        <v>71454.051496406246</v>
      </c>
      <c r="J8" s="99">
        <f t="shared" si="3"/>
        <v>75026.754071226562</v>
      </c>
      <c r="K8" s="99">
        <f t="shared" si="3"/>
        <v>78778.091774787885</v>
      </c>
      <c r="L8" s="99">
        <f t="shared" si="3"/>
        <v>82716.996363527272</v>
      </c>
      <c r="M8" s="141">
        <f t="shared" si="3"/>
        <v>86852.84618170363</v>
      </c>
    </row>
    <row r="9" spans="2:14" ht="15.75" thickBot="1" x14ac:dyDescent="0.3">
      <c r="B9" s="178" t="s">
        <v>54</v>
      </c>
      <c r="C9" s="139"/>
      <c r="D9" s="332">
        <f>Costos!D27</f>
        <v>13572</v>
      </c>
      <c r="E9" s="332">
        <f>(D9*0.05)+D9</f>
        <v>14250.6</v>
      </c>
      <c r="F9" s="332">
        <f t="shared" ref="F9:M9" si="4">(E9*0.05)+E9</f>
        <v>14963.130000000001</v>
      </c>
      <c r="G9" s="332">
        <f t="shared" si="4"/>
        <v>15711.286500000002</v>
      </c>
      <c r="H9" s="332">
        <f t="shared" si="4"/>
        <v>16496.850825000001</v>
      </c>
      <c r="I9" s="332">
        <f t="shared" si="4"/>
        <v>17321.693366250001</v>
      </c>
      <c r="J9" s="332">
        <f t="shared" si="4"/>
        <v>18187.7780345625</v>
      </c>
      <c r="K9" s="332">
        <f t="shared" si="4"/>
        <v>19097.166936290625</v>
      </c>
      <c r="L9" s="332">
        <f t="shared" si="4"/>
        <v>20052.025283105155</v>
      </c>
      <c r="M9" s="331">
        <f t="shared" si="4"/>
        <v>21054.626547260414</v>
      </c>
    </row>
    <row r="10" spans="2:14" ht="15.75" thickBot="1" x14ac:dyDescent="0.3">
      <c r="B10" s="237" t="s">
        <v>327</v>
      </c>
      <c r="C10" s="271"/>
      <c r="D10" s="225">
        <f>SUM(D8:D9)</f>
        <v>69437.425000000003</v>
      </c>
      <c r="E10" s="324">
        <f>SUM(E8:E9)</f>
        <v>73036.025000000009</v>
      </c>
      <c r="F10" s="324">
        <f t="shared" ref="F10:H10" si="5">SUM(F8:F9)</f>
        <v>76687.826249999998</v>
      </c>
      <c r="G10" s="324">
        <f t="shared" si="5"/>
        <v>80522.217562500009</v>
      </c>
      <c r="H10" s="324">
        <f t="shared" si="5"/>
        <v>84548.328440625002</v>
      </c>
      <c r="I10" s="324">
        <f t="shared" ref="I10" si="6">SUM(I8:I9)</f>
        <v>88775.744862656255</v>
      </c>
      <c r="J10" s="324">
        <f t="shared" ref="J10" si="7">SUM(J8:J9)</f>
        <v>93214.532105789054</v>
      </c>
      <c r="K10" s="324">
        <f t="shared" ref="K10:L10" si="8">SUM(K8:K9)</f>
        <v>97875.25871107851</v>
      </c>
      <c r="L10" s="324">
        <f t="shared" si="8"/>
        <v>102769.02164663243</v>
      </c>
      <c r="M10" s="325">
        <f t="shared" ref="M10" si="9">SUM(M8:M9)</f>
        <v>107907.47272896404</v>
      </c>
    </row>
    <row r="11" spans="2:14" ht="15.75" thickBot="1" x14ac:dyDescent="0.3">
      <c r="B11" s="178" t="s">
        <v>87</v>
      </c>
      <c r="C11" s="139"/>
      <c r="D11" s="177">
        <f>'Depreciación y Valor de Desecho'!E10</f>
        <v>13096.066666666666</v>
      </c>
      <c r="E11" s="177">
        <f>D11</f>
        <v>13096.066666666666</v>
      </c>
      <c r="F11" s="177">
        <f t="shared" ref="F11:M11" si="10">E11</f>
        <v>13096.066666666666</v>
      </c>
      <c r="G11" s="177">
        <f t="shared" si="10"/>
        <v>13096.066666666666</v>
      </c>
      <c r="H11" s="177">
        <f t="shared" si="10"/>
        <v>13096.066666666666</v>
      </c>
      <c r="I11" s="177">
        <f t="shared" si="10"/>
        <v>13096.066666666666</v>
      </c>
      <c r="J11" s="177">
        <f t="shared" si="10"/>
        <v>13096.066666666666</v>
      </c>
      <c r="K11" s="177">
        <f t="shared" si="10"/>
        <v>13096.066666666666</v>
      </c>
      <c r="L11" s="177">
        <f t="shared" si="10"/>
        <v>13096.066666666666</v>
      </c>
      <c r="M11" s="179">
        <f t="shared" si="10"/>
        <v>13096.066666666666</v>
      </c>
    </row>
    <row r="12" spans="2:14" ht="15.75" thickBot="1" x14ac:dyDescent="0.3">
      <c r="B12" s="238" t="s">
        <v>91</v>
      </c>
      <c r="C12" s="271"/>
      <c r="D12" s="225">
        <f>D6-D10-D11</f>
        <v>310365.45509895182</v>
      </c>
      <c r="E12" s="324">
        <f t="shared" ref="E12:M12" si="11">E6-E10-E11</f>
        <v>346056.74977551366</v>
      </c>
      <c r="F12" s="324">
        <f t="shared" si="11"/>
        <v>385623.83266973175</v>
      </c>
      <c r="G12" s="324">
        <f t="shared" si="11"/>
        <v>429330.21391587146</v>
      </c>
      <c r="H12" s="324">
        <f t="shared" si="11"/>
        <v>477598.95285225019</v>
      </c>
      <c r="I12" s="324">
        <f t="shared" si="11"/>
        <v>530895.87122617313</v>
      </c>
      <c r="J12" s="324">
        <f t="shared" si="11"/>
        <v>589733.85225858982</v>
      </c>
      <c r="K12" s="324">
        <f t="shared" si="11"/>
        <v>654677.57075640501</v>
      </c>
      <c r="L12" s="324">
        <f t="shared" si="11"/>
        <v>726348.6974342661</v>
      </c>
      <c r="M12" s="325">
        <f t="shared" si="11"/>
        <v>805431.62492669118</v>
      </c>
    </row>
    <row r="13" spans="2:14" ht="15.75" thickBot="1" x14ac:dyDescent="0.3">
      <c r="B13" s="178" t="s">
        <v>309</v>
      </c>
      <c r="C13" s="139"/>
      <c r="D13" s="177">
        <f>Financiamiento!D100</f>
        <v>529.57289815515537</v>
      </c>
      <c r="E13" s="177">
        <f>Financiamiento!D101</f>
        <v>441.55315805388182</v>
      </c>
      <c r="F13" s="177">
        <f>Financiamiento!D102</f>
        <v>353.43659623849692</v>
      </c>
      <c r="G13" s="177">
        <f>Financiamiento!D103</f>
        <v>265.22310620511507</v>
      </c>
      <c r="H13" s="177">
        <f>Financiamiento!D104</f>
        <v>176.91258133269656</v>
      </c>
      <c r="I13" s="177">
        <f>Financiamiento!D105</f>
        <v>88.504914882918385</v>
      </c>
      <c r="J13" s="177"/>
      <c r="K13" s="177"/>
      <c r="L13" s="177"/>
      <c r="M13" s="179"/>
    </row>
    <row r="14" spans="2:14" ht="15.75" thickBot="1" x14ac:dyDescent="0.3">
      <c r="B14" s="238" t="s">
        <v>310</v>
      </c>
      <c r="C14" s="271"/>
      <c r="D14" s="225">
        <f>D12-D13</f>
        <v>309835.88220079668</v>
      </c>
      <c r="E14" s="147">
        <f>E12-E13</f>
        <v>345615.19661745976</v>
      </c>
      <c r="F14" s="147">
        <f>F12-F13</f>
        <v>385270.39607349323</v>
      </c>
      <c r="G14" s="147">
        <f t="shared" ref="G14:M14" si="12">G12-G13</f>
        <v>429064.99080966634</v>
      </c>
      <c r="H14" s="147">
        <f t="shared" si="12"/>
        <v>477422.04027091753</v>
      </c>
      <c r="I14" s="147">
        <f t="shared" si="12"/>
        <v>530807.36631129018</v>
      </c>
      <c r="J14" s="147">
        <f t="shared" si="12"/>
        <v>589733.85225858982</v>
      </c>
      <c r="K14" s="147">
        <f t="shared" si="12"/>
        <v>654677.57075640501</v>
      </c>
      <c r="L14" s="147">
        <f t="shared" si="12"/>
        <v>726348.6974342661</v>
      </c>
      <c r="M14" s="148">
        <f t="shared" si="12"/>
        <v>805431.62492669118</v>
      </c>
    </row>
    <row r="15" spans="2:14" x14ac:dyDescent="0.25">
      <c r="B15" s="178" t="s">
        <v>88</v>
      </c>
      <c r="C15" s="139"/>
      <c r="D15" s="96">
        <f>D14*0.15</f>
        <v>46475.382330119501</v>
      </c>
      <c r="E15" s="96">
        <f t="shared" ref="E15:M15" si="13">E14*0.15</f>
        <v>51842.27949261896</v>
      </c>
      <c r="F15" s="96">
        <f t="shared" si="13"/>
        <v>57790.559411023984</v>
      </c>
      <c r="G15" s="96">
        <f t="shared" si="13"/>
        <v>64359.748621449951</v>
      </c>
      <c r="H15" s="96">
        <f t="shared" si="13"/>
        <v>71613.306040637632</v>
      </c>
      <c r="I15" s="96">
        <f t="shared" si="13"/>
        <v>79621.104946693522</v>
      </c>
      <c r="J15" s="96">
        <f t="shared" si="13"/>
        <v>88460.077838788464</v>
      </c>
      <c r="K15" s="96">
        <f t="shared" si="13"/>
        <v>98201.635613460749</v>
      </c>
      <c r="L15" s="96">
        <f t="shared" si="13"/>
        <v>108952.30461513992</v>
      </c>
      <c r="M15" s="165">
        <f t="shared" si="13"/>
        <v>120814.74373900366</v>
      </c>
      <c r="N15" s="1"/>
    </row>
    <row r="16" spans="2:14" ht="15.75" thickBot="1" x14ac:dyDescent="0.3">
      <c r="B16" s="178" t="s">
        <v>196</v>
      </c>
      <c r="C16" s="139"/>
      <c r="D16" s="174">
        <f>D14*0.23</f>
        <v>71262.252906183247</v>
      </c>
      <c r="E16" s="174">
        <f>E14*0.22</f>
        <v>76035.343255841144</v>
      </c>
      <c r="F16" s="174">
        <f t="shared" ref="F16:M16" si="14">F14*0.22</f>
        <v>84759.487136168507</v>
      </c>
      <c r="G16" s="174">
        <f t="shared" si="14"/>
        <v>94394.297978126589</v>
      </c>
      <c r="H16" s="174">
        <f t="shared" si="14"/>
        <v>105032.84885960186</v>
      </c>
      <c r="I16" s="174">
        <f t="shared" si="14"/>
        <v>116777.62058848384</v>
      </c>
      <c r="J16" s="174">
        <f t="shared" si="14"/>
        <v>129741.44749688976</v>
      </c>
      <c r="K16" s="174">
        <f t="shared" si="14"/>
        <v>144029.06556640912</v>
      </c>
      <c r="L16" s="174">
        <f t="shared" si="14"/>
        <v>159796.71343553855</v>
      </c>
      <c r="M16" s="172">
        <f t="shared" si="14"/>
        <v>177194.95748387207</v>
      </c>
    </row>
    <row r="17" spans="2:15" ht="15.75" thickBot="1" x14ac:dyDescent="0.3">
      <c r="B17" s="273" t="s">
        <v>89</v>
      </c>
      <c r="C17" s="272"/>
      <c r="D17" s="225">
        <f>D14-D15-D16</f>
        <v>192098.24696449394</v>
      </c>
      <c r="E17" s="147">
        <f t="shared" ref="E17:M17" si="15">E14-E15-E16</f>
        <v>217737.57386899964</v>
      </c>
      <c r="F17" s="147">
        <f t="shared" si="15"/>
        <v>242720.34952630074</v>
      </c>
      <c r="G17" s="147">
        <f t="shared" si="15"/>
        <v>270310.94421008986</v>
      </c>
      <c r="H17" s="147">
        <f t="shared" si="15"/>
        <v>300775.88537067804</v>
      </c>
      <c r="I17" s="147">
        <f t="shared" si="15"/>
        <v>334408.64077611279</v>
      </c>
      <c r="J17" s="147">
        <f t="shared" si="15"/>
        <v>371532.32692291163</v>
      </c>
      <c r="K17" s="147">
        <f t="shared" si="15"/>
        <v>412446.86957653507</v>
      </c>
      <c r="L17" s="147">
        <f t="shared" si="15"/>
        <v>457599.67938358756</v>
      </c>
      <c r="M17" s="148">
        <f t="shared" si="15"/>
        <v>507421.92370381544</v>
      </c>
    </row>
    <row r="19" spans="2:15" ht="15.75" thickBot="1" x14ac:dyDescent="0.3"/>
    <row r="20" spans="2:15" s="10" customFormat="1" ht="15.75" thickBot="1" x14ac:dyDescent="0.3">
      <c r="B20" s="461" t="s">
        <v>311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3"/>
    </row>
    <row r="21" spans="2:15" s="10" customFormat="1" ht="15.75" thickBot="1" x14ac:dyDescent="0.3">
      <c r="B21" s="230"/>
      <c r="C21" s="231"/>
      <c r="D21" s="232" t="s">
        <v>77</v>
      </c>
      <c r="E21" s="232" t="s">
        <v>78</v>
      </c>
      <c r="F21" s="232" t="s">
        <v>79</v>
      </c>
      <c r="G21" s="232" t="s">
        <v>80</v>
      </c>
      <c r="H21" s="232" t="s">
        <v>81</v>
      </c>
      <c r="I21" s="232" t="s">
        <v>82</v>
      </c>
      <c r="J21" s="232" t="s">
        <v>83</v>
      </c>
      <c r="K21" s="232" t="s">
        <v>84</v>
      </c>
      <c r="L21" s="232" t="s">
        <v>85</v>
      </c>
      <c r="M21" s="233" t="s">
        <v>86</v>
      </c>
    </row>
    <row r="22" spans="2:15" s="10" customFormat="1" x14ac:dyDescent="0.25">
      <c r="B22" s="234" t="s">
        <v>94</v>
      </c>
      <c r="C22" s="235"/>
      <c r="D22" s="235">
        <f t="shared" ref="D22:M22" si="16">D4</f>
        <v>767166.50676561845</v>
      </c>
      <c r="E22" s="235">
        <f t="shared" si="16"/>
        <v>843883.15744218032</v>
      </c>
      <c r="F22" s="235">
        <f t="shared" si="16"/>
        <v>928271.47318639839</v>
      </c>
      <c r="G22" s="235">
        <f t="shared" si="16"/>
        <v>1021098.6205050382</v>
      </c>
      <c r="H22" s="235">
        <f t="shared" si="16"/>
        <v>1123208.4825555419</v>
      </c>
      <c r="I22" s="235">
        <f t="shared" si="16"/>
        <v>1235529.3308110961</v>
      </c>
      <c r="J22" s="235">
        <f t="shared" si="16"/>
        <v>1359082.2638922057</v>
      </c>
      <c r="K22" s="235">
        <f t="shared" si="16"/>
        <v>1494990.4902814263</v>
      </c>
      <c r="L22" s="235">
        <f t="shared" si="16"/>
        <v>1644489.5393095689</v>
      </c>
      <c r="M22" s="236">
        <f t="shared" si="16"/>
        <v>1808938.4932405259</v>
      </c>
    </row>
    <row r="23" spans="2:15" s="10" customFormat="1" x14ac:dyDescent="0.25">
      <c r="B23" s="234" t="s">
        <v>95</v>
      </c>
      <c r="C23" s="235"/>
      <c r="D23" s="235">
        <f t="shared" ref="D23:M23" si="17">D5</f>
        <v>374267.56</v>
      </c>
      <c r="E23" s="235">
        <f t="shared" si="17"/>
        <v>411694.31599999999</v>
      </c>
      <c r="F23" s="235">
        <f t="shared" si="17"/>
        <v>452863.7476</v>
      </c>
      <c r="G23" s="235">
        <f t="shared" si="17"/>
        <v>498150.12236000004</v>
      </c>
      <c r="H23" s="235">
        <f t="shared" si="17"/>
        <v>547965.13459600008</v>
      </c>
      <c r="I23" s="235">
        <f t="shared" si="17"/>
        <v>602761.64805560012</v>
      </c>
      <c r="J23" s="235">
        <f t="shared" si="17"/>
        <v>663037.81286116014</v>
      </c>
      <c r="K23" s="235">
        <f t="shared" si="17"/>
        <v>729341.59414727613</v>
      </c>
      <c r="L23" s="235">
        <f t="shared" si="17"/>
        <v>802275.75356200372</v>
      </c>
      <c r="M23" s="236">
        <f t="shared" si="17"/>
        <v>882503.32891820406</v>
      </c>
    </row>
    <row r="24" spans="2:15" s="10" customFormat="1" x14ac:dyDescent="0.25">
      <c r="B24" s="268" t="s">
        <v>93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6"/>
    </row>
    <row r="25" spans="2:15" s="10" customFormat="1" x14ac:dyDescent="0.25">
      <c r="B25" s="234" t="s">
        <v>98</v>
      </c>
      <c r="C25" s="235"/>
      <c r="D25" s="239">
        <f>D8</f>
        <v>55865.425000000003</v>
      </c>
      <c r="E25" s="239">
        <f t="shared" ref="E25:M25" si="18">E8</f>
        <v>58785.425000000003</v>
      </c>
      <c r="F25" s="239">
        <f t="shared" si="18"/>
        <v>61724.696250000001</v>
      </c>
      <c r="G25" s="239">
        <f t="shared" si="18"/>
        <v>64810.9310625</v>
      </c>
      <c r="H25" s="239">
        <f t="shared" si="18"/>
        <v>68051.477615625001</v>
      </c>
      <c r="I25" s="239">
        <f t="shared" si="18"/>
        <v>71454.051496406246</v>
      </c>
      <c r="J25" s="239">
        <f t="shared" si="18"/>
        <v>75026.754071226562</v>
      </c>
      <c r="K25" s="239">
        <f t="shared" si="18"/>
        <v>78778.091774787885</v>
      </c>
      <c r="L25" s="239">
        <f t="shared" si="18"/>
        <v>82716.996363527272</v>
      </c>
      <c r="M25" s="240">
        <f t="shared" si="18"/>
        <v>86852.84618170363</v>
      </c>
    </row>
    <row r="26" spans="2:15" s="10" customFormat="1" ht="15.75" thickBot="1" x14ac:dyDescent="0.3">
      <c r="B26" s="234" t="s">
        <v>99</v>
      </c>
      <c r="C26" s="235"/>
      <c r="D26" s="239">
        <f>D9</f>
        <v>13572</v>
      </c>
      <c r="E26" s="239">
        <f t="shared" ref="E26:M26" si="19">E9</f>
        <v>14250.6</v>
      </c>
      <c r="F26" s="239">
        <f t="shared" si="19"/>
        <v>14963.130000000001</v>
      </c>
      <c r="G26" s="239">
        <f t="shared" si="19"/>
        <v>15711.286500000002</v>
      </c>
      <c r="H26" s="239">
        <f t="shared" si="19"/>
        <v>16496.850825000001</v>
      </c>
      <c r="I26" s="239">
        <f t="shared" si="19"/>
        <v>17321.693366250001</v>
      </c>
      <c r="J26" s="239">
        <f t="shared" si="19"/>
        <v>18187.7780345625</v>
      </c>
      <c r="K26" s="239">
        <f t="shared" si="19"/>
        <v>19097.166936290625</v>
      </c>
      <c r="L26" s="239">
        <f t="shared" si="19"/>
        <v>20052.025283105155</v>
      </c>
      <c r="M26" s="240">
        <f t="shared" si="19"/>
        <v>21054.626547260414</v>
      </c>
    </row>
    <row r="27" spans="2:15" s="10" customFormat="1" ht="15.75" thickBot="1" x14ac:dyDescent="0.3">
      <c r="B27" s="378" t="s">
        <v>328</v>
      </c>
      <c r="C27" s="379"/>
      <c r="D27" s="245">
        <f>SUM(D25:D26)</f>
        <v>69437.425000000003</v>
      </c>
      <c r="E27" s="245">
        <f>SUM(E25:E26)</f>
        <v>73036.025000000009</v>
      </c>
      <c r="F27" s="245">
        <f t="shared" ref="F27:M27" si="20">SUM(F25:F26)</f>
        <v>76687.826249999998</v>
      </c>
      <c r="G27" s="245">
        <f t="shared" si="20"/>
        <v>80522.217562500009</v>
      </c>
      <c r="H27" s="245">
        <f t="shared" si="20"/>
        <v>84548.328440625002</v>
      </c>
      <c r="I27" s="245">
        <f t="shared" si="20"/>
        <v>88775.744862656255</v>
      </c>
      <c r="J27" s="245">
        <f t="shared" si="20"/>
        <v>93214.532105789054</v>
      </c>
      <c r="K27" s="245">
        <f t="shared" si="20"/>
        <v>97875.25871107851</v>
      </c>
      <c r="L27" s="245">
        <f t="shared" si="20"/>
        <v>102769.02164663243</v>
      </c>
      <c r="M27" s="259">
        <f t="shared" si="20"/>
        <v>107907.47272896404</v>
      </c>
      <c r="N27" s="257"/>
    </row>
    <row r="28" spans="2:15" s="10" customFormat="1" x14ac:dyDescent="0.25">
      <c r="B28" s="139" t="s">
        <v>307</v>
      </c>
      <c r="C28" s="235"/>
      <c r="D28" s="248">
        <f t="shared" ref="D28:M28" si="21">D11</f>
        <v>13096.066666666666</v>
      </c>
      <c r="E28" s="248">
        <f t="shared" si="21"/>
        <v>13096.066666666666</v>
      </c>
      <c r="F28" s="248">
        <f t="shared" si="21"/>
        <v>13096.066666666666</v>
      </c>
      <c r="G28" s="248">
        <f t="shared" si="21"/>
        <v>13096.066666666666</v>
      </c>
      <c r="H28" s="248">
        <f t="shared" si="21"/>
        <v>13096.066666666666</v>
      </c>
      <c r="I28" s="248">
        <f t="shared" si="21"/>
        <v>13096.066666666666</v>
      </c>
      <c r="J28" s="248">
        <f t="shared" si="21"/>
        <v>13096.066666666666</v>
      </c>
      <c r="K28" s="248">
        <f t="shared" si="21"/>
        <v>13096.066666666666</v>
      </c>
      <c r="L28" s="248">
        <f t="shared" si="21"/>
        <v>13096.066666666666</v>
      </c>
      <c r="M28" s="248">
        <f t="shared" si="21"/>
        <v>13096.066666666666</v>
      </c>
    </row>
    <row r="29" spans="2:15" s="10" customFormat="1" x14ac:dyDescent="0.25">
      <c r="B29" s="246" t="s">
        <v>100</v>
      </c>
      <c r="C29" s="247"/>
      <c r="D29" s="248">
        <f>Financiamiento!$E$100</f>
        <v>80017.94554661226</v>
      </c>
      <c r="E29" s="248">
        <f>Financiamiento!$E$101</f>
        <v>80105.96528671353</v>
      </c>
      <c r="F29" s="248">
        <f>Financiamiento!$E$102</f>
        <v>80194.08184852892</v>
      </c>
      <c r="G29" s="248">
        <f>Financiamiento!$E$103</f>
        <v>80282.295338562297</v>
      </c>
      <c r="H29" s="248">
        <f>Financiamiento!$E$104</f>
        <v>80370.605863434714</v>
      </c>
      <c r="I29" s="248">
        <f>Financiamiento!$E$105</f>
        <v>80459.013529884498</v>
      </c>
      <c r="J29" s="248">
        <f>Financiamiento!$E$165</f>
        <v>0</v>
      </c>
      <c r="K29" s="248">
        <f>Financiamiento!$E$166</f>
        <v>0</v>
      </c>
      <c r="L29" s="248">
        <f>Financiamiento!$E$167</f>
        <v>0</v>
      </c>
      <c r="M29" s="260">
        <f>Financiamiento!$E$168</f>
        <v>0</v>
      </c>
    </row>
    <row r="30" spans="2:15" s="10" customFormat="1" ht="15.75" thickBot="1" x14ac:dyDescent="0.3">
      <c r="B30" s="253" t="s">
        <v>330</v>
      </c>
      <c r="C30" s="235"/>
      <c r="D30" s="242">
        <f>D13</f>
        <v>529.57289815515537</v>
      </c>
      <c r="E30" s="242">
        <f t="shared" ref="E30:I30" si="22">E13</f>
        <v>441.55315805388182</v>
      </c>
      <c r="F30" s="242">
        <f t="shared" si="22"/>
        <v>353.43659623849692</v>
      </c>
      <c r="G30" s="242">
        <f t="shared" si="22"/>
        <v>265.22310620511507</v>
      </c>
      <c r="H30" s="242">
        <f t="shared" si="22"/>
        <v>176.91258133269656</v>
      </c>
      <c r="I30" s="242">
        <f t="shared" si="22"/>
        <v>88.504914882918385</v>
      </c>
      <c r="J30" s="241"/>
      <c r="K30" s="241"/>
      <c r="L30" s="241"/>
      <c r="M30" s="261"/>
      <c r="N30" s="11"/>
    </row>
    <row r="31" spans="2:15" s="10" customFormat="1" ht="15.75" thickBot="1" x14ac:dyDescent="0.3">
      <c r="B31" s="269" t="s">
        <v>301</v>
      </c>
      <c r="C31" s="244"/>
      <c r="D31" s="245">
        <f>D22-D23-D27-D28-D29-D30</f>
        <v>229817.93665418439</v>
      </c>
      <c r="E31" s="245">
        <f t="shared" ref="E31:M31" si="23">E22-E23-E27-E28-E29-E30</f>
        <v>265509.2313307462</v>
      </c>
      <c r="F31" s="245">
        <f t="shared" si="23"/>
        <v>305076.3142249643</v>
      </c>
      <c r="G31" s="245">
        <f t="shared" si="23"/>
        <v>348782.69547110406</v>
      </c>
      <c r="H31" s="245">
        <f t="shared" si="23"/>
        <v>397051.4344074828</v>
      </c>
      <c r="I31" s="245">
        <f t="shared" si="23"/>
        <v>450348.35278140567</v>
      </c>
      <c r="J31" s="245">
        <f t="shared" si="23"/>
        <v>589733.85225858982</v>
      </c>
      <c r="K31" s="245">
        <f t="shared" si="23"/>
        <v>654677.57075640501</v>
      </c>
      <c r="L31" s="245">
        <f t="shared" si="23"/>
        <v>726348.6974342661</v>
      </c>
      <c r="M31" s="245">
        <f t="shared" si="23"/>
        <v>805431.62492669118</v>
      </c>
      <c r="O31" s="13"/>
    </row>
    <row r="32" spans="2:15" s="10" customFormat="1" ht="15.75" thickBot="1" x14ac:dyDescent="0.3">
      <c r="B32" s="253" t="s">
        <v>302</v>
      </c>
      <c r="C32" s="235"/>
      <c r="D32" s="254">
        <f>D31*0.15</f>
        <v>34472.69049812766</v>
      </c>
      <c r="E32" s="254">
        <f t="shared" ref="E32:M32" si="24">E31*0.15</f>
        <v>39826.384699611932</v>
      </c>
      <c r="F32" s="254">
        <f t="shared" si="24"/>
        <v>45761.447133744645</v>
      </c>
      <c r="G32" s="254">
        <f t="shared" si="24"/>
        <v>52317.404320665606</v>
      </c>
      <c r="H32" s="254">
        <f t="shared" si="24"/>
        <v>59557.715161122418</v>
      </c>
      <c r="I32" s="254">
        <f t="shared" si="24"/>
        <v>67552.252917210848</v>
      </c>
      <c r="J32" s="254">
        <f t="shared" si="24"/>
        <v>88460.077838788464</v>
      </c>
      <c r="K32" s="254">
        <f t="shared" si="24"/>
        <v>98201.635613460749</v>
      </c>
      <c r="L32" s="254">
        <f t="shared" si="24"/>
        <v>108952.30461513992</v>
      </c>
      <c r="M32" s="262">
        <f t="shared" si="24"/>
        <v>120814.74373900366</v>
      </c>
      <c r="N32" s="31"/>
    </row>
    <row r="33" spans="2:257" s="10" customFormat="1" ht="15.75" thickBot="1" x14ac:dyDescent="0.3">
      <c r="B33" s="250" t="s">
        <v>304</v>
      </c>
      <c r="C33" s="244"/>
      <c r="D33" s="245">
        <f>D31-D32</f>
        <v>195345.24615605673</v>
      </c>
      <c r="E33" s="251">
        <f t="shared" ref="E33:M33" si="25">E31-E32</f>
        <v>225682.84663113428</v>
      </c>
      <c r="F33" s="251">
        <f t="shared" si="25"/>
        <v>259314.86709121964</v>
      </c>
      <c r="G33" s="251">
        <f t="shared" si="25"/>
        <v>296465.29115043848</v>
      </c>
      <c r="H33" s="251">
        <f t="shared" si="25"/>
        <v>337493.71924636036</v>
      </c>
      <c r="I33" s="251">
        <f t="shared" si="25"/>
        <v>382796.09986419481</v>
      </c>
      <c r="J33" s="251">
        <f t="shared" si="25"/>
        <v>501273.77441980137</v>
      </c>
      <c r="K33" s="251">
        <f t="shared" si="25"/>
        <v>556475.93514294422</v>
      </c>
      <c r="L33" s="251">
        <f t="shared" si="25"/>
        <v>617396.39281912614</v>
      </c>
      <c r="M33" s="252">
        <f t="shared" si="25"/>
        <v>684616.88118768751</v>
      </c>
      <c r="N33" s="31"/>
    </row>
    <row r="34" spans="2:257" s="10" customFormat="1" ht="15.75" thickBot="1" x14ac:dyDescent="0.3">
      <c r="B34" s="253" t="s">
        <v>303</v>
      </c>
      <c r="C34" s="235"/>
      <c r="D34" s="254">
        <f>D33*0.23</f>
        <v>44929.406615893051</v>
      </c>
      <c r="E34" s="254">
        <f>E33*0.22</f>
        <v>49650.226258849543</v>
      </c>
      <c r="F34" s="254">
        <f t="shared" ref="F34:M34" si="26">F33*0.22</f>
        <v>57049.270760068321</v>
      </c>
      <c r="G34" s="254">
        <f t="shared" si="26"/>
        <v>65222.364053096469</v>
      </c>
      <c r="H34" s="254">
        <f t="shared" si="26"/>
        <v>74248.618234199283</v>
      </c>
      <c r="I34" s="254">
        <f t="shared" si="26"/>
        <v>84215.141970122859</v>
      </c>
      <c r="J34" s="254">
        <f t="shared" si="26"/>
        <v>110280.23037235629</v>
      </c>
      <c r="K34" s="254">
        <f t="shared" si="26"/>
        <v>122424.70573144773</v>
      </c>
      <c r="L34" s="254">
        <f t="shared" si="26"/>
        <v>135827.20642020775</v>
      </c>
      <c r="M34" s="262">
        <f t="shared" si="26"/>
        <v>150615.71386129127</v>
      </c>
      <c r="N34" s="258"/>
    </row>
    <row r="35" spans="2:257" s="10" customFormat="1" ht="15.75" thickBot="1" x14ac:dyDescent="0.3">
      <c r="B35" s="250" t="s">
        <v>305</v>
      </c>
      <c r="C35" s="244"/>
      <c r="D35" s="245">
        <f>D33-D34</f>
        <v>150415.8395401637</v>
      </c>
      <c r="E35" s="251">
        <f t="shared" ref="E35:M35" si="27">E33-E34</f>
        <v>176032.62037228473</v>
      </c>
      <c r="F35" s="251">
        <f t="shared" si="27"/>
        <v>202265.59633115132</v>
      </c>
      <c r="G35" s="251">
        <f t="shared" si="27"/>
        <v>231242.92709734201</v>
      </c>
      <c r="H35" s="251">
        <f t="shared" si="27"/>
        <v>263245.10101216106</v>
      </c>
      <c r="I35" s="251">
        <f t="shared" si="27"/>
        <v>298580.95789407194</v>
      </c>
      <c r="J35" s="251">
        <f t="shared" si="27"/>
        <v>390993.54404744506</v>
      </c>
      <c r="K35" s="251">
        <f t="shared" si="27"/>
        <v>434051.22941149649</v>
      </c>
      <c r="L35" s="251">
        <f t="shared" si="27"/>
        <v>481569.18639891839</v>
      </c>
      <c r="M35" s="252">
        <f t="shared" si="27"/>
        <v>534001.16732639621</v>
      </c>
    </row>
    <row r="36" spans="2:257" s="10" customFormat="1" x14ac:dyDescent="0.25">
      <c r="B36" s="249" t="s">
        <v>96</v>
      </c>
      <c r="C36" s="235"/>
      <c r="D36" s="242">
        <f>D28</f>
        <v>13096.066666666666</v>
      </c>
      <c r="E36" s="242">
        <f t="shared" ref="E36:M36" si="28">E28</f>
        <v>13096.066666666666</v>
      </c>
      <c r="F36" s="242">
        <f t="shared" si="28"/>
        <v>13096.066666666666</v>
      </c>
      <c r="G36" s="242">
        <f t="shared" si="28"/>
        <v>13096.066666666666</v>
      </c>
      <c r="H36" s="242">
        <f t="shared" si="28"/>
        <v>13096.066666666666</v>
      </c>
      <c r="I36" s="242">
        <f t="shared" si="28"/>
        <v>13096.066666666666</v>
      </c>
      <c r="J36" s="242">
        <f t="shared" si="28"/>
        <v>13096.066666666666</v>
      </c>
      <c r="K36" s="242">
        <f t="shared" si="28"/>
        <v>13096.066666666666</v>
      </c>
      <c r="L36" s="242">
        <f t="shared" si="28"/>
        <v>13096.066666666666</v>
      </c>
      <c r="M36" s="242">
        <f t="shared" si="28"/>
        <v>13096.066666666666</v>
      </c>
    </row>
    <row r="37" spans="2:257" s="10" customFormat="1" x14ac:dyDescent="0.25">
      <c r="B37" s="249" t="s">
        <v>101</v>
      </c>
      <c r="C37" s="235"/>
      <c r="D37" s="239">
        <f>D29</f>
        <v>80017.94554661226</v>
      </c>
      <c r="E37" s="239">
        <f t="shared" ref="E37:M37" si="29">E29</f>
        <v>80105.96528671353</v>
      </c>
      <c r="F37" s="239">
        <f t="shared" si="29"/>
        <v>80194.08184852892</v>
      </c>
      <c r="G37" s="239">
        <f t="shared" si="29"/>
        <v>80282.295338562297</v>
      </c>
      <c r="H37" s="239">
        <f t="shared" si="29"/>
        <v>80370.605863434714</v>
      </c>
      <c r="I37" s="239">
        <f t="shared" si="29"/>
        <v>80459.013529884498</v>
      </c>
      <c r="J37" s="239">
        <f t="shared" si="29"/>
        <v>0</v>
      </c>
      <c r="K37" s="239">
        <f t="shared" si="29"/>
        <v>0</v>
      </c>
      <c r="L37" s="239">
        <f t="shared" si="29"/>
        <v>0</v>
      </c>
      <c r="M37" s="240">
        <f t="shared" si="29"/>
        <v>0</v>
      </c>
    </row>
    <row r="38" spans="2:257" s="10" customFormat="1" x14ac:dyDescent="0.25">
      <c r="B38" s="383" t="s">
        <v>332</v>
      </c>
      <c r="C38" s="384">
        <f>Financiamiento!$C$3</f>
        <v>799195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55"/>
    </row>
    <row r="39" spans="2:257" s="10" customFormat="1" x14ac:dyDescent="0.25">
      <c r="B39" s="382" t="s">
        <v>334</v>
      </c>
      <c r="C39" s="384">
        <f>Financiamiento!$C$4</f>
        <v>3000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62"/>
    </row>
    <row r="40" spans="2:257" s="10" customFormat="1" x14ac:dyDescent="0.25">
      <c r="B40" s="266" t="s">
        <v>329</v>
      </c>
      <c r="C40" s="256">
        <f>Financiamiento!$C$5</f>
        <v>267649.23869728355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61"/>
    </row>
    <row r="41" spans="2:257" s="10" customFormat="1" x14ac:dyDescent="0.25">
      <c r="B41" s="253" t="s">
        <v>194</v>
      </c>
      <c r="C41" s="256">
        <f>Financiamiento!$C$8</f>
        <v>481429.90741377755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6"/>
    </row>
    <row r="42" spans="2:257" s="10" customFormat="1" x14ac:dyDescent="0.25">
      <c r="B42" s="266" t="s">
        <v>308</v>
      </c>
      <c r="C42" s="242"/>
      <c r="D42" s="242"/>
      <c r="E42" s="241"/>
      <c r="F42" s="241"/>
      <c r="G42" s="241"/>
      <c r="H42" s="241"/>
      <c r="I42" s="241"/>
      <c r="J42" s="241"/>
      <c r="K42" s="241"/>
      <c r="L42" s="241"/>
      <c r="M42" s="261">
        <f>Financiamiento!$C$5</f>
        <v>267649.23869728355</v>
      </c>
    </row>
    <row r="43" spans="2:257" s="13" customFormat="1" ht="15.75" thickBot="1" x14ac:dyDescent="0.3">
      <c r="B43" s="267" t="s">
        <v>306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>
        <f>'Depreciación y Valor de Desecho'!$H$10</f>
        <v>720000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2:257" s="10" customFormat="1" ht="15.75" thickBot="1" x14ac:dyDescent="0.3">
      <c r="B44" s="265" t="s">
        <v>97</v>
      </c>
      <c r="C44" s="245">
        <f>-C38-C39-C40+C41</f>
        <v>-588414.33128350589</v>
      </c>
      <c r="D44" s="251">
        <f t="shared" ref="D44:M44" si="30">D35+D36+D37+D42+D43</f>
        <v>243529.85175344261</v>
      </c>
      <c r="E44" s="251">
        <f t="shared" si="30"/>
        <v>269234.65232566488</v>
      </c>
      <c r="F44" s="251">
        <f t="shared" si="30"/>
        <v>295555.7448463469</v>
      </c>
      <c r="G44" s="251">
        <f t="shared" si="30"/>
        <v>324621.28910257097</v>
      </c>
      <c r="H44" s="251">
        <f t="shared" si="30"/>
        <v>356711.77354226244</v>
      </c>
      <c r="I44" s="251">
        <f t="shared" si="30"/>
        <v>392136.0380906231</v>
      </c>
      <c r="J44" s="251">
        <f t="shared" si="30"/>
        <v>404089.61071411171</v>
      </c>
      <c r="K44" s="251">
        <f t="shared" si="30"/>
        <v>447147.29607816314</v>
      </c>
      <c r="L44" s="251">
        <f t="shared" si="30"/>
        <v>494665.25306558504</v>
      </c>
      <c r="M44" s="252">
        <f t="shared" si="30"/>
        <v>1534746.4726903464</v>
      </c>
    </row>
    <row r="45" spans="2:257" s="10" customFormat="1" ht="15.75" thickBot="1" x14ac:dyDescent="0.3">
      <c r="B45" s="263" t="s">
        <v>102</v>
      </c>
      <c r="C45" s="264">
        <f>NPV(C48,D44:M44)+C44</f>
        <v>522701.69891182694</v>
      </c>
    </row>
    <row r="46" spans="2:257" s="10" customFormat="1" ht="15.75" thickBot="1" x14ac:dyDescent="0.3">
      <c r="D46" s="36"/>
    </row>
    <row r="47" spans="2:257" s="10" customFormat="1" ht="15.75" thickBot="1" x14ac:dyDescent="0.3">
      <c r="C47" s="399" t="s">
        <v>103</v>
      </c>
      <c r="E47" s="400" t="s">
        <v>170</v>
      </c>
    </row>
    <row r="48" spans="2:257" s="10" customFormat="1" ht="15.75" thickBot="1" x14ac:dyDescent="0.3">
      <c r="C48" s="229">
        <f>'Cálculo TMAR'!$C$19</f>
        <v>0.28388233202605967</v>
      </c>
      <c r="E48" s="228">
        <f>IRR(C44:M44)</f>
        <v>0.50538405072210124</v>
      </c>
    </row>
    <row r="49" s="10" customFormat="1" x14ac:dyDescent="0.25"/>
  </sheetData>
  <mergeCells count="2">
    <mergeCell ref="B2:M2"/>
    <mergeCell ref="B20:M2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Inversión</vt:lpstr>
      <vt:lpstr>Financiamiento</vt:lpstr>
      <vt:lpstr>Ingresos</vt:lpstr>
      <vt:lpstr>Costos</vt:lpstr>
      <vt:lpstr>Capital de Trabajo</vt:lpstr>
      <vt:lpstr>Depreciación y Valor de Desecho</vt:lpstr>
      <vt:lpstr>Cálculo TMAR</vt:lpstr>
      <vt:lpstr>Payback </vt:lpstr>
      <vt:lpstr>E. de Resultados y F. de Efect.</vt:lpstr>
      <vt:lpstr>Sensibilidad</vt:lpstr>
      <vt:lpstr>sensibilidad calculo</vt:lpstr>
      <vt:lpstr>sensibilidad calculo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COMPUCELL</dc:creator>
  <cp:lastModifiedBy>Luisa, Eliana, Natasha</cp:lastModifiedBy>
  <dcterms:created xsi:type="dcterms:W3CDTF">2012-01-15T20:58:55Z</dcterms:created>
  <dcterms:modified xsi:type="dcterms:W3CDTF">2012-02-23T15:48:50Z</dcterms:modified>
</cp:coreProperties>
</file>