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8115" windowHeight="7935" tabRatio="668"/>
  </bookViews>
  <sheets>
    <sheet name="FLUJO DE CAJA" sheetId="4" r:id="rId1"/>
    <sheet name="PRESTAMO" sheetId="2" r:id="rId2"/>
    <sheet name="DEPRECIACION" sheetId="3" r:id="rId3"/>
    <sheet name="COSTOS VARIABLES" sheetId="5" r:id="rId4"/>
    <sheet name="INGRESOS MENSUALES 2013" sheetId="6" r:id="rId5"/>
    <sheet name="CAPITAL DE TRABAJO" sheetId="7" r:id="rId6"/>
    <sheet name="PUNTO DE EQULIBRIO" sheetId="8" r:id="rId7"/>
  </sheets>
  <externalReferences>
    <externalReference r:id="rId8"/>
  </externalReferences>
  <definedNames>
    <definedName name="OLE_LINK1" localSheetId="0">'FLUJO DE CAJA'!#REF!</definedName>
  </definedNames>
  <calcPr calcId="125725"/>
</workbook>
</file>

<file path=xl/calcChain.xml><?xml version="1.0" encoding="utf-8"?>
<calcChain xmlns="http://schemas.openxmlformats.org/spreadsheetml/2006/main">
  <c r="M64" i="4"/>
  <c r="L64"/>
  <c r="K64"/>
  <c r="J64"/>
  <c r="I64"/>
  <c r="H64"/>
  <c r="G64"/>
  <c r="F64"/>
  <c r="E64"/>
  <c r="D64"/>
  <c r="C71" l="1"/>
  <c r="C44" i="3" l="1"/>
  <c r="D60" i="4" l="1"/>
  <c r="E60"/>
  <c r="F60"/>
  <c r="G60"/>
  <c r="H60"/>
  <c r="I60"/>
  <c r="J60"/>
  <c r="K60"/>
  <c r="L60"/>
  <c r="M60"/>
  <c r="I15" i="8"/>
  <c r="J15" s="1"/>
  <c r="H2"/>
  <c r="F29" i="6"/>
  <c r="I9"/>
  <c r="I8"/>
  <c r="I7"/>
  <c r="I6"/>
  <c r="I5"/>
  <c r="F20" i="5" l="1"/>
  <c r="I6" i="2" l="1"/>
  <c r="F4"/>
  <c r="C72" i="4" s="1"/>
  <c r="C20" i="8"/>
  <c r="D9" s="1"/>
  <c r="C4" i="4"/>
  <c r="C5" s="1"/>
  <c r="D3"/>
  <c r="E3" s="1"/>
  <c r="D11" i="8" l="1"/>
  <c r="D13"/>
  <c r="G13" s="1"/>
  <c r="D4" i="4"/>
  <c r="E4" s="1"/>
  <c r="H4" s="1"/>
  <c r="I4" s="1"/>
  <c r="C6"/>
  <c r="D5"/>
  <c r="E5" s="1"/>
  <c r="H3"/>
  <c r="I3" s="1"/>
  <c r="F3"/>
  <c r="G3" s="1"/>
  <c r="J3" s="1"/>
  <c r="K3" s="1"/>
  <c r="M3" s="1"/>
  <c r="D21" s="1"/>
  <c r="D49" s="1"/>
  <c r="E21" l="1"/>
  <c r="F21" s="1"/>
  <c r="G21" s="1"/>
  <c r="H21" s="1"/>
  <c r="I21" s="1"/>
  <c r="J21" s="1"/>
  <c r="K21" s="1"/>
  <c r="L21" s="1"/>
  <c r="M21" s="1"/>
  <c r="C9" i="5"/>
  <c r="F4" i="4"/>
  <c r="G4" s="1"/>
  <c r="J4" s="1"/>
  <c r="G12" i="8"/>
  <c r="G11"/>
  <c r="N3" i="4"/>
  <c r="O3" s="1"/>
  <c r="D22" s="1"/>
  <c r="E22" s="1"/>
  <c r="F22" s="1"/>
  <c r="G22" s="1"/>
  <c r="H22" s="1"/>
  <c r="I22" s="1"/>
  <c r="J22" s="1"/>
  <c r="K22" s="1"/>
  <c r="L22" s="1"/>
  <c r="M22" s="1"/>
  <c r="G10" i="8"/>
  <c r="G9"/>
  <c r="C7" i="4"/>
  <c r="D6"/>
  <c r="E6" s="1"/>
  <c r="H5"/>
  <c r="I5" s="1"/>
  <c r="F5"/>
  <c r="G5" s="1"/>
  <c r="M4" l="1"/>
  <c r="K4"/>
  <c r="D53"/>
  <c r="G14" i="8"/>
  <c r="P4" i="4"/>
  <c r="Q4" s="1"/>
  <c r="N4"/>
  <c r="O4" s="1"/>
  <c r="C8"/>
  <c r="D7"/>
  <c r="E7" s="1"/>
  <c r="P3"/>
  <c r="Q3" s="1"/>
  <c r="H6"/>
  <c r="I6" s="1"/>
  <c r="F6"/>
  <c r="G6" s="1"/>
  <c r="J5"/>
  <c r="K5" s="1"/>
  <c r="J6" l="1"/>
  <c r="K6" s="1"/>
  <c r="P6" s="1"/>
  <c r="Q6" s="1"/>
  <c r="E49"/>
  <c r="E50"/>
  <c r="D23"/>
  <c r="E23" s="1"/>
  <c r="F23" s="1"/>
  <c r="G23" s="1"/>
  <c r="H23" s="1"/>
  <c r="I23" s="1"/>
  <c r="J23" s="1"/>
  <c r="K23" s="1"/>
  <c r="L23" s="1"/>
  <c r="M23" s="1"/>
  <c r="C9"/>
  <c r="D8"/>
  <c r="E8" s="1"/>
  <c r="P5"/>
  <c r="Q5" s="1"/>
  <c r="N5"/>
  <c r="O5" s="1"/>
  <c r="M5"/>
  <c r="H7"/>
  <c r="I7" s="1"/>
  <c r="F7"/>
  <c r="G7" s="1"/>
  <c r="N6" l="1"/>
  <c r="O6" s="1"/>
  <c r="M6"/>
  <c r="D58"/>
  <c r="D55"/>
  <c r="F49"/>
  <c r="F50"/>
  <c r="D9" i="5"/>
  <c r="D10"/>
  <c r="D11"/>
  <c r="D12"/>
  <c r="D13"/>
  <c r="D14"/>
  <c r="D15"/>
  <c r="D16"/>
  <c r="D17"/>
  <c r="D18"/>
  <c r="D19"/>
  <c r="D8"/>
  <c r="D18" i="6"/>
  <c r="D19"/>
  <c r="D20"/>
  <c r="D21"/>
  <c r="D22"/>
  <c r="D23"/>
  <c r="D24"/>
  <c r="D25"/>
  <c r="D26"/>
  <c r="D27"/>
  <c r="D28"/>
  <c r="D17"/>
  <c r="D54" i="4"/>
  <c r="E19" i="5"/>
  <c r="L19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8" i="6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17"/>
  <c r="L17" s="1"/>
  <c r="E8" i="5"/>
  <c r="C18" i="6"/>
  <c r="C19"/>
  <c r="C20"/>
  <c r="C21"/>
  <c r="C22"/>
  <c r="C23"/>
  <c r="C24"/>
  <c r="C25"/>
  <c r="C26"/>
  <c r="C27"/>
  <c r="C28"/>
  <c r="C17"/>
  <c r="C10" i="5"/>
  <c r="C11"/>
  <c r="C12"/>
  <c r="C13"/>
  <c r="C14"/>
  <c r="C15"/>
  <c r="C16"/>
  <c r="C17"/>
  <c r="C18"/>
  <c r="C19"/>
  <c r="C8"/>
  <c r="J7" i="4"/>
  <c r="E53"/>
  <c r="E58"/>
  <c r="E54"/>
  <c r="H8"/>
  <c r="I8" s="1"/>
  <c r="F8"/>
  <c r="G8" s="1"/>
  <c r="D51"/>
  <c r="E55"/>
  <c r="D50"/>
  <c r="C10"/>
  <c r="D9"/>
  <c r="E9" s="1"/>
  <c r="P7" l="1"/>
  <c r="Q7" s="1"/>
  <c r="K7"/>
  <c r="M9" i="5"/>
  <c r="D25" i="7" s="1"/>
  <c r="D52" i="4"/>
  <c r="E51"/>
  <c r="E52" s="1"/>
  <c r="E56" s="1"/>
  <c r="H9" i="5"/>
  <c r="I9"/>
  <c r="M19"/>
  <c r="N25" i="7" s="1"/>
  <c r="M17" i="5"/>
  <c r="L25" i="7" s="1"/>
  <c r="M15" i="5"/>
  <c r="J25" i="7" s="1"/>
  <c r="M13" i="5"/>
  <c r="H25" i="7" s="1"/>
  <c r="M11" i="5"/>
  <c r="F25" i="7" s="1"/>
  <c r="M8" i="5"/>
  <c r="M18"/>
  <c r="M25" i="7" s="1"/>
  <c r="M16" i="5"/>
  <c r="K25" i="7" s="1"/>
  <c r="M14" i="5"/>
  <c r="I25" i="7" s="1"/>
  <c r="M12" i="5"/>
  <c r="G25" i="7" s="1"/>
  <c r="M10" i="5"/>
  <c r="E25" i="7" s="1"/>
  <c r="M7" i="4"/>
  <c r="N7"/>
  <c r="O7" s="1"/>
  <c r="G49"/>
  <c r="G50"/>
  <c r="F51"/>
  <c r="I8" i="5"/>
  <c r="H8"/>
  <c r="C20"/>
  <c r="G8"/>
  <c r="G9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H17" i="6"/>
  <c r="I17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L8" i="5"/>
  <c r="L20" s="1"/>
  <c r="E20"/>
  <c r="K28" i="6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8" i="5"/>
  <c r="J8"/>
  <c r="D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G58" i="4"/>
  <c r="G54"/>
  <c r="C11"/>
  <c r="D10"/>
  <c r="E10" s="1"/>
  <c r="F55"/>
  <c r="G55"/>
  <c r="H9"/>
  <c r="I9" s="1"/>
  <c r="F9"/>
  <c r="G9" s="1"/>
  <c r="F53"/>
  <c r="G53"/>
  <c r="F58"/>
  <c r="F54"/>
  <c r="D56"/>
  <c r="J8"/>
  <c r="K8" s="1"/>
  <c r="N9" i="5" l="1"/>
  <c r="Q19" i="7" s="1"/>
  <c r="D23" s="1"/>
  <c r="H49" i="4"/>
  <c r="G51"/>
  <c r="G52" s="1"/>
  <c r="G56" s="1"/>
  <c r="H50"/>
  <c r="O19" i="5"/>
  <c r="N24" i="7" s="1"/>
  <c r="O9" i="5"/>
  <c r="D24" i="7" s="1"/>
  <c r="O10" i="5"/>
  <c r="E24" i="7" s="1"/>
  <c r="O11" i="5"/>
  <c r="F24" i="7" s="1"/>
  <c r="O12" i="5"/>
  <c r="G24" i="7" s="1"/>
  <c r="O13" i="5"/>
  <c r="H24" i="7" s="1"/>
  <c r="O14" i="5"/>
  <c r="I24" i="7" s="1"/>
  <c r="O15" i="5"/>
  <c r="J24" i="7" s="1"/>
  <c r="O16" i="5"/>
  <c r="K24" i="7" s="1"/>
  <c r="O17" i="5"/>
  <c r="L24" i="7" s="1"/>
  <c r="O18" i="5"/>
  <c r="M24" i="7" s="1"/>
  <c r="O8" i="5"/>
  <c r="C25" i="7"/>
  <c r="M20" i="5"/>
  <c r="H20"/>
  <c r="N8"/>
  <c r="J20"/>
  <c r="K20"/>
  <c r="M18" i="6"/>
  <c r="D10" i="7" s="1"/>
  <c r="M19" i="6"/>
  <c r="E10" i="7" s="1"/>
  <c r="M20" i="6"/>
  <c r="F10" i="7" s="1"/>
  <c r="M21" i="6"/>
  <c r="G10" i="7" s="1"/>
  <c r="M22" i="6"/>
  <c r="H10" i="7" s="1"/>
  <c r="M23" i="6"/>
  <c r="I10" i="7" s="1"/>
  <c r="M24" i="6"/>
  <c r="J10" i="7" s="1"/>
  <c r="M25" i="6"/>
  <c r="K10" i="7" s="1"/>
  <c r="M26" i="6"/>
  <c r="L10" i="7" s="1"/>
  <c r="M27" i="6"/>
  <c r="M10" i="7" s="1"/>
  <c r="M11" s="1"/>
  <c r="M28" i="6"/>
  <c r="N10" i="7" s="1"/>
  <c r="N11" s="1"/>
  <c r="N10" i="5"/>
  <c r="Q20" i="7" s="1"/>
  <c r="E23" s="1"/>
  <c r="N11" i="5"/>
  <c r="Q21" i="7" s="1"/>
  <c r="F23" s="1"/>
  <c r="N12" i="5"/>
  <c r="Q22" i="7" s="1"/>
  <c r="G23" s="1"/>
  <c r="N13" i="5"/>
  <c r="Q23" i="7" s="1"/>
  <c r="H23" s="1"/>
  <c r="N14" i="5"/>
  <c r="Q24" i="7" s="1"/>
  <c r="I23" s="1"/>
  <c r="N15" i="5"/>
  <c r="Q25" i="7" s="1"/>
  <c r="J23" s="1"/>
  <c r="N16" i="5"/>
  <c r="Q26" i="7" s="1"/>
  <c r="K23" s="1"/>
  <c r="N17" i="5"/>
  <c r="Q27" i="7" s="1"/>
  <c r="L23" s="1"/>
  <c r="N18" i="5"/>
  <c r="Q28" i="7" s="1"/>
  <c r="M23" s="1"/>
  <c r="N19" i="5"/>
  <c r="Q29" i="7" s="1"/>
  <c r="N23" s="1"/>
  <c r="G20" i="5"/>
  <c r="I20"/>
  <c r="F52" i="4"/>
  <c r="F56" s="1"/>
  <c r="J9"/>
  <c r="K9" s="1"/>
  <c r="H53"/>
  <c r="H10"/>
  <c r="I10" s="1"/>
  <c r="F10"/>
  <c r="G10" s="1"/>
  <c r="P8"/>
  <c r="Q8" s="1"/>
  <c r="N8"/>
  <c r="O8" s="1"/>
  <c r="M8"/>
  <c r="H55"/>
  <c r="H58"/>
  <c r="H54"/>
  <c r="C12"/>
  <c r="D12" s="1"/>
  <c r="E12" s="1"/>
  <c r="D11"/>
  <c r="E11" s="1"/>
  <c r="P8" i="5" l="1"/>
  <c r="Q18" i="7"/>
  <c r="C23" s="1"/>
  <c r="P17" i="5"/>
  <c r="P13"/>
  <c r="P9"/>
  <c r="P16"/>
  <c r="P12"/>
  <c r="P19"/>
  <c r="H21"/>
  <c r="P18"/>
  <c r="P14"/>
  <c r="P10"/>
  <c r="P15"/>
  <c r="P11"/>
  <c r="P9" i="4"/>
  <c r="Q9" s="1"/>
  <c r="I49"/>
  <c r="I50"/>
  <c r="H51"/>
  <c r="H52" s="1"/>
  <c r="H56" s="1"/>
  <c r="N12" i="7"/>
  <c r="N13" s="1"/>
  <c r="N22" s="1"/>
  <c r="N26" s="1"/>
  <c r="L11"/>
  <c r="K11"/>
  <c r="M12"/>
  <c r="M13" s="1"/>
  <c r="M22" s="1"/>
  <c r="M26" s="1"/>
  <c r="J11"/>
  <c r="L12"/>
  <c r="K12"/>
  <c r="I11"/>
  <c r="J12"/>
  <c r="H11"/>
  <c r="G11"/>
  <c r="I12"/>
  <c r="H12"/>
  <c r="F11"/>
  <c r="G12"/>
  <c r="E11"/>
  <c r="E13" s="1"/>
  <c r="E22" s="1"/>
  <c r="E26" s="1"/>
  <c r="F12"/>
  <c r="D11"/>
  <c r="D13" s="1"/>
  <c r="D22" s="1"/>
  <c r="D26" s="1"/>
  <c r="N20" i="5"/>
  <c r="C24" i="7"/>
  <c r="O20" i="5"/>
  <c r="J21"/>
  <c r="J10" i="4"/>
  <c r="K10" s="1"/>
  <c r="H12"/>
  <c r="I12" s="1"/>
  <c r="F12"/>
  <c r="G12" s="1"/>
  <c r="H11"/>
  <c r="I11" s="1"/>
  <c r="F11"/>
  <c r="G11" s="1"/>
  <c r="K13" i="7" l="1"/>
  <c r="K22" s="1"/>
  <c r="K26" s="1"/>
  <c r="C26"/>
  <c r="C27" s="1"/>
  <c r="D27" s="1"/>
  <c r="N9" i="4"/>
  <c r="O9" s="1"/>
  <c r="M9"/>
  <c r="P20" i="5"/>
  <c r="J49" i="4"/>
  <c r="N10"/>
  <c r="O10" s="1"/>
  <c r="J58"/>
  <c r="I51"/>
  <c r="J50"/>
  <c r="F13" i="7"/>
  <c r="F22" s="1"/>
  <c r="F26" s="1"/>
  <c r="G13"/>
  <c r="G22" s="1"/>
  <c r="G26" s="1"/>
  <c r="H13"/>
  <c r="H22" s="1"/>
  <c r="H26" s="1"/>
  <c r="I13"/>
  <c r="I22" s="1"/>
  <c r="I26" s="1"/>
  <c r="J13"/>
  <c r="J22" s="1"/>
  <c r="J26" s="1"/>
  <c r="L13"/>
  <c r="L22" s="1"/>
  <c r="L26" s="1"/>
  <c r="M10" i="4"/>
  <c r="J12"/>
  <c r="J11"/>
  <c r="K11" s="1"/>
  <c r="J53"/>
  <c r="I55"/>
  <c r="I53"/>
  <c r="J54"/>
  <c r="I58"/>
  <c r="I54"/>
  <c r="K12" l="1"/>
  <c r="N12" s="1"/>
  <c r="O12" s="1"/>
  <c r="E27" i="7"/>
  <c r="F27" s="1"/>
  <c r="G27" s="1"/>
  <c r="P10" i="4"/>
  <c r="Q10" s="1"/>
  <c r="J55"/>
  <c r="P12"/>
  <c r="Q12" s="1"/>
  <c r="K49"/>
  <c r="K50"/>
  <c r="K54"/>
  <c r="J51"/>
  <c r="J52" s="1"/>
  <c r="J56" s="1"/>
  <c r="I52"/>
  <c r="I56" s="1"/>
  <c r="K58"/>
  <c r="K55"/>
  <c r="K53"/>
  <c r="M12" l="1"/>
  <c r="H27" i="7"/>
  <c r="I27" s="1"/>
  <c r="J27" s="1"/>
  <c r="K27" s="1"/>
  <c r="L27" s="1"/>
  <c r="M27" s="1"/>
  <c r="N27" s="1"/>
  <c r="C74" i="4"/>
  <c r="C83" s="1"/>
  <c r="E83" s="1"/>
  <c r="M11"/>
  <c r="P11"/>
  <c r="Q11" s="1"/>
  <c r="L49"/>
  <c r="N11"/>
  <c r="O11" s="1"/>
  <c r="L55"/>
  <c r="K51"/>
  <c r="K52" s="1"/>
  <c r="K56" s="1"/>
  <c r="L50"/>
  <c r="L54"/>
  <c r="L53"/>
  <c r="L58" l="1"/>
  <c r="M49"/>
  <c r="M53"/>
  <c r="M50"/>
  <c r="M54"/>
  <c r="L51"/>
  <c r="L52" s="1"/>
  <c r="L56" s="1"/>
  <c r="M51" l="1"/>
  <c r="M52" s="1"/>
  <c r="M56" s="1"/>
  <c r="M58"/>
  <c r="M55"/>
  <c r="D5" i="2" l="1"/>
  <c r="D57" i="4" s="1"/>
  <c r="D59" l="1"/>
  <c r="D61" s="1"/>
  <c r="D63" s="1"/>
  <c r="C5" i="2"/>
  <c r="E5" s="1"/>
  <c r="D73" i="4" s="1"/>
  <c r="D65" s="1"/>
  <c r="C6" i="2"/>
  <c r="C7"/>
  <c r="C8"/>
  <c r="C9"/>
  <c r="C10"/>
  <c r="C11"/>
  <c r="C12"/>
  <c r="C13"/>
  <c r="C14"/>
  <c r="D43" i="3"/>
  <c r="D42"/>
  <c r="D41"/>
  <c r="D40"/>
  <c r="D39"/>
  <c r="D38"/>
  <c r="D37"/>
  <c r="D36"/>
  <c r="D30"/>
  <c r="C30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E9"/>
  <c r="H9" s="1"/>
  <c r="E8"/>
  <c r="E7"/>
  <c r="H7" s="1"/>
  <c r="E6"/>
  <c r="H6" s="1"/>
  <c r="D5"/>
  <c r="E5" s="1"/>
  <c r="E10" s="1"/>
  <c r="D44" l="1"/>
  <c r="E30"/>
  <c r="F40" s="1"/>
  <c r="F5" i="2"/>
  <c r="H11" i="3"/>
  <c r="D6" i="2"/>
  <c r="F18" i="3"/>
  <c r="F30" s="1"/>
  <c r="E6" i="2" l="1"/>
  <c r="E73" i="4" s="1"/>
  <c r="E65" s="1"/>
  <c r="E57"/>
  <c r="E59" s="1"/>
  <c r="E61" s="1"/>
  <c r="E63" s="1"/>
  <c r="L69"/>
  <c r="H69"/>
  <c r="M69"/>
  <c r="J69"/>
  <c r="I69"/>
  <c r="G69"/>
  <c r="K69"/>
  <c r="F69" l="1"/>
  <c r="F6" i="2"/>
  <c r="D7" s="1"/>
  <c r="D66" i="4"/>
  <c r="D67" s="1"/>
  <c r="D68" s="1"/>
  <c r="E69"/>
  <c r="E66" l="1"/>
  <c r="E67" s="1"/>
  <c r="E68" s="1"/>
  <c r="E74" s="1"/>
  <c r="D69"/>
  <c r="D74" s="1"/>
  <c r="F57"/>
  <c r="F59" s="1"/>
  <c r="F61" s="1"/>
  <c r="F63" s="1"/>
  <c r="E7" i="2"/>
  <c r="F73" i="4" s="1"/>
  <c r="F65" s="1"/>
  <c r="F66" l="1"/>
  <c r="F67" s="1"/>
  <c r="F68" s="1"/>
  <c r="F74" s="1"/>
  <c r="D83"/>
  <c r="F83" s="1"/>
  <c r="C84" s="1"/>
  <c r="E84" s="1"/>
  <c r="D84"/>
  <c r="F7" i="2"/>
  <c r="D8" s="1"/>
  <c r="D85" i="4" l="1"/>
  <c r="F84"/>
  <c r="C85" s="1"/>
  <c r="E85" s="1"/>
  <c r="G57"/>
  <c r="G59" s="1"/>
  <c r="G61" s="1"/>
  <c r="G63" s="1"/>
  <c r="E8" i="2"/>
  <c r="G73" i="4" s="1"/>
  <c r="G65" s="1"/>
  <c r="F85" l="1"/>
  <c r="C86" s="1"/>
  <c r="E86" s="1"/>
  <c r="G66"/>
  <c r="G67" s="1"/>
  <c r="G68" s="1"/>
  <c r="G74" s="1"/>
  <c r="F8" i="2"/>
  <c r="D9" s="1"/>
  <c r="D86" i="4" l="1"/>
  <c r="F86" s="1"/>
  <c r="C87" s="1"/>
  <c r="E87" s="1"/>
  <c r="E9" i="2"/>
  <c r="H73" i="4" s="1"/>
  <c r="H65" s="1"/>
  <c r="H57"/>
  <c r="H59" s="1"/>
  <c r="H61" s="1"/>
  <c r="H63" s="1"/>
  <c r="H66" l="1"/>
  <c r="H67" s="1"/>
  <c r="H68" s="1"/>
  <c r="H74" s="1"/>
  <c r="F9" i="2"/>
  <c r="D10" s="1"/>
  <c r="D87" i="4" l="1"/>
  <c r="F87" s="1"/>
  <c r="C88" s="1"/>
  <c r="E88" s="1"/>
  <c r="E10" i="2"/>
  <c r="I73" i="4" s="1"/>
  <c r="I65" s="1"/>
  <c r="I57"/>
  <c r="I59" s="1"/>
  <c r="I61" s="1"/>
  <c r="I63" s="1"/>
  <c r="I66" l="1"/>
  <c r="I67" s="1"/>
  <c r="I68" s="1"/>
  <c r="I74" s="1"/>
  <c r="F10" i="2"/>
  <c r="D11" s="1"/>
  <c r="D88" i="4" l="1"/>
  <c r="F88" s="1"/>
  <c r="C89" s="1"/>
  <c r="E89" s="1"/>
  <c r="J57"/>
  <c r="J59" s="1"/>
  <c r="J61" s="1"/>
  <c r="J63" s="1"/>
  <c r="E11" i="2"/>
  <c r="J73" i="4" s="1"/>
  <c r="J65" s="1"/>
  <c r="J66" l="1"/>
  <c r="J67" s="1"/>
  <c r="J68" s="1"/>
  <c r="J74" s="1"/>
  <c r="F11" i="2"/>
  <c r="D12" s="1"/>
  <c r="D89" i="4" l="1"/>
  <c r="F89" s="1"/>
  <c r="C90" s="1"/>
  <c r="E90" s="1"/>
  <c r="K57"/>
  <c r="K59" s="1"/>
  <c r="K61" s="1"/>
  <c r="K63" s="1"/>
  <c r="E12" i="2"/>
  <c r="K73" i="4" s="1"/>
  <c r="K65" s="1"/>
  <c r="K66" l="1"/>
  <c r="K67" s="1"/>
  <c r="K68" s="1"/>
  <c r="K74" s="1"/>
  <c r="F12" i="2"/>
  <c r="D13" s="1"/>
  <c r="D90" i="4" l="1"/>
  <c r="F90" s="1"/>
  <c r="C91" s="1"/>
  <c r="E91" s="1"/>
  <c r="L57"/>
  <c r="L59" s="1"/>
  <c r="L61" s="1"/>
  <c r="L63" s="1"/>
  <c r="E13" i="2"/>
  <c r="L73" i="4" s="1"/>
  <c r="L65" s="1"/>
  <c r="L66" l="1"/>
  <c r="L67" s="1"/>
  <c r="L68" s="1"/>
  <c r="L74" s="1"/>
  <c r="F13" i="2"/>
  <c r="D14" s="1"/>
  <c r="D91" i="4" l="1"/>
  <c r="F91" s="1"/>
  <c r="C92" s="1"/>
  <c r="E92" s="1"/>
  <c r="M57"/>
  <c r="M59" s="1"/>
  <c r="M61" s="1"/>
  <c r="M63" s="1"/>
  <c r="E14" i="2"/>
  <c r="M73" i="4" s="1"/>
  <c r="M65" s="1"/>
  <c r="M66" l="1"/>
  <c r="M67" s="1"/>
  <c r="M68" s="1"/>
  <c r="M74" s="1"/>
  <c r="C75" s="1"/>
  <c r="F14" i="2"/>
  <c r="K17" i="6"/>
  <c r="G17"/>
  <c r="J17"/>
  <c r="M17" l="1"/>
  <c r="M29" s="1"/>
  <c r="C76" i="4"/>
  <c r="D92"/>
  <c r="F92" s="1"/>
  <c r="C10" i="7" l="1"/>
</calcChain>
</file>

<file path=xl/sharedStrings.xml><?xml version="1.0" encoding="utf-8"?>
<sst xmlns="http://schemas.openxmlformats.org/spreadsheetml/2006/main" count="279" uniqueCount="211">
  <si>
    <t>AÑO</t>
  </si>
  <si>
    <t>DEMANDA ANUAL DE ZAPATOS</t>
  </si>
  <si>
    <t>DEMANDA ANUAL DE CARTERAS</t>
  </si>
  <si>
    <t>DEMANDA ANUAL DE CINTURONES</t>
  </si>
  <si>
    <t>B</t>
  </si>
  <si>
    <t>OPCION DE TECNOLOGIA</t>
  </si>
  <si>
    <t>CAPACIDAD DE PRODUCCION</t>
  </si>
  <si>
    <t>COSTO FIJO ANUAL</t>
  </si>
  <si>
    <t>PRODUCTO: ZAPATOS</t>
  </si>
  <si>
    <t>PRODUCTO: CARTERAS</t>
  </si>
  <si>
    <t>PRODUCTO: CINTURONES</t>
  </si>
  <si>
    <t>PRECIO DE VENTA DE ZAPATOS</t>
  </si>
  <si>
    <t>PRECIO DE VENTA DE CARTERAS</t>
  </si>
  <si>
    <t>PRECIO DE VENTA DE CINTURONES</t>
  </si>
  <si>
    <t>INGRESOS POR ZAPATOS</t>
  </si>
  <si>
    <t>INGRESOS POR CARTERAS</t>
  </si>
  <si>
    <t>INGRESOS POR CINTURONES</t>
  </si>
  <si>
    <t>TOTAL INGRESOS</t>
  </si>
  <si>
    <t>COSTOS VARIABLES POR ZAPATOS</t>
  </si>
  <si>
    <t>COSTOS VARIABLES POR CARTERAS</t>
  </si>
  <si>
    <t>COSTOS VARIABLES POR CINTURONES</t>
  </si>
  <si>
    <t>TOTAL COSTOS VARIABLES</t>
  </si>
  <si>
    <t>TOTAL COSTOS</t>
  </si>
  <si>
    <t>AÑOS</t>
  </si>
  <si>
    <t>DEPRECIACION</t>
  </si>
  <si>
    <t>UTILIDAD ANTES DE IMPUESTOS</t>
  </si>
  <si>
    <t>IMPUESTOS DEL 25%</t>
  </si>
  <si>
    <t>UTILIDAD DESPUES DE IMPUESTOS</t>
  </si>
  <si>
    <t>FLUJO DE CAJA</t>
  </si>
  <si>
    <t>VAN</t>
  </si>
  <si>
    <t>OPCION B</t>
  </si>
  <si>
    <t xml:space="preserve">Cantidad de mujeres en las empresas promedio </t>
  </si>
  <si>
    <t>Cantidad de hombres en las empresas promedio</t>
  </si>
  <si>
    <t>hipóteca</t>
  </si>
  <si>
    <t>cooperativa 29 de octubre</t>
  </si>
  <si>
    <t>UTILIDAD BRUTA EN VENTAS</t>
  </si>
  <si>
    <t>GASTO SUELDOS</t>
  </si>
  <si>
    <t xml:space="preserve">INVERSIONES EN LA ORGANIZACIÓN </t>
  </si>
  <si>
    <t xml:space="preserve">ACTIVO </t>
  </si>
  <si>
    <t xml:space="preserve">PRECIO UNITARIO </t>
  </si>
  <si>
    <t xml:space="preserve">CANTIDAD </t>
  </si>
  <si>
    <t xml:space="preserve">TOTAL </t>
  </si>
  <si>
    <t xml:space="preserve">LINEA DE TELEFONO </t>
  </si>
  <si>
    <t>FURGONETAS</t>
  </si>
  <si>
    <t>MUEBLES Y ENSERES *</t>
  </si>
  <si>
    <t xml:space="preserve">PANELES DE DIVISON </t>
  </si>
  <si>
    <t>EQUIPOS DE OFICINA **</t>
  </si>
  <si>
    <t xml:space="preserve">TOTAL DE LA INVERSION INICIAL </t>
  </si>
  <si>
    <t>* Incluye: escritorios, anqueles, archivadores, sillas</t>
  </si>
  <si>
    <t>** Incluye: Computadoras, scaners, impresoras, aires acondicionado, telefonos.</t>
  </si>
  <si>
    <t xml:space="preserve">COSTOS FIJOS: Administrativos </t>
  </si>
  <si>
    <t xml:space="preserve">Sueldos del personal </t>
  </si>
  <si>
    <t xml:space="preserve">Personal </t>
  </si>
  <si>
    <t>Sueldo mensual</t>
  </si>
  <si>
    <t xml:space="preserve">No. De personas </t>
  </si>
  <si>
    <t xml:space="preserve">Gasto mensual </t>
  </si>
  <si>
    <t xml:space="preserve">Gasto anual </t>
  </si>
  <si>
    <t xml:space="preserve">Gerente General </t>
  </si>
  <si>
    <t xml:space="preserve">Gerente de Recursos Humanos </t>
  </si>
  <si>
    <t xml:space="preserve">Gerente de Marketing y Ventas </t>
  </si>
  <si>
    <t xml:space="preserve">Gerente Financiero </t>
  </si>
  <si>
    <t>Gerente de operaciones</t>
  </si>
  <si>
    <t xml:space="preserve">Jefe de Ventas </t>
  </si>
  <si>
    <t xml:space="preserve">Jefe de compras </t>
  </si>
  <si>
    <t>Diseñador</t>
  </si>
  <si>
    <t xml:space="preserve">Personal de trasporte y distribucion </t>
  </si>
  <si>
    <t xml:space="preserve">Personal de ventas </t>
  </si>
  <si>
    <t xml:space="preserve">Asistentes </t>
  </si>
  <si>
    <t xml:space="preserve">Personal de aseo </t>
  </si>
  <si>
    <t xml:space="preserve">Total </t>
  </si>
  <si>
    <t>COSTOS FIJOS</t>
  </si>
  <si>
    <t xml:space="preserve">Concepto </t>
  </si>
  <si>
    <t xml:space="preserve">Costo mensual </t>
  </si>
  <si>
    <t xml:space="preserve">Costo anual </t>
  </si>
  <si>
    <t xml:space="preserve">Electricidad </t>
  </si>
  <si>
    <t xml:space="preserve">Telefono </t>
  </si>
  <si>
    <t xml:space="preserve">Agua </t>
  </si>
  <si>
    <t xml:space="preserve">Suministros de Oficina </t>
  </si>
  <si>
    <t>Alquiler del edificio</t>
  </si>
  <si>
    <t xml:space="preserve">Alquiler de bodega </t>
  </si>
  <si>
    <t xml:space="preserve">Gasolina y mantenimiento de los vehiculos </t>
  </si>
  <si>
    <t>Aseo</t>
  </si>
  <si>
    <t>% DE DEPRECIACION</t>
  </si>
  <si>
    <t>CUOTA</t>
  </si>
  <si>
    <t>INTERES</t>
  </si>
  <si>
    <t>AMORTIZACION</t>
  </si>
  <si>
    <t>TASA DE INTERES</t>
  </si>
  <si>
    <t>VIDA UTIL</t>
  </si>
  <si>
    <t>DEPRECIACION ANUAL</t>
  </si>
  <si>
    <t>TOTAL DEPRECIACION</t>
  </si>
  <si>
    <t>CUMPLE CON LOS REQUISITOS DE NUESTRO MERCADO-GUAYAQUIL</t>
  </si>
  <si>
    <t>CUMPLEN CON TENER MÁS DE 50 EMPLEADOS</t>
  </si>
  <si>
    <t>EMPRESAS QUE POSEEN ESTE SISTEMA</t>
  </si>
  <si>
    <t xml:space="preserve">EMPRESAS DISPUESTAS A CAMBIARSE </t>
  </si>
  <si>
    <t xml:space="preserve">EMPRESAS QUE NO POSEEN </t>
  </si>
  <si>
    <t xml:space="preserve">EMPRESAS DISPUESTAS A IMPLEMENTARLAS </t>
  </si>
  <si>
    <t>TOTAL DE DEMANDA POTENCIAL</t>
  </si>
  <si>
    <t>CANTIDAD QUE SE ESPERA CUBRIR</t>
  </si>
  <si>
    <t>CANTIDAD DE EMPLEADOS PROMEDIO SEGÚN LA ENCUESTA</t>
  </si>
  <si>
    <t>CANTIDAD TOTAL DEMANDADA DE ZAPATOS</t>
  </si>
  <si>
    <t>CANTIDAD TOTAL DE CARTERAS DEMANDADAS</t>
  </si>
  <si>
    <t>CANTIDAD TOTAL DE CINTURONES DEMANDADA</t>
  </si>
  <si>
    <t>COSTOS VARIABLES</t>
  </si>
  <si>
    <t>ZAPATOS</t>
  </si>
  <si>
    <t>CARTERAS</t>
  </si>
  <si>
    <t>CINTURONES</t>
  </si>
  <si>
    <t>CUERO</t>
  </si>
  <si>
    <t>PU</t>
  </si>
  <si>
    <t>PRECIOS</t>
  </si>
  <si>
    <t>TRANSPORTE-POR SERVIENTREGA</t>
  </si>
  <si>
    <t>PRECIO</t>
  </si>
  <si>
    <t>CANTIDAD</t>
  </si>
  <si>
    <t>COSTOS DE TRANSPORTE</t>
  </si>
  <si>
    <t>4 CAJAS; CADA CAJA CONTIENE 44 PARES DE ZAPATOS/80 CARTERAS/1000 CINTURONES</t>
  </si>
  <si>
    <t xml:space="preserve">COMISIONES DE VENTAS </t>
  </si>
  <si>
    <t>DESDE QUITO (CARTERAS &amp; CINTURONES)</t>
  </si>
  <si>
    <t>DESDE CUENCA (ZAPATOS)</t>
  </si>
  <si>
    <t>46046=A(1-(1+0,113)^-10)/0,113</t>
  </si>
  <si>
    <t xml:space="preserve">CAPITAL DE TRABAJO </t>
  </si>
  <si>
    <t>PROYECCIÓN DE COSTOS VARIABLES: AÑO 1</t>
  </si>
  <si>
    <t>PERIODO</t>
  </si>
  <si>
    <t>PARTICIPACIÓN DE LA PRODUCCIÓN</t>
  </si>
  <si>
    <t>DEMANDA REAL</t>
  </si>
  <si>
    <t>CANTIDAD DE ARTÍCULOS</t>
  </si>
  <si>
    <t>COSTOS ($)</t>
  </si>
  <si>
    <t>COSTOS MENSUALES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</si>
  <si>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</si>
  <si>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</si>
  <si>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</si>
  <si>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</si>
  <si>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</si>
  <si>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</si>
  <si>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</si>
  <si>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</si>
  <si>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</si>
  <si>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</si>
  <si>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</si>
  <si>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</si>
  <si>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</si>
  <si>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</t>
  </si>
  <si>
    <t xml:space="preserve">INGRESOS MENSUALES </t>
  </si>
  <si>
    <t xml:space="preserve">P. ZAPATO CUERO </t>
  </si>
  <si>
    <t>P. ZAPATO PU</t>
  </si>
  <si>
    <t xml:space="preserve">P. CATERAS CUERO </t>
  </si>
  <si>
    <t>P. CARTERAS PU</t>
  </si>
  <si>
    <t>P. CINTURONES</t>
  </si>
  <si>
    <t>INGRESOS MENSUALES</t>
  </si>
  <si>
    <t>FORMA DE PAGO</t>
  </si>
  <si>
    <t>PLAZOS</t>
  </si>
  <si>
    <t>%</t>
  </si>
  <si>
    <t>Contado</t>
  </si>
  <si>
    <t>-</t>
  </si>
  <si>
    <t>Crédito</t>
  </si>
  <si>
    <t xml:space="preserve">Descripción </t>
  </si>
  <si>
    <t xml:space="preserve">Enero </t>
  </si>
  <si>
    <t>Febrero</t>
  </si>
  <si>
    <t>Marzo</t>
  </si>
  <si>
    <t xml:space="preserve">Abril </t>
  </si>
  <si>
    <t>Mayo</t>
  </si>
  <si>
    <t>Junio</t>
  </si>
  <si>
    <t>Julio</t>
  </si>
  <si>
    <t>Agosto</t>
  </si>
  <si>
    <t xml:space="preserve">Septiembre </t>
  </si>
  <si>
    <t xml:space="preserve">Octubre </t>
  </si>
  <si>
    <t>Noviembre</t>
  </si>
  <si>
    <t>Diciembre</t>
  </si>
  <si>
    <t>Proyección Ingreso Mensual</t>
  </si>
  <si>
    <t>TOTAL  INGRESOS EFECTIVO  MENSUAL</t>
  </si>
  <si>
    <t>DESCRIPCIÓN</t>
  </si>
  <si>
    <t>Enero</t>
  </si>
  <si>
    <t>Abril</t>
  </si>
  <si>
    <t>Septiembre</t>
  </si>
  <si>
    <t>Octubre</t>
  </si>
  <si>
    <t xml:space="preserve">INGRESOS </t>
  </si>
  <si>
    <t>EGRESOS</t>
  </si>
  <si>
    <t>SALDO  DE CAJA MENSUAL</t>
  </si>
  <si>
    <t>SALDO  DE CAJA ACUMULADO</t>
  </si>
  <si>
    <t>COMISIONES</t>
  </si>
  <si>
    <t xml:space="preserve">COSTO DE TRASPORTE </t>
  </si>
  <si>
    <t>PAYBACK</t>
  </si>
  <si>
    <t xml:space="preserve">PERIODO EN AÑOS </t>
  </si>
  <si>
    <t>RENTABILIDAD EXIGIDA (11,6%)</t>
  </si>
  <si>
    <t>PUNTO DE EQUILIBRIO</t>
  </si>
  <si>
    <t>ARTÍCULOS</t>
  </si>
  <si>
    <t>PARTICIPACIÓN EN LAS VENTAS</t>
  </si>
  <si>
    <t>COSTO FIJO TOTAL $</t>
  </si>
  <si>
    <t>PRECIO $</t>
  </si>
  <si>
    <t>COSTO VARIABLE UNITARIO $</t>
  </si>
  <si>
    <t>PUNTO DE EQUILIBRIO (UNIDADES)</t>
  </si>
  <si>
    <t>ZAPATOS EN CUERO</t>
  </si>
  <si>
    <t>ZAPATOS EN PU</t>
  </si>
  <si>
    <t>CARTERAS EN CUERO</t>
  </si>
  <si>
    <t>CARTERAS EN PU</t>
  </si>
  <si>
    <t>TOTAL DE ARTÍCULOS A VENDER PARA CUBRIR COSTOS FIJOS Y VARIABLES</t>
  </si>
  <si>
    <t>TRANSPORTE ($70: 320 CARTERAS O 4000 CINTURONES; $65: 176 ZAPATOS)</t>
  </si>
  <si>
    <t>AÑO 2013</t>
  </si>
  <si>
    <t>DEMANDA REAL 2013</t>
  </si>
  <si>
    <t>Contado  60%</t>
  </si>
  <si>
    <t>Crédito 60 días /40%</t>
  </si>
  <si>
    <t xml:space="preserve">                                                                                                                                                                                           SALDO  DE CAJA MENSUAL Y ACUMULADO</t>
  </si>
  <si>
    <t>TIR</t>
  </si>
  <si>
    <t>INTERéS</t>
  </si>
  <si>
    <t>DEPRECIACIÓN</t>
  </si>
  <si>
    <t xml:space="preserve">AMORTIZACIÓN </t>
  </si>
  <si>
    <t>INVERSIÓN INICIAL</t>
  </si>
  <si>
    <t>PRÉSTAMO</t>
  </si>
  <si>
    <t xml:space="preserve">SALDO INVERSIÓN </t>
  </si>
  <si>
    <t>RECUPERACIÓN DE INVERSIÓN</t>
  </si>
  <si>
    <t>Gastos al mes</t>
  </si>
  <si>
    <t>POLÍTICA DE COBRO</t>
  </si>
  <si>
    <t>NÚMERO DE EMPRESAS</t>
  </si>
</sst>
</file>

<file path=xl/styles.xml><?xml version="1.0" encoding="utf-8"?>
<styleSheet xmlns="http://schemas.openxmlformats.org/spreadsheetml/2006/main">
  <numFmts count="11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\ &quot;€&quot;;[Red]\-#,##0.00\ &quot;€&quot;"/>
    <numFmt numFmtId="165" formatCode="0.0"/>
    <numFmt numFmtId="166" formatCode="_(&quot;$&quot;\ * #,##0_);_(&quot;$&quot;\ * \(#,##0\);_(&quot;$&quot;\ * &quot;-&quot;??_);_(@_)"/>
    <numFmt numFmtId="167" formatCode="&quot;$&quot;\ #,##0"/>
    <numFmt numFmtId="168" formatCode="_(* #,##0_);_(* \(#,##0\);_(* &quot;-&quot;??_);_(@_)"/>
    <numFmt numFmtId="169" formatCode="[$$-340A]\ #,##0.00"/>
    <numFmt numFmtId="170" formatCode="&quot;$&quot;\ #,##0.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rgb="FF000000"/>
      <name val="Times New Roman"/>
      <family val="1"/>
    </font>
    <font>
      <sz val="6"/>
      <color theme="1"/>
      <name val="Calibri"/>
      <family val="2"/>
      <scheme val="minor"/>
    </font>
    <font>
      <b/>
      <sz val="14"/>
      <color theme="1"/>
      <name val="Perpetua"/>
      <family val="1"/>
    </font>
    <font>
      <sz val="14"/>
      <color theme="1"/>
      <name val="Perpetua"/>
      <family val="1"/>
    </font>
    <font>
      <b/>
      <sz val="15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haroni"/>
      <charset val="177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D7D2"/>
        <bgColor indexed="64"/>
      </patternFill>
    </fill>
    <fill>
      <patternFill patternType="solid">
        <fgColor rgb="FF9DE9E7"/>
        <bgColor indexed="64"/>
      </patternFill>
    </fill>
    <fill>
      <patternFill patternType="solid">
        <fgColor rgb="FFD7F6F5"/>
        <bgColor indexed="64"/>
      </patternFill>
    </fill>
    <fill>
      <patternFill patternType="solid">
        <fgColor rgb="FF65E2FF"/>
        <bgColor indexed="64"/>
      </patternFill>
    </fill>
    <fill>
      <patternFill patternType="solid">
        <fgColor rgb="FF00B9F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3">
    <xf numFmtId="0" fontId="0" fillId="0" borderId="0" xfId="0"/>
    <xf numFmtId="0" fontId="0" fillId="0" borderId="1" xfId="0" applyBorder="1"/>
    <xf numFmtId="1" fontId="0" fillId="0" borderId="0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0" fontId="0" fillId="0" borderId="0" xfId="0"/>
    <xf numFmtId="1" fontId="0" fillId="0" borderId="1" xfId="0" applyNumberForma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65" fontId="0" fillId="3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9" fontId="0" fillId="3" borderId="5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4" xfId="0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5" xfId="0" applyFill="1" applyBorder="1"/>
    <xf numFmtId="0" fontId="0" fillId="4" borderId="7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24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9" xfId="0" applyFill="1" applyBorder="1"/>
    <xf numFmtId="0" fontId="0" fillId="6" borderId="23" xfId="0" applyFill="1" applyBorder="1"/>
    <xf numFmtId="0" fontId="0" fillId="6" borderId="25" xfId="0" applyFill="1" applyBorder="1"/>
    <xf numFmtId="0" fontId="0" fillId="6" borderId="10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28" xfId="0" applyFill="1" applyBorder="1"/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9" fontId="1" fillId="0" borderId="0" xfId="0" applyNumberFormat="1" applyFont="1" applyBorder="1"/>
    <xf numFmtId="0" fontId="4" fillId="0" borderId="0" xfId="0" applyFont="1" applyBorder="1" applyAlignment="1">
      <alignment horizontal="center"/>
    </xf>
    <xf numFmtId="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Border="1"/>
    <xf numFmtId="1" fontId="0" fillId="0" borderId="0" xfId="0" applyNumberFormat="1" applyFont="1" applyBorder="1"/>
    <xf numFmtId="0" fontId="2" fillId="0" borderId="0" xfId="0" applyFont="1" applyFill="1" applyBorder="1"/>
    <xf numFmtId="164" fontId="1" fillId="0" borderId="0" xfId="0" applyNumberFormat="1" applyFont="1" applyBorder="1"/>
    <xf numFmtId="0" fontId="5" fillId="0" borderId="0" xfId="0" applyFont="1" applyBorder="1" applyAlignment="1">
      <alignment vertical="top" wrapText="1"/>
    </xf>
    <xf numFmtId="170" fontId="0" fillId="4" borderId="1" xfId="1" applyNumberFormat="1" applyFont="1" applyFill="1" applyBorder="1"/>
    <xf numFmtId="170" fontId="0" fillId="4" borderId="6" xfId="1" applyNumberFormat="1" applyFont="1" applyFill="1" applyBorder="1"/>
    <xf numFmtId="170" fontId="0" fillId="4" borderId="8" xfId="1" applyNumberFormat="1" applyFont="1" applyFill="1" applyBorder="1"/>
    <xf numFmtId="170" fontId="0" fillId="4" borderId="24" xfId="1" applyNumberFormat="1" applyFont="1" applyFill="1" applyBorder="1"/>
    <xf numFmtId="0" fontId="4" fillId="10" borderId="1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4" fillId="10" borderId="12" xfId="0" applyFont="1" applyFill="1" applyBorder="1"/>
    <xf numFmtId="0" fontId="4" fillId="10" borderId="30" xfId="0" applyFont="1" applyFill="1" applyBorder="1" applyAlignment="1">
      <alignment horizontal="center"/>
    </xf>
    <xf numFmtId="9" fontId="0" fillId="10" borderId="32" xfId="0" applyNumberFormat="1" applyFill="1" applyBorder="1"/>
    <xf numFmtId="170" fontId="1" fillId="10" borderId="56" xfId="1" applyNumberFormat="1" applyFont="1" applyFill="1" applyBorder="1" applyAlignment="1">
      <alignment horizontal="center"/>
    </xf>
    <xf numFmtId="170" fontId="1" fillId="10" borderId="32" xfId="1" applyNumberFormat="1" applyFont="1" applyFill="1" applyBorder="1" applyAlignment="1">
      <alignment horizontal="center"/>
    </xf>
    <xf numFmtId="0" fontId="0" fillId="11" borderId="2" xfId="0" applyFill="1" applyBorder="1"/>
    <xf numFmtId="0" fontId="0" fillId="11" borderId="5" xfId="0" applyFill="1" applyBorder="1"/>
    <xf numFmtId="0" fontId="0" fillId="11" borderId="7" xfId="0" applyFill="1" applyBorder="1"/>
    <xf numFmtId="6" fontId="4" fillId="11" borderId="12" xfId="0" applyNumberFormat="1" applyFont="1" applyFill="1" applyBorder="1" applyAlignment="1">
      <alignment horizontal="center"/>
    </xf>
    <xf numFmtId="8" fontId="4" fillId="11" borderId="21" xfId="0" applyNumberFormat="1" applyFont="1" applyFill="1" applyBorder="1" applyAlignment="1">
      <alignment horizontal="center"/>
    </xf>
    <xf numFmtId="8" fontId="4" fillId="11" borderId="12" xfId="0" applyNumberFormat="1" applyFont="1" applyFill="1" applyBorder="1" applyAlignment="1">
      <alignment horizontal="center"/>
    </xf>
    <xf numFmtId="8" fontId="4" fillId="11" borderId="29" xfId="0" applyNumberFormat="1" applyFont="1" applyFill="1" applyBorder="1" applyAlignment="1">
      <alignment horizontal="center"/>
    </xf>
    <xf numFmtId="8" fontId="1" fillId="11" borderId="12" xfId="0" applyNumberFormat="1" applyFont="1" applyFill="1" applyBorder="1" applyAlignment="1">
      <alignment horizontal="center"/>
    </xf>
    <xf numFmtId="9" fontId="0" fillId="14" borderId="3" xfId="0" applyNumberFormat="1" applyFill="1" applyBorder="1" applyAlignment="1">
      <alignment horizontal="center"/>
    </xf>
    <xf numFmtId="1" fontId="0" fillId="14" borderId="3" xfId="0" applyNumberFormat="1" applyFill="1" applyBorder="1" applyAlignment="1">
      <alignment horizontal="center"/>
    </xf>
    <xf numFmtId="170" fontId="0" fillId="14" borderId="3" xfId="1" applyNumberFormat="1" applyFont="1" applyFill="1" applyBorder="1"/>
    <xf numFmtId="170" fontId="0" fillId="14" borderId="4" xfId="1" applyNumberFormat="1" applyFont="1" applyFill="1" applyBorder="1"/>
    <xf numFmtId="9" fontId="0" fillId="14" borderId="1" xfId="0" applyNumberFormat="1" applyFill="1" applyBorder="1" applyAlignment="1">
      <alignment horizontal="center"/>
    </xf>
    <xf numFmtId="1" fontId="0" fillId="14" borderId="1" xfId="0" applyNumberFormat="1" applyFill="1" applyBorder="1" applyAlignment="1">
      <alignment horizontal="center"/>
    </xf>
    <xf numFmtId="170" fontId="0" fillId="14" borderId="1" xfId="1" applyNumberFormat="1" applyFont="1" applyFill="1" applyBorder="1"/>
    <xf numFmtId="170" fontId="0" fillId="14" borderId="6" xfId="1" applyNumberFormat="1" applyFont="1" applyFill="1" applyBorder="1"/>
    <xf numFmtId="9" fontId="0" fillId="14" borderId="8" xfId="0" applyNumberFormat="1" applyFill="1" applyBorder="1" applyAlignment="1">
      <alignment horizontal="center"/>
    </xf>
    <xf numFmtId="1" fontId="0" fillId="14" borderId="8" xfId="0" applyNumberFormat="1" applyFill="1" applyBorder="1" applyAlignment="1">
      <alignment horizontal="center"/>
    </xf>
    <xf numFmtId="170" fontId="0" fillId="14" borderId="8" xfId="1" applyNumberFormat="1" applyFont="1" applyFill="1" applyBorder="1"/>
    <xf numFmtId="170" fontId="0" fillId="14" borderId="24" xfId="1" applyNumberFormat="1" applyFont="1" applyFill="1" applyBorder="1"/>
    <xf numFmtId="0" fontId="23" fillId="9" borderId="12" xfId="0" applyFont="1" applyFill="1" applyBorder="1" applyAlignment="1">
      <alignment horizontal="center"/>
    </xf>
    <xf numFmtId="0" fontId="23" fillId="9" borderId="35" xfId="0" applyFont="1" applyFill="1" applyBorder="1" applyAlignment="1">
      <alignment horizontal="center"/>
    </xf>
    <xf numFmtId="0" fontId="23" fillId="9" borderId="12" xfId="0" applyFont="1" applyFill="1" applyBorder="1"/>
    <xf numFmtId="0" fontId="20" fillId="9" borderId="3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1" fillId="9" borderId="15" xfId="0" applyFont="1" applyFill="1" applyBorder="1"/>
    <xf numFmtId="1" fontId="1" fillId="9" borderId="16" xfId="0" applyNumberFormat="1" applyFont="1" applyFill="1" applyBorder="1" applyAlignment="1">
      <alignment horizontal="center"/>
    </xf>
    <xf numFmtId="9" fontId="1" fillId="9" borderId="16" xfId="3" applyFont="1" applyFill="1" applyBorder="1" applyAlignment="1">
      <alignment horizontal="center"/>
    </xf>
    <xf numFmtId="1" fontId="1" fillId="9" borderId="16" xfId="3" applyNumberFormat="1" applyFont="1" applyFill="1" applyBorder="1" applyAlignment="1">
      <alignment horizontal="center"/>
    </xf>
    <xf numFmtId="170" fontId="1" fillId="9" borderId="16" xfId="1" applyNumberFormat="1" applyFont="1" applyFill="1" applyBorder="1"/>
    <xf numFmtId="170" fontId="1" fillId="9" borderId="57" xfId="1" applyNumberFormat="1" applyFont="1" applyFill="1" applyBorder="1"/>
    <xf numFmtId="170" fontId="1" fillId="9" borderId="1" xfId="1" applyNumberFormat="1" applyFont="1" applyFill="1" applyBorder="1"/>
    <xf numFmtId="0" fontId="1" fillId="9" borderId="12" xfId="0" applyNumberFormat="1" applyFont="1" applyFill="1" applyBorder="1"/>
    <xf numFmtId="6" fontId="20" fillId="8" borderId="30" xfId="0" applyNumberFormat="1" applyFont="1" applyFill="1" applyBorder="1" applyAlignment="1">
      <alignment horizontal="center"/>
    </xf>
    <xf numFmtId="8" fontId="20" fillId="8" borderId="31" xfId="0" applyNumberFormat="1" applyFont="1" applyFill="1" applyBorder="1" applyAlignment="1">
      <alignment horizontal="center"/>
    </xf>
    <xf numFmtId="8" fontId="20" fillId="8" borderId="30" xfId="0" applyNumberFormat="1" applyFont="1" applyFill="1" applyBorder="1" applyAlignment="1">
      <alignment horizontal="center"/>
    </xf>
    <xf numFmtId="8" fontId="20" fillId="8" borderId="0" xfId="0" applyNumberFormat="1" applyFont="1" applyFill="1" applyBorder="1" applyAlignment="1">
      <alignment horizontal="center"/>
    </xf>
    <xf numFmtId="8" fontId="20" fillId="8" borderId="12" xfId="0" applyNumberFormat="1" applyFont="1" applyFill="1" applyBorder="1" applyAlignment="1">
      <alignment horizontal="center"/>
    </xf>
    <xf numFmtId="0" fontId="0" fillId="8" borderId="2" xfId="0" applyFill="1" applyBorder="1"/>
    <xf numFmtId="0" fontId="0" fillId="8" borderId="5" xfId="0" applyFill="1" applyBorder="1"/>
    <xf numFmtId="0" fontId="0" fillId="8" borderId="39" xfId="0" applyFill="1" applyBorder="1"/>
    <xf numFmtId="1" fontId="0" fillId="13" borderId="3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9" fontId="0" fillId="13" borderId="3" xfId="0" applyNumberFormat="1" applyFill="1" applyBorder="1" applyAlignment="1">
      <alignment horizontal="center"/>
    </xf>
    <xf numFmtId="170" fontId="0" fillId="13" borderId="3" xfId="0" applyNumberFormat="1" applyFill="1" applyBorder="1"/>
    <xf numFmtId="170" fontId="0" fillId="13" borderId="44" xfId="0" applyNumberFormat="1" applyFill="1" applyBorder="1"/>
    <xf numFmtId="170" fontId="0" fillId="13" borderId="13" xfId="0" applyNumberFormat="1" applyFill="1" applyBorder="1"/>
    <xf numFmtId="170" fontId="19" fillId="13" borderId="13" xfId="1" applyNumberFormat="1" applyFont="1" applyFill="1" applyBorder="1" applyAlignment="1">
      <alignment vertical="center" wrapText="1"/>
    </xf>
    <xf numFmtId="1" fontId="0" fillId="13" borderId="1" xfId="0" applyNumberFormat="1" applyFill="1" applyBorder="1" applyAlignment="1">
      <alignment horizontal="center"/>
    </xf>
    <xf numFmtId="9" fontId="0" fillId="13" borderId="1" xfId="0" applyNumberFormat="1" applyFill="1" applyBorder="1" applyAlignment="1">
      <alignment horizontal="center"/>
    </xf>
    <xf numFmtId="170" fontId="0" fillId="13" borderId="1" xfId="1" applyNumberFormat="1" applyFont="1" applyFill="1" applyBorder="1"/>
    <xf numFmtId="170" fontId="0" fillId="13" borderId="9" xfId="1" applyNumberFormat="1" applyFont="1" applyFill="1" applyBorder="1"/>
    <xf numFmtId="170" fontId="19" fillId="13" borderId="1" xfId="1" applyNumberFormat="1" applyFont="1" applyFill="1" applyBorder="1" applyAlignment="1">
      <alignment vertical="center" wrapText="1"/>
    </xf>
    <xf numFmtId="1" fontId="0" fillId="13" borderId="23" xfId="0" applyNumberFormat="1" applyFill="1" applyBorder="1" applyAlignment="1">
      <alignment horizontal="center"/>
    </xf>
    <xf numFmtId="9" fontId="0" fillId="13" borderId="23" xfId="0" applyNumberFormat="1" applyFill="1" applyBorder="1" applyAlignment="1">
      <alignment horizontal="center"/>
    </xf>
    <xf numFmtId="170" fontId="0" fillId="13" borderId="23" xfId="1" applyNumberFormat="1" applyFont="1" applyFill="1" applyBorder="1"/>
    <xf numFmtId="170" fontId="0" fillId="13" borderId="38" xfId="1" applyNumberFormat="1" applyFont="1" applyFill="1" applyBorder="1"/>
    <xf numFmtId="0" fontId="25" fillId="3" borderId="12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1" fillId="3" borderId="32" xfId="0" applyFont="1" applyFill="1" applyBorder="1" applyAlignment="1">
      <alignment horizontal="center" vertical="top" wrapText="1"/>
    </xf>
    <xf numFmtId="0" fontId="25" fillId="3" borderId="51" xfId="0" applyFont="1" applyFill="1" applyBorder="1" applyAlignment="1">
      <alignment horizontal="center"/>
    </xf>
    <xf numFmtId="167" fontId="25" fillId="3" borderId="51" xfId="0" applyNumberFormat="1" applyFont="1" applyFill="1" applyBorder="1" applyAlignment="1">
      <alignment horizontal="right"/>
    </xf>
    <xf numFmtId="0" fontId="26" fillId="17" borderId="32" xfId="0" applyFont="1" applyFill="1" applyBorder="1" applyAlignment="1">
      <alignment horizontal="center" wrapText="1"/>
    </xf>
    <xf numFmtId="0" fontId="26" fillId="17" borderId="32" xfId="0" applyFont="1" applyFill="1" applyBorder="1"/>
    <xf numFmtId="167" fontId="24" fillId="5" borderId="4" xfId="0" applyNumberFormat="1" applyFont="1" applyFill="1" applyBorder="1"/>
    <xf numFmtId="170" fontId="24" fillId="5" borderId="4" xfId="0" applyNumberFormat="1" applyFont="1" applyFill="1" applyBorder="1"/>
    <xf numFmtId="0" fontId="24" fillId="5" borderId="51" xfId="0" applyFont="1" applyFill="1" applyBorder="1"/>
    <xf numFmtId="170" fontId="26" fillId="5" borderId="51" xfId="0" applyNumberFormat="1" applyFont="1" applyFill="1" applyBorder="1" applyAlignment="1">
      <alignment horizontal="right"/>
    </xf>
    <xf numFmtId="0" fontId="26" fillId="5" borderId="51" xfId="0" applyFont="1" applyFill="1" applyBorder="1"/>
    <xf numFmtId="170" fontId="26" fillId="5" borderId="51" xfId="0" applyNumberFormat="1" applyFont="1" applyFill="1" applyBorder="1"/>
    <xf numFmtId="170" fontId="24" fillId="5" borderId="51" xfId="0" applyNumberFormat="1" applyFont="1" applyFill="1" applyBorder="1"/>
    <xf numFmtId="0" fontId="25" fillId="12" borderId="32" xfId="0" applyFont="1" applyFill="1" applyBorder="1"/>
    <xf numFmtId="0" fontId="25" fillId="12" borderId="51" xfId="0" applyFont="1" applyFill="1" applyBorder="1" applyAlignment="1">
      <alignment horizontal="center"/>
    </xf>
    <xf numFmtId="0" fontId="27" fillId="12" borderId="32" xfId="0" applyFont="1" applyFill="1" applyBorder="1"/>
    <xf numFmtId="170" fontId="26" fillId="15" borderId="51" xfId="0" applyNumberFormat="1" applyFont="1" applyFill="1" applyBorder="1" applyAlignment="1">
      <alignment horizontal="right"/>
    </xf>
    <xf numFmtId="170" fontId="25" fillId="16" borderId="51" xfId="0" applyNumberFormat="1" applyFont="1" applyFill="1" applyBorder="1" applyAlignment="1">
      <alignment horizontal="right"/>
    </xf>
    <xf numFmtId="0" fontId="28" fillId="16" borderId="32" xfId="0" applyFont="1" applyFill="1" applyBorder="1"/>
    <xf numFmtId="0" fontId="29" fillId="18" borderId="34" xfId="0" applyFont="1" applyFill="1" applyBorder="1" applyAlignment="1">
      <alignment horizontal="center"/>
    </xf>
    <xf numFmtId="1" fontId="29" fillId="18" borderId="12" xfId="0" applyNumberFormat="1" applyFont="1" applyFill="1" applyBorder="1" applyAlignment="1">
      <alignment horizontal="center"/>
    </xf>
    <xf numFmtId="1" fontId="29" fillId="18" borderId="45" xfId="0" applyNumberFormat="1" applyFont="1" applyFill="1" applyBorder="1" applyAlignment="1">
      <alignment horizontal="center"/>
    </xf>
    <xf numFmtId="0" fontId="29" fillId="18" borderId="12" xfId="0" applyFont="1" applyFill="1" applyBorder="1" applyAlignment="1">
      <alignment horizontal="center"/>
    </xf>
    <xf numFmtId="0" fontId="30" fillId="18" borderId="19" xfId="0" applyFont="1" applyFill="1" applyBorder="1" applyAlignment="1">
      <alignment horizontal="center"/>
    </xf>
    <xf numFmtId="0" fontId="30" fillId="18" borderId="12" xfId="0" applyFont="1" applyFill="1" applyBorder="1" applyAlignment="1">
      <alignment horizontal="center"/>
    </xf>
    <xf numFmtId="9" fontId="29" fillId="18" borderId="21" xfId="0" applyNumberFormat="1" applyFont="1" applyFill="1" applyBorder="1"/>
    <xf numFmtId="0" fontId="29" fillId="19" borderId="15" xfId="0" applyFont="1" applyFill="1" applyBorder="1"/>
    <xf numFmtId="1" fontId="24" fillId="19" borderId="16" xfId="0" applyNumberFormat="1" applyFont="1" applyFill="1" applyBorder="1"/>
    <xf numFmtId="1" fontId="29" fillId="19" borderId="16" xfId="0" applyNumberFormat="1" applyFont="1" applyFill="1" applyBorder="1"/>
    <xf numFmtId="0" fontId="29" fillId="19" borderId="15" xfId="0" applyFont="1" applyFill="1" applyBorder="1" applyAlignment="1">
      <alignment horizontal="left"/>
    </xf>
    <xf numFmtId="0" fontId="29" fillId="19" borderId="59" xfId="0" applyFont="1" applyFill="1" applyBorder="1" applyAlignment="1">
      <alignment horizontal="left"/>
    </xf>
    <xf numFmtId="1" fontId="24" fillId="19" borderId="14" xfId="0" applyNumberFormat="1" applyFont="1" applyFill="1" applyBorder="1"/>
    <xf numFmtId="0" fontId="24" fillId="19" borderId="41" xfId="0" applyFont="1" applyFill="1" applyBorder="1" applyAlignment="1">
      <alignment horizontal="left"/>
    </xf>
    <xf numFmtId="1" fontId="24" fillId="19" borderId="11" xfId="0" applyNumberFormat="1" applyFont="1" applyFill="1" applyBorder="1"/>
    <xf numFmtId="0" fontId="29" fillId="19" borderId="22" xfId="0" applyFont="1" applyFill="1" applyBorder="1" applyAlignment="1">
      <alignment horizontal="left"/>
    </xf>
    <xf numFmtId="1" fontId="24" fillId="19" borderId="18" xfId="0" applyNumberFormat="1" applyFont="1" applyFill="1" applyBorder="1"/>
    <xf numFmtId="0" fontId="29" fillId="19" borderId="7" xfId="0" applyFont="1" applyFill="1" applyBorder="1"/>
    <xf numFmtId="0" fontId="24" fillId="20" borderId="2" xfId="0" applyFont="1" applyFill="1" applyBorder="1" applyAlignment="1">
      <alignment horizontal="left"/>
    </xf>
    <xf numFmtId="1" fontId="24" fillId="20" borderId="0" xfId="0" applyNumberFormat="1" applyFont="1" applyFill="1" applyBorder="1"/>
    <xf numFmtId="1" fontId="24" fillId="20" borderId="13" xfId="0" applyNumberFormat="1" applyFont="1" applyFill="1" applyBorder="1"/>
    <xf numFmtId="0" fontId="24" fillId="20" borderId="5" xfId="0" applyFont="1" applyFill="1" applyBorder="1" applyAlignment="1">
      <alignment horizontal="left"/>
    </xf>
    <xf numFmtId="1" fontId="24" fillId="20" borderId="1" xfId="0" applyNumberFormat="1" applyFont="1" applyFill="1" applyBorder="1"/>
    <xf numFmtId="0" fontId="24" fillId="20" borderId="61" xfId="0" applyFont="1" applyFill="1" applyBorder="1" applyAlignment="1">
      <alignment horizontal="left"/>
    </xf>
    <xf numFmtId="0" fontId="24" fillId="20" borderId="39" xfId="0" applyFont="1" applyFill="1" applyBorder="1" applyAlignment="1">
      <alignment horizontal="left"/>
    </xf>
    <xf numFmtId="1" fontId="24" fillId="20" borderId="23" xfId="0" applyNumberFormat="1" applyFont="1" applyFill="1" applyBorder="1"/>
    <xf numFmtId="0" fontId="29" fillId="20" borderId="22" xfId="0" applyFont="1" applyFill="1" applyBorder="1" applyAlignment="1">
      <alignment horizontal="left"/>
    </xf>
    <xf numFmtId="1" fontId="24" fillId="20" borderId="18" xfId="0" applyNumberFormat="1" applyFont="1" applyFill="1" applyBorder="1"/>
    <xf numFmtId="0" fontId="24" fillId="20" borderId="61" xfId="0" applyFont="1" applyFill="1" applyBorder="1"/>
    <xf numFmtId="0" fontId="24" fillId="20" borderId="41" xfId="0" applyFont="1" applyFill="1" applyBorder="1"/>
    <xf numFmtId="1" fontId="24" fillId="20" borderId="11" xfId="0" applyNumberFormat="1" applyFont="1" applyFill="1" applyBorder="1"/>
    <xf numFmtId="0" fontId="24" fillId="20" borderId="5" xfId="0" applyFont="1" applyFill="1" applyBorder="1"/>
    <xf numFmtId="170" fontId="24" fillId="20" borderId="1" xfId="0" applyNumberFormat="1" applyFont="1" applyFill="1" applyBorder="1"/>
    <xf numFmtId="170" fontId="29" fillId="19" borderId="8" xfId="1" applyNumberFormat="1" applyFont="1" applyFill="1" applyBorder="1"/>
    <xf numFmtId="170" fontId="29" fillId="18" borderId="12" xfId="2" applyNumberFormat="1" applyFont="1" applyFill="1" applyBorder="1"/>
    <xf numFmtId="170" fontId="24" fillId="20" borderId="3" xfId="0" applyNumberFormat="1" applyFont="1" applyFill="1" applyBorder="1"/>
    <xf numFmtId="170" fontId="24" fillId="20" borderId="13" xfId="0" applyNumberFormat="1" applyFont="1" applyFill="1" applyBorder="1"/>
    <xf numFmtId="170" fontId="24" fillId="20" borderId="62" xfId="0" applyNumberFormat="1" applyFont="1" applyFill="1" applyBorder="1"/>
    <xf numFmtId="170" fontId="24" fillId="20" borderId="6" xfId="0" applyNumberFormat="1" applyFont="1" applyFill="1" applyBorder="1"/>
    <xf numFmtId="170" fontId="29" fillId="19" borderId="14" xfId="0" applyNumberFormat="1" applyFont="1" applyFill="1" applyBorder="1"/>
    <xf numFmtId="170" fontId="29" fillId="19" borderId="60" xfId="0" applyNumberFormat="1" applyFont="1" applyFill="1" applyBorder="1"/>
    <xf numFmtId="170" fontId="24" fillId="20" borderId="23" xfId="0" applyNumberFormat="1" applyFont="1" applyFill="1" applyBorder="1"/>
    <xf numFmtId="170" fontId="24" fillId="20" borderId="40" xfId="0" applyNumberFormat="1" applyFont="1" applyFill="1" applyBorder="1"/>
    <xf numFmtId="170" fontId="24" fillId="19" borderId="11" xfId="0" applyNumberFormat="1" applyFont="1" applyFill="1" applyBorder="1"/>
    <xf numFmtId="170" fontId="24" fillId="19" borderId="42" xfId="0" applyNumberFormat="1" applyFont="1" applyFill="1" applyBorder="1"/>
    <xf numFmtId="170" fontId="24" fillId="19" borderId="18" xfId="0" applyNumberFormat="1" applyFont="1" applyFill="1" applyBorder="1"/>
    <xf numFmtId="170" fontId="24" fillId="19" borderId="58" xfId="0" applyNumberFormat="1" applyFont="1" applyFill="1" applyBorder="1"/>
    <xf numFmtId="170" fontId="24" fillId="20" borderId="18" xfId="0" applyNumberFormat="1" applyFont="1" applyFill="1" applyBorder="1"/>
    <xf numFmtId="170" fontId="24" fillId="20" borderId="58" xfId="0" applyNumberFormat="1" applyFont="1" applyFill="1" applyBorder="1"/>
    <xf numFmtId="170" fontId="29" fillId="19" borderId="16" xfId="1" applyNumberFormat="1" applyFont="1" applyFill="1" applyBorder="1"/>
    <xf numFmtId="170" fontId="29" fillId="19" borderId="17" xfId="1" applyNumberFormat="1" applyFont="1" applyFill="1" applyBorder="1"/>
    <xf numFmtId="170" fontId="24" fillId="20" borderId="11" xfId="0" applyNumberFormat="1" applyFont="1" applyFill="1" applyBorder="1"/>
    <xf numFmtId="170" fontId="24" fillId="20" borderId="42" xfId="0" applyNumberFormat="1" applyFont="1" applyFill="1" applyBorder="1"/>
    <xf numFmtId="170" fontId="29" fillId="19" borderId="24" xfId="1" applyNumberFormat="1" applyFont="1" applyFill="1" applyBorder="1"/>
    <xf numFmtId="0" fontId="31" fillId="21" borderId="5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21" borderId="6" xfId="0" applyFont="1" applyFill="1" applyBorder="1" applyAlignment="1">
      <alignment horizontal="center" vertical="center" wrapText="1"/>
    </xf>
    <xf numFmtId="170" fontId="32" fillId="20" borderId="1" xfId="0" applyNumberFormat="1" applyFont="1" applyFill="1" applyBorder="1"/>
    <xf numFmtId="170" fontId="32" fillId="20" borderId="6" xfId="0" applyNumberFormat="1" applyFont="1" applyFill="1" applyBorder="1"/>
    <xf numFmtId="170" fontId="32" fillId="20" borderId="8" xfId="0" applyNumberFormat="1" applyFont="1" applyFill="1" applyBorder="1"/>
    <xf numFmtId="170" fontId="32" fillId="20" borderId="24" xfId="0" applyNumberFormat="1" applyFont="1" applyFill="1" applyBorder="1"/>
    <xf numFmtId="168" fontId="32" fillId="19" borderId="5" xfId="0" applyNumberFormat="1" applyFont="1" applyFill="1" applyBorder="1" applyAlignment="1">
      <alignment horizontal="center"/>
    </xf>
    <xf numFmtId="168" fontId="32" fillId="19" borderId="7" xfId="0" applyNumberFormat="1" applyFont="1" applyFill="1" applyBorder="1" applyAlignment="1">
      <alignment horizontal="center"/>
    </xf>
    <xf numFmtId="168" fontId="32" fillId="19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5" xfId="0" applyFont="1" applyFill="1" applyBorder="1" applyAlignment="1">
      <alignment horizontal="center"/>
    </xf>
    <xf numFmtId="0" fontId="0" fillId="0" borderId="0" xfId="0" applyBorder="1"/>
    <xf numFmtId="0" fontId="1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9" fontId="0" fillId="0" borderId="0" xfId="0" applyNumberFormat="1" applyFill="1"/>
    <xf numFmtId="0" fontId="4" fillId="0" borderId="0" xfId="0" applyFont="1" applyFill="1" applyBorder="1"/>
    <xf numFmtId="6" fontId="4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6" fontId="0" fillId="0" borderId="0" xfId="0" applyNumberFormat="1" applyFill="1" applyBorder="1"/>
    <xf numFmtId="0" fontId="0" fillId="0" borderId="0" xfId="0" applyNumberFormat="1" applyFill="1" applyBorder="1"/>
    <xf numFmtId="9" fontId="0" fillId="0" borderId="0" xfId="0" applyNumberForma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9" fontId="1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8" fillId="23" borderId="36" xfId="0" applyFont="1" applyFill="1" applyBorder="1" applyAlignment="1">
      <alignment horizontal="center" vertical="center"/>
    </xf>
    <xf numFmtId="0" fontId="18" fillId="23" borderId="32" xfId="0" applyFont="1" applyFill="1" applyBorder="1" applyAlignment="1">
      <alignment horizontal="center" vertical="center" wrapText="1"/>
    </xf>
    <xf numFmtId="0" fontId="18" fillId="23" borderId="0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 wrapText="1"/>
    </xf>
    <xf numFmtId="0" fontId="1" fillId="4" borderId="53" xfId="0" applyFont="1" applyFill="1" applyBorder="1"/>
    <xf numFmtId="169" fontId="0" fillId="4" borderId="53" xfId="0" applyNumberFormat="1" applyFill="1" applyBorder="1" applyAlignment="1">
      <alignment horizontal="center"/>
    </xf>
    <xf numFmtId="1" fontId="0" fillId="4" borderId="53" xfId="0" applyNumberFormat="1" applyFill="1" applyBorder="1" applyAlignment="1">
      <alignment horizontal="center"/>
    </xf>
    <xf numFmtId="0" fontId="1" fillId="4" borderId="54" xfId="0" applyFont="1" applyFill="1" applyBorder="1"/>
    <xf numFmtId="169" fontId="0" fillId="4" borderId="54" xfId="0" applyNumberFormat="1" applyFill="1" applyBorder="1" applyAlignment="1">
      <alignment horizontal="center"/>
    </xf>
    <xf numFmtId="0" fontId="1" fillId="4" borderId="12" xfId="0" applyFont="1" applyFill="1" applyBorder="1"/>
    <xf numFmtId="9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9" fontId="0" fillId="4" borderId="12" xfId="0" applyNumberFormat="1" applyFill="1" applyBorder="1" applyAlignment="1">
      <alignment horizontal="center"/>
    </xf>
    <xf numFmtId="169" fontId="0" fillId="4" borderId="29" xfId="0" applyNumberFormat="1" applyFill="1" applyBorder="1" applyAlignment="1">
      <alignment horizontal="center"/>
    </xf>
    <xf numFmtId="1" fontId="0" fillId="4" borderId="32" xfId="0" applyNumberFormat="1" applyFill="1" applyBorder="1" applyAlignment="1">
      <alignment horizontal="center"/>
    </xf>
    <xf numFmtId="0" fontId="1" fillId="25" borderId="53" xfId="0" applyFont="1" applyFill="1" applyBorder="1"/>
    <xf numFmtId="169" fontId="0" fillId="25" borderId="53" xfId="0" applyNumberFormat="1" applyFill="1" applyBorder="1" applyAlignment="1">
      <alignment horizontal="center"/>
    </xf>
    <xf numFmtId="1" fontId="0" fillId="25" borderId="53" xfId="0" applyNumberFormat="1" applyFill="1" applyBorder="1" applyAlignment="1">
      <alignment horizontal="center"/>
    </xf>
    <xf numFmtId="0" fontId="1" fillId="25" borderId="54" xfId="0" applyFont="1" applyFill="1" applyBorder="1"/>
    <xf numFmtId="169" fontId="0" fillId="25" borderId="54" xfId="0" applyNumberFormat="1" applyFill="1" applyBorder="1" applyAlignment="1">
      <alignment horizontal="center"/>
    </xf>
    <xf numFmtId="169" fontId="0" fillId="25" borderId="55" xfId="0" applyNumberFormat="1" applyFill="1" applyBorder="1" applyAlignment="1">
      <alignment horizontal="center"/>
    </xf>
    <xf numFmtId="1" fontId="1" fillId="25" borderId="12" xfId="0" applyNumberFormat="1" applyFont="1" applyFill="1" applyBorder="1" applyAlignment="1">
      <alignment horizontal="center"/>
    </xf>
    <xf numFmtId="0" fontId="0" fillId="0" borderId="0" xfId="0" applyFill="1" applyAlignment="1"/>
    <xf numFmtId="1" fontId="1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5" fillId="23" borderId="49" xfId="0" applyFont="1" applyFill="1" applyBorder="1" applyAlignment="1">
      <alignment horizontal="center" vertical="top" wrapText="1"/>
    </xf>
    <xf numFmtId="0" fontId="15" fillId="23" borderId="50" xfId="0" applyFont="1" applyFill="1" applyBorder="1" applyAlignment="1">
      <alignment horizontal="center" vertical="top" wrapText="1"/>
    </xf>
    <xf numFmtId="0" fontId="16" fillId="25" borderId="49" xfId="0" applyFont="1" applyFill="1" applyBorder="1" applyAlignment="1">
      <alignment horizontal="center" vertical="top" wrapText="1"/>
    </xf>
    <xf numFmtId="0" fontId="16" fillId="25" borderId="50" xfId="0" applyFont="1" applyFill="1" applyBorder="1" applyAlignment="1">
      <alignment horizontal="center" vertical="top" wrapText="1"/>
    </xf>
    <xf numFmtId="9" fontId="16" fillId="25" borderId="50" xfId="0" applyNumberFormat="1" applyFont="1" applyFill="1" applyBorder="1" applyAlignment="1">
      <alignment horizontal="center" vertical="top" wrapText="1"/>
    </xf>
    <xf numFmtId="170" fontId="0" fillId="0" borderId="0" xfId="1" applyNumberFormat="1" applyFont="1" applyFill="1"/>
    <xf numFmtId="0" fontId="0" fillId="0" borderId="0" xfId="0" applyNumberFormat="1" applyFill="1"/>
    <xf numFmtId="0" fontId="1" fillId="0" borderId="0" xfId="0" applyFont="1" applyFill="1" applyAlignment="1"/>
    <xf numFmtId="0" fontId="1" fillId="0" borderId="0" xfId="0" applyNumberFormat="1" applyFont="1" applyFill="1" applyBorder="1"/>
    <xf numFmtId="170" fontId="1" fillId="0" borderId="0" xfId="1" applyNumberFormat="1" applyFont="1" applyFill="1" applyBorder="1" applyAlignment="1">
      <alignment horizontal="center"/>
    </xf>
    <xf numFmtId="44" fontId="0" fillId="0" borderId="0" xfId="2" applyFont="1" applyFill="1"/>
    <xf numFmtId="167" fontId="0" fillId="0" borderId="0" xfId="0" applyNumberFormat="1" applyFill="1"/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6" fontId="5" fillId="0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0" borderId="0" xfId="0" applyFont="1" applyFill="1"/>
    <xf numFmtId="10" fontId="0" fillId="0" borderId="0" xfId="0" applyNumberForma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Border="1"/>
    <xf numFmtId="9" fontId="29" fillId="0" borderId="0" xfId="0" applyNumberFormat="1" applyFont="1" applyFill="1" applyBorder="1"/>
    <xf numFmtId="0" fontId="24" fillId="0" borderId="0" xfId="0" applyFont="1" applyFill="1"/>
    <xf numFmtId="9" fontId="1" fillId="0" borderId="0" xfId="0" applyNumberFormat="1" applyFont="1" applyFill="1" applyBorder="1"/>
    <xf numFmtId="0" fontId="0" fillId="0" borderId="0" xfId="0" applyFill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0" xfId="0" applyFill="1" applyBorder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1" fillId="0" borderId="33" xfId="0" applyFont="1" applyFill="1" applyBorder="1" applyAlignment="1"/>
    <xf numFmtId="6" fontId="4" fillId="0" borderId="12" xfId="0" applyNumberFormat="1" applyFont="1" applyFill="1" applyBorder="1" applyAlignment="1">
      <alignment horizontal="center"/>
    </xf>
    <xf numFmtId="8" fontId="4" fillId="0" borderId="2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8" fontId="4" fillId="0" borderId="29" xfId="0" applyNumberFormat="1" applyFont="1" applyFill="1" applyBorder="1" applyAlignment="1">
      <alignment horizontal="center"/>
    </xf>
    <xf numFmtId="8" fontId="1" fillId="0" borderId="12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11" xfId="0" applyFill="1" applyBorder="1"/>
    <xf numFmtId="0" fontId="0" fillId="0" borderId="42" xfId="0" applyFill="1" applyBorder="1"/>
    <xf numFmtId="0" fontId="1" fillId="0" borderId="34" xfId="0" applyFont="1" applyFill="1" applyBorder="1" applyAlignment="1"/>
    <xf numFmtId="0" fontId="1" fillId="0" borderId="35" xfId="0" applyFont="1" applyFill="1" applyBorder="1" applyAlignment="1"/>
    <xf numFmtId="0" fontId="1" fillId="0" borderId="31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24" xfId="0" applyFill="1" applyBorder="1"/>
    <xf numFmtId="166" fontId="0" fillId="0" borderId="0" xfId="2" applyNumberFormat="1" applyFont="1" applyFill="1"/>
    <xf numFmtId="0" fontId="1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6" fontId="1" fillId="0" borderId="0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0" fillId="0" borderId="23" xfId="0" applyFill="1" applyBorder="1"/>
    <xf numFmtId="0" fontId="0" fillId="0" borderId="40" xfId="0" applyFill="1" applyBorder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6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Border="1" applyAlignment="1">
      <alignment vertical="center" wrapText="1"/>
    </xf>
    <xf numFmtId="6" fontId="5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4" fillId="0" borderId="0" xfId="0" applyFont="1" applyBorder="1" applyAlignment="1"/>
    <xf numFmtId="0" fontId="8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1" fillId="27" borderId="2" xfId="0" applyFont="1" applyFill="1" applyBorder="1" applyAlignment="1">
      <alignment horizontal="center" vertical="center" wrapText="1"/>
    </xf>
    <xf numFmtId="0" fontId="1" fillId="27" borderId="3" xfId="0" applyFont="1" applyFill="1" applyBorder="1" applyAlignment="1">
      <alignment horizontal="center" vertical="center" wrapText="1"/>
    </xf>
    <xf numFmtId="0" fontId="1" fillId="27" borderId="18" xfId="0" applyFont="1" applyFill="1" applyBorder="1" applyAlignment="1">
      <alignment horizontal="center" vertical="center" wrapText="1"/>
    </xf>
    <xf numFmtId="0" fontId="1" fillId="27" borderId="4" xfId="0" applyFont="1" applyFill="1" applyBorder="1" applyAlignment="1">
      <alignment wrapText="1"/>
    </xf>
    <xf numFmtId="0" fontId="0" fillId="28" borderId="5" xfId="0" applyFill="1" applyBorder="1"/>
    <xf numFmtId="0" fontId="1" fillId="28" borderId="5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1" fontId="0" fillId="28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8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9" fontId="1" fillId="28" borderId="1" xfId="0" applyNumberFormat="1" applyFont="1" applyFill="1" applyBorder="1" applyAlignment="1">
      <alignment horizontal="center"/>
    </xf>
    <xf numFmtId="10" fontId="1" fillId="28" borderId="1" xfId="0" applyNumberFormat="1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0" fontId="1" fillId="2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/>
    <xf numFmtId="6" fontId="5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31" fillId="22" borderId="2" xfId="0" applyFont="1" applyFill="1" applyBorder="1" applyAlignment="1">
      <alignment horizontal="center"/>
    </xf>
    <xf numFmtId="0" fontId="31" fillId="22" borderId="3" xfId="0" applyFont="1" applyFill="1" applyBorder="1" applyAlignment="1">
      <alignment horizontal="center"/>
    </xf>
    <xf numFmtId="0" fontId="31" fillId="22" borderId="4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6" borderId="25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0" fontId="1" fillId="9" borderId="19" xfId="1" applyNumberFormat="1" applyFont="1" applyFill="1" applyBorder="1" applyAlignment="1">
      <alignment horizontal="center"/>
    </xf>
    <xf numFmtId="170" fontId="1" fillId="9" borderId="21" xfId="1" applyNumberFormat="1" applyFont="1" applyFill="1" applyBorder="1" applyAlignment="1">
      <alignment horizontal="center"/>
    </xf>
    <xf numFmtId="0" fontId="20" fillId="9" borderId="34" xfId="0" applyFont="1" applyFill="1" applyBorder="1" applyAlignment="1">
      <alignment horizontal="center"/>
    </xf>
    <xf numFmtId="0" fontId="20" fillId="9" borderId="35" xfId="0" applyFont="1" applyFill="1" applyBorder="1" applyAlignment="1">
      <alignment horizontal="center"/>
    </xf>
    <xf numFmtId="0" fontId="20" fillId="9" borderId="31" xfId="0" applyFont="1" applyFill="1" applyBorder="1" applyAlignment="1">
      <alignment horizontal="center"/>
    </xf>
    <xf numFmtId="0" fontId="23" fillId="9" borderId="30" xfId="0" applyFont="1" applyFill="1" applyBorder="1" applyAlignment="1">
      <alignment horizontal="center" vertical="center" wrapText="1"/>
    </xf>
    <xf numFmtId="0" fontId="23" fillId="9" borderId="43" xfId="0" applyFont="1" applyFill="1" applyBorder="1" applyAlignment="1">
      <alignment horizontal="center" vertical="center" wrapText="1"/>
    </xf>
    <xf numFmtId="0" fontId="23" fillId="9" borderId="32" xfId="0" applyFont="1" applyFill="1" applyBorder="1" applyAlignment="1">
      <alignment horizontal="center" vertical="center" wrapText="1"/>
    </xf>
    <xf numFmtId="0" fontId="20" fillId="9" borderId="30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20" fillId="9" borderId="32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/>
    </xf>
    <xf numFmtId="0" fontId="20" fillId="9" borderId="21" xfId="0" applyFont="1" applyFill="1" applyBorder="1" applyAlignment="1">
      <alignment horizontal="center"/>
    </xf>
    <xf numFmtId="0" fontId="20" fillId="9" borderId="30" xfId="0" applyFont="1" applyFill="1" applyBorder="1" applyAlignment="1">
      <alignment horizontal="center" vertical="center"/>
    </xf>
    <xf numFmtId="0" fontId="20" fillId="9" borderId="43" xfId="0" applyFont="1" applyFill="1" applyBorder="1" applyAlignment="1">
      <alignment horizontal="center" vertical="center"/>
    </xf>
    <xf numFmtId="0" fontId="20" fillId="9" borderId="32" xfId="0" applyFont="1" applyFill="1" applyBorder="1" applyAlignment="1">
      <alignment horizontal="center" vertical="center"/>
    </xf>
    <xf numFmtId="0" fontId="21" fillId="9" borderId="31" xfId="0" applyFont="1" applyFill="1" applyBorder="1" applyAlignment="1">
      <alignment horizontal="center" vertical="center" wrapText="1"/>
    </xf>
    <xf numFmtId="0" fontId="21" fillId="9" borderId="37" xfId="0" applyFont="1" applyFill="1" applyBorder="1" applyAlignment="1">
      <alignment horizontal="center" vertical="center" wrapText="1"/>
    </xf>
    <xf numFmtId="0" fontId="21" fillId="9" borderId="51" xfId="0" applyFont="1" applyFill="1" applyBorder="1" applyAlignment="1">
      <alignment horizontal="center" vertical="center" wrapText="1"/>
    </xf>
    <xf numFmtId="0" fontId="23" fillId="9" borderId="30" xfId="0" applyFont="1" applyFill="1" applyBorder="1" applyAlignment="1">
      <alignment horizontal="center" vertical="center"/>
    </xf>
    <xf numFmtId="0" fontId="23" fillId="9" borderId="32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9" borderId="36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/>
    </xf>
    <xf numFmtId="0" fontId="23" fillId="9" borderId="21" xfId="0" applyFont="1" applyFill="1" applyBorder="1" applyAlignment="1">
      <alignment horizontal="center"/>
    </xf>
    <xf numFmtId="0" fontId="22" fillId="9" borderId="30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9" fontId="22" fillId="8" borderId="30" xfId="0" applyNumberFormat="1" applyFont="1" applyFill="1" applyBorder="1" applyAlignment="1">
      <alignment horizontal="center" vertical="center"/>
    </xf>
    <xf numFmtId="9" fontId="22" fillId="8" borderId="32" xfId="0" applyNumberFormat="1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0" fontId="1" fillId="10" borderId="5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4" fillId="10" borderId="21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9" fontId="10" fillId="11" borderId="30" xfId="0" applyNumberFormat="1" applyFont="1" applyFill="1" applyBorder="1" applyAlignment="1">
      <alignment horizontal="center" vertical="center"/>
    </xf>
    <xf numFmtId="9" fontId="10" fillId="11" borderId="32" xfId="0" applyNumberFormat="1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15" fillId="26" borderId="46" xfId="0" applyFont="1" applyFill="1" applyBorder="1" applyAlignment="1">
      <alignment horizontal="center" vertical="top" wrapText="1"/>
    </xf>
    <xf numFmtId="0" fontId="15" fillId="26" borderId="47" xfId="0" applyFont="1" applyFill="1" applyBorder="1" applyAlignment="1">
      <alignment horizontal="center" vertical="top" wrapText="1"/>
    </xf>
    <xf numFmtId="0" fontId="15" fillId="26" borderId="48" xfId="0" applyFont="1" applyFill="1" applyBorder="1" applyAlignment="1">
      <alignment horizontal="center" vertical="top" wrapText="1"/>
    </xf>
    <xf numFmtId="0" fontId="25" fillId="16" borderId="19" xfId="0" applyFont="1" applyFill="1" applyBorder="1" applyAlignment="1">
      <alignment horizontal="left"/>
    </xf>
    <xf numFmtId="0" fontId="25" fillId="16" borderId="20" xfId="0" applyFont="1" applyFill="1" applyBorder="1" applyAlignment="1">
      <alignment horizontal="left"/>
    </xf>
    <xf numFmtId="0" fontId="25" fillId="16" borderId="52" xfId="0" applyFont="1" applyFill="1" applyBorder="1" applyAlignment="1">
      <alignment horizontal="left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7" fillId="24" borderId="15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9" fontId="0" fillId="4" borderId="53" xfId="0" applyNumberFormat="1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9" fontId="0" fillId="25" borderId="53" xfId="0" applyNumberFormat="1" applyFill="1" applyBorder="1" applyAlignment="1">
      <alignment horizontal="center" vertical="center"/>
    </xf>
    <xf numFmtId="0" fontId="0" fillId="25" borderId="54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  <colors>
    <mruColors>
      <color rgb="FF9DE9E7"/>
      <color rgb="FFD7F6F5"/>
      <color rgb="FF00B9FA"/>
      <color rgb="FF65E2FF"/>
      <color rgb="FFC2F1F0"/>
      <color rgb="FF8AE4E2"/>
      <color rgb="FF00D7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user/Configuraci&#243;n%20local/Archivos%20temporales%20de%20Internet/Content.IE5/44680U8L/FLUJO%20DE%20CA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ANDA"/>
      <sheetName val="PRESTAMO"/>
      <sheetName val="DEPRECIACION"/>
      <sheetName val="Hoja1"/>
      <sheetName val="CAPITAL DE TRABAJO"/>
    </sheetNames>
    <sheetDataSet>
      <sheetData sheetId="0">
        <row r="26">
          <cell r="B26">
            <v>31</v>
          </cell>
          <cell r="C26">
            <v>27</v>
          </cell>
        </row>
        <row r="33">
          <cell r="B33">
            <v>41</v>
          </cell>
          <cell r="C33">
            <v>38</v>
          </cell>
        </row>
        <row r="40">
          <cell r="B40">
            <v>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tabSelected="1" zoomScale="85" zoomScaleNormal="85" workbookViewId="0">
      <selection activeCell="A15" sqref="A15"/>
    </sheetView>
  </sheetViews>
  <sheetFormatPr baseColWidth="10" defaultColWidth="11.42578125" defaultRowHeight="15"/>
  <cols>
    <col min="1" max="1" width="11.42578125" style="11"/>
    <col min="2" max="2" width="40" style="11" customWidth="1"/>
    <col min="3" max="3" width="26" style="11" customWidth="1"/>
    <col min="4" max="4" width="18.5703125" style="11" customWidth="1"/>
    <col min="5" max="5" width="20" style="11" customWidth="1"/>
    <col min="6" max="6" width="20.5703125" style="11" customWidth="1"/>
    <col min="7" max="7" width="13.5703125" style="11" customWidth="1"/>
    <col min="8" max="8" width="13.42578125" style="11" bestFit="1" customWidth="1"/>
    <col min="9" max="9" width="13.28515625" style="11" customWidth="1"/>
    <col min="10" max="12" width="15" style="11" bestFit="1" customWidth="1"/>
    <col min="13" max="13" width="15" style="11" customWidth="1"/>
    <col min="14" max="14" width="8.85546875" style="11" customWidth="1"/>
    <col min="15" max="15" width="10" style="11" bestFit="1" customWidth="1"/>
    <col min="16" max="16" width="10.85546875" style="11" customWidth="1"/>
    <col min="17" max="17" width="11" style="11" bestFit="1" customWidth="1"/>
    <col min="18" max="16384" width="11.42578125" style="11"/>
  </cols>
  <sheetData>
    <row r="1" spans="1:20" ht="101.25" customHeight="1">
      <c r="A1" s="223"/>
      <c r="B1" s="343" t="s">
        <v>23</v>
      </c>
      <c r="C1" s="344" t="s">
        <v>210</v>
      </c>
      <c r="D1" s="344" t="s">
        <v>90</v>
      </c>
      <c r="E1" s="344" t="s">
        <v>91</v>
      </c>
      <c r="F1" s="344" t="s">
        <v>92</v>
      </c>
      <c r="G1" s="344" t="s">
        <v>93</v>
      </c>
      <c r="H1" s="344" t="s">
        <v>94</v>
      </c>
      <c r="I1" s="344" t="s">
        <v>95</v>
      </c>
      <c r="J1" s="344" t="s">
        <v>96</v>
      </c>
      <c r="K1" s="344" t="s">
        <v>97</v>
      </c>
      <c r="L1" s="344" t="s">
        <v>98</v>
      </c>
      <c r="M1" s="344" t="s">
        <v>99</v>
      </c>
      <c r="N1" s="345" t="s">
        <v>31</v>
      </c>
      <c r="O1" s="344" t="s">
        <v>100</v>
      </c>
      <c r="P1" s="345" t="s">
        <v>32</v>
      </c>
      <c r="Q1" s="346" t="s">
        <v>101</v>
      </c>
      <c r="R1" s="223"/>
      <c r="S1" s="223"/>
      <c r="T1" s="223"/>
    </row>
    <row r="2" spans="1:20">
      <c r="A2" s="223"/>
      <c r="B2" s="347"/>
      <c r="C2" s="349"/>
      <c r="D2" s="355">
        <v>0.3</v>
      </c>
      <c r="E2" s="355">
        <v>0.2</v>
      </c>
      <c r="F2" s="356">
        <v>0.67400000000000004</v>
      </c>
      <c r="G2" s="355">
        <v>0.75</v>
      </c>
      <c r="H2" s="356">
        <v>0.32600000000000001</v>
      </c>
      <c r="I2" s="355">
        <v>0.56999999999999995</v>
      </c>
      <c r="J2" s="357"/>
      <c r="K2" s="357"/>
      <c r="L2" s="357"/>
      <c r="M2" s="358">
        <v>0.94699999999999995</v>
      </c>
      <c r="N2" s="355">
        <v>0.5</v>
      </c>
      <c r="O2" s="359">
        <v>0.71</v>
      </c>
      <c r="P2" s="355">
        <v>0.5</v>
      </c>
      <c r="Q2" s="360">
        <v>5.2600000000000001E-2</v>
      </c>
      <c r="R2" s="289"/>
      <c r="S2" s="223"/>
      <c r="T2" s="223"/>
    </row>
    <row r="3" spans="1:20">
      <c r="A3" s="223"/>
      <c r="B3" s="348">
        <v>2013</v>
      </c>
      <c r="C3" s="349">
        <v>42327</v>
      </c>
      <c r="D3" s="350">
        <f>C3*$D$2</f>
        <v>12698.1</v>
      </c>
      <c r="E3" s="350">
        <f>D3*$E$2</f>
        <v>2539.6200000000003</v>
      </c>
      <c r="F3" s="350">
        <f>E3*0.674</f>
        <v>1711.7038800000003</v>
      </c>
      <c r="G3" s="350">
        <f>F3*0.75</f>
        <v>1283.7779100000002</v>
      </c>
      <c r="H3" s="350">
        <f>E3*$H$2</f>
        <v>827.91612000000009</v>
      </c>
      <c r="I3" s="350">
        <f>H3*$I$2</f>
        <v>471.91218839999999</v>
      </c>
      <c r="J3" s="350">
        <f>G3+I3</f>
        <v>1755.6900984000004</v>
      </c>
      <c r="K3" s="350">
        <f>0.05*J3</f>
        <v>87.784504920000018</v>
      </c>
      <c r="L3" s="349">
        <v>190</v>
      </c>
      <c r="M3" s="351">
        <f>(K3*L3)*$M$2</f>
        <v>15795.065970255602</v>
      </c>
      <c r="N3" s="350">
        <f>K3*L3*$N$2</f>
        <v>8339.5279674000012</v>
      </c>
      <c r="O3" s="351">
        <f>N3*$O$2</f>
        <v>5921.0648568540009</v>
      </c>
      <c r="P3" s="350">
        <f>L3*K3*$P$2</f>
        <v>8339.5279674000012</v>
      </c>
      <c r="Q3" s="352">
        <f>P3*$Q$2</f>
        <v>438.65917108524008</v>
      </c>
      <c r="R3" s="223"/>
      <c r="S3" s="223"/>
      <c r="T3" s="223"/>
    </row>
    <row r="4" spans="1:20">
      <c r="A4" s="223"/>
      <c r="B4" s="348">
        <v>2014</v>
      </c>
      <c r="C4" s="350">
        <f>C3+C3*0.03</f>
        <v>43596.81</v>
      </c>
      <c r="D4" s="350">
        <f t="shared" ref="D4:D12" si="0">C4*$D$2</f>
        <v>13079.043</v>
      </c>
      <c r="E4" s="350">
        <f t="shared" ref="E4:E12" si="1">D4*$E$2</f>
        <v>2615.8086000000003</v>
      </c>
      <c r="F4" s="350">
        <f t="shared" ref="F4:F12" si="2">E4*0.674</f>
        <v>1763.0549964000004</v>
      </c>
      <c r="G4" s="350">
        <f t="shared" ref="G4:G12" si="3">F4*0.75</f>
        <v>1322.2912473000004</v>
      </c>
      <c r="H4" s="350">
        <f t="shared" ref="H4:H12" si="4">E4*$H$2</f>
        <v>852.75360360000013</v>
      </c>
      <c r="I4" s="350">
        <f t="shared" ref="I4:I12" si="5">H4*$I$2</f>
        <v>486.06955405200006</v>
      </c>
      <c r="J4" s="350">
        <f>G4+I4</f>
        <v>1808.3608013520004</v>
      </c>
      <c r="K4" s="350">
        <f t="shared" ref="K4:K12" si="6">0.05*J4</f>
        <v>90.418040067600032</v>
      </c>
      <c r="L4" s="349">
        <v>190</v>
      </c>
      <c r="M4" s="351">
        <f>(K4*L4)*$M$2</f>
        <v>16268.917949363275</v>
      </c>
      <c r="N4" s="350">
        <f t="shared" ref="N4:N12" si="7">K4*L4*$N$2</f>
        <v>8589.7138064220035</v>
      </c>
      <c r="O4" s="351">
        <f t="shared" ref="O4:O12" si="8">N4*$O$2</f>
        <v>6098.6968025596225</v>
      </c>
      <c r="P4" s="350">
        <f t="shared" ref="P4:P12" si="9">L4*K4*$P$2</f>
        <v>8589.7138064220035</v>
      </c>
      <c r="Q4" s="352">
        <f t="shared" ref="Q4:Q12" si="10">P4*$Q$2</f>
        <v>451.81894621779742</v>
      </c>
      <c r="R4" s="223"/>
      <c r="S4" s="223"/>
      <c r="T4" s="223"/>
    </row>
    <row r="5" spans="1:20">
      <c r="A5" s="223"/>
      <c r="B5" s="348">
        <v>2015</v>
      </c>
      <c r="C5" s="350">
        <f t="shared" ref="C5:C12" si="11">C4+C4*0.03</f>
        <v>44904.7143</v>
      </c>
      <c r="D5" s="350">
        <f t="shared" si="0"/>
        <v>13471.414289999999</v>
      </c>
      <c r="E5" s="350">
        <f t="shared" si="1"/>
        <v>2694.282858</v>
      </c>
      <c r="F5" s="350">
        <f t="shared" si="2"/>
        <v>1815.9466462920002</v>
      </c>
      <c r="G5" s="350">
        <f t="shared" si="3"/>
        <v>1361.9599847190002</v>
      </c>
      <c r="H5" s="350">
        <f t="shared" si="4"/>
        <v>878.33621170800006</v>
      </c>
      <c r="I5" s="350">
        <f t="shared" si="5"/>
        <v>500.65164067356</v>
      </c>
      <c r="J5" s="350">
        <f t="shared" ref="J5:J12" si="12">G5+I5</f>
        <v>1862.6116253925602</v>
      </c>
      <c r="K5" s="350">
        <f t="shared" si="6"/>
        <v>93.13058126962801</v>
      </c>
      <c r="L5" s="349">
        <v>190</v>
      </c>
      <c r="M5" s="351">
        <f t="shared" ref="M5:M12" si="13">(K5*L5)*$M$2</f>
        <v>16756.985487844166</v>
      </c>
      <c r="N5" s="350">
        <f t="shared" si="7"/>
        <v>8847.4052206146607</v>
      </c>
      <c r="O5" s="351">
        <f t="shared" si="8"/>
        <v>6281.6577066364089</v>
      </c>
      <c r="P5" s="350">
        <f t="shared" si="9"/>
        <v>8847.4052206146607</v>
      </c>
      <c r="Q5" s="352">
        <f t="shared" si="10"/>
        <v>465.37351460433115</v>
      </c>
      <c r="R5" s="223"/>
      <c r="S5" s="223"/>
      <c r="T5" s="223"/>
    </row>
    <row r="6" spans="1:20">
      <c r="A6" s="223"/>
      <c r="B6" s="348">
        <v>2016</v>
      </c>
      <c r="C6" s="350">
        <f t="shared" si="11"/>
        <v>46251.855729000003</v>
      </c>
      <c r="D6" s="350">
        <f t="shared" si="0"/>
        <v>13875.5567187</v>
      </c>
      <c r="E6" s="350">
        <f t="shared" si="1"/>
        <v>2775.1113437399999</v>
      </c>
      <c r="F6" s="350">
        <f t="shared" si="2"/>
        <v>1870.4250456807601</v>
      </c>
      <c r="G6" s="350">
        <f t="shared" si="3"/>
        <v>1402.8187842605701</v>
      </c>
      <c r="H6" s="350">
        <f t="shared" si="4"/>
        <v>904.68629805924002</v>
      </c>
      <c r="I6" s="350">
        <f t="shared" si="5"/>
        <v>515.67118989376672</v>
      </c>
      <c r="J6" s="350">
        <f t="shared" si="12"/>
        <v>1918.4899741543368</v>
      </c>
      <c r="K6" s="350">
        <f t="shared" si="6"/>
        <v>95.92449870771685</v>
      </c>
      <c r="L6" s="349">
        <v>190</v>
      </c>
      <c r="M6" s="351">
        <f t="shared" si="13"/>
        <v>17259.695052479492</v>
      </c>
      <c r="N6" s="350">
        <f t="shared" si="7"/>
        <v>9112.8273772331013</v>
      </c>
      <c r="O6" s="351">
        <f t="shared" si="8"/>
        <v>6470.1074378355015</v>
      </c>
      <c r="P6" s="350">
        <f t="shared" si="9"/>
        <v>9112.8273772331013</v>
      </c>
      <c r="Q6" s="352">
        <f t="shared" si="10"/>
        <v>479.33472004246113</v>
      </c>
      <c r="R6" s="223"/>
      <c r="S6" s="223"/>
      <c r="T6" s="223"/>
    </row>
    <row r="7" spans="1:20">
      <c r="A7" s="223"/>
      <c r="B7" s="348">
        <v>2017</v>
      </c>
      <c r="C7" s="350">
        <f t="shared" si="11"/>
        <v>47639.411400870005</v>
      </c>
      <c r="D7" s="350">
        <f t="shared" si="0"/>
        <v>14291.823420261002</v>
      </c>
      <c r="E7" s="350">
        <f t="shared" si="1"/>
        <v>2858.3646840522006</v>
      </c>
      <c r="F7" s="350">
        <f t="shared" si="2"/>
        <v>1926.5377970511834</v>
      </c>
      <c r="G7" s="350">
        <f t="shared" si="3"/>
        <v>1444.9033477883875</v>
      </c>
      <c r="H7" s="350">
        <f t="shared" si="4"/>
        <v>931.82688700101744</v>
      </c>
      <c r="I7" s="350">
        <f t="shared" si="5"/>
        <v>531.14132559057987</v>
      </c>
      <c r="J7" s="350">
        <f t="shared" si="12"/>
        <v>1976.0446733789672</v>
      </c>
      <c r="K7" s="350">
        <f t="shared" si="6"/>
        <v>98.802233668948361</v>
      </c>
      <c r="L7" s="349">
        <v>190</v>
      </c>
      <c r="M7" s="351">
        <f t="shared" si="13"/>
        <v>17777.485904053879</v>
      </c>
      <c r="N7" s="350">
        <f t="shared" si="7"/>
        <v>9386.2121985500944</v>
      </c>
      <c r="O7" s="351">
        <f t="shared" si="8"/>
        <v>6664.210660970567</v>
      </c>
      <c r="P7" s="350">
        <f t="shared" si="9"/>
        <v>9386.2121985500944</v>
      </c>
      <c r="Q7" s="352">
        <f t="shared" si="10"/>
        <v>493.71476164373496</v>
      </c>
      <c r="R7" s="223"/>
      <c r="S7" s="223"/>
      <c r="T7" s="223"/>
    </row>
    <row r="8" spans="1:20">
      <c r="A8" s="223"/>
      <c r="B8" s="348">
        <v>2018</v>
      </c>
      <c r="C8" s="350">
        <f t="shared" si="11"/>
        <v>49068.593742896104</v>
      </c>
      <c r="D8" s="350">
        <f t="shared" si="0"/>
        <v>14720.57812286883</v>
      </c>
      <c r="E8" s="350">
        <f t="shared" si="1"/>
        <v>2944.1156245737661</v>
      </c>
      <c r="F8" s="350">
        <f t="shared" si="2"/>
        <v>1984.3339309627186</v>
      </c>
      <c r="G8" s="350">
        <f t="shared" si="3"/>
        <v>1488.2504482220388</v>
      </c>
      <c r="H8" s="350">
        <f t="shared" si="4"/>
        <v>959.78169361104779</v>
      </c>
      <c r="I8" s="350">
        <f t="shared" si="5"/>
        <v>547.07556535829724</v>
      </c>
      <c r="J8" s="350">
        <f t="shared" si="12"/>
        <v>2035.3260135803362</v>
      </c>
      <c r="K8" s="350">
        <f t="shared" si="6"/>
        <v>101.76630067901681</v>
      </c>
      <c r="L8" s="349">
        <v>190</v>
      </c>
      <c r="M8" s="351">
        <f t="shared" si="13"/>
        <v>18310.810481175493</v>
      </c>
      <c r="N8" s="350">
        <f t="shared" si="7"/>
        <v>9667.7985645065964</v>
      </c>
      <c r="O8" s="351">
        <f t="shared" si="8"/>
        <v>6864.1369807996834</v>
      </c>
      <c r="P8" s="350">
        <f t="shared" si="9"/>
        <v>9667.7985645065964</v>
      </c>
      <c r="Q8" s="352">
        <f t="shared" si="10"/>
        <v>508.52620449304698</v>
      </c>
      <c r="R8" s="223"/>
      <c r="S8" s="223"/>
      <c r="T8" s="223"/>
    </row>
    <row r="9" spans="1:20">
      <c r="A9" s="223"/>
      <c r="B9" s="348">
        <v>2019</v>
      </c>
      <c r="C9" s="350">
        <f t="shared" si="11"/>
        <v>50540.651555182987</v>
      </c>
      <c r="D9" s="350">
        <f t="shared" si="0"/>
        <v>15162.195466554895</v>
      </c>
      <c r="E9" s="350">
        <f t="shared" si="1"/>
        <v>3032.4390933109789</v>
      </c>
      <c r="F9" s="350">
        <f t="shared" si="2"/>
        <v>2043.8639488915999</v>
      </c>
      <c r="G9" s="350">
        <f t="shared" si="3"/>
        <v>1532.8979616687</v>
      </c>
      <c r="H9" s="350">
        <f t="shared" si="4"/>
        <v>988.57514441937917</v>
      </c>
      <c r="I9" s="350">
        <f t="shared" si="5"/>
        <v>563.48783231904611</v>
      </c>
      <c r="J9" s="350">
        <f t="shared" si="12"/>
        <v>2096.3857939877462</v>
      </c>
      <c r="K9" s="350">
        <f t="shared" si="6"/>
        <v>104.81928969938731</v>
      </c>
      <c r="L9" s="349">
        <v>190</v>
      </c>
      <c r="M9" s="351">
        <f t="shared" si="13"/>
        <v>18860.134795610757</v>
      </c>
      <c r="N9" s="350">
        <f t="shared" si="7"/>
        <v>9957.8325214417946</v>
      </c>
      <c r="O9" s="351">
        <f t="shared" si="8"/>
        <v>7070.061090223674</v>
      </c>
      <c r="P9" s="350">
        <f t="shared" si="9"/>
        <v>9957.8325214417946</v>
      </c>
      <c r="Q9" s="352">
        <f t="shared" si="10"/>
        <v>523.78199062783835</v>
      </c>
      <c r="R9" s="223"/>
      <c r="S9" s="223"/>
      <c r="T9" s="223"/>
    </row>
    <row r="10" spans="1:20">
      <c r="A10" s="223"/>
      <c r="B10" s="348">
        <v>2020</v>
      </c>
      <c r="C10" s="350">
        <f t="shared" si="11"/>
        <v>52056.871101838478</v>
      </c>
      <c r="D10" s="350">
        <f t="shared" si="0"/>
        <v>15617.061330551544</v>
      </c>
      <c r="E10" s="350">
        <f t="shared" si="1"/>
        <v>3123.4122661103088</v>
      </c>
      <c r="F10" s="350">
        <f t="shared" si="2"/>
        <v>2105.1798673583485</v>
      </c>
      <c r="G10" s="350">
        <f t="shared" si="3"/>
        <v>1578.8849005187612</v>
      </c>
      <c r="H10" s="350">
        <f t="shared" si="4"/>
        <v>1018.2323987519607</v>
      </c>
      <c r="I10" s="350">
        <f t="shared" si="5"/>
        <v>580.39246728861758</v>
      </c>
      <c r="J10" s="350">
        <f t="shared" si="12"/>
        <v>2159.2773678073791</v>
      </c>
      <c r="K10" s="350">
        <f t="shared" si="6"/>
        <v>107.96386839036896</v>
      </c>
      <c r="L10" s="349">
        <v>190</v>
      </c>
      <c r="M10" s="351">
        <f t="shared" si="13"/>
        <v>19425.938839479084</v>
      </c>
      <c r="N10" s="350">
        <f t="shared" si="7"/>
        <v>10256.56749708505</v>
      </c>
      <c r="O10" s="351">
        <f t="shared" si="8"/>
        <v>7282.1629229303853</v>
      </c>
      <c r="P10" s="350">
        <f t="shared" si="9"/>
        <v>10256.56749708505</v>
      </c>
      <c r="Q10" s="352">
        <f t="shared" si="10"/>
        <v>539.49545034667369</v>
      </c>
      <c r="R10" s="223"/>
      <c r="S10" s="223"/>
      <c r="T10" s="223"/>
    </row>
    <row r="11" spans="1:20">
      <c r="A11" s="223"/>
      <c r="B11" s="348">
        <v>2021</v>
      </c>
      <c r="C11" s="350">
        <f t="shared" si="11"/>
        <v>53618.57723489363</v>
      </c>
      <c r="D11" s="350">
        <f t="shared" si="0"/>
        <v>16085.573170468087</v>
      </c>
      <c r="E11" s="350">
        <f t="shared" si="1"/>
        <v>3217.1146340936175</v>
      </c>
      <c r="F11" s="350">
        <f t="shared" si="2"/>
        <v>2168.3352633790983</v>
      </c>
      <c r="G11" s="350">
        <f t="shared" si="3"/>
        <v>1626.2514475343237</v>
      </c>
      <c r="H11" s="350">
        <f t="shared" si="4"/>
        <v>1048.7793707145192</v>
      </c>
      <c r="I11" s="350">
        <f t="shared" si="5"/>
        <v>597.8042413072759</v>
      </c>
      <c r="J11" s="350">
        <f t="shared" si="12"/>
        <v>2224.0556888415995</v>
      </c>
      <c r="K11" s="350">
        <f t="shared" si="6"/>
        <v>111.20278444207997</v>
      </c>
      <c r="L11" s="349">
        <v>190</v>
      </c>
      <c r="M11" s="351">
        <f t="shared" si="13"/>
        <v>20008.717004663446</v>
      </c>
      <c r="N11" s="350">
        <f t="shared" si="7"/>
        <v>10564.264521997597</v>
      </c>
      <c r="O11" s="351">
        <f t="shared" si="8"/>
        <v>7500.6278106182936</v>
      </c>
      <c r="P11" s="350">
        <f t="shared" si="9"/>
        <v>10564.264521997597</v>
      </c>
      <c r="Q11" s="352">
        <f t="shared" si="10"/>
        <v>555.68031385707354</v>
      </c>
      <c r="R11" s="223"/>
      <c r="S11" s="223"/>
      <c r="T11" s="223"/>
    </row>
    <row r="12" spans="1:20" ht="15.75" thickBot="1">
      <c r="A12" s="223"/>
      <c r="B12" s="348">
        <v>2022</v>
      </c>
      <c r="C12" s="353">
        <f t="shared" si="11"/>
        <v>55227.134551940442</v>
      </c>
      <c r="D12" s="353">
        <f t="shared" si="0"/>
        <v>16568.14036558213</v>
      </c>
      <c r="E12" s="353">
        <f t="shared" si="1"/>
        <v>3313.6280731164261</v>
      </c>
      <c r="F12" s="353">
        <f t="shared" si="2"/>
        <v>2233.3853212804715</v>
      </c>
      <c r="G12" s="353">
        <f t="shared" si="3"/>
        <v>1675.0389909603537</v>
      </c>
      <c r="H12" s="353">
        <f t="shared" si="4"/>
        <v>1080.242751835955</v>
      </c>
      <c r="I12" s="353">
        <f t="shared" si="5"/>
        <v>615.73836854649426</v>
      </c>
      <c r="J12" s="353">
        <f t="shared" si="12"/>
        <v>2290.7773595068479</v>
      </c>
      <c r="K12" s="350">
        <f t="shared" si="6"/>
        <v>114.5388679753424</v>
      </c>
      <c r="L12" s="349">
        <v>190</v>
      </c>
      <c r="M12" s="354">
        <f t="shared" si="13"/>
        <v>20608.978514803355</v>
      </c>
      <c r="N12" s="353">
        <f t="shared" si="7"/>
        <v>10881.192457657527</v>
      </c>
      <c r="O12" s="354">
        <f t="shared" si="8"/>
        <v>7725.6466449368445</v>
      </c>
      <c r="P12" s="350">
        <f t="shared" si="9"/>
        <v>10881.192457657527</v>
      </c>
      <c r="Q12" s="352">
        <f t="shared" si="10"/>
        <v>572.3507232727859</v>
      </c>
      <c r="R12" s="223"/>
      <c r="S12" s="223"/>
      <c r="T12" s="223"/>
    </row>
    <row r="13" spans="1:20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"/>
      <c r="N14" s="223"/>
      <c r="O14" s="223"/>
      <c r="P14" s="223"/>
      <c r="Q14" s="223"/>
      <c r="R14" s="223"/>
      <c r="S14" s="223"/>
      <c r="T14" s="223"/>
    </row>
    <row r="15" spans="1:20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</row>
    <row r="16" spans="1:20">
      <c r="A16" s="223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</row>
    <row r="17" spans="1:23">
      <c r="A17" s="223"/>
      <c r="B17" s="324"/>
      <c r="C17" s="50"/>
      <c r="D17" s="2"/>
      <c r="E17" s="2"/>
      <c r="F17" s="2"/>
      <c r="G17" s="2"/>
      <c r="H17" s="2"/>
      <c r="I17" s="2"/>
      <c r="J17" s="2"/>
      <c r="K17" s="2"/>
      <c r="L17" s="2"/>
      <c r="M17" s="2"/>
      <c r="N17" s="223"/>
      <c r="O17" s="223"/>
      <c r="P17" s="223"/>
      <c r="Q17" s="223"/>
      <c r="R17" s="223"/>
      <c r="S17" s="223"/>
      <c r="T17" s="223"/>
    </row>
    <row r="18" spans="1:23">
      <c r="A18" s="223"/>
      <c r="B18" s="324"/>
      <c r="C18" s="50"/>
      <c r="D18" s="2"/>
      <c r="E18" s="2"/>
      <c r="F18" s="2"/>
      <c r="G18" s="2"/>
      <c r="H18" s="2"/>
      <c r="I18" s="2"/>
      <c r="J18" s="2"/>
      <c r="K18" s="2"/>
      <c r="L18" s="2"/>
      <c r="M18" s="2"/>
      <c r="N18" s="223"/>
      <c r="O18" s="223"/>
      <c r="P18" s="223"/>
      <c r="Q18" s="223"/>
      <c r="R18" s="223"/>
      <c r="S18" s="223"/>
      <c r="T18" s="223"/>
    </row>
    <row r="19" spans="1:23">
      <c r="A19" s="223"/>
      <c r="B19" s="288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</row>
    <row r="20" spans="1:23">
      <c r="A20" s="223"/>
      <c r="B20" s="4" t="s">
        <v>0</v>
      </c>
      <c r="C20" s="4">
        <v>0</v>
      </c>
      <c r="D20" s="4">
        <v>1</v>
      </c>
      <c r="E20" s="4">
        <v>2</v>
      </c>
      <c r="F20" s="4">
        <v>3</v>
      </c>
      <c r="G20" s="4">
        <v>4</v>
      </c>
      <c r="H20" s="4">
        <v>5</v>
      </c>
      <c r="I20" s="4">
        <v>6</v>
      </c>
      <c r="J20" s="4">
        <v>7</v>
      </c>
      <c r="K20" s="4">
        <v>8</v>
      </c>
      <c r="L20" s="4">
        <v>9</v>
      </c>
      <c r="M20" s="4">
        <v>10</v>
      </c>
      <c r="N20" s="223"/>
      <c r="O20" s="223"/>
      <c r="P20" s="223"/>
      <c r="Q20" s="223"/>
      <c r="R20" s="223"/>
      <c r="S20" s="223"/>
      <c r="T20" s="223"/>
    </row>
    <row r="21" spans="1:23">
      <c r="A21" s="223"/>
      <c r="B21" s="3" t="s">
        <v>1</v>
      </c>
      <c r="C21" s="12"/>
      <c r="D21" s="12">
        <f>M3</f>
        <v>15795.065970255602</v>
      </c>
      <c r="E21" s="12">
        <f>(D21*6%)+D21</f>
        <v>16742.769928470938</v>
      </c>
      <c r="F21" s="12">
        <f>(E21*6%)+E21</f>
        <v>17747.336124179194</v>
      </c>
      <c r="G21" s="12">
        <f t="shared" ref="G21:M21" si="14">(F21*6%)+F21</f>
        <v>18812.176291629945</v>
      </c>
      <c r="H21" s="12">
        <f t="shared" si="14"/>
        <v>19940.906869127743</v>
      </c>
      <c r="I21" s="12">
        <f t="shared" si="14"/>
        <v>21137.361281275407</v>
      </c>
      <c r="J21" s="12">
        <f t="shared" si="14"/>
        <v>22405.602958151932</v>
      </c>
      <c r="K21" s="12">
        <f t="shared" si="14"/>
        <v>23749.939135641049</v>
      </c>
      <c r="L21" s="12">
        <f t="shared" si="14"/>
        <v>25174.935483779511</v>
      </c>
      <c r="M21" s="12">
        <f t="shared" si="14"/>
        <v>26685.431612806282</v>
      </c>
      <c r="N21" s="223"/>
      <c r="O21" s="223"/>
      <c r="P21" s="223"/>
      <c r="Q21" s="223"/>
      <c r="R21" s="223"/>
    </row>
    <row r="22" spans="1:23">
      <c r="A22" s="223"/>
      <c r="B22" s="219" t="s">
        <v>2</v>
      </c>
      <c r="C22" s="1"/>
      <c r="D22" s="12">
        <f>O3</f>
        <v>5921.0648568540009</v>
      </c>
      <c r="E22" s="12">
        <f>(D22*6%)+D22</f>
        <v>6276.3287482652413</v>
      </c>
      <c r="F22" s="12">
        <f t="shared" ref="F22:M22" si="15">(E22*6%)+E22</f>
        <v>6652.9084731611556</v>
      </c>
      <c r="G22" s="12">
        <f t="shared" si="15"/>
        <v>7052.082981550825</v>
      </c>
      <c r="H22" s="12">
        <f t="shared" si="15"/>
        <v>7475.207960443875</v>
      </c>
      <c r="I22" s="12">
        <f t="shared" si="15"/>
        <v>7923.720438070507</v>
      </c>
      <c r="J22" s="12">
        <f t="shared" si="15"/>
        <v>8399.1436643547368</v>
      </c>
      <c r="K22" s="12">
        <f t="shared" si="15"/>
        <v>8903.0922842160217</v>
      </c>
      <c r="L22" s="12">
        <f t="shared" si="15"/>
        <v>9437.2778212689827</v>
      </c>
      <c r="M22" s="12">
        <f t="shared" si="15"/>
        <v>10003.514490545122</v>
      </c>
      <c r="N22" s="223"/>
      <c r="O22" s="223"/>
      <c r="P22" s="223"/>
      <c r="Q22" s="223"/>
      <c r="R22" s="223"/>
    </row>
    <row r="23" spans="1:23">
      <c r="A23" s="223"/>
      <c r="B23" s="219" t="s">
        <v>3</v>
      </c>
      <c r="C23" s="1"/>
      <c r="D23" s="12">
        <f>Q3</f>
        <v>438.65917108524008</v>
      </c>
      <c r="E23" s="12">
        <f>(D23*6%)+D23</f>
        <v>464.97872135035448</v>
      </c>
      <c r="F23" s="12">
        <f t="shared" ref="F23:M23" si="16">(E23*6%)+E23</f>
        <v>492.87744463137574</v>
      </c>
      <c r="G23" s="12">
        <f t="shared" si="16"/>
        <v>522.45009130925826</v>
      </c>
      <c r="H23" s="12">
        <f t="shared" si="16"/>
        <v>553.79709678781376</v>
      </c>
      <c r="I23" s="12">
        <f t="shared" si="16"/>
        <v>587.02492259508256</v>
      </c>
      <c r="J23" s="12">
        <f t="shared" si="16"/>
        <v>622.24641795078753</v>
      </c>
      <c r="K23" s="12">
        <f t="shared" si="16"/>
        <v>659.58120302783482</v>
      </c>
      <c r="L23" s="12">
        <f t="shared" si="16"/>
        <v>699.15607520950493</v>
      </c>
      <c r="M23" s="12">
        <f t="shared" si="16"/>
        <v>741.10543972207518</v>
      </c>
      <c r="N23" s="223"/>
      <c r="O23" s="223"/>
      <c r="P23" s="223"/>
      <c r="Q23" s="223"/>
      <c r="R23" s="223"/>
    </row>
    <row r="24" spans="1:23">
      <c r="A24" s="223"/>
      <c r="B24" s="324"/>
      <c r="C24" s="50"/>
      <c r="D24" s="2"/>
      <c r="E24" s="2"/>
      <c r="F24" s="2"/>
      <c r="G24" s="2"/>
      <c r="H24" s="2"/>
      <c r="I24" s="2"/>
      <c r="J24" s="2"/>
      <c r="K24" s="2"/>
      <c r="L24" s="2"/>
      <c r="M24" s="2"/>
      <c r="N24" s="223"/>
      <c r="O24" s="223"/>
      <c r="P24" s="223"/>
      <c r="Q24" s="223"/>
      <c r="R24" s="223"/>
    </row>
    <row r="25" spans="1:23">
      <c r="A25" s="223"/>
      <c r="B25" s="324"/>
      <c r="C25" s="50"/>
      <c r="D25" s="2"/>
      <c r="E25" s="2"/>
      <c r="F25" s="2"/>
      <c r="G25" s="2"/>
      <c r="H25" s="2"/>
      <c r="I25" s="2"/>
      <c r="J25" s="2"/>
      <c r="K25" s="2"/>
      <c r="L25" s="2"/>
      <c r="M25" s="2"/>
      <c r="N25" s="223"/>
      <c r="O25" s="223"/>
      <c r="P25" s="223"/>
      <c r="Q25" s="223"/>
      <c r="R25" s="223"/>
    </row>
    <row r="26" spans="1:23">
      <c r="A26" s="223"/>
      <c r="B26" s="324"/>
      <c r="C26" s="50"/>
      <c r="D26" s="2"/>
      <c r="E26" s="2"/>
      <c r="F26" s="2"/>
      <c r="G26" s="2"/>
      <c r="H26" s="2"/>
      <c r="I26" s="2"/>
      <c r="J26" s="2"/>
      <c r="K26" s="2"/>
      <c r="L26" s="2"/>
      <c r="M26" s="2"/>
      <c r="N26" s="223"/>
      <c r="O26" s="223"/>
      <c r="P26" s="223"/>
      <c r="Q26" s="223"/>
      <c r="R26" s="223"/>
    </row>
    <row r="27" spans="1:23" ht="15.75" thickBot="1">
      <c r="A27" s="223"/>
      <c r="B27" s="324" t="s">
        <v>11</v>
      </c>
      <c r="C27" s="325">
        <v>31</v>
      </c>
      <c r="D27" s="223">
        <v>27</v>
      </c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</row>
    <row r="28" spans="1:23">
      <c r="A28" s="223"/>
      <c r="B28" s="302" t="s">
        <v>8</v>
      </c>
      <c r="C28" s="303"/>
      <c r="D28" s="304"/>
      <c r="E28" s="240"/>
      <c r="F28" s="326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</row>
    <row r="29" spans="1:23" s="5" customFormat="1">
      <c r="A29" s="291"/>
      <c r="B29" s="217" t="s">
        <v>5</v>
      </c>
      <c r="C29" s="290" t="s">
        <v>6</v>
      </c>
      <c r="D29" s="327" t="s">
        <v>7</v>
      </c>
      <c r="E29" s="6"/>
      <c r="F29" s="328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</row>
    <row r="30" spans="1:23" ht="15.75" thickBot="1">
      <c r="A30" s="223"/>
      <c r="B30" s="310" t="s">
        <v>4</v>
      </c>
      <c r="C30" s="329">
        <v>170000</v>
      </c>
      <c r="D30" s="330">
        <v>48360</v>
      </c>
      <c r="E30" s="50"/>
      <c r="F30" s="233"/>
      <c r="G30" s="283"/>
      <c r="H30" s="283"/>
      <c r="I30" s="283"/>
      <c r="J30" s="283"/>
      <c r="K30" s="283"/>
      <c r="L30" s="223"/>
      <c r="M30" s="375" t="s">
        <v>30</v>
      </c>
      <c r="N30" s="375"/>
      <c r="O30" s="375"/>
      <c r="P30" s="375"/>
      <c r="Q30" s="375"/>
      <c r="R30" s="223"/>
      <c r="S30" s="376"/>
      <c r="T30" s="376"/>
      <c r="U30" s="376"/>
      <c r="V30" s="376"/>
      <c r="W30" s="376"/>
    </row>
    <row r="31" spans="1:23" ht="15.75" thickBot="1">
      <c r="A31" s="223"/>
      <c r="B31" s="6"/>
      <c r="C31" s="50"/>
      <c r="D31" s="50"/>
      <c r="E31" s="50"/>
      <c r="F31" s="50"/>
      <c r="G31" s="240"/>
      <c r="H31" s="240"/>
      <c r="I31" s="240"/>
      <c r="J31" s="240"/>
      <c r="K31" s="240"/>
      <c r="L31" s="223"/>
      <c r="M31" s="377" t="s">
        <v>102</v>
      </c>
      <c r="N31" s="378"/>
      <c r="O31" s="378"/>
      <c r="P31" s="378"/>
      <c r="Q31" s="379"/>
      <c r="R31" s="223"/>
      <c r="S31" s="7"/>
      <c r="T31" s="7"/>
      <c r="U31" s="7"/>
      <c r="V31" s="7"/>
      <c r="W31" s="7"/>
    </row>
    <row r="32" spans="1:23" ht="15.75" thickBot="1">
      <c r="A32" s="223"/>
      <c r="B32" s="6"/>
      <c r="C32" s="50"/>
      <c r="D32" s="50"/>
      <c r="E32" s="50"/>
      <c r="F32" s="50"/>
      <c r="G32" s="241"/>
      <c r="H32" s="241"/>
      <c r="I32" s="241"/>
      <c r="J32" s="241"/>
      <c r="K32" s="241"/>
      <c r="L32" s="223"/>
      <c r="M32" s="382" t="s">
        <v>103</v>
      </c>
      <c r="N32" s="383"/>
      <c r="O32" s="382" t="s">
        <v>104</v>
      </c>
      <c r="P32" s="383"/>
      <c r="Q32" s="298" t="s">
        <v>105</v>
      </c>
      <c r="R32" s="223"/>
      <c r="S32" s="380"/>
      <c r="T32" s="380"/>
      <c r="U32" s="380"/>
      <c r="V32" s="380"/>
      <c r="W32" s="53"/>
    </row>
    <row r="33" spans="1:23" ht="15.75" thickBot="1">
      <c r="A33" s="223"/>
      <c r="B33" s="6" t="s">
        <v>12</v>
      </c>
      <c r="C33" s="231">
        <v>41</v>
      </c>
      <c r="D33" s="50">
        <v>38</v>
      </c>
      <c r="E33" s="50"/>
      <c r="F33" s="223"/>
      <c r="G33" s="224"/>
      <c r="H33" s="224"/>
      <c r="I33" s="224"/>
      <c r="J33" s="224"/>
      <c r="K33" s="241"/>
      <c r="L33" s="223"/>
      <c r="M33" s="299" t="s">
        <v>106</v>
      </c>
      <c r="N33" s="299" t="s">
        <v>107</v>
      </c>
      <c r="O33" s="299" t="s">
        <v>106</v>
      </c>
      <c r="P33" s="300" t="s">
        <v>107</v>
      </c>
      <c r="Q33" s="301"/>
      <c r="R33" s="223"/>
      <c r="S33" s="53"/>
      <c r="T33" s="53"/>
      <c r="U33" s="53"/>
      <c r="V33" s="53"/>
      <c r="W33" s="8"/>
    </row>
    <row r="34" spans="1:23" ht="15.75" thickBot="1">
      <c r="A34" s="223"/>
      <c r="B34" s="302" t="s">
        <v>9</v>
      </c>
      <c r="C34" s="303"/>
      <c r="D34" s="304"/>
      <c r="E34" s="240"/>
      <c r="F34" s="240"/>
      <c r="G34" s="228"/>
      <c r="H34" s="225"/>
      <c r="I34" s="225"/>
      <c r="J34" s="225"/>
      <c r="K34" s="229"/>
      <c r="L34" s="223"/>
      <c r="M34" s="305">
        <v>22</v>
      </c>
      <c r="N34" s="306">
        <v>15.6</v>
      </c>
      <c r="O34" s="307">
        <v>21.5</v>
      </c>
      <c r="P34" s="308">
        <v>18.5</v>
      </c>
      <c r="Q34" s="309">
        <v>13</v>
      </c>
      <c r="R34" s="223"/>
      <c r="S34" s="54"/>
      <c r="T34" s="55"/>
      <c r="U34" s="55"/>
      <c r="V34" s="55"/>
      <c r="W34" s="56"/>
    </row>
    <row r="35" spans="1:23">
      <c r="A35" s="223"/>
      <c r="B35" s="310" t="s">
        <v>5</v>
      </c>
      <c r="C35" s="311" t="s">
        <v>6</v>
      </c>
      <c r="D35" s="312" t="s">
        <v>7</v>
      </c>
      <c r="E35" s="6"/>
      <c r="F35" s="6"/>
      <c r="G35" s="50"/>
      <c r="H35" s="50"/>
      <c r="I35" s="50"/>
      <c r="J35" s="50"/>
      <c r="K35" s="50"/>
      <c r="L35" s="223"/>
      <c r="M35" s="223"/>
      <c r="N35" s="223"/>
      <c r="O35" s="223"/>
      <c r="P35" s="223"/>
      <c r="Q35" s="223"/>
      <c r="R35" s="223"/>
      <c r="S35" s="8"/>
      <c r="T35" s="8"/>
      <c r="U35" s="8"/>
      <c r="V35" s="8"/>
      <c r="W35" s="8"/>
    </row>
    <row r="36" spans="1:23" ht="27" customHeight="1">
      <c r="A36" s="223"/>
      <c r="B36" s="313" t="s">
        <v>4</v>
      </c>
      <c r="C36" s="314">
        <v>60000</v>
      </c>
      <c r="D36" s="315">
        <v>48360</v>
      </c>
      <c r="E36" s="50"/>
      <c r="F36" s="50"/>
      <c r="G36" s="331"/>
      <c r="H36" s="331"/>
      <c r="I36" s="331"/>
      <c r="J36" s="331"/>
      <c r="K36" s="50"/>
      <c r="L36" s="223"/>
      <c r="M36" s="381" t="s">
        <v>108</v>
      </c>
      <c r="N36" s="381"/>
      <c r="O36" s="381"/>
      <c r="P36" s="381"/>
      <c r="Q36" s="223"/>
      <c r="R36" s="223"/>
      <c r="S36" s="63"/>
      <c r="T36" s="63"/>
      <c r="U36" s="63"/>
      <c r="V36" s="63"/>
      <c r="W36" s="8"/>
    </row>
    <row r="37" spans="1:23" ht="15.75" customHeight="1">
      <c r="A37" s="223"/>
      <c r="B37" s="6"/>
      <c r="C37" s="50"/>
      <c r="D37" s="50"/>
      <c r="E37" s="50"/>
      <c r="F37" s="50"/>
      <c r="G37" s="331"/>
      <c r="H37" s="331"/>
      <c r="I37" s="331"/>
      <c r="J37" s="331"/>
      <c r="K37" s="50"/>
      <c r="L37" s="223"/>
      <c r="M37" s="381"/>
      <c r="N37" s="381"/>
      <c r="O37" s="381"/>
      <c r="P37" s="381"/>
      <c r="Q37" s="223"/>
      <c r="R37" s="223"/>
      <c r="S37" s="63"/>
      <c r="T37" s="63"/>
      <c r="U37" s="63"/>
      <c r="V37" s="63"/>
      <c r="W37" s="8"/>
    </row>
    <row r="38" spans="1:23" ht="15.75" customHeight="1">
      <c r="A38" s="223"/>
      <c r="B38" s="6"/>
      <c r="C38" s="50"/>
      <c r="D38" s="50"/>
      <c r="E38" s="50"/>
      <c r="F38" s="50"/>
      <c r="G38" s="282"/>
      <c r="H38" s="282"/>
      <c r="I38" s="282"/>
      <c r="J38" s="282"/>
      <c r="K38" s="50"/>
      <c r="L38" s="223"/>
      <c r="M38" s="368" t="s">
        <v>109</v>
      </c>
      <c r="N38" s="368" t="s">
        <v>110</v>
      </c>
      <c r="O38" s="368" t="s">
        <v>111</v>
      </c>
      <c r="P38" s="368"/>
      <c r="Q38" s="223"/>
      <c r="R38" s="223"/>
      <c r="S38" s="335"/>
      <c r="T38" s="335"/>
      <c r="U38" s="335"/>
      <c r="V38" s="335"/>
      <c r="W38" s="8"/>
    </row>
    <row r="39" spans="1:23">
      <c r="A39" s="223"/>
      <c r="B39" s="6"/>
      <c r="C39" s="50"/>
      <c r="D39" s="50"/>
      <c r="E39" s="50"/>
      <c r="F39" s="50"/>
      <c r="G39" s="282"/>
      <c r="H39" s="282"/>
      <c r="I39" s="282"/>
      <c r="J39" s="282"/>
      <c r="K39" s="50"/>
      <c r="L39" s="223"/>
      <c r="M39" s="368"/>
      <c r="N39" s="366"/>
      <c r="O39" s="368"/>
      <c r="P39" s="368"/>
      <c r="Q39" s="223"/>
      <c r="R39" s="223"/>
      <c r="S39" s="335"/>
      <c r="T39" s="336"/>
      <c r="U39" s="335"/>
      <c r="V39" s="335"/>
      <c r="W39" s="8"/>
    </row>
    <row r="40" spans="1:23" ht="33.75" customHeight="1" thickBot="1">
      <c r="A40" s="223"/>
      <c r="B40" s="6" t="s">
        <v>13</v>
      </c>
      <c r="C40" s="231">
        <v>25</v>
      </c>
      <c r="D40" s="223"/>
      <c r="E40" s="50"/>
      <c r="F40" s="50"/>
      <c r="G40" s="334"/>
      <c r="H40" s="333"/>
      <c r="I40" s="332"/>
      <c r="J40" s="332"/>
      <c r="K40" s="50"/>
      <c r="L40" s="223"/>
      <c r="M40" s="369" t="s">
        <v>115</v>
      </c>
      <c r="N40" s="365">
        <v>70</v>
      </c>
      <c r="O40" s="371" t="s">
        <v>113</v>
      </c>
      <c r="P40" s="371"/>
      <c r="Q40" s="223"/>
      <c r="R40" s="223"/>
      <c r="S40" s="341"/>
      <c r="T40" s="338"/>
      <c r="U40" s="337"/>
      <c r="V40" s="337"/>
      <c r="W40" s="218"/>
    </row>
    <row r="41" spans="1:23">
      <c r="A41" s="223"/>
      <c r="B41" s="316" t="s">
        <v>10</v>
      </c>
      <c r="C41" s="317"/>
      <c r="D41" s="318"/>
      <c r="E41" s="240"/>
      <c r="F41" s="240"/>
      <c r="G41" s="334"/>
      <c r="H41" s="333"/>
      <c r="I41" s="332"/>
      <c r="J41" s="332"/>
      <c r="K41" s="50"/>
      <c r="L41" s="223"/>
      <c r="M41" s="370"/>
      <c r="N41" s="366"/>
      <c r="O41" s="371"/>
      <c r="P41" s="371"/>
      <c r="Q41" s="223"/>
      <c r="R41" s="223"/>
      <c r="S41" s="342"/>
      <c r="T41" s="336"/>
      <c r="U41" s="337"/>
      <c r="V41" s="337"/>
      <c r="W41" s="8"/>
    </row>
    <row r="42" spans="1:23" ht="15" customHeight="1">
      <c r="A42" s="223"/>
      <c r="B42" s="362" t="s">
        <v>5</v>
      </c>
      <c r="C42" s="361" t="s">
        <v>6</v>
      </c>
      <c r="D42" s="367" t="s">
        <v>7</v>
      </c>
      <c r="E42" s="6"/>
      <c r="F42" s="6"/>
      <c r="G42" s="334"/>
      <c r="H42" s="333"/>
      <c r="I42" s="332"/>
      <c r="J42" s="332"/>
      <c r="K42" s="50"/>
      <c r="L42" s="223"/>
      <c r="M42" s="363" t="s">
        <v>116</v>
      </c>
      <c r="N42" s="365">
        <v>65</v>
      </c>
      <c r="O42" s="371"/>
      <c r="P42" s="371"/>
      <c r="Q42" s="223"/>
      <c r="R42" s="223"/>
      <c r="S42" s="339"/>
      <c r="T42" s="338"/>
      <c r="U42" s="337"/>
      <c r="V42" s="337"/>
      <c r="W42" s="8"/>
    </row>
    <row r="43" spans="1:23">
      <c r="A43" s="223"/>
      <c r="B43" s="362"/>
      <c r="C43" s="361"/>
      <c r="D43" s="367"/>
      <c r="E43" s="50"/>
      <c r="F43" s="50"/>
      <c r="G43" s="334"/>
      <c r="H43" s="333"/>
      <c r="I43" s="332"/>
      <c r="J43" s="332"/>
      <c r="K43" s="50"/>
      <c r="L43" s="223"/>
      <c r="M43" s="364"/>
      <c r="N43" s="366"/>
      <c r="O43" s="371"/>
      <c r="P43" s="371"/>
      <c r="Q43" s="223"/>
      <c r="R43" s="223"/>
      <c r="S43" s="340"/>
      <c r="T43" s="336"/>
      <c r="U43" s="337"/>
      <c r="V43" s="337"/>
      <c r="W43" s="8"/>
    </row>
    <row r="44" spans="1:23" ht="15.75" thickBot="1">
      <c r="A44" s="223"/>
      <c r="B44" s="319" t="s">
        <v>4</v>
      </c>
      <c r="C44" s="320">
        <v>5000</v>
      </c>
      <c r="D44" s="321">
        <v>48360</v>
      </c>
      <c r="E44" s="50"/>
      <c r="F44" s="50"/>
      <c r="G44" s="223"/>
      <c r="H44" s="322"/>
      <c r="I44" s="323"/>
      <c r="J44" s="323"/>
      <c r="K44" s="223"/>
      <c r="L44" s="223"/>
      <c r="M44" s="223"/>
      <c r="N44" s="223"/>
      <c r="O44" s="223"/>
      <c r="P44" s="223"/>
      <c r="Q44" s="223"/>
      <c r="R44" s="223"/>
    </row>
    <row r="45" spans="1:23">
      <c r="A45" s="223"/>
      <c r="B45" s="6"/>
      <c r="C45" s="50"/>
      <c r="D45" s="50"/>
      <c r="E45" s="50"/>
      <c r="F45" s="50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</row>
    <row r="46" spans="1:23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</row>
    <row r="47" spans="1:23" ht="15.75" thickBot="1">
      <c r="A47" s="223"/>
      <c r="B47" s="6"/>
      <c r="C47" s="6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</row>
    <row r="48" spans="1:23" ht="15.75" thickBot="1">
      <c r="A48" s="223"/>
      <c r="B48" s="152" t="s">
        <v>23</v>
      </c>
      <c r="C48" s="153">
        <v>0</v>
      </c>
      <c r="D48" s="154">
        <v>1</v>
      </c>
      <c r="E48" s="153">
        <v>2</v>
      </c>
      <c r="F48" s="154">
        <v>3</v>
      </c>
      <c r="G48" s="153">
        <v>4</v>
      </c>
      <c r="H48" s="154">
        <v>5</v>
      </c>
      <c r="I48" s="153">
        <v>6</v>
      </c>
      <c r="J48" s="154">
        <v>7</v>
      </c>
      <c r="K48" s="153">
        <v>8</v>
      </c>
      <c r="L48" s="154">
        <v>9</v>
      </c>
      <c r="M48" s="155">
        <v>10</v>
      </c>
      <c r="N48" s="223"/>
      <c r="O48" s="223"/>
      <c r="P48" s="223"/>
      <c r="Q48" s="223"/>
      <c r="R48" s="223"/>
    </row>
    <row r="49" spans="1:18">
      <c r="A49" s="223"/>
      <c r="B49" s="170" t="s">
        <v>14</v>
      </c>
      <c r="C49" s="171"/>
      <c r="D49" s="187">
        <f>(D21*65%*$C$27)+(D21*35%*$D$27)</f>
        <v>467533.95271956583</v>
      </c>
      <c r="E49" s="188">
        <f>(E21*65%*$C$27)+(E21*35%*$D$27)</f>
        <v>495585.98988273973</v>
      </c>
      <c r="F49" s="187">
        <f t="shared" ref="F49:M49" si="17">(F21*65%*$C$27)+(F21*35%*$D$27)</f>
        <v>525321.14927570417</v>
      </c>
      <c r="G49" s="188">
        <f t="shared" si="17"/>
        <v>556840.4182322463</v>
      </c>
      <c r="H49" s="187">
        <f t="shared" si="17"/>
        <v>590250.84332618117</v>
      </c>
      <c r="I49" s="188">
        <f t="shared" si="17"/>
        <v>625665.89392575203</v>
      </c>
      <c r="J49" s="187">
        <f t="shared" si="17"/>
        <v>663205.84756129724</v>
      </c>
      <c r="K49" s="188">
        <f t="shared" si="17"/>
        <v>702998.19841497508</v>
      </c>
      <c r="L49" s="187">
        <f t="shared" si="17"/>
        <v>745178.09031987353</v>
      </c>
      <c r="M49" s="189">
        <f t="shared" si="17"/>
        <v>789888.77573906595</v>
      </c>
      <c r="N49" s="223"/>
      <c r="O49" s="223"/>
      <c r="P49" s="223"/>
      <c r="Q49" s="223"/>
      <c r="R49" s="223"/>
    </row>
    <row r="50" spans="1:18">
      <c r="A50" s="223"/>
      <c r="B50" s="173" t="s">
        <v>15</v>
      </c>
      <c r="C50" s="174"/>
      <c r="D50" s="184">
        <f>(D22*65%*$C$33)+(D22*35%*$D$33)</f>
        <v>236546.54103131732</v>
      </c>
      <c r="E50" s="184">
        <f t="shared" ref="E50:M50" si="18">(E22*65%*$C$33)+(E22*35%*$D$33)</f>
        <v>250739.33349319641</v>
      </c>
      <c r="F50" s="184">
        <f t="shared" si="18"/>
        <v>265783.69350278814</v>
      </c>
      <c r="G50" s="184">
        <f t="shared" si="18"/>
        <v>281730.71511295548</v>
      </c>
      <c r="H50" s="184">
        <f t="shared" si="18"/>
        <v>298634.55801973282</v>
      </c>
      <c r="I50" s="184">
        <f t="shared" si="18"/>
        <v>316552.63150091673</v>
      </c>
      <c r="J50" s="184">
        <f t="shared" si="18"/>
        <v>335545.78939097171</v>
      </c>
      <c r="K50" s="184">
        <f t="shared" si="18"/>
        <v>355678.53675443004</v>
      </c>
      <c r="L50" s="184">
        <f t="shared" si="18"/>
        <v>377019.24895969586</v>
      </c>
      <c r="M50" s="190">
        <f t="shared" si="18"/>
        <v>399640.40389727766</v>
      </c>
      <c r="N50" s="223"/>
      <c r="O50" s="223"/>
      <c r="P50" s="223"/>
      <c r="Q50" s="223"/>
      <c r="R50" s="223"/>
    </row>
    <row r="51" spans="1:18">
      <c r="A51" s="223"/>
      <c r="B51" s="173" t="s">
        <v>16</v>
      </c>
      <c r="C51" s="174"/>
      <c r="D51" s="184">
        <f>D23*$C$40</f>
        <v>10966.479277131002</v>
      </c>
      <c r="E51" s="184">
        <f t="shared" ref="E51:M51" si="19">E23*$C$40</f>
        <v>11624.468033758862</v>
      </c>
      <c r="F51" s="184">
        <f t="shared" si="19"/>
        <v>12321.936115784394</v>
      </c>
      <c r="G51" s="184">
        <f t="shared" si="19"/>
        <v>13061.252282731457</v>
      </c>
      <c r="H51" s="184">
        <f t="shared" si="19"/>
        <v>13844.927419695345</v>
      </c>
      <c r="I51" s="184">
        <f t="shared" si="19"/>
        <v>14675.623064877063</v>
      </c>
      <c r="J51" s="184">
        <f t="shared" si="19"/>
        <v>15556.160448769688</v>
      </c>
      <c r="K51" s="184">
        <f t="shared" si="19"/>
        <v>16489.530075695871</v>
      </c>
      <c r="L51" s="184">
        <f t="shared" si="19"/>
        <v>17478.901880237623</v>
      </c>
      <c r="M51" s="190">
        <f t="shared" si="19"/>
        <v>18527.635993051881</v>
      </c>
      <c r="N51" s="223"/>
      <c r="O51" s="223"/>
      <c r="P51" s="223"/>
      <c r="Q51" s="223"/>
      <c r="R51" s="223"/>
    </row>
    <row r="52" spans="1:18" ht="15.75" thickBot="1">
      <c r="A52" s="223"/>
      <c r="B52" s="163" t="s">
        <v>17</v>
      </c>
      <c r="C52" s="164"/>
      <c r="D52" s="191">
        <f>SUM(D49:D51)</f>
        <v>715046.97302801418</v>
      </c>
      <c r="E52" s="191">
        <f t="shared" ref="E52:M52" si="20">SUM(E49:E51)</f>
        <v>757949.79140969494</v>
      </c>
      <c r="F52" s="191">
        <f t="shared" si="20"/>
        <v>803426.77889427659</v>
      </c>
      <c r="G52" s="191">
        <f t="shared" si="20"/>
        <v>851632.38562793331</v>
      </c>
      <c r="H52" s="191">
        <f t="shared" si="20"/>
        <v>902730.3287656093</v>
      </c>
      <c r="I52" s="191">
        <f t="shared" si="20"/>
        <v>956894.14849154593</v>
      </c>
      <c r="J52" s="191">
        <f t="shared" si="20"/>
        <v>1014307.7974010386</v>
      </c>
      <c r="K52" s="191">
        <f t="shared" si="20"/>
        <v>1075166.2652451009</v>
      </c>
      <c r="L52" s="191">
        <f t="shared" si="20"/>
        <v>1139676.241159807</v>
      </c>
      <c r="M52" s="192">
        <f t="shared" si="20"/>
        <v>1208056.8156293954</v>
      </c>
      <c r="N52" s="223"/>
      <c r="O52" s="223"/>
      <c r="P52" s="223"/>
      <c r="Q52" s="223"/>
      <c r="R52" s="223"/>
    </row>
    <row r="53" spans="1:18" ht="15.75" thickTop="1">
      <c r="A53" s="223"/>
      <c r="B53" s="175" t="s">
        <v>18</v>
      </c>
      <c r="C53" s="172"/>
      <c r="D53" s="188">
        <f>(D21*0.65*$M$34)+(D21*0.35*$N$34)</f>
        <v>312110.50357225072</v>
      </c>
      <c r="E53" s="188">
        <f t="shared" ref="E53:M53" si="21">(E21*0.65*$M$34)+(E21*0.35*$N$34)</f>
        <v>330837.13378658576</v>
      </c>
      <c r="F53" s="188">
        <f t="shared" si="21"/>
        <v>350687.36181378085</v>
      </c>
      <c r="G53" s="188">
        <f t="shared" si="21"/>
        <v>371728.60352260771</v>
      </c>
      <c r="H53" s="188">
        <f t="shared" si="21"/>
        <v>394032.31973396416</v>
      </c>
      <c r="I53" s="188">
        <f t="shared" si="21"/>
        <v>417674.25891800201</v>
      </c>
      <c r="J53" s="188">
        <f t="shared" si="21"/>
        <v>442734.71445308218</v>
      </c>
      <c r="K53" s="188">
        <f t="shared" si="21"/>
        <v>469298.79732026713</v>
      </c>
      <c r="L53" s="188">
        <f t="shared" si="21"/>
        <v>497456.72515948315</v>
      </c>
      <c r="M53" s="189">
        <f t="shared" si="21"/>
        <v>527304.12866905215</v>
      </c>
      <c r="N53" s="223"/>
      <c r="O53" s="223"/>
      <c r="P53" s="223"/>
      <c r="Q53" s="223"/>
      <c r="R53" s="223"/>
    </row>
    <row r="54" spans="1:18">
      <c r="A54" s="223"/>
      <c r="B54" s="173" t="s">
        <v>19</v>
      </c>
      <c r="C54" s="174"/>
      <c r="D54" s="188">
        <f>(D22*0.65*$O$34)+(D22*0.35*$P$34)</f>
        <v>121085.77632266431</v>
      </c>
      <c r="E54" s="188">
        <f t="shared" ref="E54:M54" si="22">(E22*0.65*$O$34)+(E22*0.35*$P$34)</f>
        <v>128350.92290202418</v>
      </c>
      <c r="F54" s="188">
        <f t="shared" si="22"/>
        <v>136051.97827614564</v>
      </c>
      <c r="G54" s="188">
        <f t="shared" si="22"/>
        <v>144215.09697271438</v>
      </c>
      <c r="H54" s="188">
        <f t="shared" si="22"/>
        <v>152868.00279107725</v>
      </c>
      <c r="I54" s="188">
        <f t="shared" si="22"/>
        <v>162040.08295854187</v>
      </c>
      <c r="J54" s="188">
        <f t="shared" si="22"/>
        <v>171762.48793605436</v>
      </c>
      <c r="K54" s="188">
        <f t="shared" si="22"/>
        <v>182068.23721221765</v>
      </c>
      <c r="L54" s="188">
        <f t="shared" si="22"/>
        <v>192992.33144495072</v>
      </c>
      <c r="M54" s="189">
        <f t="shared" si="22"/>
        <v>204571.87133164774</v>
      </c>
      <c r="N54" s="223"/>
      <c r="O54" s="223"/>
      <c r="P54" s="223"/>
      <c r="Q54" s="223"/>
      <c r="R54" s="223"/>
    </row>
    <row r="55" spans="1:18">
      <c r="A55" s="223"/>
      <c r="B55" s="173" t="s">
        <v>20</v>
      </c>
      <c r="C55" s="174"/>
      <c r="D55" s="184">
        <f>D23*$Q$34</f>
        <v>5702.5692241081206</v>
      </c>
      <c r="E55" s="184">
        <f t="shared" ref="E55:M55" si="23">E23*$Q$34</f>
        <v>6044.7233775546083</v>
      </c>
      <c r="F55" s="184">
        <f t="shared" si="23"/>
        <v>6407.4067802078844</v>
      </c>
      <c r="G55" s="184">
        <f t="shared" si="23"/>
        <v>6791.8511870203574</v>
      </c>
      <c r="H55" s="184">
        <f t="shared" si="23"/>
        <v>7199.3622582415792</v>
      </c>
      <c r="I55" s="184">
        <f t="shared" si="23"/>
        <v>7631.3239937360731</v>
      </c>
      <c r="J55" s="184">
        <f t="shared" si="23"/>
        <v>8089.2034333602378</v>
      </c>
      <c r="K55" s="184">
        <f t="shared" si="23"/>
        <v>8574.5556393618535</v>
      </c>
      <c r="L55" s="184">
        <f t="shared" si="23"/>
        <v>9089.0289777235648</v>
      </c>
      <c r="M55" s="190">
        <f t="shared" si="23"/>
        <v>9634.3707163869767</v>
      </c>
      <c r="N55" s="223"/>
      <c r="O55" s="223"/>
      <c r="P55" s="223"/>
      <c r="Q55" s="223"/>
      <c r="R55" s="223"/>
    </row>
    <row r="56" spans="1:18">
      <c r="A56" s="223"/>
      <c r="B56" s="176" t="s">
        <v>114</v>
      </c>
      <c r="C56" s="177"/>
      <c r="D56" s="193">
        <f>3%*D52</f>
        <v>21451.409190840426</v>
      </c>
      <c r="E56" s="193">
        <f t="shared" ref="E56:M56" si="24">2%*E52</f>
        <v>15158.9958281939</v>
      </c>
      <c r="F56" s="193">
        <f t="shared" si="24"/>
        <v>16068.535577885532</v>
      </c>
      <c r="G56" s="193">
        <f t="shared" si="24"/>
        <v>17032.647712558668</v>
      </c>
      <c r="H56" s="193">
        <f t="shared" si="24"/>
        <v>18054.606575312187</v>
      </c>
      <c r="I56" s="193">
        <f t="shared" si="24"/>
        <v>19137.88296983092</v>
      </c>
      <c r="J56" s="193">
        <f t="shared" si="24"/>
        <v>20286.155948020772</v>
      </c>
      <c r="K56" s="193">
        <f t="shared" si="24"/>
        <v>21503.32530490202</v>
      </c>
      <c r="L56" s="193">
        <f t="shared" si="24"/>
        <v>22793.524823196141</v>
      </c>
      <c r="M56" s="194">
        <f t="shared" si="24"/>
        <v>24161.136312587911</v>
      </c>
      <c r="N56" s="223"/>
      <c r="O56" s="223"/>
      <c r="P56" s="223"/>
      <c r="Q56" s="223"/>
      <c r="R56" s="223"/>
    </row>
    <row r="57" spans="1:18">
      <c r="A57" s="223"/>
      <c r="B57" s="176" t="s">
        <v>201</v>
      </c>
      <c r="C57" s="177"/>
      <c r="D57" s="193">
        <f>PRESTAMO!D5</f>
        <v>5203.1980000000003</v>
      </c>
      <c r="E57" s="193">
        <f>PRESTAMO!D6</f>
        <v>4896.5052337080097</v>
      </c>
      <c r="F57" s="193">
        <f>PRESTAMO!D7</f>
        <v>4555.156184825024</v>
      </c>
      <c r="G57" s="193">
        <f>PRESTAMO!D8</f>
        <v>4175.2346934182615</v>
      </c>
      <c r="H57" s="193">
        <f>PRESTAMO!D9</f>
        <v>3752.3820734825349</v>
      </c>
      <c r="I57" s="193">
        <f>PRESTAMO!D10</f>
        <v>3281.7471074940709</v>
      </c>
      <c r="J57" s="193">
        <f>PRESTAMO!D11</f>
        <v>2757.9303903489108</v>
      </c>
      <c r="K57" s="193">
        <f>PRESTAMO!D12</f>
        <v>2174.922384166347</v>
      </c>
      <c r="L57" s="193">
        <f>PRESTAMO!D13</f>
        <v>1526.034473285154</v>
      </c>
      <c r="M57" s="194">
        <f>PRESTAMO!D14</f>
        <v>803.82222847438618</v>
      </c>
      <c r="N57" s="223"/>
      <c r="O57" s="223"/>
      <c r="P57" s="223"/>
      <c r="Q57" s="223"/>
      <c r="R57" s="223"/>
    </row>
    <row r="58" spans="1:18">
      <c r="A58" s="223"/>
      <c r="B58" s="176" t="s">
        <v>112</v>
      </c>
      <c r="C58" s="177"/>
      <c r="D58" s="193">
        <f>$N$40*(D22/(4*80))+$N$40*(D23/(4*1000))+$N$42*(D21/(4*44))</f>
        <v>7136.3145187638393</v>
      </c>
      <c r="E58" s="193">
        <f t="shared" ref="E58:M58" si="25">$N$40*(E22/(4*80))+$N$40*(E23/(4*1000))+$N$42*(E21/(4*44))</f>
        <v>7564.4933898896688</v>
      </c>
      <c r="F58" s="193">
        <f t="shared" si="25"/>
        <v>8018.3629932830499</v>
      </c>
      <c r="G58" s="193">
        <f t="shared" si="25"/>
        <v>8499.4647728800319</v>
      </c>
      <c r="H58" s="193">
        <f t="shared" si="25"/>
        <v>9009.4326592528341</v>
      </c>
      <c r="I58" s="193">
        <f t="shared" si="25"/>
        <v>9549.9986188080056</v>
      </c>
      <c r="J58" s="193">
        <f t="shared" si="25"/>
        <v>10122.998535936487</v>
      </c>
      <c r="K58" s="193">
        <f t="shared" si="25"/>
        <v>10730.378448092675</v>
      </c>
      <c r="L58" s="193">
        <f t="shared" si="25"/>
        <v>11374.201154978235</v>
      </c>
      <c r="M58" s="194">
        <f t="shared" si="25"/>
        <v>12056.65322427693</v>
      </c>
      <c r="N58" s="223"/>
      <c r="O58" s="223"/>
      <c r="P58" s="223"/>
      <c r="Q58" s="223"/>
      <c r="R58" s="223"/>
    </row>
    <row r="59" spans="1:18" ht="15.75" thickBot="1">
      <c r="A59" s="223"/>
      <c r="B59" s="163" t="s">
        <v>21</v>
      </c>
      <c r="C59" s="164"/>
      <c r="D59" s="191">
        <f>SUM(D53:D58)</f>
        <v>472689.77082862746</v>
      </c>
      <c r="E59" s="191">
        <f>SUM(E53:E58)</f>
        <v>492852.77451795613</v>
      </c>
      <c r="F59" s="191">
        <f t="shared" ref="F59:M59" si="26">SUM(F53:F58)</f>
        <v>521788.80162612791</v>
      </c>
      <c r="G59" s="191">
        <f t="shared" si="26"/>
        <v>552442.8988611995</v>
      </c>
      <c r="H59" s="191">
        <f t="shared" si="26"/>
        <v>584916.10609133053</v>
      </c>
      <c r="I59" s="191">
        <f t="shared" si="26"/>
        <v>619315.29456641281</v>
      </c>
      <c r="J59" s="191">
        <f t="shared" si="26"/>
        <v>655753.49069680285</v>
      </c>
      <c r="K59" s="191">
        <f t="shared" si="26"/>
        <v>694350.21630900784</v>
      </c>
      <c r="L59" s="191">
        <f t="shared" si="26"/>
        <v>735231.84603361692</v>
      </c>
      <c r="M59" s="192">
        <f t="shared" si="26"/>
        <v>778531.9824824261</v>
      </c>
      <c r="N59" s="223"/>
      <c r="O59" s="223"/>
      <c r="P59" s="223"/>
      <c r="Q59" s="223"/>
      <c r="R59" s="223"/>
    </row>
    <row r="60" spans="1:18" ht="16.5" thickTop="1" thickBot="1">
      <c r="A60" s="223"/>
      <c r="B60" s="165" t="s">
        <v>7</v>
      </c>
      <c r="C60" s="166"/>
      <c r="D60" s="195">
        <f>$D$36</f>
        <v>48360</v>
      </c>
      <c r="E60" s="195">
        <f t="shared" ref="E60:M60" si="27">$D$36</f>
        <v>48360</v>
      </c>
      <c r="F60" s="195">
        <f t="shared" si="27"/>
        <v>48360</v>
      </c>
      <c r="G60" s="195">
        <f t="shared" si="27"/>
        <v>48360</v>
      </c>
      <c r="H60" s="195">
        <f t="shared" si="27"/>
        <v>48360</v>
      </c>
      <c r="I60" s="195">
        <f t="shared" si="27"/>
        <v>48360</v>
      </c>
      <c r="J60" s="195">
        <f t="shared" si="27"/>
        <v>48360</v>
      </c>
      <c r="K60" s="195">
        <f t="shared" si="27"/>
        <v>48360</v>
      </c>
      <c r="L60" s="195">
        <f t="shared" si="27"/>
        <v>48360</v>
      </c>
      <c r="M60" s="196">
        <f t="shared" si="27"/>
        <v>48360</v>
      </c>
      <c r="N60" s="223"/>
      <c r="O60" s="223"/>
      <c r="P60" s="223"/>
      <c r="Q60" s="223"/>
      <c r="R60" s="223"/>
    </row>
    <row r="61" spans="1:18" ht="15.75" thickBot="1">
      <c r="A61" s="223"/>
      <c r="B61" s="167" t="s">
        <v>22</v>
      </c>
      <c r="C61" s="168"/>
      <c r="D61" s="197">
        <f>D59+D60</f>
        <v>521049.77082862746</v>
      </c>
      <c r="E61" s="197">
        <f t="shared" ref="E61:M61" si="28">E59+E60</f>
        <v>541212.77451795619</v>
      </c>
      <c r="F61" s="197">
        <f t="shared" si="28"/>
        <v>570148.80162612791</v>
      </c>
      <c r="G61" s="197">
        <f t="shared" si="28"/>
        <v>600802.8988611995</v>
      </c>
      <c r="H61" s="197">
        <f t="shared" si="28"/>
        <v>633276.10609133053</v>
      </c>
      <c r="I61" s="197">
        <f t="shared" si="28"/>
        <v>667675.29456641281</v>
      </c>
      <c r="J61" s="197">
        <f t="shared" si="28"/>
        <v>704113.49069680285</v>
      </c>
      <c r="K61" s="197">
        <f t="shared" si="28"/>
        <v>742710.21630900784</v>
      </c>
      <c r="L61" s="197">
        <f t="shared" si="28"/>
        <v>783591.84603361692</v>
      </c>
      <c r="M61" s="198">
        <f t="shared" si="28"/>
        <v>826891.9824824261</v>
      </c>
      <c r="N61" s="223"/>
      <c r="O61" s="223"/>
      <c r="P61" s="223"/>
      <c r="Q61" s="223"/>
      <c r="R61" s="223"/>
    </row>
    <row r="62" spans="1:18" ht="15.75" thickBot="1">
      <c r="A62" s="223"/>
      <c r="B62" s="178" t="s">
        <v>36</v>
      </c>
      <c r="C62" s="179"/>
      <c r="D62" s="199">
        <v>195000</v>
      </c>
      <c r="E62" s="199">
        <v>195000</v>
      </c>
      <c r="F62" s="199">
        <v>195000</v>
      </c>
      <c r="G62" s="199">
        <v>195000</v>
      </c>
      <c r="H62" s="199">
        <v>195000</v>
      </c>
      <c r="I62" s="199">
        <v>195000</v>
      </c>
      <c r="J62" s="199">
        <v>195000</v>
      </c>
      <c r="K62" s="199">
        <v>195000</v>
      </c>
      <c r="L62" s="199">
        <v>195000</v>
      </c>
      <c r="M62" s="200">
        <v>195000</v>
      </c>
      <c r="N62" s="223"/>
      <c r="O62" s="223"/>
      <c r="P62" s="223"/>
      <c r="Q62" s="223"/>
      <c r="R62" s="223"/>
    </row>
    <row r="63" spans="1:18" ht="15.75" thickBot="1">
      <c r="A63" s="223"/>
      <c r="B63" s="162" t="s">
        <v>35</v>
      </c>
      <c r="C63" s="160"/>
      <c r="D63" s="201">
        <f>D52-D61-D62</f>
        <v>-1002.7978006132762</v>
      </c>
      <c r="E63" s="201">
        <f t="shared" ref="E63:L63" si="29">E52-E61-E62</f>
        <v>21737.016891738749</v>
      </c>
      <c r="F63" s="201">
        <f t="shared" si="29"/>
        <v>38277.977268148679</v>
      </c>
      <c r="G63" s="201">
        <f t="shared" si="29"/>
        <v>55829.486766733811</v>
      </c>
      <c r="H63" s="201">
        <f t="shared" si="29"/>
        <v>74454.222674278775</v>
      </c>
      <c r="I63" s="201">
        <f t="shared" si="29"/>
        <v>94218.853925133124</v>
      </c>
      <c r="J63" s="201">
        <f t="shared" si="29"/>
        <v>115194.30670423573</v>
      </c>
      <c r="K63" s="201">
        <f t="shared" si="29"/>
        <v>137456.04893609311</v>
      </c>
      <c r="L63" s="201">
        <f t="shared" si="29"/>
        <v>161084.39512619004</v>
      </c>
      <c r="M63" s="202">
        <f>M52-M61-M62</f>
        <v>186164.83314696932</v>
      </c>
      <c r="N63" s="223"/>
      <c r="O63" s="223"/>
      <c r="P63" s="223"/>
      <c r="Q63" s="223"/>
      <c r="R63" s="223"/>
    </row>
    <row r="64" spans="1:18">
      <c r="A64" s="223"/>
      <c r="B64" s="180" t="s">
        <v>202</v>
      </c>
      <c r="C64" s="172"/>
      <c r="D64" s="188">
        <f>DEPRECIACION!H11</f>
        <v>12416</v>
      </c>
      <c r="E64" s="188">
        <f>DEPRECIACION!H11</f>
        <v>12416</v>
      </c>
      <c r="F64" s="188">
        <f>DEPRECIACION!H11</f>
        <v>12416</v>
      </c>
      <c r="G64" s="188">
        <f>DEPRECIACION!H7+DEPRECIACION!H6</f>
        <v>7416</v>
      </c>
      <c r="H64" s="188">
        <f>DEPRECIACION!H7+DEPRECIACION!H6</f>
        <v>7416</v>
      </c>
      <c r="I64" s="188">
        <f>DEPRECIACION!H7</f>
        <v>1500</v>
      </c>
      <c r="J64" s="188">
        <f>DEPRECIACION!H7</f>
        <v>1500</v>
      </c>
      <c r="K64" s="188">
        <f>DEPRECIACION!H7</f>
        <v>1500</v>
      </c>
      <c r="L64" s="188">
        <f>DEPRECIACION!H7</f>
        <v>1500</v>
      </c>
      <c r="M64" s="189">
        <f>DEPRECIACION!H7</f>
        <v>1500</v>
      </c>
      <c r="N64" s="223"/>
      <c r="O64" s="223"/>
      <c r="P64" s="223"/>
      <c r="Q64" s="223"/>
      <c r="R64" s="223"/>
    </row>
    <row r="65" spans="1:18" ht="15.75" thickBot="1">
      <c r="A65" s="223"/>
      <c r="B65" s="181" t="s">
        <v>203</v>
      </c>
      <c r="C65" s="182"/>
      <c r="D65" s="203">
        <f>D73</f>
        <v>2714.0952769202677</v>
      </c>
      <c r="E65" s="203">
        <f t="shared" ref="E65:M65" si="30">E73</f>
        <v>3020.7880432122583</v>
      </c>
      <c r="F65" s="203">
        <f t="shared" si="30"/>
        <v>3362.137092095244</v>
      </c>
      <c r="G65" s="203">
        <f t="shared" si="30"/>
        <v>3742.0585835020065</v>
      </c>
      <c r="H65" s="203">
        <f t="shared" si="30"/>
        <v>4164.9112034377331</v>
      </c>
      <c r="I65" s="203">
        <f t="shared" si="30"/>
        <v>4635.5461694261976</v>
      </c>
      <c r="J65" s="203">
        <f t="shared" si="30"/>
        <v>5159.3628865713572</v>
      </c>
      <c r="K65" s="203">
        <f t="shared" si="30"/>
        <v>5742.370892753921</v>
      </c>
      <c r="L65" s="203">
        <f t="shared" si="30"/>
        <v>6391.2588036351135</v>
      </c>
      <c r="M65" s="204">
        <f t="shared" si="30"/>
        <v>7113.4710484458819</v>
      </c>
      <c r="N65" s="223"/>
      <c r="O65" s="223"/>
      <c r="P65" s="223"/>
      <c r="Q65" s="223"/>
      <c r="R65" s="223"/>
    </row>
    <row r="66" spans="1:18" ht="15.75" thickBot="1">
      <c r="A66" s="223"/>
      <c r="B66" s="159" t="s">
        <v>25</v>
      </c>
      <c r="C66" s="161"/>
      <c r="D66" s="201">
        <f>D63-D64-D65</f>
        <v>-16132.893077533543</v>
      </c>
      <c r="E66" s="201">
        <f t="shared" ref="E66:L66" si="31">E63-E64-E65</f>
        <v>6300.2288485264908</v>
      </c>
      <c r="F66" s="201">
        <f t="shared" si="31"/>
        <v>22499.840176053436</v>
      </c>
      <c r="G66" s="201">
        <f t="shared" si="31"/>
        <v>44671.428183231808</v>
      </c>
      <c r="H66" s="201">
        <f t="shared" si="31"/>
        <v>62873.311470841043</v>
      </c>
      <c r="I66" s="201">
        <f t="shared" si="31"/>
        <v>88083.307755706919</v>
      </c>
      <c r="J66" s="201">
        <f t="shared" si="31"/>
        <v>108534.94381766437</v>
      </c>
      <c r="K66" s="201">
        <f t="shared" si="31"/>
        <v>130213.67804333918</v>
      </c>
      <c r="L66" s="201">
        <f t="shared" si="31"/>
        <v>153193.13632255493</v>
      </c>
      <c r="M66" s="202">
        <f>M63-M64-M65</f>
        <v>177551.36209852344</v>
      </c>
      <c r="N66" s="223"/>
      <c r="O66" s="223"/>
      <c r="P66" s="223"/>
      <c r="Q66" s="223"/>
      <c r="R66" s="223"/>
    </row>
    <row r="67" spans="1:18" ht="15.75" thickBot="1">
      <c r="A67" s="223"/>
      <c r="B67" s="181" t="s">
        <v>26</v>
      </c>
      <c r="C67" s="182"/>
      <c r="D67" s="203">
        <f>D66*25%</f>
        <v>-4033.2232693833857</v>
      </c>
      <c r="E67" s="203">
        <f t="shared" ref="E67:M67" si="32">E66*25%</f>
        <v>1575.0572121316227</v>
      </c>
      <c r="F67" s="203">
        <f t="shared" si="32"/>
        <v>5624.960044013359</v>
      </c>
      <c r="G67" s="203">
        <f t="shared" si="32"/>
        <v>11167.857045807952</v>
      </c>
      <c r="H67" s="203">
        <f t="shared" si="32"/>
        <v>15718.327867710261</v>
      </c>
      <c r="I67" s="203">
        <f t="shared" si="32"/>
        <v>22020.82693892673</v>
      </c>
      <c r="J67" s="203">
        <f t="shared" si="32"/>
        <v>27133.735954416094</v>
      </c>
      <c r="K67" s="203">
        <f t="shared" si="32"/>
        <v>32553.419510834796</v>
      </c>
      <c r="L67" s="203">
        <f t="shared" si="32"/>
        <v>38298.284080638732</v>
      </c>
      <c r="M67" s="204">
        <f t="shared" si="32"/>
        <v>44387.840524630861</v>
      </c>
      <c r="N67" s="223"/>
      <c r="O67" s="223"/>
      <c r="P67" s="223"/>
      <c r="Q67" s="223"/>
      <c r="R67" s="223"/>
    </row>
    <row r="68" spans="1:18" ht="15.75" thickBot="1">
      <c r="A68" s="223"/>
      <c r="B68" s="159" t="s">
        <v>27</v>
      </c>
      <c r="C68" s="160"/>
      <c r="D68" s="201">
        <f>D66-D67</f>
        <v>-12099.669808150156</v>
      </c>
      <c r="E68" s="201">
        <f t="shared" ref="E68:M68" si="33">E66-E67</f>
        <v>4725.1716363948681</v>
      </c>
      <c r="F68" s="201">
        <f t="shared" si="33"/>
        <v>16874.880132040078</v>
      </c>
      <c r="G68" s="201">
        <f t="shared" si="33"/>
        <v>33503.57113742386</v>
      </c>
      <c r="H68" s="201">
        <f t="shared" si="33"/>
        <v>47154.983603130779</v>
      </c>
      <c r="I68" s="201">
        <f t="shared" si="33"/>
        <v>66062.480816780182</v>
      </c>
      <c r="J68" s="201">
        <f t="shared" si="33"/>
        <v>81401.207863248273</v>
      </c>
      <c r="K68" s="201">
        <f t="shared" si="33"/>
        <v>97660.258532504391</v>
      </c>
      <c r="L68" s="201">
        <f t="shared" si="33"/>
        <v>114894.8522419162</v>
      </c>
      <c r="M68" s="202">
        <f t="shared" si="33"/>
        <v>133163.52157389259</v>
      </c>
      <c r="N68" s="223"/>
      <c r="O68" s="223"/>
      <c r="P68" s="223"/>
      <c r="Q68" s="223"/>
      <c r="R68" s="223"/>
    </row>
    <row r="69" spans="1:18">
      <c r="A69" s="223"/>
      <c r="B69" s="180" t="s">
        <v>202</v>
      </c>
      <c r="C69" s="172"/>
      <c r="D69" s="188">
        <f t="shared" ref="D69:M69" si="34">D64</f>
        <v>12416</v>
      </c>
      <c r="E69" s="188">
        <f t="shared" si="34"/>
        <v>12416</v>
      </c>
      <c r="F69" s="188">
        <f t="shared" si="34"/>
        <v>12416</v>
      </c>
      <c r="G69" s="188">
        <f t="shared" si="34"/>
        <v>7416</v>
      </c>
      <c r="H69" s="188">
        <f t="shared" si="34"/>
        <v>7416</v>
      </c>
      <c r="I69" s="188">
        <f t="shared" si="34"/>
        <v>1500</v>
      </c>
      <c r="J69" s="188">
        <f t="shared" si="34"/>
        <v>1500</v>
      </c>
      <c r="K69" s="188">
        <f t="shared" si="34"/>
        <v>1500</v>
      </c>
      <c r="L69" s="188">
        <f t="shared" si="34"/>
        <v>1500</v>
      </c>
      <c r="M69" s="189">
        <f t="shared" si="34"/>
        <v>1500</v>
      </c>
      <c r="N69" s="223"/>
      <c r="O69" s="223"/>
      <c r="P69" s="223"/>
      <c r="Q69" s="223"/>
      <c r="R69" s="223"/>
    </row>
    <row r="70" spans="1:18">
      <c r="A70" s="223"/>
      <c r="B70" s="183" t="s">
        <v>204</v>
      </c>
      <c r="C70" s="184">
        <v>-65780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90"/>
      <c r="N70" s="223"/>
      <c r="O70" s="223"/>
      <c r="P70" s="223"/>
      <c r="Q70" s="223"/>
      <c r="R70" s="223"/>
    </row>
    <row r="71" spans="1:18">
      <c r="A71" s="223"/>
      <c r="B71" s="183" t="s">
        <v>118</v>
      </c>
      <c r="C71" s="184">
        <f>-97139.57</f>
        <v>-97139.57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90"/>
      <c r="N71" s="223"/>
      <c r="O71" s="223"/>
      <c r="P71" s="223"/>
      <c r="Q71" s="223"/>
      <c r="R71" s="223"/>
    </row>
    <row r="72" spans="1:18">
      <c r="A72" s="223"/>
      <c r="B72" s="183" t="s">
        <v>205</v>
      </c>
      <c r="C72" s="184">
        <f>PRESTAMO!F4</f>
        <v>46046</v>
      </c>
      <c r="D72" s="184"/>
      <c r="E72" s="184"/>
      <c r="F72" s="184"/>
      <c r="G72" s="184"/>
      <c r="H72" s="184"/>
      <c r="I72" s="184"/>
      <c r="J72" s="184"/>
      <c r="K72" s="184"/>
      <c r="L72" s="184"/>
      <c r="M72" s="190"/>
      <c r="N72" s="223"/>
      <c r="O72" s="223"/>
      <c r="P72" s="223"/>
      <c r="Q72" s="223"/>
      <c r="R72" s="223"/>
    </row>
    <row r="73" spans="1:18">
      <c r="A73" s="223"/>
      <c r="B73" s="183" t="s">
        <v>203</v>
      </c>
      <c r="C73" s="184"/>
      <c r="D73" s="184">
        <f>PRESTAMO!E5</f>
        <v>2714.0952769202677</v>
      </c>
      <c r="E73" s="184">
        <f>PRESTAMO!E6</f>
        <v>3020.7880432122583</v>
      </c>
      <c r="F73" s="184">
        <f>PRESTAMO!E7</f>
        <v>3362.137092095244</v>
      </c>
      <c r="G73" s="184">
        <f>PRESTAMO!E8</f>
        <v>3742.0585835020065</v>
      </c>
      <c r="H73" s="184">
        <f>PRESTAMO!E9</f>
        <v>4164.9112034377331</v>
      </c>
      <c r="I73" s="184">
        <f>PRESTAMO!E10</f>
        <v>4635.5461694261976</v>
      </c>
      <c r="J73" s="184">
        <f>PRESTAMO!E11</f>
        <v>5159.3628865713572</v>
      </c>
      <c r="K73" s="184">
        <f>PRESTAMO!E12</f>
        <v>5742.370892753921</v>
      </c>
      <c r="L73" s="184">
        <f>PRESTAMO!E13</f>
        <v>6391.2588036351135</v>
      </c>
      <c r="M73" s="190">
        <f>PRESTAMO!E14</f>
        <v>7113.4710484458819</v>
      </c>
      <c r="N73" s="223"/>
      <c r="O73" s="223"/>
      <c r="P73" s="223"/>
      <c r="Q73" s="223"/>
      <c r="R73" s="223"/>
    </row>
    <row r="74" spans="1:18" ht="15.75" thickBot="1">
      <c r="A74" s="223"/>
      <c r="B74" s="169" t="s">
        <v>28</v>
      </c>
      <c r="C74" s="185">
        <f>C68+C69+C70+C71+C72</f>
        <v>-116873.57</v>
      </c>
      <c r="D74" s="185">
        <f>D68+D69+D70+D71+D72+D73</f>
        <v>3030.4254687701114</v>
      </c>
      <c r="E74" s="185">
        <f t="shared" ref="E74:L74" si="35">E68+E69+E70+E71+E72+E73</f>
        <v>20161.959679607127</v>
      </c>
      <c r="F74" s="185">
        <f t="shared" si="35"/>
        <v>32653.017224135321</v>
      </c>
      <c r="G74" s="185">
        <f t="shared" si="35"/>
        <v>44661.629720925863</v>
      </c>
      <c r="H74" s="185">
        <f t="shared" si="35"/>
        <v>58735.894806568511</v>
      </c>
      <c r="I74" s="185">
        <f t="shared" si="35"/>
        <v>72198.026986206387</v>
      </c>
      <c r="J74" s="185">
        <f t="shared" si="35"/>
        <v>88060.570749819628</v>
      </c>
      <c r="K74" s="185">
        <f t="shared" si="35"/>
        <v>104902.62942525832</v>
      </c>
      <c r="L74" s="185">
        <f t="shared" si="35"/>
        <v>122786.11104555131</v>
      </c>
      <c r="M74" s="205">
        <f>M68+M69+M70+M71+M72+M73</f>
        <v>141776.99262233847</v>
      </c>
      <c r="N74" s="223"/>
      <c r="O74" s="223"/>
      <c r="P74" s="223"/>
      <c r="Q74" s="223"/>
      <c r="R74" s="223"/>
    </row>
    <row r="75" spans="1:18" ht="18.75" thickBot="1">
      <c r="A75" s="223"/>
      <c r="B75" s="156" t="s">
        <v>29</v>
      </c>
      <c r="C75" s="186">
        <f>NPV(16.24%,D74:M74)+C74</f>
        <v>128211.00645082514</v>
      </c>
      <c r="D75" s="292"/>
      <c r="E75" s="292"/>
      <c r="F75" s="292"/>
      <c r="G75" s="292"/>
      <c r="H75" s="292"/>
      <c r="I75" s="292"/>
      <c r="J75" s="292"/>
      <c r="K75" s="293"/>
      <c r="L75" s="294"/>
      <c r="M75" s="292"/>
      <c r="N75" s="223"/>
      <c r="O75" s="223"/>
      <c r="P75" s="223"/>
      <c r="Q75" s="223"/>
      <c r="R75" s="223"/>
    </row>
    <row r="76" spans="1:18" ht="18.75" thickBot="1">
      <c r="A76" s="223"/>
      <c r="B76" s="157" t="s">
        <v>200</v>
      </c>
      <c r="C76" s="158">
        <f>IRR(C74:M74)</f>
        <v>0.31416509221638678</v>
      </c>
      <c r="D76" s="292"/>
      <c r="E76" s="292"/>
      <c r="F76" s="295"/>
      <c r="G76" s="295"/>
      <c r="H76" s="294"/>
      <c r="I76" s="292"/>
      <c r="J76" s="292"/>
      <c r="K76" s="292"/>
      <c r="L76" s="292"/>
      <c r="M76" s="292"/>
      <c r="N76" s="223"/>
      <c r="O76" s="223"/>
      <c r="P76" s="223"/>
      <c r="Q76" s="223"/>
      <c r="R76" s="223"/>
    </row>
    <row r="77" spans="1:18">
      <c r="A77" s="223"/>
      <c r="B77" s="223"/>
      <c r="C77" s="223"/>
      <c r="D77" s="223"/>
      <c r="E77" s="223"/>
      <c r="F77" s="223"/>
      <c r="G77" s="296"/>
      <c r="H77" s="50"/>
      <c r="I77" s="223"/>
      <c r="J77" s="223"/>
      <c r="K77" s="223"/>
      <c r="L77" s="223"/>
      <c r="M77" s="223"/>
      <c r="N77" s="223"/>
      <c r="O77" s="223"/>
      <c r="P77" s="223"/>
      <c r="Q77" s="223"/>
      <c r="R77" s="223"/>
    </row>
    <row r="78" spans="1:18">
      <c r="A78" s="223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</row>
    <row r="79" spans="1:18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</row>
    <row r="80" spans="1:18" ht="15.75" thickBot="1">
      <c r="A80" s="223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</row>
    <row r="81" spans="1:18" ht="15.75">
      <c r="A81" s="223"/>
      <c r="B81" s="372" t="s">
        <v>179</v>
      </c>
      <c r="C81" s="373"/>
      <c r="D81" s="373"/>
      <c r="E81" s="373"/>
      <c r="F81" s="374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</row>
    <row r="82" spans="1:18" ht="31.5">
      <c r="A82" s="223"/>
      <c r="B82" s="206" t="s">
        <v>180</v>
      </c>
      <c r="C82" s="207" t="s">
        <v>206</v>
      </c>
      <c r="D82" s="207" t="s">
        <v>28</v>
      </c>
      <c r="E82" s="207" t="s">
        <v>181</v>
      </c>
      <c r="F82" s="208" t="s">
        <v>207</v>
      </c>
      <c r="G82" s="297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</row>
    <row r="83" spans="1:18" ht="15.75">
      <c r="A83" s="223"/>
      <c r="B83" s="215">
        <v>1</v>
      </c>
      <c r="C83" s="209">
        <f>-C74</f>
        <v>116873.57</v>
      </c>
      <c r="D83" s="209">
        <f>D74</f>
        <v>3030.4254687701114</v>
      </c>
      <c r="E83" s="209">
        <f>11.6%*C83</f>
        <v>13557.33412</v>
      </c>
      <c r="F83" s="210">
        <f>D83-E83</f>
        <v>-10526.908651229889</v>
      </c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</row>
    <row r="84" spans="1:18" ht="15.75">
      <c r="A84" s="223"/>
      <c r="B84" s="213">
        <v>2</v>
      </c>
      <c r="C84" s="209">
        <f>C83-F83</f>
        <v>127400.4786512299</v>
      </c>
      <c r="D84" s="209">
        <f>E74</f>
        <v>20161.959679607127</v>
      </c>
      <c r="E84" s="209">
        <f t="shared" ref="E84:E92" si="36">11.6%*C84</f>
        <v>14778.455523542667</v>
      </c>
      <c r="F84" s="210">
        <f t="shared" ref="F84:F92" si="37">D84-E84</f>
        <v>5383.5041560644604</v>
      </c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</row>
    <row r="85" spans="1:18" ht="15.75">
      <c r="A85" s="223"/>
      <c r="B85" s="213">
        <v>3</v>
      </c>
      <c r="C85" s="209">
        <f t="shared" ref="C85:C92" si="38">C84-F84</f>
        <v>122016.97449516544</v>
      </c>
      <c r="D85" s="209">
        <f>F74</f>
        <v>32653.017224135321</v>
      </c>
      <c r="E85" s="209">
        <f t="shared" si="36"/>
        <v>14153.96904143919</v>
      </c>
      <c r="F85" s="210">
        <f t="shared" si="37"/>
        <v>18499.048182696133</v>
      </c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</row>
    <row r="86" spans="1:18" ht="15.75">
      <c r="A86" s="223"/>
      <c r="B86" s="213">
        <v>4</v>
      </c>
      <c r="C86" s="209">
        <f t="shared" si="38"/>
        <v>103517.92631246931</v>
      </c>
      <c r="D86" s="209">
        <f>G74</f>
        <v>44661.629720925863</v>
      </c>
      <c r="E86" s="209">
        <f t="shared" si="36"/>
        <v>12008.079452246438</v>
      </c>
      <c r="F86" s="210">
        <f t="shared" si="37"/>
        <v>32653.550268679424</v>
      </c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</row>
    <row r="87" spans="1:18" ht="15.75">
      <c r="A87" s="223"/>
      <c r="B87" s="213">
        <v>5</v>
      </c>
      <c r="C87" s="209">
        <f t="shared" si="38"/>
        <v>70864.376043789889</v>
      </c>
      <c r="D87" s="209">
        <f>H74</f>
        <v>58735.894806568511</v>
      </c>
      <c r="E87" s="209">
        <f t="shared" si="36"/>
        <v>8220.2676210796271</v>
      </c>
      <c r="F87" s="210">
        <f t="shared" si="37"/>
        <v>50515.627185488884</v>
      </c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</row>
    <row r="88" spans="1:18" ht="15.75">
      <c r="A88" s="223"/>
      <c r="B88" s="213">
        <v>6</v>
      </c>
      <c r="C88" s="209">
        <f t="shared" si="38"/>
        <v>20348.748858301005</v>
      </c>
      <c r="D88" s="209">
        <f>I74</f>
        <v>72198.026986206387</v>
      </c>
      <c r="E88" s="209">
        <f t="shared" si="36"/>
        <v>2360.4548675629167</v>
      </c>
      <c r="F88" s="210">
        <f t="shared" si="37"/>
        <v>69837.572118643468</v>
      </c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</row>
    <row r="89" spans="1:18" ht="15.75">
      <c r="A89" s="223"/>
      <c r="B89" s="213">
        <v>7</v>
      </c>
      <c r="C89" s="209">
        <f t="shared" si="38"/>
        <v>-49488.823260342462</v>
      </c>
      <c r="D89" s="209">
        <f>J74</f>
        <v>88060.570749819628</v>
      </c>
      <c r="E89" s="209">
        <f t="shared" si="36"/>
        <v>-5740.7034981997249</v>
      </c>
      <c r="F89" s="210">
        <f t="shared" si="37"/>
        <v>93801.274248019356</v>
      </c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</row>
    <row r="90" spans="1:18" ht="15.75">
      <c r="A90" s="223"/>
      <c r="B90" s="213">
        <v>8</v>
      </c>
      <c r="C90" s="209">
        <f t="shared" si="38"/>
        <v>-143290.09750836183</v>
      </c>
      <c r="D90" s="209">
        <f>K74</f>
        <v>104902.62942525832</v>
      </c>
      <c r="E90" s="209">
        <f t="shared" si="36"/>
        <v>-16621.65131096997</v>
      </c>
      <c r="F90" s="210">
        <f t="shared" si="37"/>
        <v>121524.28073622829</v>
      </c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</row>
    <row r="91" spans="1:18" ht="15.75">
      <c r="A91" s="223"/>
      <c r="B91" s="213">
        <v>9</v>
      </c>
      <c r="C91" s="209">
        <f t="shared" si="38"/>
        <v>-264814.37824459013</v>
      </c>
      <c r="D91" s="209">
        <f>L74</f>
        <v>122786.11104555131</v>
      </c>
      <c r="E91" s="209">
        <f t="shared" si="36"/>
        <v>-30718.467876372451</v>
      </c>
      <c r="F91" s="210">
        <f t="shared" si="37"/>
        <v>153504.57892192376</v>
      </c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</row>
    <row r="92" spans="1:18" ht="16.5" thickBot="1">
      <c r="A92" s="223"/>
      <c r="B92" s="214">
        <v>10</v>
      </c>
      <c r="C92" s="211">
        <f t="shared" si="38"/>
        <v>-418318.95716651389</v>
      </c>
      <c r="D92" s="211">
        <f>M74</f>
        <v>141776.99262233847</v>
      </c>
      <c r="E92" s="211">
        <f t="shared" si="36"/>
        <v>-48524.999031315609</v>
      </c>
      <c r="F92" s="212">
        <f t="shared" si="37"/>
        <v>190301.99165365408</v>
      </c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</row>
    <row r="93" spans="1:18">
      <c r="A93" s="223"/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</row>
    <row r="94" spans="1:18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</row>
    <row r="95" spans="1:18">
      <c r="A95" s="223"/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</row>
    <row r="96" spans="1:18">
      <c r="A96" s="223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</row>
    <row r="97" spans="1:18">
      <c r="A97" s="223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</row>
    <row r="98" spans="1:18">
      <c r="A98" s="223"/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</row>
  </sheetData>
  <mergeCells count="20">
    <mergeCell ref="B81:F81"/>
    <mergeCell ref="M30:Q30"/>
    <mergeCell ref="S30:W30"/>
    <mergeCell ref="M31:Q31"/>
    <mergeCell ref="S32:T32"/>
    <mergeCell ref="U32:V32"/>
    <mergeCell ref="M36:P37"/>
    <mergeCell ref="M32:N32"/>
    <mergeCell ref="O32:P32"/>
    <mergeCell ref="O38:P39"/>
    <mergeCell ref="M40:M41"/>
    <mergeCell ref="N40:N41"/>
    <mergeCell ref="O40:P43"/>
    <mergeCell ref="M38:M39"/>
    <mergeCell ref="N38:N39"/>
    <mergeCell ref="C42:C43"/>
    <mergeCell ref="B42:B43"/>
    <mergeCell ref="M42:M43"/>
    <mergeCell ref="N42:N43"/>
    <mergeCell ref="D42:D43"/>
  </mergeCells>
  <pageMargins left="0.7" right="0.7" top="0.75" bottom="0.75" header="0.3" footer="0.3"/>
  <pageSetup paperSize="9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>
      <selection activeCell="G9" sqref="G9"/>
    </sheetView>
  </sheetViews>
  <sheetFormatPr baseColWidth="10" defaultColWidth="11.42578125" defaultRowHeight="15"/>
  <cols>
    <col min="1" max="1" width="11.42578125" style="11"/>
    <col min="2" max="2" width="18.28515625" customWidth="1"/>
    <col min="5" max="5" width="14.85546875" customWidth="1"/>
  </cols>
  <sheetData>
    <row r="1" spans="1:12">
      <c r="A1" s="223"/>
      <c r="B1" s="288" t="s">
        <v>86</v>
      </c>
      <c r="C1" s="289">
        <v>0.113</v>
      </c>
      <c r="D1" s="223"/>
      <c r="E1" s="223"/>
      <c r="F1" s="223"/>
      <c r="G1" s="223"/>
      <c r="H1" s="223"/>
      <c r="I1" s="223"/>
      <c r="J1" s="223"/>
      <c r="K1" s="223"/>
      <c r="L1" s="223"/>
    </row>
    <row r="2" spans="1:12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>
      <c r="A3" s="223"/>
      <c r="B3" s="290" t="s">
        <v>23</v>
      </c>
      <c r="C3" s="290" t="s">
        <v>83</v>
      </c>
      <c r="D3" s="290" t="s">
        <v>84</v>
      </c>
      <c r="E3" s="290" t="s">
        <v>85</v>
      </c>
      <c r="F3" s="290"/>
      <c r="G3" s="223"/>
      <c r="H3" s="223"/>
      <c r="I3" s="223"/>
      <c r="J3" s="223"/>
      <c r="K3" s="223"/>
      <c r="L3" s="223"/>
    </row>
    <row r="4" spans="1:12" s="11" customFormat="1">
      <c r="A4" s="223"/>
      <c r="B4" s="15">
        <v>0</v>
      </c>
      <c r="C4" s="16"/>
      <c r="D4" s="15"/>
      <c r="E4" s="15"/>
      <c r="F4" s="15">
        <f>46046</f>
        <v>46046</v>
      </c>
      <c r="G4" s="223"/>
      <c r="H4" s="223"/>
      <c r="I4" s="223" t="s">
        <v>117</v>
      </c>
      <c r="J4" s="223"/>
      <c r="K4" s="223"/>
      <c r="L4" s="223"/>
    </row>
    <row r="5" spans="1:12">
      <c r="A5" s="223"/>
      <c r="B5" s="13">
        <v>1</v>
      </c>
      <c r="C5" s="16">
        <f t="shared" ref="C5:C14" si="0">$I$6</f>
        <v>7917.293276920268</v>
      </c>
      <c r="D5" s="17">
        <f>F4*$C$1</f>
        <v>5203.1980000000003</v>
      </c>
      <c r="E5" s="17">
        <f>C5-D5</f>
        <v>2714.0952769202677</v>
      </c>
      <c r="F5" s="17">
        <f>F4-E5</f>
        <v>43331.90472307973</v>
      </c>
      <c r="G5" s="223"/>
      <c r="H5" s="223"/>
      <c r="I5" s="223"/>
      <c r="J5" s="223"/>
      <c r="K5" s="223"/>
      <c r="L5" s="223"/>
    </row>
    <row r="6" spans="1:12">
      <c r="A6" s="223"/>
      <c r="B6" s="13">
        <v>2</v>
      </c>
      <c r="C6" s="16">
        <f t="shared" si="0"/>
        <v>7917.293276920268</v>
      </c>
      <c r="D6" s="17">
        <f>F5*$C$1</f>
        <v>4896.5052337080097</v>
      </c>
      <c r="E6" s="17">
        <f>C6-D6</f>
        <v>3020.7880432122583</v>
      </c>
      <c r="F6" s="17">
        <f>F5-E6</f>
        <v>40311.116679867468</v>
      </c>
      <c r="G6" s="223"/>
      <c r="H6" s="288" t="s">
        <v>83</v>
      </c>
      <c r="I6" s="223">
        <f>(46046*0.113/(1-(1+0.113)^(-10)))</f>
        <v>7917.293276920268</v>
      </c>
      <c r="J6" s="223"/>
      <c r="K6" s="223"/>
      <c r="L6" s="223"/>
    </row>
    <row r="7" spans="1:12">
      <c r="A7" s="223"/>
      <c r="B7" s="13">
        <v>3</v>
      </c>
      <c r="C7" s="16">
        <f t="shared" si="0"/>
        <v>7917.293276920268</v>
      </c>
      <c r="D7" s="17">
        <f t="shared" ref="D7:D14" si="1">F6*$C$1</f>
        <v>4555.156184825024</v>
      </c>
      <c r="E7" s="17">
        <f>C7-D7</f>
        <v>3362.137092095244</v>
      </c>
      <c r="F7" s="17">
        <f t="shared" ref="F7:F10" si="2">F6-E7</f>
        <v>36948.979587772221</v>
      </c>
      <c r="G7" s="223"/>
      <c r="H7" s="223"/>
      <c r="I7" s="223"/>
      <c r="J7" s="223"/>
      <c r="K7" s="223"/>
      <c r="L7" s="223"/>
    </row>
    <row r="8" spans="1:12">
      <c r="A8" s="223"/>
      <c r="B8" s="13">
        <v>4</v>
      </c>
      <c r="C8" s="16">
        <f t="shared" si="0"/>
        <v>7917.293276920268</v>
      </c>
      <c r="D8" s="17">
        <f t="shared" si="1"/>
        <v>4175.2346934182615</v>
      </c>
      <c r="E8" s="17">
        <f>C8-D8</f>
        <v>3742.0585835020065</v>
      </c>
      <c r="F8" s="17">
        <f t="shared" si="2"/>
        <v>33206.921004270218</v>
      </c>
      <c r="G8" s="223"/>
      <c r="H8" s="223"/>
      <c r="I8" s="223"/>
      <c r="J8" s="223"/>
      <c r="K8" s="223"/>
      <c r="L8" s="223"/>
    </row>
    <row r="9" spans="1:12">
      <c r="A9" s="223"/>
      <c r="B9" s="13">
        <v>5</v>
      </c>
      <c r="C9" s="16">
        <f t="shared" si="0"/>
        <v>7917.293276920268</v>
      </c>
      <c r="D9" s="17">
        <f t="shared" si="1"/>
        <v>3752.3820734825349</v>
      </c>
      <c r="E9" s="17">
        <f t="shared" ref="E9:E14" si="3">C9-D9</f>
        <v>4164.9112034377331</v>
      </c>
      <c r="F9" s="17">
        <f>F8-E9</f>
        <v>29042.009800832486</v>
      </c>
      <c r="G9" s="223"/>
      <c r="H9" s="223"/>
      <c r="I9" s="223"/>
      <c r="J9" s="223"/>
      <c r="K9" s="223"/>
      <c r="L9" s="223"/>
    </row>
    <row r="10" spans="1:12">
      <c r="A10" s="223"/>
      <c r="B10" s="13">
        <v>6</v>
      </c>
      <c r="C10" s="16">
        <f t="shared" si="0"/>
        <v>7917.293276920268</v>
      </c>
      <c r="D10" s="17">
        <f t="shared" si="1"/>
        <v>3281.7471074940709</v>
      </c>
      <c r="E10" s="17">
        <f t="shared" si="3"/>
        <v>4635.5461694261976</v>
      </c>
      <c r="F10" s="17">
        <f t="shared" si="2"/>
        <v>24406.463631406288</v>
      </c>
      <c r="G10" s="223"/>
      <c r="H10" s="223"/>
      <c r="I10" s="223"/>
      <c r="J10" s="223"/>
      <c r="K10" s="223"/>
      <c r="L10" s="223"/>
    </row>
    <row r="11" spans="1:12">
      <c r="A11" s="223"/>
      <c r="B11" s="13">
        <v>7</v>
      </c>
      <c r="C11" s="16">
        <f t="shared" si="0"/>
        <v>7917.293276920268</v>
      </c>
      <c r="D11" s="17">
        <f t="shared" si="1"/>
        <v>2757.9303903489108</v>
      </c>
      <c r="E11" s="17">
        <f t="shared" si="3"/>
        <v>5159.3628865713572</v>
      </c>
      <c r="F11" s="17">
        <f>F10-E11</f>
        <v>19247.10074483493</v>
      </c>
      <c r="G11" s="223"/>
      <c r="H11" s="223"/>
      <c r="I11" s="223"/>
      <c r="J11" s="223"/>
      <c r="K11" s="223"/>
      <c r="L11" s="223"/>
    </row>
    <row r="12" spans="1:12">
      <c r="A12" s="223"/>
      <c r="B12" s="13">
        <v>8</v>
      </c>
      <c r="C12" s="16">
        <f t="shared" si="0"/>
        <v>7917.293276920268</v>
      </c>
      <c r="D12" s="17">
        <f t="shared" si="1"/>
        <v>2174.922384166347</v>
      </c>
      <c r="E12" s="17">
        <f t="shared" si="3"/>
        <v>5742.370892753921</v>
      </c>
      <c r="F12" s="17">
        <f t="shared" ref="F12:F14" si="4">F11-E12</f>
        <v>13504.729852081009</v>
      </c>
      <c r="G12" s="223"/>
      <c r="H12" s="223"/>
      <c r="I12" s="223"/>
      <c r="J12" s="223"/>
      <c r="K12" s="223"/>
      <c r="L12" s="223"/>
    </row>
    <row r="13" spans="1:12">
      <c r="A13" s="223"/>
      <c r="B13" s="13">
        <v>9</v>
      </c>
      <c r="C13" s="16">
        <f t="shared" si="0"/>
        <v>7917.293276920268</v>
      </c>
      <c r="D13" s="17">
        <f t="shared" si="1"/>
        <v>1526.034473285154</v>
      </c>
      <c r="E13" s="17">
        <f t="shared" si="3"/>
        <v>6391.2588036351135</v>
      </c>
      <c r="F13" s="17">
        <f t="shared" si="4"/>
        <v>7113.4710484458956</v>
      </c>
      <c r="G13" s="223"/>
      <c r="H13" s="223"/>
      <c r="I13" s="223"/>
      <c r="J13" s="223"/>
      <c r="K13" s="223"/>
      <c r="L13" s="223"/>
    </row>
    <row r="14" spans="1:12">
      <c r="A14" s="223"/>
      <c r="B14" s="13">
        <v>10</v>
      </c>
      <c r="C14" s="16">
        <f t="shared" si="0"/>
        <v>7917.293276920268</v>
      </c>
      <c r="D14" s="17">
        <f t="shared" si="1"/>
        <v>803.82222847438618</v>
      </c>
      <c r="E14" s="17">
        <f t="shared" si="3"/>
        <v>7113.4710484458819</v>
      </c>
      <c r="F14" s="17">
        <f t="shared" si="4"/>
        <v>1.3642420526593924E-11</v>
      </c>
      <c r="G14" s="223"/>
      <c r="H14" s="223"/>
      <c r="I14" s="223"/>
      <c r="J14" s="223"/>
      <c r="K14" s="223"/>
      <c r="L14" s="223"/>
    </row>
    <row r="15" spans="1:12" ht="15.75" thickBot="1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ht="15.75" thickBot="1">
      <c r="A16" s="223"/>
      <c r="B16" s="384" t="s">
        <v>34</v>
      </c>
      <c r="C16" s="385"/>
      <c r="D16" s="386"/>
      <c r="E16" s="223"/>
      <c r="F16" s="223"/>
      <c r="G16" s="223"/>
      <c r="H16" s="223"/>
      <c r="I16" s="223"/>
      <c r="J16" s="223"/>
      <c r="K16" s="223"/>
      <c r="L16" s="223"/>
    </row>
    <row r="17" spans="1:12">
      <c r="A17" s="223"/>
      <c r="B17" s="47">
        <v>24</v>
      </c>
      <c r="C17" s="47">
        <v>5000</v>
      </c>
      <c r="D17" s="47"/>
      <c r="E17" s="223"/>
      <c r="F17" s="223"/>
      <c r="G17" s="223"/>
      <c r="H17" s="223"/>
      <c r="I17" s="223"/>
      <c r="J17" s="223"/>
      <c r="K17" s="223"/>
      <c r="L17" s="223"/>
    </row>
    <row r="18" spans="1:12">
      <c r="A18" s="223"/>
      <c r="B18" s="48">
        <v>22</v>
      </c>
      <c r="C18" s="48">
        <v>15000</v>
      </c>
      <c r="D18" s="48"/>
      <c r="E18" s="223"/>
      <c r="F18" s="223"/>
      <c r="G18" s="223"/>
      <c r="H18" s="223"/>
      <c r="I18" s="223"/>
      <c r="J18" s="223"/>
      <c r="K18" s="223"/>
      <c r="L18" s="223"/>
    </row>
    <row r="19" spans="1:12">
      <c r="A19" s="223"/>
      <c r="B19" s="48">
        <v>10.31</v>
      </c>
      <c r="C19" s="48">
        <v>50000</v>
      </c>
      <c r="D19" s="49" t="s">
        <v>33</v>
      </c>
      <c r="E19" s="223"/>
      <c r="F19" s="223"/>
      <c r="G19" s="223"/>
      <c r="H19" s="223"/>
      <c r="I19" s="223"/>
      <c r="J19" s="223"/>
      <c r="K19" s="223"/>
      <c r="L19" s="223"/>
    </row>
    <row r="20" spans="1:12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2" spans="1:12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>
      <c r="A23" s="223"/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2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12">
      <c r="A25" s="223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</row>
    <row r="26" spans="1:12">
      <c r="A26" s="223"/>
    </row>
  </sheetData>
  <mergeCells count="1"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workbookViewId="0">
      <selection activeCell="G13" sqref="G13"/>
    </sheetView>
  </sheetViews>
  <sheetFormatPr baseColWidth="10" defaultColWidth="11.42578125" defaultRowHeight="15"/>
  <cols>
    <col min="1" max="1" width="11.42578125" style="11"/>
    <col min="2" max="2" width="22.7109375" customWidth="1"/>
    <col min="3" max="3" width="17.140625" bestFit="1" customWidth="1"/>
    <col min="4" max="4" width="12.5703125" customWidth="1"/>
    <col min="5" max="5" width="19.28515625" customWidth="1"/>
    <col min="6" max="6" width="18.28515625" customWidth="1"/>
    <col min="8" max="8" width="20.42578125" customWidth="1"/>
  </cols>
  <sheetData>
    <row r="1" spans="1:9">
      <c r="A1" s="223"/>
      <c r="B1" s="223"/>
      <c r="C1" s="223"/>
      <c r="D1" s="223"/>
      <c r="E1" s="223"/>
      <c r="F1" s="223"/>
      <c r="G1" s="223"/>
      <c r="H1" s="223"/>
      <c r="I1" s="223"/>
    </row>
    <row r="2" spans="1:9" ht="15.75" thickBot="1">
      <c r="A2" s="223"/>
      <c r="B2" s="223"/>
      <c r="C2" s="223"/>
      <c r="D2" s="223"/>
      <c r="E2" s="223"/>
      <c r="F2" s="223"/>
      <c r="G2" s="223"/>
      <c r="H2" s="223"/>
      <c r="I2" s="223"/>
    </row>
    <row r="3" spans="1:9" ht="15.75" thickBot="1">
      <c r="A3" s="223"/>
      <c r="B3" s="387" t="s">
        <v>37</v>
      </c>
      <c r="C3" s="388"/>
      <c r="D3" s="388"/>
      <c r="E3" s="388"/>
      <c r="F3" s="389" t="s">
        <v>24</v>
      </c>
      <c r="G3" s="389"/>
      <c r="H3" s="390"/>
      <c r="I3" s="223"/>
    </row>
    <row r="4" spans="1:9">
      <c r="A4" s="223"/>
      <c r="B4" s="285" t="s">
        <v>38</v>
      </c>
      <c r="C4" s="286" t="s">
        <v>39</v>
      </c>
      <c r="D4" s="286" t="s">
        <v>40</v>
      </c>
      <c r="E4" s="287" t="s">
        <v>41</v>
      </c>
      <c r="F4" s="18" t="s">
        <v>82</v>
      </c>
      <c r="G4" s="19" t="s">
        <v>87</v>
      </c>
      <c r="H4" s="20" t="s">
        <v>88</v>
      </c>
      <c r="I4" s="223"/>
    </row>
    <row r="5" spans="1:9">
      <c r="A5" s="223"/>
      <c r="B5" s="38" t="s">
        <v>42</v>
      </c>
      <c r="C5" s="39">
        <v>100</v>
      </c>
      <c r="D5" s="39">
        <f>2</f>
        <v>2</v>
      </c>
      <c r="E5" s="40">
        <f t="shared" ref="E5:E6" si="0">C5*D5</f>
        <v>200</v>
      </c>
      <c r="F5" s="21"/>
      <c r="G5" s="14"/>
      <c r="H5" s="22"/>
      <c r="I5" s="223"/>
    </row>
    <row r="6" spans="1:9">
      <c r="A6" s="223"/>
      <c r="B6" s="38" t="s">
        <v>43</v>
      </c>
      <c r="C6" s="41">
        <v>14790</v>
      </c>
      <c r="D6" s="39">
        <v>2</v>
      </c>
      <c r="E6" s="40">
        <f t="shared" si="0"/>
        <v>29580</v>
      </c>
      <c r="F6" s="23">
        <v>0.2</v>
      </c>
      <c r="G6" s="14">
        <v>5</v>
      </c>
      <c r="H6" s="22">
        <f>E6/G6</f>
        <v>5916</v>
      </c>
      <c r="I6" s="223"/>
    </row>
    <row r="7" spans="1:9">
      <c r="A7" s="223"/>
      <c r="B7" s="42" t="s">
        <v>44</v>
      </c>
      <c r="C7" s="39">
        <v>15000</v>
      </c>
      <c r="D7" s="43"/>
      <c r="E7" s="40">
        <f>C7</f>
        <v>15000</v>
      </c>
      <c r="F7" s="23">
        <v>0.1</v>
      </c>
      <c r="G7" s="14">
        <v>10</v>
      </c>
      <c r="H7" s="22">
        <f>E7/G7</f>
        <v>1500</v>
      </c>
      <c r="I7" s="223"/>
    </row>
    <row r="8" spans="1:9">
      <c r="A8" s="223"/>
      <c r="B8" s="42" t="s">
        <v>45</v>
      </c>
      <c r="C8" s="39">
        <v>600</v>
      </c>
      <c r="D8" s="43">
        <v>10</v>
      </c>
      <c r="E8" s="40">
        <f>C8*D8</f>
        <v>6000</v>
      </c>
      <c r="F8" s="21"/>
      <c r="G8" s="14" t="s">
        <v>139</v>
      </c>
      <c r="H8" s="22"/>
      <c r="I8" s="223"/>
    </row>
    <row r="9" spans="1:9">
      <c r="A9" s="223"/>
      <c r="B9" s="42" t="s">
        <v>46</v>
      </c>
      <c r="C9" s="39">
        <v>15000</v>
      </c>
      <c r="D9" s="43"/>
      <c r="E9" s="40">
        <f>C9</f>
        <v>15000</v>
      </c>
      <c r="F9" s="23">
        <v>0.33300000000000002</v>
      </c>
      <c r="G9" s="14">
        <v>3</v>
      </c>
      <c r="H9" s="22">
        <f>E9/G9</f>
        <v>5000</v>
      </c>
      <c r="I9" s="223"/>
    </row>
    <row r="10" spans="1:9">
      <c r="A10" s="223"/>
      <c r="B10" s="392" t="s">
        <v>47</v>
      </c>
      <c r="C10" s="393"/>
      <c r="D10" s="39"/>
      <c r="E10" s="40">
        <f>SUM(E5:E9)</f>
        <v>65780</v>
      </c>
      <c r="F10" s="21"/>
      <c r="G10" s="14"/>
      <c r="H10" s="22"/>
      <c r="I10" s="223"/>
    </row>
    <row r="11" spans="1:9">
      <c r="A11" s="223"/>
      <c r="B11" s="38" t="s">
        <v>48</v>
      </c>
      <c r="C11" s="39"/>
      <c r="D11" s="39"/>
      <c r="E11" s="40"/>
      <c r="F11" s="21"/>
      <c r="G11" s="14" t="s">
        <v>89</v>
      </c>
      <c r="H11" s="22">
        <f>SUM(H6:H10)</f>
        <v>12416</v>
      </c>
      <c r="I11" s="223"/>
    </row>
    <row r="12" spans="1:9" ht="15.75" thickBot="1">
      <c r="A12" s="223"/>
      <c r="B12" s="44" t="s">
        <v>49</v>
      </c>
      <c r="C12" s="45"/>
      <c r="D12" s="45"/>
      <c r="E12" s="46"/>
      <c r="F12" s="24"/>
      <c r="G12" s="25"/>
      <c r="H12" s="26"/>
      <c r="I12" s="223"/>
    </row>
    <row r="13" spans="1:9">
      <c r="A13" s="223"/>
      <c r="B13" s="223"/>
      <c r="C13" s="223"/>
      <c r="D13" s="223"/>
      <c r="E13" s="223"/>
      <c r="F13" s="223"/>
      <c r="G13" s="223"/>
      <c r="H13" s="223"/>
      <c r="I13" s="223"/>
    </row>
    <row r="14" spans="1:9">
      <c r="A14" s="223"/>
      <c r="B14" s="223"/>
      <c r="C14" s="223"/>
      <c r="D14" s="223"/>
      <c r="E14" s="223"/>
      <c r="F14" s="223"/>
      <c r="G14" s="223"/>
      <c r="H14" s="223"/>
      <c r="I14" s="223"/>
    </row>
    <row r="15" spans="1:9">
      <c r="A15" s="223"/>
      <c r="B15" s="288" t="s">
        <v>50</v>
      </c>
      <c r="C15" s="223"/>
      <c r="D15" s="223"/>
      <c r="E15" s="223"/>
      <c r="F15" s="223"/>
      <c r="G15" s="223"/>
      <c r="H15" s="223"/>
      <c r="I15" s="223"/>
    </row>
    <row r="16" spans="1:9" ht="15.75" thickBot="1">
      <c r="A16" s="223"/>
      <c r="B16" s="288" t="s">
        <v>51</v>
      </c>
      <c r="C16" s="223"/>
      <c r="D16" s="223"/>
      <c r="E16" s="223"/>
      <c r="F16" s="223"/>
      <c r="G16" s="223"/>
      <c r="H16" s="223"/>
      <c r="I16" s="223"/>
    </row>
    <row r="17" spans="1:9">
      <c r="A17" s="223"/>
      <c r="B17" s="220" t="s">
        <v>52</v>
      </c>
      <c r="C17" s="221" t="s">
        <v>53</v>
      </c>
      <c r="D17" s="221" t="s">
        <v>54</v>
      </c>
      <c r="E17" s="221" t="s">
        <v>55</v>
      </c>
      <c r="F17" s="222" t="s">
        <v>56</v>
      </c>
      <c r="G17" s="223"/>
      <c r="H17" s="223"/>
      <c r="I17" s="223"/>
    </row>
    <row r="18" spans="1:9">
      <c r="A18" s="223"/>
      <c r="B18" s="32" t="s">
        <v>57</v>
      </c>
      <c r="C18" s="33">
        <v>1500</v>
      </c>
      <c r="D18" s="33">
        <v>1</v>
      </c>
      <c r="E18" s="33">
        <f>C18*D18</f>
        <v>1500</v>
      </c>
      <c r="F18" s="34">
        <f>E18*12</f>
        <v>18000</v>
      </c>
      <c r="G18" s="223"/>
      <c r="H18" s="223"/>
      <c r="I18" s="223"/>
    </row>
    <row r="19" spans="1:9">
      <c r="A19" s="223"/>
      <c r="B19" s="32" t="s">
        <v>58</v>
      </c>
      <c r="C19" s="33">
        <v>1000</v>
      </c>
      <c r="D19" s="33">
        <v>1</v>
      </c>
      <c r="E19" s="33">
        <f t="shared" ref="E19:E29" si="1">C19*D19</f>
        <v>1000</v>
      </c>
      <c r="F19" s="34">
        <f t="shared" ref="F19:F29" si="2">E19*12</f>
        <v>12000</v>
      </c>
      <c r="G19" s="223"/>
      <c r="H19" s="223"/>
      <c r="I19" s="223"/>
    </row>
    <row r="20" spans="1:9">
      <c r="A20" s="223"/>
      <c r="B20" s="32" t="s">
        <v>59</v>
      </c>
      <c r="C20" s="33">
        <v>1500</v>
      </c>
      <c r="D20" s="33">
        <v>1</v>
      </c>
      <c r="E20" s="33">
        <f t="shared" si="1"/>
        <v>1500</v>
      </c>
      <c r="F20" s="34">
        <f t="shared" si="2"/>
        <v>18000</v>
      </c>
      <c r="G20" s="223"/>
      <c r="H20" s="223"/>
      <c r="I20" s="223"/>
    </row>
    <row r="21" spans="1:9">
      <c r="A21" s="223"/>
      <c r="B21" s="32" t="s">
        <v>60</v>
      </c>
      <c r="C21" s="33">
        <v>1300</v>
      </c>
      <c r="D21" s="33">
        <v>1</v>
      </c>
      <c r="E21" s="33">
        <f t="shared" si="1"/>
        <v>1300</v>
      </c>
      <c r="F21" s="34">
        <f t="shared" si="2"/>
        <v>15600</v>
      </c>
      <c r="G21" s="223"/>
      <c r="H21" s="223"/>
      <c r="I21" s="223"/>
    </row>
    <row r="22" spans="1:9">
      <c r="A22" s="223"/>
      <c r="B22" s="32" t="s">
        <v>61</v>
      </c>
      <c r="C22" s="33">
        <v>1300</v>
      </c>
      <c r="D22" s="33">
        <v>1</v>
      </c>
      <c r="E22" s="33">
        <f t="shared" si="1"/>
        <v>1300</v>
      </c>
      <c r="F22" s="34">
        <f t="shared" si="2"/>
        <v>15600</v>
      </c>
      <c r="G22" s="223"/>
      <c r="H22" s="223"/>
      <c r="I22" s="223"/>
    </row>
    <row r="23" spans="1:9">
      <c r="A23" s="223"/>
      <c r="B23" s="32" t="s">
        <v>62</v>
      </c>
      <c r="C23" s="33">
        <v>1400</v>
      </c>
      <c r="D23" s="33">
        <v>1</v>
      </c>
      <c r="E23" s="33">
        <f t="shared" si="1"/>
        <v>1400</v>
      </c>
      <c r="F23" s="34">
        <f t="shared" si="2"/>
        <v>16800</v>
      </c>
      <c r="G23" s="223"/>
      <c r="H23" s="223"/>
      <c r="I23" s="223"/>
    </row>
    <row r="24" spans="1:9">
      <c r="A24" s="223"/>
      <c r="B24" s="32" t="s">
        <v>63</v>
      </c>
      <c r="C24" s="33">
        <v>1100</v>
      </c>
      <c r="D24" s="33">
        <v>1</v>
      </c>
      <c r="E24" s="33">
        <f t="shared" si="1"/>
        <v>1100</v>
      </c>
      <c r="F24" s="34">
        <f t="shared" si="2"/>
        <v>13200</v>
      </c>
      <c r="G24" s="223"/>
      <c r="H24" s="223"/>
      <c r="I24" s="223"/>
    </row>
    <row r="25" spans="1:9">
      <c r="A25" s="223"/>
      <c r="B25" s="32" t="s">
        <v>64</v>
      </c>
      <c r="C25" s="33">
        <v>800</v>
      </c>
      <c r="D25" s="33">
        <v>1</v>
      </c>
      <c r="E25" s="33">
        <f t="shared" si="1"/>
        <v>800</v>
      </c>
      <c r="F25" s="34">
        <f t="shared" si="2"/>
        <v>9600</v>
      </c>
      <c r="G25" s="223"/>
      <c r="H25" s="223"/>
      <c r="I25" s="223"/>
    </row>
    <row r="26" spans="1:9">
      <c r="A26" s="223"/>
      <c r="B26" s="32" t="s">
        <v>65</v>
      </c>
      <c r="C26" s="33">
        <v>500</v>
      </c>
      <c r="D26" s="33">
        <v>2</v>
      </c>
      <c r="E26" s="33">
        <f t="shared" si="1"/>
        <v>1000</v>
      </c>
      <c r="F26" s="34">
        <f t="shared" si="2"/>
        <v>12000</v>
      </c>
      <c r="G26" s="223"/>
      <c r="H26" s="223"/>
      <c r="I26" s="223"/>
    </row>
    <row r="27" spans="1:9">
      <c r="A27" s="223"/>
      <c r="B27" s="32" t="s">
        <v>66</v>
      </c>
      <c r="C27" s="33">
        <v>650</v>
      </c>
      <c r="D27" s="33">
        <v>3</v>
      </c>
      <c r="E27" s="33">
        <f t="shared" si="1"/>
        <v>1950</v>
      </c>
      <c r="F27" s="34">
        <f t="shared" si="2"/>
        <v>23400</v>
      </c>
      <c r="G27" s="223"/>
      <c r="H27" s="223"/>
      <c r="I27" s="223"/>
    </row>
    <row r="28" spans="1:9">
      <c r="A28" s="223"/>
      <c r="B28" s="32" t="s">
        <v>67</v>
      </c>
      <c r="C28" s="33">
        <v>600</v>
      </c>
      <c r="D28" s="33">
        <v>5</v>
      </c>
      <c r="E28" s="33">
        <f t="shared" si="1"/>
        <v>3000</v>
      </c>
      <c r="F28" s="34">
        <f t="shared" si="2"/>
        <v>36000</v>
      </c>
      <c r="G28" s="223"/>
      <c r="H28" s="223"/>
      <c r="I28" s="223"/>
    </row>
    <row r="29" spans="1:9">
      <c r="A29" s="223"/>
      <c r="B29" s="32" t="s">
        <v>68</v>
      </c>
      <c r="C29" s="33">
        <v>400</v>
      </c>
      <c r="D29" s="33">
        <v>1</v>
      </c>
      <c r="E29" s="33">
        <f t="shared" si="1"/>
        <v>400</v>
      </c>
      <c r="F29" s="34">
        <f t="shared" si="2"/>
        <v>4800</v>
      </c>
      <c r="G29" s="223"/>
      <c r="H29" s="223"/>
      <c r="I29" s="223"/>
    </row>
    <row r="30" spans="1:9" ht="15.75" thickBot="1">
      <c r="A30" s="223"/>
      <c r="B30" s="35" t="s">
        <v>69</v>
      </c>
      <c r="C30" s="36">
        <f>SUM(C18:C29)</f>
        <v>12050</v>
      </c>
      <c r="D30" s="36">
        <f>SUM(D18:D29)</f>
        <v>19</v>
      </c>
      <c r="E30" s="36">
        <f t="shared" ref="E30:F30" si="3">SUM(E18:E29)</f>
        <v>16250</v>
      </c>
      <c r="F30" s="37">
        <f t="shared" si="3"/>
        <v>195000</v>
      </c>
      <c r="G30" s="223"/>
      <c r="H30" s="223"/>
      <c r="I30" s="223"/>
    </row>
    <row r="31" spans="1:9">
      <c r="A31" s="223"/>
      <c r="B31" s="223"/>
      <c r="C31" s="223"/>
      <c r="D31" s="223"/>
      <c r="E31" s="223"/>
      <c r="F31" s="223"/>
      <c r="G31" s="223"/>
      <c r="H31" s="223"/>
      <c r="I31" s="223"/>
    </row>
    <row r="32" spans="1:9">
      <c r="A32" s="223"/>
      <c r="B32" s="223"/>
      <c r="C32" s="223"/>
      <c r="D32" s="223"/>
      <c r="E32" s="223"/>
      <c r="F32" s="223"/>
      <c r="G32" s="223"/>
      <c r="H32" s="223"/>
      <c r="I32" s="223"/>
    </row>
    <row r="33" spans="1:9">
      <c r="A33" s="223"/>
      <c r="B33" s="223"/>
      <c r="C33" s="223"/>
      <c r="D33" s="223"/>
      <c r="E33" s="223"/>
      <c r="F33" s="223"/>
      <c r="G33" s="223"/>
      <c r="H33" s="223"/>
      <c r="I33" s="223"/>
    </row>
    <row r="34" spans="1:9" ht="15.75" thickBot="1">
      <c r="A34" s="223"/>
      <c r="B34" s="288" t="s">
        <v>70</v>
      </c>
      <c r="C34" s="223"/>
      <c r="D34" s="223"/>
      <c r="E34" s="223"/>
      <c r="F34" s="223"/>
      <c r="G34" s="223"/>
      <c r="H34" s="223"/>
      <c r="I34" s="223"/>
    </row>
    <row r="35" spans="1:9">
      <c r="A35" s="223"/>
      <c r="B35" s="27" t="s">
        <v>71</v>
      </c>
      <c r="C35" s="28" t="s">
        <v>72</v>
      </c>
      <c r="D35" s="29" t="s">
        <v>73</v>
      </c>
      <c r="E35" s="223"/>
      <c r="F35" s="223"/>
      <c r="G35" s="223"/>
      <c r="H35" s="223"/>
      <c r="I35" s="223"/>
    </row>
    <row r="36" spans="1:9">
      <c r="A36" s="223"/>
      <c r="B36" s="30" t="s">
        <v>74</v>
      </c>
      <c r="C36" s="64">
        <v>1000</v>
      </c>
      <c r="D36" s="65">
        <f>C36*12</f>
        <v>12000</v>
      </c>
      <c r="E36" s="223"/>
      <c r="F36" s="223"/>
      <c r="G36" s="223"/>
      <c r="H36" s="223"/>
      <c r="I36" s="223"/>
    </row>
    <row r="37" spans="1:9">
      <c r="A37" s="223"/>
      <c r="B37" s="30" t="s">
        <v>75</v>
      </c>
      <c r="C37" s="64">
        <v>200</v>
      </c>
      <c r="D37" s="65">
        <f t="shared" ref="D37:D43" si="4">C37*12</f>
        <v>2400</v>
      </c>
      <c r="E37" s="223"/>
      <c r="F37" s="223"/>
      <c r="G37" s="223"/>
      <c r="H37" s="223"/>
      <c r="I37" s="223"/>
    </row>
    <row r="38" spans="1:9">
      <c r="A38" s="223"/>
      <c r="B38" s="30" t="s">
        <v>76</v>
      </c>
      <c r="C38" s="64">
        <v>100</v>
      </c>
      <c r="D38" s="65">
        <f t="shared" si="4"/>
        <v>1200</v>
      </c>
      <c r="E38" s="223"/>
      <c r="F38" s="223"/>
      <c r="G38" s="223"/>
      <c r="H38" s="223"/>
      <c r="I38" s="223"/>
    </row>
    <row r="39" spans="1:9">
      <c r="A39" s="223"/>
      <c r="B39" s="30" t="s">
        <v>77</v>
      </c>
      <c r="C39" s="64">
        <v>150</v>
      </c>
      <c r="D39" s="65">
        <f t="shared" si="4"/>
        <v>1800</v>
      </c>
      <c r="E39" s="223"/>
      <c r="F39" s="223"/>
      <c r="G39" s="223"/>
      <c r="H39" s="223"/>
      <c r="I39" s="223"/>
    </row>
    <row r="40" spans="1:9">
      <c r="A40" s="223"/>
      <c r="B40" s="30" t="s">
        <v>78</v>
      </c>
      <c r="C40" s="64">
        <v>1800</v>
      </c>
      <c r="D40" s="65">
        <f t="shared" si="4"/>
        <v>21600</v>
      </c>
      <c r="E40" s="223"/>
      <c r="F40" s="223">
        <f>E30+C44</f>
        <v>20280</v>
      </c>
      <c r="G40" s="391" t="s">
        <v>208</v>
      </c>
      <c r="H40" s="391"/>
      <c r="I40" s="223"/>
    </row>
    <row r="41" spans="1:9">
      <c r="A41" s="223"/>
      <c r="B41" s="30" t="s">
        <v>79</v>
      </c>
      <c r="C41" s="64">
        <v>500</v>
      </c>
      <c r="D41" s="65">
        <f t="shared" si="4"/>
        <v>6000</v>
      </c>
      <c r="E41" s="223"/>
      <c r="F41" s="223"/>
      <c r="G41" s="223"/>
      <c r="H41" s="223"/>
      <c r="I41" s="223"/>
    </row>
    <row r="42" spans="1:9">
      <c r="A42" s="223"/>
      <c r="B42" s="30" t="s">
        <v>80</v>
      </c>
      <c r="C42" s="64">
        <v>180</v>
      </c>
      <c r="D42" s="65">
        <f t="shared" si="4"/>
        <v>2160</v>
      </c>
      <c r="E42" s="223"/>
      <c r="F42" s="223"/>
      <c r="G42" s="223"/>
      <c r="H42" s="223"/>
      <c r="I42" s="223"/>
    </row>
    <row r="43" spans="1:9">
      <c r="A43" s="223"/>
      <c r="B43" s="30" t="s">
        <v>81</v>
      </c>
      <c r="C43" s="64">
        <v>100</v>
      </c>
      <c r="D43" s="65">
        <f t="shared" si="4"/>
        <v>1200</v>
      </c>
      <c r="E43" s="223"/>
      <c r="F43" s="223"/>
      <c r="G43" s="223"/>
      <c r="H43" s="223"/>
      <c r="I43" s="223"/>
    </row>
    <row r="44" spans="1:9" ht="15.75" thickBot="1">
      <c r="A44" s="223"/>
      <c r="B44" s="31" t="s">
        <v>41</v>
      </c>
      <c r="C44" s="66">
        <f>SUM(C36:C43)</f>
        <v>4030</v>
      </c>
      <c r="D44" s="67">
        <f>SUM(D36:D43)</f>
        <v>48360</v>
      </c>
      <c r="E44" s="223"/>
      <c r="F44" s="223"/>
      <c r="G44" s="223"/>
      <c r="H44" s="223"/>
      <c r="I44" s="223"/>
    </row>
    <row r="45" spans="1:9">
      <c r="A45" s="223"/>
      <c r="B45" s="223"/>
      <c r="C45" s="223"/>
      <c r="D45" s="223"/>
      <c r="E45" s="223"/>
      <c r="F45" s="223"/>
      <c r="G45" s="223"/>
      <c r="H45" s="223"/>
      <c r="I45" s="223"/>
    </row>
    <row r="46" spans="1:9">
      <c r="A46" s="223"/>
      <c r="B46" s="223"/>
      <c r="C46" s="223"/>
      <c r="D46" s="223"/>
      <c r="E46" s="223"/>
      <c r="F46" s="223"/>
      <c r="G46" s="223"/>
      <c r="H46" s="223"/>
      <c r="I46" s="223"/>
    </row>
    <row r="47" spans="1:9">
      <c r="A47" s="223"/>
      <c r="B47" s="223"/>
      <c r="C47" s="223"/>
      <c r="D47" s="223"/>
      <c r="E47" s="223"/>
      <c r="F47" s="223"/>
      <c r="G47" s="223"/>
      <c r="H47" s="223"/>
      <c r="I47" s="223"/>
    </row>
    <row r="48" spans="1:9">
      <c r="A48" s="223"/>
      <c r="B48" s="223"/>
      <c r="C48" s="223"/>
      <c r="D48" s="223"/>
      <c r="E48" s="223"/>
      <c r="F48" s="223"/>
      <c r="G48" s="223"/>
      <c r="H48" s="223"/>
      <c r="I48" s="223"/>
    </row>
    <row r="49" spans="1:9">
      <c r="A49" s="223"/>
      <c r="B49" s="223"/>
      <c r="C49" s="223"/>
      <c r="D49" s="223"/>
      <c r="E49" s="223"/>
      <c r="F49" s="223"/>
      <c r="G49" s="223"/>
      <c r="H49" s="223"/>
      <c r="I49" s="223"/>
    </row>
    <row r="50" spans="1:9">
      <c r="A50" s="223"/>
      <c r="B50" s="223"/>
      <c r="C50" s="223"/>
      <c r="D50" s="223"/>
      <c r="E50" s="223"/>
      <c r="F50" s="223"/>
      <c r="G50" s="223"/>
      <c r="H50" s="223"/>
      <c r="I50" s="223"/>
    </row>
  </sheetData>
  <mergeCells count="4">
    <mergeCell ref="B3:E3"/>
    <mergeCell ref="F3:H3"/>
    <mergeCell ref="G40:H40"/>
    <mergeCell ref="B10:C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workbookViewId="0">
      <selection activeCell="A7" sqref="A7"/>
    </sheetView>
  </sheetViews>
  <sheetFormatPr baseColWidth="10" defaultColWidth="11.42578125" defaultRowHeight="15"/>
  <cols>
    <col min="1" max="2" width="11.42578125" style="11"/>
    <col min="3" max="3" width="11.140625" style="11" customWidth="1"/>
    <col min="4" max="4" width="9.7109375" style="11" customWidth="1"/>
    <col min="5" max="5" width="11" style="11" customWidth="1"/>
    <col min="6" max="6" width="13.7109375" style="11" customWidth="1"/>
    <col min="7" max="7" width="12.7109375" style="11" customWidth="1"/>
    <col min="8" max="8" width="14.7109375" style="11" bestFit="1" customWidth="1"/>
    <col min="9" max="11" width="13.140625" style="11" bestFit="1" customWidth="1"/>
    <col min="12" max="12" width="12.42578125" style="11" customWidth="1"/>
    <col min="13" max="13" width="13.42578125" style="11" customWidth="1"/>
    <col min="14" max="14" width="17.28515625" style="11" bestFit="1" customWidth="1"/>
    <col min="15" max="16" width="14.5703125" style="11" bestFit="1" customWidth="1"/>
    <col min="17" max="16384" width="11.42578125" style="11"/>
  </cols>
  <sheetData>
    <row r="1" spans="1:19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9">
      <c r="A2" s="223"/>
      <c r="B2" s="394" t="s">
        <v>119</v>
      </c>
      <c r="C2" s="394"/>
      <c r="D2" s="394"/>
      <c r="E2" s="394"/>
      <c r="F2" s="394"/>
      <c r="G2" s="276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9" ht="15.75" thickBot="1">
      <c r="A3" s="223"/>
      <c r="B3" s="375" t="s">
        <v>195</v>
      </c>
      <c r="C3" s="375"/>
      <c r="D3" s="375"/>
      <c r="E3" s="375"/>
      <c r="F3" s="375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19" ht="15.75" customHeight="1" thickBot="1">
      <c r="A4" s="223"/>
      <c r="B4" s="418" t="s">
        <v>120</v>
      </c>
      <c r="C4" s="420" t="s">
        <v>121</v>
      </c>
      <c r="D4" s="421"/>
      <c r="E4" s="422"/>
      <c r="F4" s="95" t="s">
        <v>122</v>
      </c>
      <c r="G4" s="405" t="s">
        <v>123</v>
      </c>
      <c r="H4" s="399" t="s">
        <v>124</v>
      </c>
      <c r="I4" s="400"/>
      <c r="J4" s="400"/>
      <c r="K4" s="400"/>
      <c r="L4" s="400"/>
      <c r="M4" s="401"/>
      <c r="N4" s="405" t="s">
        <v>125</v>
      </c>
      <c r="O4" s="410" t="s">
        <v>177</v>
      </c>
      <c r="P4" s="413" t="s">
        <v>41</v>
      </c>
      <c r="Q4" s="223"/>
    </row>
    <row r="5" spans="1:19" ht="28.5" customHeight="1" thickBot="1">
      <c r="A5" s="223"/>
      <c r="B5" s="419"/>
      <c r="C5" s="95" t="s">
        <v>103</v>
      </c>
      <c r="D5" s="96" t="s">
        <v>104</v>
      </c>
      <c r="E5" s="97" t="s">
        <v>105</v>
      </c>
      <c r="F5" s="423">
        <v>2013</v>
      </c>
      <c r="G5" s="406"/>
      <c r="H5" s="408" t="s">
        <v>103</v>
      </c>
      <c r="I5" s="409"/>
      <c r="J5" s="408" t="s">
        <v>104</v>
      </c>
      <c r="K5" s="409"/>
      <c r="L5" s="416" t="s">
        <v>105</v>
      </c>
      <c r="M5" s="402" t="s">
        <v>194</v>
      </c>
      <c r="N5" s="406"/>
      <c r="O5" s="411"/>
      <c r="P5" s="414"/>
      <c r="Q5" s="223"/>
    </row>
    <row r="6" spans="1:19" ht="26.25" customHeight="1" thickBot="1">
      <c r="A6" s="223"/>
      <c r="B6" s="419"/>
      <c r="C6" s="426">
        <v>0.95</v>
      </c>
      <c r="D6" s="426">
        <v>0.71</v>
      </c>
      <c r="E6" s="426">
        <v>0.05</v>
      </c>
      <c r="F6" s="424"/>
      <c r="G6" s="406"/>
      <c r="H6" s="98" t="s">
        <v>106</v>
      </c>
      <c r="I6" s="98" t="s">
        <v>107</v>
      </c>
      <c r="J6" s="98" t="s">
        <v>106</v>
      </c>
      <c r="K6" s="99" t="s">
        <v>107</v>
      </c>
      <c r="L6" s="417"/>
      <c r="M6" s="403"/>
      <c r="N6" s="406"/>
      <c r="O6" s="411"/>
      <c r="P6" s="414"/>
      <c r="Q6" s="281"/>
      <c r="R6" s="63"/>
      <c r="S6" s="63"/>
    </row>
    <row r="7" spans="1:19" ht="29.25" customHeight="1" thickBot="1">
      <c r="A7" s="223"/>
      <c r="B7" s="419"/>
      <c r="C7" s="427"/>
      <c r="D7" s="427"/>
      <c r="E7" s="427"/>
      <c r="F7" s="425"/>
      <c r="G7" s="406"/>
      <c r="H7" s="108">
        <v>22</v>
      </c>
      <c r="I7" s="109">
        <v>15.6</v>
      </c>
      <c r="J7" s="110">
        <v>21.5</v>
      </c>
      <c r="K7" s="111">
        <v>18.5</v>
      </c>
      <c r="L7" s="112">
        <v>13</v>
      </c>
      <c r="M7" s="404"/>
      <c r="N7" s="407"/>
      <c r="O7" s="412"/>
      <c r="P7" s="415"/>
      <c r="Q7" s="281"/>
      <c r="R7" s="63"/>
      <c r="S7" s="63"/>
    </row>
    <row r="8" spans="1:19" ht="15.75" thickBot="1">
      <c r="A8" s="223"/>
      <c r="B8" s="113" t="s">
        <v>126</v>
      </c>
      <c r="C8" s="116">
        <f>'FLUJO DE CAJA'!$D$21*F8</f>
        <v>0</v>
      </c>
      <c r="D8" s="116">
        <f>'FLUJO DE CAJA'!$D$22*F8</f>
        <v>0</v>
      </c>
      <c r="E8" s="117">
        <f>'FLUJO DE CAJA'!$D$23*F8</f>
        <v>0</v>
      </c>
      <c r="F8" s="118">
        <v>0</v>
      </c>
      <c r="G8" s="116">
        <f>C8+D8+E8</f>
        <v>0</v>
      </c>
      <c r="H8" s="119">
        <f>(C8*65%)*$H$7</f>
        <v>0</v>
      </c>
      <c r="I8" s="119">
        <f>(C8*35%)*$I$7</f>
        <v>0</v>
      </c>
      <c r="J8" s="119">
        <f>(D8*65%)*$J$7</f>
        <v>0</v>
      </c>
      <c r="K8" s="119">
        <f>(D8*35%)*$K$7</f>
        <v>0</v>
      </c>
      <c r="L8" s="119">
        <f>E8*$L$7</f>
        <v>0</v>
      </c>
      <c r="M8" s="119">
        <f>70*(D8/320)+70*(E8/4000)+65*(C8/176)</f>
        <v>0</v>
      </c>
      <c r="N8" s="120">
        <f>SUM(H8:M8)</f>
        <v>0</v>
      </c>
      <c r="O8" s="121">
        <f>'FLUJO DE CAJA'!$D$56*F8</f>
        <v>0</v>
      </c>
      <c r="P8" s="122">
        <f>SUM(N8:O8)+20190</f>
        <v>20190</v>
      </c>
      <c r="Q8" s="282"/>
      <c r="R8" s="395"/>
      <c r="S8" s="395"/>
    </row>
    <row r="9" spans="1:19" ht="15.75" thickBot="1">
      <c r="A9" s="223"/>
      <c r="B9" s="114" t="s">
        <v>127</v>
      </c>
      <c r="C9" s="123">
        <f>'FLUJO DE CAJA'!$D$21*F9</f>
        <v>157.95065970255604</v>
      </c>
      <c r="D9" s="123">
        <f>'FLUJO DE CAJA'!$D$22*F9</f>
        <v>59.210648568540009</v>
      </c>
      <c r="E9" s="123">
        <f>'FLUJO DE CAJA'!$D$23*F9</f>
        <v>4.3865917108524011</v>
      </c>
      <c r="F9" s="124">
        <v>0.01</v>
      </c>
      <c r="G9" s="123">
        <f t="shared" ref="G9:G19" si="0">C9+D9+E9</f>
        <v>221.54789998194846</v>
      </c>
      <c r="H9" s="125">
        <f>(C9*65%)*$H$7</f>
        <v>2258.6944337465511</v>
      </c>
      <c r="I9" s="125">
        <f>(C9*35%)*$I$7</f>
        <v>862.41060197595584</v>
      </c>
      <c r="J9" s="125">
        <f t="shared" ref="J9:J19" si="1">(D9*65%)*$J$7</f>
        <v>827.46881374534667</v>
      </c>
      <c r="K9" s="125">
        <f>(D9*35%)*$K$7</f>
        <v>383.38894948129649</v>
      </c>
      <c r="L9" s="125">
        <f>E9*$L$7</f>
        <v>57.025692241081217</v>
      </c>
      <c r="M9" s="119">
        <f t="shared" ref="M9:M19" si="2">70*(D9/320)+70*(E9/4000)+65*(C9/176)</f>
        <v>71.363145187638409</v>
      </c>
      <c r="N9" s="126">
        <f>SUM(H9:M9)</f>
        <v>4460.351636377869</v>
      </c>
      <c r="O9" s="125">
        <f>'FLUJO DE CAJA'!$D$56*F9</f>
        <v>214.51409190840425</v>
      </c>
      <c r="P9" s="127">
        <f t="shared" ref="P9:P19" si="3">SUM(N9:O9)+20190</f>
        <v>24864.865728286273</v>
      </c>
      <c r="Q9" s="283"/>
      <c r="R9" s="395"/>
      <c r="S9" s="395"/>
    </row>
    <row r="10" spans="1:19" ht="15.75" thickBot="1">
      <c r="A10" s="223"/>
      <c r="B10" s="114" t="s">
        <v>128</v>
      </c>
      <c r="C10" s="123">
        <f>'FLUJO DE CAJA'!$D$21*F10</f>
        <v>947.70395821533612</v>
      </c>
      <c r="D10" s="123">
        <f>'FLUJO DE CAJA'!$D$22*F10</f>
        <v>355.26389141124002</v>
      </c>
      <c r="E10" s="123">
        <f>'FLUJO DE CAJA'!$D$23*F10</f>
        <v>26.319550265114405</v>
      </c>
      <c r="F10" s="124">
        <v>0.06</v>
      </c>
      <c r="G10" s="123">
        <f t="shared" si="0"/>
        <v>1329.2873998916905</v>
      </c>
      <c r="H10" s="125">
        <f t="shared" ref="H10:H19" si="4">(C10*65%)*$H$7</f>
        <v>13552.166602479307</v>
      </c>
      <c r="I10" s="125">
        <f t="shared" ref="I10:I19" si="5">(C10*35%)*$I$7</f>
        <v>5174.4636118557355</v>
      </c>
      <c r="J10" s="125">
        <f t="shared" si="1"/>
        <v>4964.8128824720798</v>
      </c>
      <c r="K10" s="125">
        <f t="shared" ref="K10:K18" si="6">(D10*35%)*$K$7</f>
        <v>2300.3336968877793</v>
      </c>
      <c r="L10" s="125">
        <f t="shared" ref="L10:L19" si="7">E10*$L$7</f>
        <v>342.15415344648727</v>
      </c>
      <c r="M10" s="119">
        <f t="shared" si="2"/>
        <v>428.17887112583037</v>
      </c>
      <c r="N10" s="126">
        <f t="shared" ref="N10:N19" si="8">SUM(H10:M10)</f>
        <v>26762.109818267221</v>
      </c>
      <c r="O10" s="125">
        <f>'FLUJO DE CAJA'!$D$56*F10</f>
        <v>1287.0845514504256</v>
      </c>
      <c r="P10" s="127">
        <f t="shared" si="3"/>
        <v>48239.194369717647</v>
      </c>
      <c r="Q10" s="284"/>
      <c r="R10" s="396"/>
      <c r="S10" s="396"/>
    </row>
    <row r="11" spans="1:19" ht="15.75" thickBot="1">
      <c r="A11" s="223"/>
      <c r="B11" s="114" t="s">
        <v>129</v>
      </c>
      <c r="C11" s="123">
        <f>'FLUJO DE CAJA'!$D$21*F11</f>
        <v>1105.6546179178922</v>
      </c>
      <c r="D11" s="123">
        <f>'FLUJO DE CAJA'!$D$22*F11</f>
        <v>414.4745399797801</v>
      </c>
      <c r="E11" s="123">
        <f>'FLUJO DE CAJA'!$D$23*F11</f>
        <v>30.706141975966808</v>
      </c>
      <c r="F11" s="124">
        <v>7.0000000000000007E-2</v>
      </c>
      <c r="G11" s="123">
        <f t="shared" si="0"/>
        <v>1550.8352998736391</v>
      </c>
      <c r="H11" s="125">
        <f t="shared" si="4"/>
        <v>15810.861036225859</v>
      </c>
      <c r="I11" s="125">
        <f t="shared" si="5"/>
        <v>6036.8742138316902</v>
      </c>
      <c r="J11" s="125">
        <f t="shared" si="1"/>
        <v>5792.2816962174275</v>
      </c>
      <c r="K11" s="125">
        <f t="shared" si="6"/>
        <v>2683.7226463690758</v>
      </c>
      <c r="L11" s="125">
        <f t="shared" si="7"/>
        <v>399.1798456875685</v>
      </c>
      <c r="M11" s="119">
        <f t="shared" si="2"/>
        <v>499.54201631346876</v>
      </c>
      <c r="N11" s="126">
        <f t="shared" si="8"/>
        <v>31222.46145464509</v>
      </c>
      <c r="O11" s="125">
        <f>'FLUJO DE CAJA'!$D$56*F11</f>
        <v>1501.59864335883</v>
      </c>
      <c r="P11" s="127">
        <f t="shared" si="3"/>
        <v>52914.060098003916</v>
      </c>
      <c r="Q11" s="283"/>
      <c r="R11" s="396"/>
      <c r="S11" s="396"/>
    </row>
    <row r="12" spans="1:19" ht="15.75" thickBot="1">
      <c r="A12" s="223"/>
      <c r="B12" s="114" t="s">
        <v>130</v>
      </c>
      <c r="C12" s="123">
        <f>'FLUJO DE CAJA'!$D$21*F12</f>
        <v>1579.5065970255603</v>
      </c>
      <c r="D12" s="123">
        <f>'FLUJO DE CAJA'!$D$22*F12</f>
        <v>592.10648568540012</v>
      </c>
      <c r="E12" s="123">
        <f>'FLUJO DE CAJA'!$D$23*F12</f>
        <v>43.865917108524009</v>
      </c>
      <c r="F12" s="124">
        <v>0.1</v>
      </c>
      <c r="G12" s="123">
        <f t="shared" si="0"/>
        <v>2215.4789998194847</v>
      </c>
      <c r="H12" s="125">
        <f t="shared" si="4"/>
        <v>22586.944337465513</v>
      </c>
      <c r="I12" s="125">
        <f t="shared" si="5"/>
        <v>8624.1060197595598</v>
      </c>
      <c r="J12" s="125">
        <f t="shared" si="1"/>
        <v>8274.6881374534678</v>
      </c>
      <c r="K12" s="125">
        <f t="shared" si="6"/>
        <v>3833.8894948129655</v>
      </c>
      <c r="L12" s="125">
        <f t="shared" si="7"/>
        <v>570.25692241081208</v>
      </c>
      <c r="M12" s="119">
        <f t="shared" si="2"/>
        <v>713.63145187638395</v>
      </c>
      <c r="N12" s="126">
        <f t="shared" si="8"/>
        <v>44603.516363778712</v>
      </c>
      <c r="O12" s="125">
        <f>'FLUJO DE CAJA'!$D$56*F12</f>
        <v>2145.1409190840427</v>
      </c>
      <c r="P12" s="127">
        <f t="shared" si="3"/>
        <v>66938.657282862754</v>
      </c>
      <c r="Q12" s="284"/>
      <c r="R12" s="396"/>
      <c r="S12" s="396"/>
    </row>
    <row r="13" spans="1:19" ht="15.75" thickBot="1">
      <c r="A13" s="223"/>
      <c r="B13" s="114" t="s">
        <v>131</v>
      </c>
      <c r="C13" s="123">
        <f>'FLUJO DE CAJA'!$D$21*F13</f>
        <v>1579.5065970255603</v>
      </c>
      <c r="D13" s="123">
        <f>'FLUJO DE CAJA'!$D$22*F13</f>
        <v>592.10648568540012</v>
      </c>
      <c r="E13" s="123">
        <f>'FLUJO DE CAJA'!$D$23*F13</f>
        <v>43.865917108524009</v>
      </c>
      <c r="F13" s="124">
        <v>0.1</v>
      </c>
      <c r="G13" s="123">
        <f t="shared" si="0"/>
        <v>2215.4789998194847</v>
      </c>
      <c r="H13" s="125">
        <f t="shared" si="4"/>
        <v>22586.944337465513</v>
      </c>
      <c r="I13" s="125">
        <f t="shared" si="5"/>
        <v>8624.1060197595598</v>
      </c>
      <c r="J13" s="125">
        <f t="shared" si="1"/>
        <v>8274.6881374534678</v>
      </c>
      <c r="K13" s="125">
        <f t="shared" si="6"/>
        <v>3833.8894948129655</v>
      </c>
      <c r="L13" s="125">
        <f t="shared" si="7"/>
        <v>570.25692241081208</v>
      </c>
      <c r="M13" s="119">
        <f t="shared" si="2"/>
        <v>713.63145187638395</v>
      </c>
      <c r="N13" s="126">
        <f t="shared" si="8"/>
        <v>44603.516363778712</v>
      </c>
      <c r="O13" s="125">
        <f>'FLUJO DE CAJA'!$D$56*F13</f>
        <v>2145.1409190840427</v>
      </c>
      <c r="P13" s="127">
        <f t="shared" si="3"/>
        <v>66938.657282862754</v>
      </c>
      <c r="Q13" s="283"/>
      <c r="R13" s="396"/>
      <c r="S13" s="396"/>
    </row>
    <row r="14" spans="1:19" ht="15.75" thickBot="1">
      <c r="A14" s="223"/>
      <c r="B14" s="114" t="s">
        <v>132</v>
      </c>
      <c r="C14" s="123">
        <f>'FLUJO DE CAJA'!$D$21*F14</f>
        <v>1895.4079164306722</v>
      </c>
      <c r="D14" s="123">
        <f>'FLUJO DE CAJA'!$D$22*F14</f>
        <v>710.52778282248005</v>
      </c>
      <c r="E14" s="123">
        <f>'FLUJO DE CAJA'!$D$23*F14</f>
        <v>52.639100530228809</v>
      </c>
      <c r="F14" s="124">
        <v>0.12</v>
      </c>
      <c r="G14" s="123">
        <f t="shared" si="0"/>
        <v>2658.574799783381</v>
      </c>
      <c r="H14" s="125">
        <f t="shared" si="4"/>
        <v>27104.333204958613</v>
      </c>
      <c r="I14" s="125">
        <f t="shared" si="5"/>
        <v>10348.927223711471</v>
      </c>
      <c r="J14" s="125">
        <f t="shared" si="1"/>
        <v>9929.6257649441595</v>
      </c>
      <c r="K14" s="125">
        <f t="shared" si="6"/>
        <v>4600.6673937755586</v>
      </c>
      <c r="L14" s="125">
        <f t="shared" si="7"/>
        <v>684.30830689297454</v>
      </c>
      <c r="M14" s="119">
        <f t="shared" si="2"/>
        <v>856.35774225166074</v>
      </c>
      <c r="N14" s="126">
        <f t="shared" si="8"/>
        <v>53524.219636534443</v>
      </c>
      <c r="O14" s="125">
        <f>'FLUJO DE CAJA'!$D$56*F14</f>
        <v>2574.1691029008512</v>
      </c>
      <c r="P14" s="127">
        <f t="shared" si="3"/>
        <v>76288.388739435293</v>
      </c>
      <c r="Q14" s="50"/>
      <c r="R14" s="8"/>
      <c r="S14" s="8"/>
    </row>
    <row r="15" spans="1:19" ht="15.75" thickBot="1">
      <c r="A15" s="223"/>
      <c r="B15" s="114" t="s">
        <v>133</v>
      </c>
      <c r="C15" s="123">
        <f>'FLUJO DE CAJA'!$D$21*F15</f>
        <v>1895.4079164306722</v>
      </c>
      <c r="D15" s="123">
        <f>'FLUJO DE CAJA'!$D$22*F15</f>
        <v>710.52778282248005</v>
      </c>
      <c r="E15" s="123">
        <f>'FLUJO DE CAJA'!$D$23*F15</f>
        <v>52.639100530228809</v>
      </c>
      <c r="F15" s="124">
        <v>0.12</v>
      </c>
      <c r="G15" s="123">
        <f t="shared" si="0"/>
        <v>2658.574799783381</v>
      </c>
      <c r="H15" s="125">
        <f t="shared" si="4"/>
        <v>27104.333204958613</v>
      </c>
      <c r="I15" s="125">
        <f t="shared" si="5"/>
        <v>10348.927223711471</v>
      </c>
      <c r="J15" s="125">
        <f t="shared" si="1"/>
        <v>9929.6257649441595</v>
      </c>
      <c r="K15" s="125">
        <f t="shared" si="6"/>
        <v>4600.6673937755586</v>
      </c>
      <c r="L15" s="125">
        <f t="shared" si="7"/>
        <v>684.30830689297454</v>
      </c>
      <c r="M15" s="119">
        <f t="shared" si="2"/>
        <v>856.35774225166074</v>
      </c>
      <c r="N15" s="126">
        <f t="shared" si="8"/>
        <v>53524.219636534443</v>
      </c>
      <c r="O15" s="125">
        <f>'FLUJO DE CAJA'!$D$56*F15</f>
        <v>2574.1691029008512</v>
      </c>
      <c r="P15" s="127">
        <f t="shared" si="3"/>
        <v>76288.388739435293</v>
      </c>
      <c r="Q15" s="223"/>
    </row>
    <row r="16" spans="1:19" ht="15.75" thickBot="1">
      <c r="A16" s="223"/>
      <c r="B16" s="114" t="s">
        <v>134</v>
      </c>
      <c r="C16" s="123">
        <f>'FLUJO DE CAJA'!$D$21*F16</f>
        <v>1737.4572567281164</v>
      </c>
      <c r="D16" s="123">
        <f>'FLUJO DE CAJA'!$D$22*F16</f>
        <v>651.31713425394014</v>
      </c>
      <c r="E16" s="123">
        <f>'FLUJO DE CAJA'!$D$23*F16</f>
        <v>48.252508819376409</v>
      </c>
      <c r="F16" s="124">
        <v>0.11</v>
      </c>
      <c r="G16" s="123">
        <f t="shared" si="0"/>
        <v>2437.026899801433</v>
      </c>
      <c r="H16" s="125">
        <f t="shared" si="4"/>
        <v>24845.638771212067</v>
      </c>
      <c r="I16" s="125">
        <f t="shared" si="5"/>
        <v>9486.5166217355145</v>
      </c>
      <c r="J16" s="125">
        <f>(D16*65%)*$J$7</f>
        <v>9102.1569511988127</v>
      </c>
      <c r="K16" s="125">
        <f t="shared" si="6"/>
        <v>4217.278444294262</v>
      </c>
      <c r="L16" s="125">
        <f t="shared" si="7"/>
        <v>627.28261465189337</v>
      </c>
      <c r="M16" s="119">
        <f t="shared" si="2"/>
        <v>784.9945970640224</v>
      </c>
      <c r="N16" s="126">
        <f t="shared" si="8"/>
        <v>49063.868000156574</v>
      </c>
      <c r="O16" s="125">
        <f>'FLUJO DE CAJA'!$D$56*F16</f>
        <v>2359.6550109924469</v>
      </c>
      <c r="P16" s="127">
        <f t="shared" si="3"/>
        <v>71613.523011149024</v>
      </c>
      <c r="Q16" s="223"/>
    </row>
    <row r="17" spans="1:17" ht="15.75" thickBot="1">
      <c r="A17" s="223"/>
      <c r="B17" s="114" t="s">
        <v>135</v>
      </c>
      <c r="C17" s="123">
        <f>'FLUJO DE CAJA'!$D$21*F17</f>
        <v>1263.6052776204483</v>
      </c>
      <c r="D17" s="123">
        <f>'FLUJO DE CAJA'!$D$22*F17</f>
        <v>473.68518854832007</v>
      </c>
      <c r="E17" s="123">
        <f>'FLUJO DE CAJA'!$D$23*F17</f>
        <v>35.092733686819209</v>
      </c>
      <c r="F17" s="124">
        <v>0.08</v>
      </c>
      <c r="G17" s="123">
        <f t="shared" si="0"/>
        <v>1772.3831998555877</v>
      </c>
      <c r="H17" s="125">
        <f t="shared" si="4"/>
        <v>18069.555469972409</v>
      </c>
      <c r="I17" s="125">
        <f t="shared" si="5"/>
        <v>6899.2848158076467</v>
      </c>
      <c r="J17" s="125">
        <f t="shared" si="1"/>
        <v>6619.7505099627733</v>
      </c>
      <c r="K17" s="125">
        <f t="shared" si="6"/>
        <v>3067.1115958503719</v>
      </c>
      <c r="L17" s="125">
        <f t="shared" si="7"/>
        <v>456.20553792864973</v>
      </c>
      <c r="M17" s="119">
        <f t="shared" si="2"/>
        <v>570.90516150110727</v>
      </c>
      <c r="N17" s="126">
        <f t="shared" si="8"/>
        <v>35682.813091022952</v>
      </c>
      <c r="O17" s="125">
        <f>'FLUJO DE CAJA'!$D$56*F17</f>
        <v>1716.112735267234</v>
      </c>
      <c r="P17" s="127">
        <f t="shared" si="3"/>
        <v>57588.925826290186</v>
      </c>
      <c r="Q17" s="223"/>
    </row>
    <row r="18" spans="1:17" ht="15.75" thickBot="1">
      <c r="A18" s="223"/>
      <c r="B18" s="114" t="s">
        <v>136</v>
      </c>
      <c r="C18" s="123">
        <f>'FLUJO DE CAJA'!$D$21*F18</f>
        <v>1263.6052776204483</v>
      </c>
      <c r="D18" s="123">
        <f>'FLUJO DE CAJA'!$D$22*F18</f>
        <v>473.68518854832007</v>
      </c>
      <c r="E18" s="123">
        <f>'FLUJO DE CAJA'!$D$23*F18</f>
        <v>35.092733686819209</v>
      </c>
      <c r="F18" s="124">
        <v>0.08</v>
      </c>
      <c r="G18" s="123">
        <f t="shared" si="0"/>
        <v>1772.3831998555877</v>
      </c>
      <c r="H18" s="125">
        <f t="shared" si="4"/>
        <v>18069.555469972409</v>
      </c>
      <c r="I18" s="125">
        <f t="shared" si="5"/>
        <v>6899.2848158076467</v>
      </c>
      <c r="J18" s="125">
        <f t="shared" si="1"/>
        <v>6619.7505099627733</v>
      </c>
      <c r="K18" s="125">
        <f t="shared" si="6"/>
        <v>3067.1115958503719</v>
      </c>
      <c r="L18" s="125">
        <f t="shared" si="7"/>
        <v>456.20553792864973</v>
      </c>
      <c r="M18" s="119">
        <f t="shared" si="2"/>
        <v>570.90516150110727</v>
      </c>
      <c r="N18" s="126">
        <f t="shared" si="8"/>
        <v>35682.813091022952</v>
      </c>
      <c r="O18" s="125">
        <f>'FLUJO DE CAJA'!$D$56*F18</f>
        <v>1716.112735267234</v>
      </c>
      <c r="P18" s="127">
        <f t="shared" si="3"/>
        <v>57588.925826290186</v>
      </c>
      <c r="Q18" s="223"/>
    </row>
    <row r="19" spans="1:17" ht="15.75" thickBot="1">
      <c r="A19" s="223"/>
      <c r="B19" s="115" t="s">
        <v>137</v>
      </c>
      <c r="C19" s="128">
        <f>'FLUJO DE CAJA'!$D$21*F19</f>
        <v>2369.2598955383401</v>
      </c>
      <c r="D19" s="128">
        <f>'FLUJO DE CAJA'!$D$22*F19</f>
        <v>888.15972852810012</v>
      </c>
      <c r="E19" s="128">
        <f>'FLUJO DE CAJA'!$D$23*F19</f>
        <v>65.798875662786003</v>
      </c>
      <c r="F19" s="129">
        <v>0.15</v>
      </c>
      <c r="G19" s="128">
        <f t="shared" si="0"/>
        <v>3323.2184997292261</v>
      </c>
      <c r="H19" s="130">
        <f t="shared" si="4"/>
        <v>33880.416506198264</v>
      </c>
      <c r="I19" s="130">
        <f t="shared" si="5"/>
        <v>12936.159029639335</v>
      </c>
      <c r="J19" s="130">
        <f t="shared" si="1"/>
        <v>12412.0322061802</v>
      </c>
      <c r="K19" s="130">
        <f>(D19*35%)*$K$7</f>
        <v>5750.8342422194482</v>
      </c>
      <c r="L19" s="130">
        <f t="shared" si="7"/>
        <v>855.38538361621806</v>
      </c>
      <c r="M19" s="119">
        <f t="shared" si="2"/>
        <v>1070.4471778145758</v>
      </c>
      <c r="N19" s="131">
        <f t="shared" si="8"/>
        <v>66905.274545668042</v>
      </c>
      <c r="O19" s="125">
        <f>'FLUJO DE CAJA'!$D$56*F19</f>
        <v>3217.7113786260638</v>
      </c>
      <c r="P19" s="127">
        <f t="shared" si="3"/>
        <v>90312.985924294102</v>
      </c>
      <c r="Q19" s="223"/>
    </row>
    <row r="20" spans="1:17" ht="15.75" thickBot="1">
      <c r="A20" s="223"/>
      <c r="B20" s="100" t="s">
        <v>138</v>
      </c>
      <c r="C20" s="101">
        <f>SUM(C8:C19)</f>
        <v>15795.065970255602</v>
      </c>
      <c r="D20" s="101">
        <f t="shared" ref="D20:G20" si="9">SUM(D8:D19)</f>
        <v>5921.0648568540009</v>
      </c>
      <c r="E20" s="101">
        <f t="shared" si="9"/>
        <v>438.65917108524002</v>
      </c>
      <c r="F20" s="102">
        <f t="shared" si="9"/>
        <v>1</v>
      </c>
      <c r="G20" s="103">
        <f t="shared" si="9"/>
        <v>22154.789998194843</v>
      </c>
      <c r="H20" s="104">
        <f t="shared" ref="H20" si="10">SUM(H8:H19)</f>
        <v>225869.44337465512</v>
      </c>
      <c r="I20" s="104">
        <f t="shared" ref="I20" si="11">SUM(I8:I19)</f>
        <v>86241.060197595594</v>
      </c>
      <c r="J20" s="104">
        <f t="shared" ref="J20" si="12">SUM(J8:J19)</f>
        <v>82746.881374534671</v>
      </c>
      <c r="K20" s="104">
        <f t="shared" ref="K20" si="13">SUM(K8:K19)</f>
        <v>38338.894948129651</v>
      </c>
      <c r="L20" s="104">
        <f t="shared" ref="L20:M20" si="14">SUM(L8:L19)</f>
        <v>5702.5692241081206</v>
      </c>
      <c r="M20" s="104">
        <f t="shared" si="14"/>
        <v>7136.3145187638402</v>
      </c>
      <c r="N20" s="105">
        <f t="shared" ref="N20:P20" si="15">SUM(N8:N19)</f>
        <v>446035.16363778705</v>
      </c>
      <c r="O20" s="106">
        <f t="shared" si="15"/>
        <v>21451.409190840426</v>
      </c>
      <c r="P20" s="106">
        <f t="shared" si="15"/>
        <v>709766.57282862742</v>
      </c>
      <c r="Q20" s="223"/>
    </row>
    <row r="21" spans="1:17" ht="15.75" thickBot="1">
      <c r="A21" s="223"/>
      <c r="B21" s="50"/>
      <c r="C21" s="275"/>
      <c r="D21" s="235"/>
      <c r="E21" s="2"/>
      <c r="F21" s="226"/>
      <c r="G21" s="107" t="s">
        <v>138</v>
      </c>
      <c r="H21" s="397">
        <f>SUM(H20:I20)</f>
        <v>312110.50357225072</v>
      </c>
      <c r="I21" s="398"/>
      <c r="J21" s="397">
        <f>SUM(J20:K20)</f>
        <v>121085.77632266431</v>
      </c>
      <c r="K21" s="398"/>
      <c r="L21" s="274"/>
      <c r="M21" s="274"/>
      <c r="N21" s="274"/>
      <c r="O21" s="274"/>
      <c r="P21" s="274"/>
      <c r="Q21" s="223"/>
    </row>
    <row r="22" spans="1:17">
      <c r="A22" s="223"/>
      <c r="B22" s="50"/>
      <c r="C22" s="275"/>
      <c r="D22" s="235"/>
      <c r="E22" s="2"/>
      <c r="F22" s="226"/>
      <c r="G22" s="277"/>
      <c r="H22" s="278"/>
      <c r="I22" s="278"/>
      <c r="J22" s="278"/>
      <c r="K22" s="278"/>
      <c r="L22" s="274"/>
      <c r="M22" s="274"/>
      <c r="N22" s="274"/>
      <c r="O22" s="274"/>
      <c r="P22" s="274"/>
      <c r="Q22" s="223"/>
    </row>
    <row r="23" spans="1:17">
      <c r="A23" s="223"/>
      <c r="B23" s="50"/>
      <c r="C23" s="275"/>
      <c r="D23" s="235"/>
      <c r="E23" s="2"/>
      <c r="F23" s="226"/>
      <c r="G23" s="275"/>
      <c r="H23" s="279"/>
      <c r="I23" s="223"/>
      <c r="J23" s="223"/>
      <c r="K23" s="223"/>
      <c r="L23" s="223"/>
      <c r="M23" s="223"/>
      <c r="N23" s="280"/>
      <c r="O23" s="223"/>
      <c r="P23" s="223"/>
      <c r="Q23" s="223"/>
    </row>
    <row r="24" spans="1:17">
      <c r="A24" s="223"/>
      <c r="B24" s="50"/>
      <c r="C24" s="275"/>
      <c r="D24" s="235"/>
      <c r="E24" s="2"/>
      <c r="F24" s="226"/>
      <c r="G24" s="275"/>
      <c r="H24" s="226"/>
      <c r="I24" s="223"/>
      <c r="J24" s="223"/>
      <c r="K24" s="223"/>
      <c r="L24" s="223"/>
      <c r="M24" s="223"/>
      <c r="N24" s="280"/>
      <c r="O24" s="223"/>
      <c r="P24" s="223"/>
      <c r="Q24" s="223"/>
    </row>
    <row r="25" spans="1:17">
      <c r="A25" s="223"/>
      <c r="B25" s="276"/>
      <c r="C25" s="276"/>
      <c r="D25" s="276"/>
      <c r="E25" s="276"/>
      <c r="F25" s="276"/>
      <c r="G25" s="276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>
      <c r="A26" s="223"/>
      <c r="B26" s="223"/>
      <c r="C26" s="265"/>
      <c r="D26" s="265"/>
      <c r="E26" s="265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>
      <c r="A27" s="223"/>
      <c r="B27" s="238"/>
      <c r="C27" s="241"/>
      <c r="D27" s="241"/>
      <c r="E27" s="241"/>
      <c r="F27" s="224"/>
      <c r="G27" s="236"/>
      <c r="H27" s="240"/>
      <c r="I27" s="240"/>
      <c r="J27" s="240"/>
      <c r="K27" s="240"/>
      <c r="L27" s="240"/>
      <c r="M27" s="6"/>
      <c r="N27" s="236"/>
      <c r="O27" s="50"/>
      <c r="P27" s="223"/>
      <c r="Q27" s="223"/>
    </row>
    <row r="28" spans="1:17">
      <c r="B28" s="238"/>
      <c r="C28" s="224"/>
      <c r="D28" s="224"/>
      <c r="E28" s="227"/>
      <c r="F28" s="237"/>
      <c r="G28" s="236"/>
      <c r="H28" s="241"/>
      <c r="I28" s="241"/>
      <c r="J28" s="241"/>
      <c r="K28" s="241"/>
      <c r="L28" s="224"/>
      <c r="M28" s="224"/>
      <c r="N28" s="236"/>
      <c r="O28" s="216"/>
    </row>
    <row r="29" spans="1:17">
      <c r="B29" s="238"/>
      <c r="C29" s="239"/>
      <c r="D29" s="239"/>
      <c r="E29" s="239"/>
      <c r="F29" s="237"/>
      <c r="G29" s="236"/>
      <c r="H29" s="224"/>
      <c r="I29" s="224"/>
      <c r="J29" s="224"/>
      <c r="K29" s="224"/>
      <c r="L29" s="50"/>
      <c r="M29" s="50"/>
      <c r="N29" s="236"/>
      <c r="O29" s="216"/>
    </row>
    <row r="30" spans="1:17">
      <c r="B30" s="238"/>
      <c r="C30" s="239"/>
      <c r="D30" s="239"/>
      <c r="E30" s="239"/>
      <c r="F30" s="237"/>
      <c r="G30" s="236"/>
      <c r="H30" s="228"/>
      <c r="I30" s="225"/>
      <c r="J30" s="225"/>
      <c r="K30" s="225"/>
      <c r="L30" s="229"/>
      <c r="M30" s="229"/>
      <c r="N30" s="236"/>
      <c r="O30" s="216"/>
    </row>
    <row r="31" spans="1:17">
      <c r="B31" s="50"/>
      <c r="C31" s="2"/>
      <c r="D31" s="50"/>
      <c r="E31" s="50"/>
      <c r="F31" s="230"/>
      <c r="G31" s="231"/>
      <c r="H31" s="232"/>
      <c r="I31" s="233"/>
      <c r="J31" s="232"/>
      <c r="K31" s="233"/>
      <c r="L31" s="233"/>
      <c r="M31" s="233"/>
      <c r="N31" s="232"/>
      <c r="O31" s="216"/>
    </row>
    <row r="32" spans="1:17">
      <c r="B32" s="50"/>
      <c r="C32" s="2"/>
      <c r="D32" s="50"/>
      <c r="E32" s="50"/>
      <c r="F32" s="230"/>
      <c r="G32" s="231"/>
      <c r="H32" s="232"/>
      <c r="I32" s="233"/>
      <c r="J32" s="232"/>
      <c r="K32" s="233"/>
      <c r="L32" s="233"/>
      <c r="M32" s="233"/>
      <c r="N32" s="232"/>
      <c r="O32" s="216"/>
    </row>
    <row r="33" spans="2:15">
      <c r="B33" s="50"/>
      <c r="C33" s="2"/>
      <c r="D33" s="50"/>
      <c r="E33" s="50"/>
      <c r="F33" s="230"/>
      <c r="G33" s="231"/>
      <c r="H33" s="232"/>
      <c r="I33" s="233"/>
      <c r="J33" s="232"/>
      <c r="K33" s="233"/>
      <c r="L33" s="233"/>
      <c r="M33" s="233"/>
      <c r="N33" s="232"/>
      <c r="O33" s="216"/>
    </row>
    <row r="34" spans="2:15">
      <c r="B34" s="50"/>
      <c r="C34" s="2"/>
      <c r="D34" s="50"/>
      <c r="E34" s="50"/>
      <c r="F34" s="230"/>
      <c r="G34" s="231"/>
      <c r="H34" s="232"/>
      <c r="I34" s="233"/>
      <c r="J34" s="232"/>
      <c r="K34" s="233"/>
      <c r="L34" s="233"/>
      <c r="M34" s="233"/>
      <c r="N34" s="232"/>
      <c r="O34" s="216"/>
    </row>
    <row r="35" spans="2:15">
      <c r="B35" s="50"/>
      <c r="C35" s="2"/>
      <c r="D35" s="50"/>
      <c r="E35" s="50"/>
      <c r="F35" s="230"/>
      <c r="G35" s="231"/>
      <c r="H35" s="232"/>
      <c r="I35" s="233"/>
      <c r="J35" s="232"/>
      <c r="K35" s="233"/>
      <c r="L35" s="233"/>
      <c r="M35" s="233"/>
      <c r="N35" s="232"/>
      <c r="O35" s="216"/>
    </row>
    <row r="36" spans="2:15">
      <c r="B36" s="50"/>
      <c r="C36" s="2"/>
      <c r="D36" s="50"/>
      <c r="E36" s="50"/>
      <c r="F36" s="230"/>
      <c r="G36" s="231"/>
      <c r="H36" s="232"/>
      <c r="I36" s="233"/>
      <c r="J36" s="232"/>
      <c r="K36" s="233"/>
      <c r="L36" s="233"/>
      <c r="M36" s="233"/>
      <c r="N36" s="232"/>
      <c r="O36" s="216"/>
    </row>
    <row r="37" spans="2:15">
      <c r="B37" s="50"/>
      <c r="C37" s="2"/>
      <c r="D37" s="50"/>
      <c r="E37" s="50"/>
      <c r="F37" s="230"/>
      <c r="G37" s="231"/>
      <c r="H37" s="232"/>
      <c r="I37" s="233"/>
      <c r="J37" s="232"/>
      <c r="K37" s="233"/>
      <c r="L37" s="233"/>
      <c r="M37" s="233"/>
      <c r="N37" s="232"/>
      <c r="O37" s="216"/>
    </row>
    <row r="38" spans="2:15">
      <c r="B38" s="50"/>
      <c r="C38" s="2"/>
      <c r="D38" s="50"/>
      <c r="E38" s="50"/>
      <c r="F38" s="230"/>
      <c r="G38" s="231"/>
      <c r="H38" s="232"/>
      <c r="I38" s="233"/>
      <c r="J38" s="232"/>
      <c r="K38" s="233"/>
      <c r="L38" s="233"/>
      <c r="M38" s="233"/>
      <c r="N38" s="232"/>
      <c r="O38" s="216"/>
    </row>
    <row r="39" spans="2:15">
      <c r="B39" s="50"/>
      <c r="C39" s="2"/>
      <c r="D39" s="50"/>
      <c r="E39" s="50"/>
      <c r="F39" s="230"/>
      <c r="G39" s="231"/>
      <c r="H39" s="232"/>
      <c r="I39" s="233"/>
      <c r="J39" s="232"/>
      <c r="K39" s="233"/>
      <c r="L39" s="233"/>
      <c r="M39" s="233"/>
      <c r="N39" s="232"/>
      <c r="O39" s="216"/>
    </row>
    <row r="40" spans="2:15">
      <c r="B40" s="50"/>
      <c r="C40" s="2"/>
      <c r="D40" s="50"/>
      <c r="E40" s="50"/>
      <c r="F40" s="230"/>
      <c r="G40" s="231"/>
      <c r="H40" s="232"/>
      <c r="I40" s="233"/>
      <c r="J40" s="232"/>
      <c r="K40" s="233"/>
      <c r="L40" s="233"/>
      <c r="M40" s="233"/>
      <c r="N40" s="232"/>
      <c r="O40" s="216"/>
    </row>
    <row r="41" spans="2:15">
      <c r="B41" s="50"/>
      <c r="C41" s="2"/>
      <c r="D41" s="50"/>
      <c r="E41" s="50"/>
      <c r="F41" s="230"/>
      <c r="G41" s="231"/>
      <c r="H41" s="232"/>
      <c r="I41" s="233"/>
      <c r="J41" s="232"/>
      <c r="K41" s="233"/>
      <c r="L41" s="233"/>
      <c r="M41" s="233"/>
      <c r="N41" s="232"/>
      <c r="O41" s="216"/>
    </row>
    <row r="42" spans="2:15">
      <c r="B42" s="50"/>
      <c r="C42" s="2"/>
      <c r="D42" s="50"/>
      <c r="E42" s="50"/>
      <c r="F42" s="230"/>
      <c r="G42" s="231"/>
      <c r="H42" s="232"/>
      <c r="I42" s="233"/>
      <c r="J42" s="232"/>
      <c r="K42" s="233"/>
      <c r="L42" s="233"/>
      <c r="M42" s="233"/>
      <c r="N42" s="232"/>
      <c r="O42" s="216"/>
    </row>
    <row r="43" spans="2:15">
      <c r="B43" s="50"/>
      <c r="C43" s="50"/>
      <c r="D43" s="50"/>
      <c r="E43" s="50"/>
      <c r="F43" s="50"/>
      <c r="G43" s="234"/>
      <c r="H43" s="50"/>
      <c r="I43" s="50"/>
      <c r="J43" s="50"/>
      <c r="K43" s="50"/>
      <c r="L43" s="50"/>
      <c r="M43" s="50"/>
      <c r="N43" s="50"/>
      <c r="O43" s="216"/>
    </row>
    <row r="44" spans="2:15">
      <c r="B44" s="2"/>
      <c r="C44" s="235"/>
      <c r="D44" s="2"/>
      <c r="E44" s="235"/>
      <c r="F44" s="2"/>
      <c r="G44" s="235"/>
      <c r="H44" s="50"/>
      <c r="I44" s="50"/>
      <c r="J44" s="50"/>
      <c r="K44" s="50"/>
      <c r="L44" s="50"/>
      <c r="M44" s="50"/>
      <c r="N44" s="50"/>
      <c r="O44" s="216"/>
    </row>
    <row r="45" spans="2:15">
      <c r="B45" s="223"/>
      <c r="C45" s="226"/>
      <c r="D45" s="223"/>
      <c r="E45" s="226"/>
      <c r="F45" s="223"/>
      <c r="G45" s="226"/>
      <c r="H45" s="223"/>
      <c r="I45" s="223"/>
      <c r="J45" s="223"/>
      <c r="K45" s="223"/>
      <c r="L45" s="223"/>
      <c r="M45" s="223"/>
      <c r="N45" s="223"/>
    </row>
  </sheetData>
  <mergeCells count="21">
    <mergeCell ref="G4:G7"/>
    <mergeCell ref="F5:F7"/>
    <mergeCell ref="C6:C7"/>
    <mergeCell ref="D6:D7"/>
    <mergeCell ref="E6:E7"/>
    <mergeCell ref="B2:F2"/>
    <mergeCell ref="B3:F3"/>
    <mergeCell ref="R8:S9"/>
    <mergeCell ref="R10:S13"/>
    <mergeCell ref="H21:I21"/>
    <mergeCell ref="J21:K21"/>
    <mergeCell ref="H4:M4"/>
    <mergeCell ref="M5:M7"/>
    <mergeCell ref="N4:N7"/>
    <mergeCell ref="H5:I5"/>
    <mergeCell ref="J5:K5"/>
    <mergeCell ref="O4:O7"/>
    <mergeCell ref="P4:P7"/>
    <mergeCell ref="L5:L6"/>
    <mergeCell ref="B4:B7"/>
    <mergeCell ref="C4:E4"/>
  </mergeCells>
  <pageMargins left="0.33" right="0.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topLeftCell="A10" workbookViewId="0">
      <selection activeCell="F39" sqref="F39"/>
    </sheetView>
  </sheetViews>
  <sheetFormatPr baseColWidth="10" defaultRowHeight="15"/>
  <cols>
    <col min="1" max="5" width="11.42578125" style="11"/>
    <col min="6" max="6" width="18.140625" style="11" customWidth="1"/>
    <col min="7" max="12" width="11.5703125" style="11" bestFit="1" customWidth="1"/>
    <col min="13" max="13" width="13.140625" style="11" bestFit="1" customWidth="1"/>
    <col min="14" max="16384" width="11.42578125" style="11"/>
  </cols>
  <sheetData>
    <row r="1" spans="1:15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>
      <c r="A3" s="223"/>
      <c r="B3" s="223"/>
      <c r="C3" s="223" t="s">
        <v>140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>
      <c r="A5" s="223"/>
      <c r="B5" s="223"/>
      <c r="C5" s="223"/>
      <c r="D5" s="223"/>
      <c r="E5" s="223"/>
      <c r="F5" s="223"/>
      <c r="G5" s="50" t="s">
        <v>141</v>
      </c>
      <c r="H5" s="50"/>
      <c r="I5" s="50">
        <f>[1]DEMANDA!$B$26</f>
        <v>31</v>
      </c>
      <c r="J5" s="223"/>
      <c r="K5" s="223"/>
      <c r="L5" s="223"/>
      <c r="M5" s="223"/>
      <c r="N5" s="223"/>
      <c r="O5" s="223"/>
    </row>
    <row r="6" spans="1:15">
      <c r="A6" s="223"/>
      <c r="B6" s="223"/>
      <c r="C6" s="223"/>
      <c r="D6" s="223"/>
      <c r="E6" s="223"/>
      <c r="F6" s="223"/>
      <c r="G6" s="50" t="s">
        <v>142</v>
      </c>
      <c r="H6" s="50"/>
      <c r="I6" s="50">
        <f>[1]DEMANDA!$C$26</f>
        <v>27</v>
      </c>
      <c r="J6" s="223"/>
      <c r="K6" s="223"/>
      <c r="L6" s="223"/>
      <c r="M6" s="223"/>
      <c r="N6" s="223"/>
      <c r="O6" s="223"/>
    </row>
    <row r="7" spans="1:15">
      <c r="A7" s="223"/>
      <c r="B7" s="223"/>
      <c r="C7" s="223"/>
      <c r="D7" s="223"/>
      <c r="E7" s="223"/>
      <c r="F7" s="223"/>
      <c r="G7" s="50" t="s">
        <v>143</v>
      </c>
      <c r="H7" s="50"/>
      <c r="I7" s="50">
        <f>[1]DEMANDA!$B$33</f>
        <v>41</v>
      </c>
      <c r="J7" s="223"/>
      <c r="K7" s="223"/>
      <c r="L7" s="223"/>
      <c r="M7" s="223"/>
      <c r="N7" s="223"/>
      <c r="O7" s="223"/>
    </row>
    <row r="8" spans="1:15">
      <c r="A8" s="223"/>
      <c r="B8" s="223"/>
      <c r="C8" s="223"/>
      <c r="D8" s="223"/>
      <c r="E8" s="223"/>
      <c r="F8" s="223"/>
      <c r="G8" s="50" t="s">
        <v>144</v>
      </c>
      <c r="H8" s="50"/>
      <c r="I8" s="50">
        <f>[1]DEMANDA!$C$33</f>
        <v>38</v>
      </c>
      <c r="J8" s="223"/>
      <c r="K8" s="223"/>
      <c r="L8" s="223"/>
      <c r="M8" s="223"/>
      <c r="N8" s="223"/>
      <c r="O8" s="223"/>
    </row>
    <row r="9" spans="1:15">
      <c r="A9" s="223"/>
      <c r="B9" s="223"/>
      <c r="C9" s="223"/>
      <c r="D9" s="223"/>
      <c r="E9" s="223"/>
      <c r="F9" s="223"/>
      <c r="G9" s="50" t="s">
        <v>145</v>
      </c>
      <c r="H9" s="50"/>
      <c r="I9" s="50">
        <f>[1]DEMANDA!$B$40</f>
        <v>25</v>
      </c>
      <c r="J9" s="223"/>
      <c r="K9" s="223"/>
      <c r="L9" s="223"/>
      <c r="M9" s="223"/>
      <c r="N9" s="223"/>
      <c r="O9" s="223"/>
    </row>
    <row r="10" spans="1:1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5.75" thickBo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</row>
    <row r="13" spans="1:15" ht="15.75" thickBot="1">
      <c r="A13" s="223"/>
      <c r="B13" s="428" t="s">
        <v>120</v>
      </c>
      <c r="C13" s="431" t="s">
        <v>121</v>
      </c>
      <c r="D13" s="432"/>
      <c r="E13" s="433"/>
      <c r="F13" s="442" t="s">
        <v>196</v>
      </c>
      <c r="G13" s="434" t="s">
        <v>123</v>
      </c>
      <c r="H13" s="437" t="s">
        <v>108</v>
      </c>
      <c r="I13" s="438"/>
      <c r="J13" s="438"/>
      <c r="K13" s="438"/>
      <c r="L13" s="439"/>
      <c r="M13" s="434" t="s">
        <v>146</v>
      </c>
      <c r="N13" s="223"/>
    </row>
    <row r="14" spans="1:15" ht="15.75" thickBot="1">
      <c r="A14" s="223"/>
      <c r="B14" s="429"/>
      <c r="C14" s="68" t="s">
        <v>103</v>
      </c>
      <c r="D14" s="69" t="s">
        <v>104</v>
      </c>
      <c r="E14" s="70" t="s">
        <v>105</v>
      </c>
      <c r="F14" s="443"/>
      <c r="G14" s="435"/>
      <c r="H14" s="431" t="s">
        <v>103</v>
      </c>
      <c r="I14" s="433"/>
      <c r="J14" s="431" t="s">
        <v>104</v>
      </c>
      <c r="K14" s="433"/>
      <c r="L14" s="442" t="s">
        <v>105</v>
      </c>
      <c r="M14" s="435"/>
      <c r="N14" s="223"/>
    </row>
    <row r="15" spans="1:15" ht="15.75" thickBot="1">
      <c r="A15" s="223"/>
      <c r="B15" s="429"/>
      <c r="C15" s="440">
        <v>0.95</v>
      </c>
      <c r="D15" s="440">
        <v>0.71</v>
      </c>
      <c r="E15" s="440">
        <v>0.05</v>
      </c>
      <c r="F15" s="443"/>
      <c r="G15" s="435"/>
      <c r="H15" s="71" t="s">
        <v>106</v>
      </c>
      <c r="I15" s="71" t="s">
        <v>107</v>
      </c>
      <c r="J15" s="71" t="s">
        <v>106</v>
      </c>
      <c r="K15" s="68" t="s">
        <v>107</v>
      </c>
      <c r="L15" s="444"/>
      <c r="M15" s="435"/>
      <c r="N15" s="223"/>
    </row>
    <row r="16" spans="1:15" ht="15.75" thickBot="1">
      <c r="A16" s="223"/>
      <c r="B16" s="430"/>
      <c r="C16" s="441"/>
      <c r="D16" s="441"/>
      <c r="E16" s="441"/>
      <c r="F16" s="444"/>
      <c r="G16" s="436"/>
      <c r="H16" s="78">
        <v>31</v>
      </c>
      <c r="I16" s="79">
        <v>27</v>
      </c>
      <c r="J16" s="80">
        <v>41</v>
      </c>
      <c r="K16" s="81">
        <v>38</v>
      </c>
      <c r="L16" s="82">
        <v>25</v>
      </c>
      <c r="M16" s="436"/>
      <c r="N16" s="223"/>
    </row>
    <row r="17" spans="1:14">
      <c r="A17" s="223"/>
      <c r="B17" s="75" t="s">
        <v>126</v>
      </c>
      <c r="C17" s="84">
        <f>'FLUJO DE CAJA'!$D$21*'INGRESOS MENSUALES 2013'!F17</f>
        <v>0</v>
      </c>
      <c r="D17" s="84">
        <f>'FLUJO DE CAJA'!$D$22*F17</f>
        <v>0</v>
      </c>
      <c r="E17" s="84">
        <f>'FLUJO DE CAJA'!$D$23*F17</f>
        <v>0</v>
      </c>
      <c r="F17" s="83">
        <v>0</v>
      </c>
      <c r="G17" s="84">
        <f>C17+D17+E17</f>
        <v>0</v>
      </c>
      <c r="H17" s="85">
        <f>(C17*65%)*$H$16</f>
        <v>0</v>
      </c>
      <c r="I17" s="85">
        <f>(C17*35%)*$I$16</f>
        <v>0</v>
      </c>
      <c r="J17" s="85">
        <f>(D17*65%)*$J$16</f>
        <v>0</v>
      </c>
      <c r="K17" s="85">
        <f>(D17*35%)*$K$16</f>
        <v>0</v>
      </c>
      <c r="L17" s="85">
        <f>E17*$L$16</f>
        <v>0</v>
      </c>
      <c r="M17" s="86">
        <f>SUM(H17:L17)</f>
        <v>0</v>
      </c>
      <c r="N17" s="223"/>
    </row>
    <row r="18" spans="1:14">
      <c r="A18" s="223"/>
      <c r="B18" s="76" t="s">
        <v>127</v>
      </c>
      <c r="C18" s="88">
        <f>'FLUJO DE CAJA'!$D$21*'INGRESOS MENSUALES 2013'!F18</f>
        <v>157.95065970255604</v>
      </c>
      <c r="D18" s="88">
        <f>'FLUJO DE CAJA'!$D$22*F18</f>
        <v>59.210648568540009</v>
      </c>
      <c r="E18" s="88">
        <f>'FLUJO DE CAJA'!$D$23*F18</f>
        <v>4.3865917108524011</v>
      </c>
      <c r="F18" s="87">
        <v>0.01</v>
      </c>
      <c r="G18" s="88">
        <f t="shared" ref="G18:G28" si="0">C18+D18+E18</f>
        <v>221.54789998194846</v>
      </c>
      <c r="H18" s="89">
        <f t="shared" ref="H18:H28" si="1">(C18*65%)*$H$16</f>
        <v>3182.7057930065039</v>
      </c>
      <c r="I18" s="89">
        <f t="shared" ref="I18:I28" si="2">(C18*35%)*$I$16</f>
        <v>1492.6337341891544</v>
      </c>
      <c r="J18" s="89">
        <f t="shared" ref="J18:J28" si="3">(D18*65%)*$J$16</f>
        <v>1577.9637843515914</v>
      </c>
      <c r="K18" s="89">
        <f t="shared" ref="K18:K28" si="4">(D18*35%)*$K$16</f>
        <v>787.50162596158202</v>
      </c>
      <c r="L18" s="89">
        <f t="shared" ref="L18:L28" si="5">E18*$L$16</f>
        <v>109.66479277131003</v>
      </c>
      <c r="M18" s="90">
        <f t="shared" ref="M18:M28" si="6">SUM(H18:L18)</f>
        <v>7150.4697302801414</v>
      </c>
      <c r="N18" s="223"/>
    </row>
    <row r="19" spans="1:14">
      <c r="A19" s="223"/>
      <c r="B19" s="76" t="s">
        <v>128</v>
      </c>
      <c r="C19" s="88">
        <f>'FLUJO DE CAJA'!$D$21*'INGRESOS MENSUALES 2013'!F19</f>
        <v>947.70395821533612</v>
      </c>
      <c r="D19" s="88">
        <f>'FLUJO DE CAJA'!$D$22*F19</f>
        <v>355.26389141124002</v>
      </c>
      <c r="E19" s="88">
        <f>'FLUJO DE CAJA'!$D$23*F19</f>
        <v>26.319550265114405</v>
      </c>
      <c r="F19" s="87">
        <v>0.06</v>
      </c>
      <c r="G19" s="88">
        <f t="shared" si="0"/>
        <v>1329.2873998916905</v>
      </c>
      <c r="H19" s="89">
        <f t="shared" si="1"/>
        <v>19096.234758039023</v>
      </c>
      <c r="I19" s="89">
        <f t="shared" si="2"/>
        <v>8955.8024051349257</v>
      </c>
      <c r="J19" s="89">
        <f t="shared" si="3"/>
        <v>9467.7827061095468</v>
      </c>
      <c r="K19" s="89">
        <f t="shared" si="4"/>
        <v>4725.0097557694926</v>
      </c>
      <c r="L19" s="89">
        <f t="shared" si="5"/>
        <v>657.98875662786008</v>
      </c>
      <c r="M19" s="90">
        <f t="shared" si="6"/>
        <v>42902.818381680845</v>
      </c>
      <c r="N19" s="223"/>
    </row>
    <row r="20" spans="1:14">
      <c r="A20" s="223"/>
      <c r="B20" s="76" t="s">
        <v>129</v>
      </c>
      <c r="C20" s="88">
        <f>'FLUJO DE CAJA'!$D$21*'INGRESOS MENSUALES 2013'!F20</f>
        <v>1105.6546179178922</v>
      </c>
      <c r="D20" s="88">
        <f>'FLUJO DE CAJA'!$D$22*F20</f>
        <v>414.4745399797801</v>
      </c>
      <c r="E20" s="88">
        <f>'FLUJO DE CAJA'!$D$23*F20</f>
        <v>30.706141975966808</v>
      </c>
      <c r="F20" s="87">
        <v>7.0000000000000007E-2</v>
      </c>
      <c r="G20" s="88">
        <f t="shared" si="0"/>
        <v>1550.8352998736391</v>
      </c>
      <c r="H20" s="89">
        <f t="shared" si="1"/>
        <v>22278.940551045529</v>
      </c>
      <c r="I20" s="89">
        <f t="shared" si="2"/>
        <v>10448.43613932408</v>
      </c>
      <c r="J20" s="89">
        <f t="shared" si="3"/>
        <v>11045.746490461141</v>
      </c>
      <c r="K20" s="89">
        <f t="shared" si="4"/>
        <v>5512.5113817310748</v>
      </c>
      <c r="L20" s="89">
        <f t="shared" si="5"/>
        <v>767.65354939917017</v>
      </c>
      <c r="M20" s="90">
        <f t="shared" si="6"/>
        <v>50053.288111960996</v>
      </c>
      <c r="N20" s="223"/>
    </row>
    <row r="21" spans="1:14">
      <c r="A21" s="223"/>
      <c r="B21" s="76" t="s">
        <v>130</v>
      </c>
      <c r="C21" s="88">
        <f>'FLUJO DE CAJA'!$D$21*'INGRESOS MENSUALES 2013'!F21</f>
        <v>1579.5065970255603</v>
      </c>
      <c r="D21" s="88">
        <f>'FLUJO DE CAJA'!$D$22*F21</f>
        <v>592.10648568540012</v>
      </c>
      <c r="E21" s="88">
        <f>'FLUJO DE CAJA'!$D$23*F21</f>
        <v>43.865917108524009</v>
      </c>
      <c r="F21" s="87">
        <v>0.1</v>
      </c>
      <c r="G21" s="88">
        <f t="shared" si="0"/>
        <v>2215.4789998194847</v>
      </c>
      <c r="H21" s="89">
        <f t="shared" si="1"/>
        <v>31827.057930065039</v>
      </c>
      <c r="I21" s="89">
        <f t="shared" si="2"/>
        <v>14926.337341891545</v>
      </c>
      <c r="J21" s="89">
        <f t="shared" si="3"/>
        <v>15779.637843515913</v>
      </c>
      <c r="K21" s="89">
        <f t="shared" si="4"/>
        <v>7875.0162596158207</v>
      </c>
      <c r="L21" s="89">
        <f t="shared" si="5"/>
        <v>1096.6479277131002</v>
      </c>
      <c r="M21" s="90">
        <f t="shared" si="6"/>
        <v>71504.697302801418</v>
      </c>
      <c r="N21" s="223"/>
    </row>
    <row r="22" spans="1:14">
      <c r="A22" s="223"/>
      <c r="B22" s="76" t="s">
        <v>131</v>
      </c>
      <c r="C22" s="88">
        <f>'FLUJO DE CAJA'!$D$21*'INGRESOS MENSUALES 2013'!F22</f>
        <v>1579.5065970255603</v>
      </c>
      <c r="D22" s="88">
        <f>'FLUJO DE CAJA'!$D$22*F22</f>
        <v>592.10648568540012</v>
      </c>
      <c r="E22" s="88">
        <f>'FLUJO DE CAJA'!$D$23*F22</f>
        <v>43.865917108524009</v>
      </c>
      <c r="F22" s="87">
        <v>0.1</v>
      </c>
      <c r="G22" s="88">
        <f t="shared" si="0"/>
        <v>2215.4789998194847</v>
      </c>
      <c r="H22" s="89">
        <f t="shared" si="1"/>
        <v>31827.057930065039</v>
      </c>
      <c r="I22" s="89">
        <f t="shared" si="2"/>
        <v>14926.337341891545</v>
      </c>
      <c r="J22" s="89">
        <f t="shared" si="3"/>
        <v>15779.637843515913</v>
      </c>
      <c r="K22" s="89">
        <f t="shared" si="4"/>
        <v>7875.0162596158207</v>
      </c>
      <c r="L22" s="89">
        <f t="shared" si="5"/>
        <v>1096.6479277131002</v>
      </c>
      <c r="M22" s="90">
        <f t="shared" si="6"/>
        <v>71504.697302801418</v>
      </c>
      <c r="N22" s="223"/>
    </row>
    <row r="23" spans="1:14">
      <c r="A23" s="223"/>
      <c r="B23" s="76" t="s">
        <v>132</v>
      </c>
      <c r="C23" s="88">
        <f>'FLUJO DE CAJA'!$D$21*'INGRESOS MENSUALES 2013'!F23</f>
        <v>1895.4079164306722</v>
      </c>
      <c r="D23" s="88">
        <f>'FLUJO DE CAJA'!$D$22*F23</f>
        <v>710.52778282248005</v>
      </c>
      <c r="E23" s="88">
        <f>'FLUJO DE CAJA'!$D$23*F23</f>
        <v>52.639100530228809</v>
      </c>
      <c r="F23" s="87">
        <v>0.12</v>
      </c>
      <c r="G23" s="88">
        <f t="shared" si="0"/>
        <v>2658.574799783381</v>
      </c>
      <c r="H23" s="89">
        <f t="shared" si="1"/>
        <v>38192.469516078047</v>
      </c>
      <c r="I23" s="89">
        <f t="shared" si="2"/>
        <v>17911.604810269851</v>
      </c>
      <c r="J23" s="89">
        <f t="shared" si="3"/>
        <v>18935.565412219094</v>
      </c>
      <c r="K23" s="89">
        <f t="shared" si="4"/>
        <v>9450.0195115389852</v>
      </c>
      <c r="L23" s="89">
        <f t="shared" si="5"/>
        <v>1315.9775132557202</v>
      </c>
      <c r="M23" s="90">
        <f t="shared" si="6"/>
        <v>85805.63676336169</v>
      </c>
      <c r="N23" s="223"/>
    </row>
    <row r="24" spans="1:14">
      <c r="A24" s="223"/>
      <c r="B24" s="76" t="s">
        <v>133</v>
      </c>
      <c r="C24" s="88">
        <f>'FLUJO DE CAJA'!$D$21*'INGRESOS MENSUALES 2013'!F24</f>
        <v>1895.4079164306722</v>
      </c>
      <c r="D24" s="88">
        <f>'FLUJO DE CAJA'!$D$22*F24</f>
        <v>710.52778282248005</v>
      </c>
      <c r="E24" s="88">
        <f>'FLUJO DE CAJA'!$D$23*F24</f>
        <v>52.639100530228809</v>
      </c>
      <c r="F24" s="87">
        <v>0.12</v>
      </c>
      <c r="G24" s="88">
        <f t="shared" si="0"/>
        <v>2658.574799783381</v>
      </c>
      <c r="H24" s="89">
        <f t="shared" si="1"/>
        <v>38192.469516078047</v>
      </c>
      <c r="I24" s="89">
        <f t="shared" si="2"/>
        <v>17911.604810269851</v>
      </c>
      <c r="J24" s="89">
        <f t="shared" si="3"/>
        <v>18935.565412219094</v>
      </c>
      <c r="K24" s="89">
        <f t="shared" si="4"/>
        <v>9450.0195115389852</v>
      </c>
      <c r="L24" s="89">
        <f t="shared" si="5"/>
        <v>1315.9775132557202</v>
      </c>
      <c r="M24" s="90">
        <f t="shared" si="6"/>
        <v>85805.63676336169</v>
      </c>
      <c r="N24" s="223"/>
    </row>
    <row r="25" spans="1:14">
      <c r="A25" s="223"/>
      <c r="B25" s="76" t="s">
        <v>134</v>
      </c>
      <c r="C25" s="88">
        <f>'FLUJO DE CAJA'!$D$21*'INGRESOS MENSUALES 2013'!F25</f>
        <v>1737.4572567281164</v>
      </c>
      <c r="D25" s="88">
        <f>'FLUJO DE CAJA'!$D$22*F25</f>
        <v>651.31713425394014</v>
      </c>
      <c r="E25" s="88">
        <f>'FLUJO DE CAJA'!$D$23*F25</f>
        <v>48.252508819376409</v>
      </c>
      <c r="F25" s="87">
        <v>0.11</v>
      </c>
      <c r="G25" s="88">
        <f t="shared" si="0"/>
        <v>2437.026899801433</v>
      </c>
      <c r="H25" s="89">
        <f t="shared" si="1"/>
        <v>35009.763723071548</v>
      </c>
      <c r="I25" s="89">
        <f t="shared" si="2"/>
        <v>16418.971076080699</v>
      </c>
      <c r="J25" s="89">
        <f t="shared" si="3"/>
        <v>17357.601627867505</v>
      </c>
      <c r="K25" s="89">
        <f t="shared" si="4"/>
        <v>8662.5178855774029</v>
      </c>
      <c r="L25" s="89">
        <f t="shared" si="5"/>
        <v>1206.3127204844102</v>
      </c>
      <c r="M25" s="90">
        <f t="shared" si="6"/>
        <v>78655.167033081554</v>
      </c>
      <c r="N25" s="223"/>
    </row>
    <row r="26" spans="1:14">
      <c r="A26" s="223"/>
      <c r="B26" s="76" t="s">
        <v>135</v>
      </c>
      <c r="C26" s="88">
        <f>'FLUJO DE CAJA'!$D$21*'INGRESOS MENSUALES 2013'!F26</f>
        <v>1263.6052776204483</v>
      </c>
      <c r="D26" s="88">
        <f>'FLUJO DE CAJA'!$D$22*F26</f>
        <v>473.68518854832007</v>
      </c>
      <c r="E26" s="88">
        <f>'FLUJO DE CAJA'!$D$23*F26</f>
        <v>35.092733686819209</v>
      </c>
      <c r="F26" s="87">
        <v>0.08</v>
      </c>
      <c r="G26" s="88">
        <f t="shared" si="0"/>
        <v>1772.3831998555877</v>
      </c>
      <c r="H26" s="89">
        <f t="shared" si="1"/>
        <v>25461.646344052031</v>
      </c>
      <c r="I26" s="89">
        <f t="shared" si="2"/>
        <v>11941.069873513236</v>
      </c>
      <c r="J26" s="89">
        <f t="shared" si="3"/>
        <v>12623.710274812731</v>
      </c>
      <c r="K26" s="89">
        <f t="shared" si="4"/>
        <v>6300.0130076926562</v>
      </c>
      <c r="L26" s="89">
        <f t="shared" si="5"/>
        <v>877.31834217048026</v>
      </c>
      <c r="M26" s="90">
        <f t="shared" si="6"/>
        <v>57203.757842241132</v>
      </c>
      <c r="N26" s="223"/>
    </row>
    <row r="27" spans="1:14">
      <c r="A27" s="223"/>
      <c r="B27" s="76" t="s">
        <v>136</v>
      </c>
      <c r="C27" s="88">
        <f>'FLUJO DE CAJA'!$D$21*'INGRESOS MENSUALES 2013'!F27</f>
        <v>1263.6052776204483</v>
      </c>
      <c r="D27" s="88">
        <f>'FLUJO DE CAJA'!$D$22*F27</f>
        <v>473.68518854832007</v>
      </c>
      <c r="E27" s="88">
        <f>'FLUJO DE CAJA'!$D$23*F27</f>
        <v>35.092733686819209</v>
      </c>
      <c r="F27" s="87">
        <v>0.08</v>
      </c>
      <c r="G27" s="88">
        <f t="shared" si="0"/>
        <v>1772.3831998555877</v>
      </c>
      <c r="H27" s="89">
        <f t="shared" si="1"/>
        <v>25461.646344052031</v>
      </c>
      <c r="I27" s="89">
        <f t="shared" si="2"/>
        <v>11941.069873513236</v>
      </c>
      <c r="J27" s="89">
        <f t="shared" si="3"/>
        <v>12623.710274812731</v>
      </c>
      <c r="K27" s="89">
        <f t="shared" si="4"/>
        <v>6300.0130076926562</v>
      </c>
      <c r="L27" s="89">
        <f t="shared" si="5"/>
        <v>877.31834217048026</v>
      </c>
      <c r="M27" s="90">
        <f t="shared" si="6"/>
        <v>57203.757842241132</v>
      </c>
      <c r="N27" s="223"/>
    </row>
    <row r="28" spans="1:14" ht="15.75" thickBot="1">
      <c r="A28" s="223"/>
      <c r="B28" s="77" t="s">
        <v>137</v>
      </c>
      <c r="C28" s="92">
        <f>'FLUJO DE CAJA'!$D$21*'INGRESOS MENSUALES 2013'!F28</f>
        <v>2369.2598955383401</v>
      </c>
      <c r="D28" s="92">
        <f>'FLUJO DE CAJA'!$D$22*F28</f>
        <v>888.15972852810012</v>
      </c>
      <c r="E28" s="92">
        <f>'FLUJO DE CAJA'!$D$23*F28</f>
        <v>65.798875662786003</v>
      </c>
      <c r="F28" s="91">
        <v>0.15</v>
      </c>
      <c r="G28" s="92">
        <f t="shared" si="0"/>
        <v>3323.2184997292261</v>
      </c>
      <c r="H28" s="93">
        <f t="shared" si="1"/>
        <v>47740.586895097556</v>
      </c>
      <c r="I28" s="93">
        <f t="shared" si="2"/>
        <v>22389.506012837312</v>
      </c>
      <c r="J28" s="93">
        <f t="shared" si="3"/>
        <v>23669.45676527387</v>
      </c>
      <c r="K28" s="93">
        <f t="shared" si="4"/>
        <v>11812.524389423732</v>
      </c>
      <c r="L28" s="93">
        <f t="shared" si="5"/>
        <v>1644.9718915696501</v>
      </c>
      <c r="M28" s="94">
        <f t="shared" si="6"/>
        <v>107257.04595420211</v>
      </c>
      <c r="N28" s="223"/>
    </row>
    <row r="29" spans="1:14" ht="15.75" thickBot="1">
      <c r="A29" s="223"/>
      <c r="B29" s="223"/>
      <c r="C29" s="223"/>
      <c r="D29" s="223"/>
      <c r="E29" s="223"/>
      <c r="F29" s="72">
        <f>SUM(F17:F28)</f>
        <v>1</v>
      </c>
      <c r="G29" s="223"/>
      <c r="H29" s="274"/>
      <c r="I29" s="274"/>
      <c r="J29" s="274"/>
      <c r="K29" s="274"/>
      <c r="L29" s="73" t="s">
        <v>138</v>
      </c>
      <c r="M29" s="74">
        <f>SUM(M17:M28)</f>
        <v>715046.97302801406</v>
      </c>
      <c r="N29" s="223"/>
    </row>
    <row r="30" spans="1:14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</row>
    <row r="31" spans="1:14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</row>
    <row r="32" spans="1:14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</row>
    <row r="33" spans="1:14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</row>
  </sheetData>
  <mergeCells count="12">
    <mergeCell ref="B13:B16"/>
    <mergeCell ref="C13:E13"/>
    <mergeCell ref="G13:G16"/>
    <mergeCell ref="H13:L13"/>
    <mergeCell ref="M13:M16"/>
    <mergeCell ref="H14:I14"/>
    <mergeCell ref="J14:K14"/>
    <mergeCell ref="C15:C16"/>
    <mergeCell ref="D15:D16"/>
    <mergeCell ref="E15:E16"/>
    <mergeCell ref="F13:F16"/>
    <mergeCell ref="L14:L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4"/>
  <sheetViews>
    <sheetView workbookViewId="0">
      <selection activeCell="G6" sqref="G6"/>
    </sheetView>
  </sheetViews>
  <sheetFormatPr baseColWidth="10" defaultRowHeight="15"/>
  <cols>
    <col min="1" max="1" width="11.42578125" style="11"/>
    <col min="2" max="2" width="27" style="57" customWidth="1"/>
    <col min="3" max="4" width="12.5703125" style="57" bestFit="1" customWidth="1"/>
    <col min="5" max="8" width="13.5703125" style="57" bestFit="1" customWidth="1"/>
    <col min="9" max="9" width="13.85546875" style="57" customWidth="1"/>
    <col min="10" max="12" width="13.5703125" style="57" bestFit="1" customWidth="1"/>
    <col min="13" max="13" width="13.5703125" style="11" bestFit="1" customWidth="1"/>
    <col min="14" max="14" width="14.85546875" style="11" bestFit="1" customWidth="1"/>
    <col min="15" max="15" width="11.42578125" style="11"/>
    <col min="16" max="16" width="11.42578125" style="11" customWidth="1"/>
    <col min="17" max="16384" width="11.42578125" style="11"/>
  </cols>
  <sheetData>
    <row r="1" spans="1:18" ht="15.75" thickBot="1">
      <c r="A1" s="223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23"/>
      <c r="N1" s="223"/>
      <c r="O1" s="223"/>
      <c r="P1" s="223"/>
      <c r="Q1" s="223"/>
      <c r="R1" s="223"/>
    </row>
    <row r="2" spans="1:18" ht="19.5" thickBot="1">
      <c r="A2" s="223"/>
      <c r="B2" s="445" t="s">
        <v>209</v>
      </c>
      <c r="C2" s="446"/>
      <c r="D2" s="447"/>
      <c r="E2" s="50"/>
      <c r="F2" s="50"/>
      <c r="G2" s="50"/>
      <c r="H2" s="50"/>
      <c r="I2" s="50"/>
      <c r="J2" s="50"/>
      <c r="K2" s="50"/>
      <c r="L2" s="50"/>
      <c r="M2" s="223"/>
      <c r="N2" s="223"/>
      <c r="O2" s="223"/>
      <c r="P2" s="223"/>
      <c r="Q2" s="223"/>
      <c r="R2" s="223"/>
    </row>
    <row r="3" spans="1:18" ht="19.5" thickBot="1">
      <c r="A3" s="223"/>
      <c r="B3" s="269" t="s">
        <v>147</v>
      </c>
      <c r="C3" s="270" t="s">
        <v>148</v>
      </c>
      <c r="D3" s="270" t="s">
        <v>149</v>
      </c>
      <c r="E3" s="50"/>
      <c r="F3" s="50"/>
      <c r="G3" s="50"/>
      <c r="H3" s="50"/>
      <c r="I3" s="50"/>
      <c r="J3" s="50"/>
      <c r="K3" s="50"/>
      <c r="L3" s="50"/>
      <c r="M3" s="223"/>
      <c r="N3" s="223"/>
      <c r="O3" s="223"/>
      <c r="P3" s="223"/>
      <c r="Q3" s="223"/>
      <c r="R3" s="223"/>
    </row>
    <row r="4" spans="1:18" ht="19.5" thickBot="1">
      <c r="A4" s="223"/>
      <c r="B4" s="271" t="s">
        <v>150</v>
      </c>
      <c r="C4" s="272" t="s">
        <v>151</v>
      </c>
      <c r="D4" s="273">
        <v>0.6</v>
      </c>
      <c r="E4" s="50"/>
      <c r="F4" s="50"/>
      <c r="G4" s="50"/>
      <c r="H4" s="50"/>
      <c r="I4" s="50"/>
      <c r="J4" s="50"/>
      <c r="K4" s="50"/>
      <c r="L4" s="50"/>
      <c r="M4" s="223"/>
      <c r="N4" s="223"/>
      <c r="O4" s="223"/>
      <c r="P4" s="223"/>
      <c r="Q4" s="223"/>
      <c r="R4" s="223"/>
    </row>
    <row r="5" spans="1:18" ht="19.5" thickBot="1">
      <c r="A5" s="223"/>
      <c r="B5" s="271" t="s">
        <v>152</v>
      </c>
      <c r="C5" s="272">
        <v>60</v>
      </c>
      <c r="D5" s="273">
        <v>0.4</v>
      </c>
      <c r="E5" s="50"/>
      <c r="F5" s="50"/>
      <c r="G5" s="50"/>
      <c r="H5" s="50"/>
      <c r="I5" s="50"/>
      <c r="J5" s="50"/>
      <c r="K5" s="50"/>
      <c r="L5" s="50"/>
      <c r="M5" s="223"/>
      <c r="N5" s="223"/>
      <c r="O5" s="223"/>
      <c r="P5" s="223"/>
      <c r="Q5" s="223"/>
      <c r="R5" s="223"/>
    </row>
    <row r="6" spans="1:18">
      <c r="A6" s="22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223"/>
      <c r="N6" s="223"/>
      <c r="O6" s="223"/>
      <c r="P6" s="223"/>
      <c r="Q6" s="223"/>
      <c r="R6" s="223"/>
    </row>
    <row r="7" spans="1:18">
      <c r="A7" s="22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223"/>
      <c r="N7" s="223"/>
      <c r="O7" s="223"/>
      <c r="P7" s="223"/>
      <c r="Q7" s="223"/>
      <c r="R7" s="223"/>
    </row>
    <row r="8" spans="1:18" ht="15.75" thickBot="1">
      <c r="A8" s="22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223"/>
      <c r="N8" s="223"/>
      <c r="O8" s="223"/>
      <c r="P8" s="223"/>
      <c r="Q8" s="223"/>
      <c r="R8" s="223"/>
    </row>
    <row r="9" spans="1:18" ht="15.75" thickBot="1">
      <c r="A9" s="223"/>
      <c r="B9" s="132" t="s">
        <v>153</v>
      </c>
      <c r="C9" s="133" t="s">
        <v>154</v>
      </c>
      <c r="D9" s="133" t="s">
        <v>155</v>
      </c>
      <c r="E9" s="133" t="s">
        <v>156</v>
      </c>
      <c r="F9" s="133" t="s">
        <v>157</v>
      </c>
      <c r="G9" s="133" t="s">
        <v>158</v>
      </c>
      <c r="H9" s="133" t="s">
        <v>159</v>
      </c>
      <c r="I9" s="133" t="s">
        <v>160</v>
      </c>
      <c r="J9" s="133" t="s">
        <v>161</v>
      </c>
      <c r="K9" s="133" t="s">
        <v>162</v>
      </c>
      <c r="L9" s="133" t="s">
        <v>163</v>
      </c>
      <c r="M9" s="133" t="s">
        <v>164</v>
      </c>
      <c r="N9" s="133" t="s">
        <v>165</v>
      </c>
      <c r="O9" s="223"/>
      <c r="P9" s="223"/>
      <c r="Q9" s="223"/>
      <c r="R9" s="223"/>
    </row>
    <row r="10" spans="1:18" ht="30" thickBot="1">
      <c r="A10" s="223"/>
      <c r="B10" s="137" t="s">
        <v>166</v>
      </c>
      <c r="C10" s="139">
        <f>'INGRESOS MENSUALES 2013'!M17</f>
        <v>0</v>
      </c>
      <c r="D10" s="140">
        <f>'INGRESOS MENSUALES 2013'!M18</f>
        <v>7150.4697302801414</v>
      </c>
      <c r="E10" s="140">
        <f>'INGRESOS MENSUALES 2013'!M19</f>
        <v>42902.818381680845</v>
      </c>
      <c r="F10" s="140">
        <f>'INGRESOS MENSUALES 2013'!M20</f>
        <v>50053.288111960996</v>
      </c>
      <c r="G10" s="140">
        <f>'INGRESOS MENSUALES 2013'!M21</f>
        <v>71504.697302801418</v>
      </c>
      <c r="H10" s="140">
        <f>'INGRESOS MENSUALES 2013'!M22</f>
        <v>71504.697302801418</v>
      </c>
      <c r="I10" s="140">
        <f>'INGRESOS MENSUALES 2013'!M23</f>
        <v>85805.63676336169</v>
      </c>
      <c r="J10" s="140">
        <f>'INGRESOS MENSUALES 2013'!M24</f>
        <v>85805.63676336169</v>
      </c>
      <c r="K10" s="140">
        <f>'INGRESOS MENSUALES 2013'!M25</f>
        <v>78655.167033081554</v>
      </c>
      <c r="L10" s="140">
        <f>'INGRESOS MENSUALES 2013'!M26</f>
        <v>57203.757842241132</v>
      </c>
      <c r="M10" s="140">
        <f>'INGRESOS MENSUALES 2013'!M27</f>
        <v>57203.757842241132</v>
      </c>
      <c r="N10" s="140">
        <f>'INGRESOS MENSUALES 2013'!M28</f>
        <v>107257.04595420211</v>
      </c>
      <c r="O10" s="223"/>
      <c r="P10" s="223"/>
      <c r="Q10" s="223"/>
      <c r="R10" s="223"/>
    </row>
    <row r="11" spans="1:18" ht="15.75" thickBot="1">
      <c r="A11" s="223"/>
      <c r="B11" s="138" t="s">
        <v>197</v>
      </c>
      <c r="C11" s="141"/>
      <c r="D11" s="142">
        <f>D10*60%</f>
        <v>4290.2818381680845</v>
      </c>
      <c r="E11" s="142">
        <f t="shared" ref="E11:N11" si="0">E10*60%</f>
        <v>25741.691029008507</v>
      </c>
      <c r="F11" s="142">
        <f t="shared" si="0"/>
        <v>30031.972867176595</v>
      </c>
      <c r="G11" s="142">
        <f t="shared" si="0"/>
        <v>42902.818381680852</v>
      </c>
      <c r="H11" s="142">
        <f t="shared" si="0"/>
        <v>42902.818381680852</v>
      </c>
      <c r="I11" s="142">
        <f t="shared" si="0"/>
        <v>51483.382058017014</v>
      </c>
      <c r="J11" s="142">
        <f t="shared" si="0"/>
        <v>51483.382058017014</v>
      </c>
      <c r="K11" s="142">
        <f t="shared" si="0"/>
        <v>47193.10021984893</v>
      </c>
      <c r="L11" s="142">
        <f t="shared" si="0"/>
        <v>34322.254705344676</v>
      </c>
      <c r="M11" s="142">
        <f t="shared" si="0"/>
        <v>34322.254705344676</v>
      </c>
      <c r="N11" s="142">
        <f t="shared" si="0"/>
        <v>64354.227572521268</v>
      </c>
      <c r="O11" s="223"/>
      <c r="P11" s="223"/>
      <c r="Q11" s="223"/>
      <c r="R11" s="223"/>
    </row>
    <row r="12" spans="1:18" ht="15.75" thickBot="1">
      <c r="A12" s="223"/>
      <c r="B12" s="138" t="s">
        <v>198</v>
      </c>
      <c r="C12" s="143"/>
      <c r="D12" s="144"/>
      <c r="E12" s="145"/>
      <c r="F12" s="142">
        <f>D10*40%</f>
        <v>2860.1878921120569</v>
      </c>
      <c r="G12" s="142">
        <f>E10*40%</f>
        <v>17161.127352672338</v>
      </c>
      <c r="H12" s="142">
        <f>F10*40%</f>
        <v>20021.3152447844</v>
      </c>
      <c r="I12" s="142">
        <f t="shared" ref="I12:M12" si="1">G10*40%</f>
        <v>28601.878921120569</v>
      </c>
      <c r="J12" s="142">
        <f t="shared" si="1"/>
        <v>28601.878921120569</v>
      </c>
      <c r="K12" s="142">
        <f t="shared" si="1"/>
        <v>34322.254705344676</v>
      </c>
      <c r="L12" s="142">
        <f t="shared" si="1"/>
        <v>34322.254705344676</v>
      </c>
      <c r="M12" s="142">
        <f t="shared" si="1"/>
        <v>31462.066813232625</v>
      </c>
      <c r="N12" s="142">
        <f>L10*40%</f>
        <v>22881.503136896456</v>
      </c>
      <c r="O12" s="223"/>
      <c r="P12" s="223"/>
      <c r="Q12" s="223"/>
      <c r="R12" s="223"/>
    </row>
    <row r="13" spans="1:18" ht="26.25" thickBot="1">
      <c r="A13" s="223"/>
      <c r="B13" s="134" t="s">
        <v>167</v>
      </c>
      <c r="C13" s="135">
        <v>0</v>
      </c>
      <c r="D13" s="136">
        <f>D11+D12</f>
        <v>4290.2818381680845</v>
      </c>
      <c r="E13" s="136">
        <f t="shared" ref="E13:N13" si="2">E11+E12</f>
        <v>25741.691029008507</v>
      </c>
      <c r="F13" s="136">
        <f t="shared" si="2"/>
        <v>32892.16075928865</v>
      </c>
      <c r="G13" s="136">
        <f t="shared" si="2"/>
        <v>60063.94573435319</v>
      </c>
      <c r="H13" s="136">
        <f t="shared" si="2"/>
        <v>62924.133626465249</v>
      </c>
      <c r="I13" s="136">
        <f t="shared" si="2"/>
        <v>80085.260979137587</v>
      </c>
      <c r="J13" s="136">
        <f t="shared" si="2"/>
        <v>80085.260979137587</v>
      </c>
      <c r="K13" s="136">
        <f t="shared" si="2"/>
        <v>81515.354925193606</v>
      </c>
      <c r="L13" s="136">
        <f t="shared" si="2"/>
        <v>68644.509410689352</v>
      </c>
      <c r="M13" s="136">
        <f t="shared" si="2"/>
        <v>65784.321518577301</v>
      </c>
      <c r="N13" s="136">
        <f t="shared" si="2"/>
        <v>87235.730709417723</v>
      </c>
      <c r="O13" s="223"/>
      <c r="P13" s="223"/>
      <c r="Q13" s="223"/>
      <c r="R13" s="223"/>
    </row>
    <row r="14" spans="1:18">
      <c r="A14" s="22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223"/>
      <c r="N14" s="223"/>
      <c r="O14" s="223"/>
      <c r="P14" s="223"/>
      <c r="Q14" s="223"/>
      <c r="R14" s="223"/>
    </row>
    <row r="15" spans="1:18">
      <c r="A15" s="223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223"/>
      <c r="N15" s="223"/>
      <c r="O15" s="223"/>
      <c r="P15" s="223"/>
      <c r="Q15" s="223"/>
      <c r="R15" s="223"/>
    </row>
    <row r="16" spans="1:18">
      <c r="A16" s="223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223"/>
      <c r="N16" s="223"/>
      <c r="O16" s="223"/>
      <c r="P16" s="223"/>
      <c r="Q16" s="223"/>
      <c r="R16" s="223"/>
    </row>
    <row r="17" spans="1:19">
      <c r="A17" s="223"/>
      <c r="B17" s="6"/>
      <c r="C17" s="6"/>
      <c r="D17" s="50"/>
      <c r="E17" s="50"/>
      <c r="F17" s="50"/>
      <c r="G17" s="50"/>
      <c r="H17" s="50"/>
      <c r="I17" s="50"/>
      <c r="J17" s="50"/>
      <c r="K17" s="50"/>
      <c r="L17" s="50"/>
      <c r="M17" s="223"/>
      <c r="N17" s="223"/>
      <c r="O17" s="223"/>
      <c r="P17" s="223"/>
      <c r="Q17" s="223" t="s">
        <v>102</v>
      </c>
      <c r="R17" s="223"/>
    </row>
    <row r="18" spans="1:19">
      <c r="A18" s="223"/>
      <c r="B18" s="6"/>
      <c r="C18" s="268"/>
      <c r="D18" s="268"/>
      <c r="E18" s="268"/>
      <c r="F18" s="268"/>
      <c r="G18" s="268"/>
      <c r="H18" s="268"/>
      <c r="I18" s="268"/>
      <c r="J18" s="268"/>
      <c r="K18" s="268"/>
      <c r="L18" s="6"/>
      <c r="M18" s="223"/>
      <c r="N18" s="223"/>
      <c r="O18" s="223"/>
      <c r="P18" s="223"/>
      <c r="Q18" s="223">
        <f>'COSTOS VARIABLES'!N8</f>
        <v>0</v>
      </c>
      <c r="R18" s="223"/>
    </row>
    <row r="19" spans="1:19" ht="15.75" thickBot="1">
      <c r="A19" s="223"/>
      <c r="B19" s="267"/>
      <c r="C19" s="2"/>
      <c r="D19" s="2"/>
      <c r="E19" s="2"/>
      <c r="F19" s="2"/>
      <c r="G19" s="2"/>
      <c r="H19" s="2"/>
      <c r="I19" s="2"/>
      <c r="J19" s="2"/>
      <c r="K19" s="2"/>
      <c r="L19" s="2"/>
      <c r="M19" s="223"/>
      <c r="N19" s="223"/>
      <c r="O19" s="223"/>
      <c r="P19" s="223"/>
      <c r="Q19" s="223">
        <f>'COSTOS VARIABLES'!N9</f>
        <v>4460.351636377869</v>
      </c>
      <c r="R19" s="223"/>
    </row>
    <row r="20" spans="1:19" ht="15.75" thickBot="1">
      <c r="A20" s="223"/>
      <c r="B20" s="448" t="s">
        <v>199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50"/>
      <c r="O20" s="223"/>
      <c r="P20" s="223"/>
      <c r="Q20" s="223">
        <f>'COSTOS VARIABLES'!N10</f>
        <v>26762.109818267221</v>
      </c>
      <c r="R20" s="223"/>
    </row>
    <row r="21" spans="1:19" ht="15.75" thickBot="1">
      <c r="A21" s="223"/>
      <c r="B21" s="146" t="s">
        <v>168</v>
      </c>
      <c r="C21" s="147" t="s">
        <v>169</v>
      </c>
      <c r="D21" s="147" t="s">
        <v>155</v>
      </c>
      <c r="E21" s="147" t="s">
        <v>156</v>
      </c>
      <c r="F21" s="147" t="s">
        <v>170</v>
      </c>
      <c r="G21" s="147" t="s">
        <v>158</v>
      </c>
      <c r="H21" s="147" t="s">
        <v>159</v>
      </c>
      <c r="I21" s="147" t="s">
        <v>160</v>
      </c>
      <c r="J21" s="147" t="s">
        <v>161</v>
      </c>
      <c r="K21" s="147" t="s">
        <v>171</v>
      </c>
      <c r="L21" s="147" t="s">
        <v>172</v>
      </c>
      <c r="M21" s="147" t="s">
        <v>164</v>
      </c>
      <c r="N21" s="147" t="s">
        <v>165</v>
      </c>
      <c r="O21" s="223"/>
      <c r="P21" s="223"/>
      <c r="Q21" s="223">
        <f>'COSTOS VARIABLES'!N11</f>
        <v>31222.46145464509</v>
      </c>
      <c r="R21" s="223"/>
    </row>
    <row r="22" spans="1:19" ht="15.75" thickBot="1">
      <c r="A22" s="223"/>
      <c r="B22" s="148" t="s">
        <v>173</v>
      </c>
      <c r="C22" s="149">
        <v>0</v>
      </c>
      <c r="D22" s="149">
        <f>D13</f>
        <v>4290.2818381680845</v>
      </c>
      <c r="E22" s="149">
        <f t="shared" ref="E22:N22" si="3">E13</f>
        <v>25741.691029008507</v>
      </c>
      <c r="F22" s="149">
        <f t="shared" si="3"/>
        <v>32892.16075928865</v>
      </c>
      <c r="G22" s="149">
        <f t="shared" si="3"/>
        <v>60063.94573435319</v>
      </c>
      <c r="H22" s="149">
        <f t="shared" si="3"/>
        <v>62924.133626465249</v>
      </c>
      <c r="I22" s="149">
        <f t="shared" si="3"/>
        <v>80085.260979137587</v>
      </c>
      <c r="J22" s="149">
        <f t="shared" si="3"/>
        <v>80085.260979137587</v>
      </c>
      <c r="K22" s="149">
        <f t="shared" si="3"/>
        <v>81515.354925193606</v>
      </c>
      <c r="L22" s="149">
        <f t="shared" si="3"/>
        <v>68644.509410689352</v>
      </c>
      <c r="M22" s="149">
        <f t="shared" si="3"/>
        <v>65784.321518577301</v>
      </c>
      <c r="N22" s="149">
        <f t="shared" si="3"/>
        <v>87235.730709417723</v>
      </c>
      <c r="O22" s="223"/>
      <c r="P22" s="223"/>
      <c r="Q22" s="223">
        <f>'COSTOS VARIABLES'!N12</f>
        <v>44603.516363778712</v>
      </c>
      <c r="R22" s="223"/>
    </row>
    <row r="23" spans="1:19" ht="15.75" thickBot="1">
      <c r="A23" s="223"/>
      <c r="B23" s="148" t="s">
        <v>174</v>
      </c>
      <c r="C23" s="149">
        <f>20280+Q18</f>
        <v>20280</v>
      </c>
      <c r="D23" s="149">
        <f>20280+Q19</f>
        <v>24740.351636377869</v>
      </c>
      <c r="E23" s="149">
        <f>20280+Q20</f>
        <v>47042.109818267221</v>
      </c>
      <c r="F23" s="149">
        <f>20280+Q21</f>
        <v>51502.46145464509</v>
      </c>
      <c r="G23" s="149">
        <f>20280+Q22</f>
        <v>64883.516363778712</v>
      </c>
      <c r="H23" s="149">
        <f>20280+Q23</f>
        <v>64883.516363778712</v>
      </c>
      <c r="I23" s="149">
        <f>20280+Q24</f>
        <v>73804.219636534443</v>
      </c>
      <c r="J23" s="149">
        <f>20280+Q25</f>
        <v>73804.219636534443</v>
      </c>
      <c r="K23" s="149">
        <f>20280+Q26</f>
        <v>69343.868000156566</v>
      </c>
      <c r="L23" s="149">
        <f>20280+Q27</f>
        <v>55962.813091022952</v>
      </c>
      <c r="M23" s="149">
        <f>20280+Q28</f>
        <v>55962.813091022952</v>
      </c>
      <c r="N23" s="149">
        <f>20280+Q29</f>
        <v>87185.274545668042</v>
      </c>
      <c r="O23" s="223"/>
      <c r="P23" s="223"/>
      <c r="Q23" s="223">
        <f>'COSTOS VARIABLES'!N13</f>
        <v>44603.516363778712</v>
      </c>
      <c r="R23" s="223"/>
    </row>
    <row r="24" spans="1:19" ht="15.75" thickBot="1">
      <c r="A24" s="223"/>
      <c r="B24" s="148" t="s">
        <v>177</v>
      </c>
      <c r="C24" s="149">
        <f>'COSTOS VARIABLES'!O8</f>
        <v>0</v>
      </c>
      <c r="D24" s="149">
        <f>'COSTOS VARIABLES'!O9</f>
        <v>214.51409190840425</v>
      </c>
      <c r="E24" s="149">
        <f>'COSTOS VARIABLES'!O10</f>
        <v>1287.0845514504256</v>
      </c>
      <c r="F24" s="149">
        <f>'COSTOS VARIABLES'!O11</f>
        <v>1501.59864335883</v>
      </c>
      <c r="G24" s="149">
        <f>'COSTOS VARIABLES'!O12</f>
        <v>2145.1409190840427</v>
      </c>
      <c r="H24" s="149">
        <f>'COSTOS VARIABLES'!O13</f>
        <v>2145.1409190840427</v>
      </c>
      <c r="I24" s="149">
        <f>'COSTOS VARIABLES'!O14</f>
        <v>2574.1691029008512</v>
      </c>
      <c r="J24" s="149">
        <f>'COSTOS VARIABLES'!O15</f>
        <v>2574.1691029008512</v>
      </c>
      <c r="K24" s="149">
        <f>'COSTOS VARIABLES'!O16</f>
        <v>2359.6550109924469</v>
      </c>
      <c r="L24" s="149">
        <f>'COSTOS VARIABLES'!O17</f>
        <v>1716.112735267234</v>
      </c>
      <c r="M24" s="149">
        <f>'COSTOS VARIABLES'!O18</f>
        <v>1716.112735267234</v>
      </c>
      <c r="N24" s="149">
        <f>'COSTOS VARIABLES'!O19</f>
        <v>3217.7113786260638</v>
      </c>
      <c r="O24" s="223"/>
      <c r="P24" s="223"/>
      <c r="Q24" s="223">
        <f>'COSTOS VARIABLES'!N14</f>
        <v>53524.219636534443</v>
      </c>
      <c r="R24" s="223"/>
    </row>
    <row r="25" spans="1:19" ht="15.75" thickBot="1">
      <c r="A25" s="223"/>
      <c r="B25" s="148" t="s">
        <v>178</v>
      </c>
      <c r="C25" s="149">
        <f>'COSTOS VARIABLES'!M8</f>
        <v>0</v>
      </c>
      <c r="D25" s="149">
        <f>'COSTOS VARIABLES'!M9</f>
        <v>71.363145187638409</v>
      </c>
      <c r="E25" s="149">
        <f>'COSTOS VARIABLES'!M10</f>
        <v>428.17887112583037</v>
      </c>
      <c r="F25" s="149">
        <f>'COSTOS VARIABLES'!M11</f>
        <v>499.54201631346876</v>
      </c>
      <c r="G25" s="149">
        <f>'COSTOS VARIABLES'!M12</f>
        <v>713.63145187638395</v>
      </c>
      <c r="H25" s="149">
        <f>'COSTOS VARIABLES'!M13</f>
        <v>713.63145187638395</v>
      </c>
      <c r="I25" s="149">
        <f>'COSTOS VARIABLES'!M14</f>
        <v>856.35774225166074</v>
      </c>
      <c r="J25" s="149">
        <f>'COSTOS VARIABLES'!M15</f>
        <v>856.35774225166074</v>
      </c>
      <c r="K25" s="149">
        <f>'COSTOS VARIABLES'!M16</f>
        <v>784.9945970640224</v>
      </c>
      <c r="L25" s="149">
        <f>'COSTOS VARIABLES'!M17</f>
        <v>570.90516150110727</v>
      </c>
      <c r="M25" s="149">
        <f>'COSTOS VARIABLES'!M18</f>
        <v>570.90516150110727</v>
      </c>
      <c r="N25" s="149">
        <f>'COSTOS VARIABLES'!M19</f>
        <v>1070.4471778145758</v>
      </c>
      <c r="O25" s="223"/>
      <c r="P25" s="223"/>
      <c r="Q25" s="223">
        <f>'COSTOS VARIABLES'!N15</f>
        <v>53524.219636534443</v>
      </c>
      <c r="R25" s="223"/>
    </row>
    <row r="26" spans="1:19" ht="15.75" thickBot="1">
      <c r="A26" s="223"/>
      <c r="B26" s="148" t="s">
        <v>175</v>
      </c>
      <c r="C26" s="149">
        <f>C22-C23-C24-C25</f>
        <v>-20280</v>
      </c>
      <c r="D26" s="149">
        <f t="shared" ref="D26:L26" si="4">D22-D23-D24-D25</f>
        <v>-20735.947035305828</v>
      </c>
      <c r="E26" s="149">
        <f t="shared" si="4"/>
        <v>-23015.68221183497</v>
      </c>
      <c r="F26" s="149">
        <f t="shared" si="4"/>
        <v>-20611.441355028739</v>
      </c>
      <c r="G26" s="149">
        <f t="shared" si="4"/>
        <v>-7678.3430003859476</v>
      </c>
      <c r="H26" s="149">
        <f t="shared" si="4"/>
        <v>-4818.1551082738888</v>
      </c>
      <c r="I26" s="149">
        <f t="shared" si="4"/>
        <v>2850.5144974506329</v>
      </c>
      <c r="J26" s="149">
        <f t="shared" si="4"/>
        <v>2850.5144974506329</v>
      </c>
      <c r="K26" s="149">
        <f t="shared" si="4"/>
        <v>9026.8373169805709</v>
      </c>
      <c r="L26" s="149">
        <f t="shared" si="4"/>
        <v>10394.67842289806</v>
      </c>
      <c r="M26" s="149">
        <f>M22-M23-M24-M25</f>
        <v>7534.4905307860072</v>
      </c>
      <c r="N26" s="149">
        <f t="shared" ref="N26" si="5">N22-N23-N24-N25</f>
        <v>-4237.7023926909587</v>
      </c>
      <c r="O26" s="223"/>
      <c r="P26" s="223"/>
      <c r="Q26" s="223">
        <f>'COSTOS VARIABLES'!N16</f>
        <v>49063.868000156574</v>
      </c>
      <c r="R26" s="223"/>
    </row>
    <row r="27" spans="1:19" ht="15.75" thickBot="1">
      <c r="A27" s="223"/>
      <c r="B27" s="151" t="s">
        <v>176</v>
      </c>
      <c r="C27" s="150">
        <f>C26</f>
        <v>-20280</v>
      </c>
      <c r="D27" s="150">
        <f>D26+C27</f>
        <v>-41015.947035305828</v>
      </c>
      <c r="E27" s="150">
        <f t="shared" ref="E27:N27" si="6">E26+D27</f>
        <v>-64031.629247140794</v>
      </c>
      <c r="F27" s="150">
        <f t="shared" si="6"/>
        <v>-84643.070602169537</v>
      </c>
      <c r="G27" s="150">
        <f t="shared" si="6"/>
        <v>-92321.413602555491</v>
      </c>
      <c r="H27" s="150">
        <f t="shared" si="6"/>
        <v>-97139.568710829379</v>
      </c>
      <c r="I27" s="150">
        <f t="shared" si="6"/>
        <v>-94289.054213378753</v>
      </c>
      <c r="J27" s="150">
        <f t="shared" si="6"/>
        <v>-91438.539715928113</v>
      </c>
      <c r="K27" s="150">
        <f t="shared" si="6"/>
        <v>-82411.702398947542</v>
      </c>
      <c r="L27" s="150">
        <f t="shared" si="6"/>
        <v>-72017.023976049488</v>
      </c>
      <c r="M27" s="150">
        <f t="shared" si="6"/>
        <v>-64482.533445263478</v>
      </c>
      <c r="N27" s="150">
        <f t="shared" si="6"/>
        <v>-68720.235837954431</v>
      </c>
      <c r="O27" s="223"/>
      <c r="P27" s="223"/>
      <c r="Q27" s="223">
        <f>'COSTOS VARIABLES'!N17</f>
        <v>35682.813091022952</v>
      </c>
      <c r="R27" s="223"/>
    </row>
    <row r="28" spans="1:19">
      <c r="A28" s="223"/>
      <c r="B28" s="58"/>
      <c r="C28" s="2"/>
      <c r="D28" s="266"/>
      <c r="E28" s="266"/>
      <c r="F28" s="266"/>
      <c r="G28" s="266"/>
      <c r="H28" s="266"/>
      <c r="I28" s="266"/>
      <c r="J28" s="266"/>
      <c r="K28" s="266"/>
      <c r="L28" s="266"/>
      <c r="M28" s="223"/>
      <c r="N28" s="223"/>
      <c r="O28" s="223"/>
      <c r="P28" s="223"/>
      <c r="Q28" s="223">
        <f>'COSTOS VARIABLES'!N18</f>
        <v>35682.813091022952</v>
      </c>
      <c r="R28" s="223"/>
      <c r="S28" s="223"/>
    </row>
    <row r="29" spans="1:19">
      <c r="A29" s="223"/>
      <c r="B29" s="267"/>
      <c r="C29" s="2"/>
      <c r="D29" s="2"/>
      <c r="E29" s="2"/>
      <c r="F29" s="2"/>
      <c r="G29" s="2"/>
      <c r="H29" s="2"/>
      <c r="I29" s="2"/>
      <c r="J29" s="2"/>
      <c r="K29" s="2"/>
      <c r="L29" s="2"/>
      <c r="M29" s="223"/>
      <c r="N29" s="223"/>
      <c r="O29" s="223"/>
      <c r="P29" s="223"/>
      <c r="Q29" s="223">
        <f>'COSTOS VARIABLES'!N19</f>
        <v>66905.274545668042</v>
      </c>
      <c r="R29" s="223"/>
      <c r="S29" s="223"/>
    </row>
    <row r="30" spans="1:19">
      <c r="A30" s="223"/>
      <c r="B30" s="58"/>
      <c r="C30" s="2"/>
      <c r="D30" s="2"/>
      <c r="E30" s="2"/>
      <c r="F30" s="2"/>
      <c r="G30" s="2"/>
      <c r="H30" s="2"/>
      <c r="I30" s="2"/>
      <c r="J30" s="2"/>
      <c r="K30" s="2"/>
      <c r="L30" s="2"/>
      <c r="M30" s="223"/>
      <c r="N30" s="223"/>
      <c r="O30" s="223"/>
      <c r="P30" s="223"/>
      <c r="Q30" s="223"/>
      <c r="R30" s="223"/>
      <c r="S30" s="223"/>
    </row>
    <row r="31" spans="1:19">
      <c r="A31" s="223"/>
      <c r="B31" s="58"/>
      <c r="C31" s="2"/>
      <c r="D31" s="2"/>
      <c r="E31" s="2"/>
      <c r="F31" s="2"/>
      <c r="G31" s="2"/>
      <c r="H31" s="2"/>
      <c r="I31" s="2"/>
      <c r="J31" s="2"/>
      <c r="K31" s="2"/>
      <c r="L31" s="2"/>
      <c r="M31" s="223"/>
      <c r="N31" s="223"/>
      <c r="O31" s="223"/>
      <c r="P31" s="223"/>
      <c r="Q31" s="223"/>
      <c r="R31" s="223"/>
      <c r="S31" s="223"/>
    </row>
    <row r="32" spans="1:19">
      <c r="A32" s="223"/>
      <c r="B32" s="58"/>
      <c r="C32" s="2"/>
      <c r="D32" s="2"/>
      <c r="E32" s="2"/>
      <c r="F32" s="2"/>
      <c r="G32" s="2"/>
      <c r="H32" s="2"/>
      <c r="I32" s="2"/>
      <c r="J32" s="2"/>
      <c r="K32" s="2"/>
      <c r="L32" s="2"/>
      <c r="M32" s="223"/>
      <c r="N32" s="223"/>
      <c r="O32" s="223"/>
      <c r="P32" s="223"/>
      <c r="Q32" s="223"/>
      <c r="R32" s="223"/>
      <c r="S32" s="223"/>
    </row>
    <row r="33" spans="2:12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2:12"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2:12">
      <c r="B35" s="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2:12"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2:12">
      <c r="B37" s="9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12">
      <c r="B38" s="5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>
      <c r="B39" s="5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>
      <c r="B40" s="5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2:12">
      <c r="B41" s="5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2:12">
      <c r="B42" s="5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2:12">
      <c r="B43" s="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2:12" ht="18.75">
      <c r="B44" s="61"/>
      <c r="C44" s="62"/>
      <c r="D44" s="9"/>
      <c r="E44" s="9"/>
      <c r="F44" s="9"/>
      <c r="G44" s="9"/>
      <c r="H44" s="9"/>
      <c r="I44" s="9"/>
      <c r="J44" s="51"/>
      <c r="K44" s="52"/>
      <c r="L44" s="9"/>
    </row>
  </sheetData>
  <mergeCells count="2">
    <mergeCell ref="B2:D2"/>
    <mergeCell ref="B20:N20"/>
  </mergeCells>
  <pageMargins left="0.7" right="0.7" top="0.75" bottom="0.75" header="0.3" footer="0.3"/>
  <pageSetup paperSize="9" orientation="landscape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K16" sqref="K16"/>
    </sheetView>
  </sheetViews>
  <sheetFormatPr baseColWidth="10" defaultRowHeight="15"/>
  <cols>
    <col min="1" max="1" width="9.42578125" customWidth="1"/>
    <col min="2" max="2" width="19.42578125" bestFit="1" customWidth="1"/>
    <col min="3" max="3" width="17.28515625" customWidth="1"/>
    <col min="4" max="4" width="13.7109375" customWidth="1"/>
    <col min="6" max="6" width="20" customWidth="1"/>
    <col min="7" max="7" width="17.28515625" customWidth="1"/>
  </cols>
  <sheetData>
    <row r="1" spans="1:12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2">
      <c r="A2" s="223"/>
      <c r="B2" s="223"/>
      <c r="C2" s="223"/>
      <c r="D2" s="223"/>
      <c r="E2" s="223"/>
      <c r="F2" s="223"/>
      <c r="G2" s="223"/>
      <c r="H2" s="223">
        <f>(51408)/(0.75-0.65)</f>
        <v>514080.00000000012</v>
      </c>
      <c r="I2" s="223"/>
      <c r="J2" s="223"/>
      <c r="K2" s="223"/>
    </row>
    <row r="3" spans="1:1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</row>
    <row r="4" spans="1:12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</row>
    <row r="5" spans="1:12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2" ht="15.75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2" ht="20.25" thickBot="1">
      <c r="A7" s="223"/>
      <c r="B7" s="454" t="s">
        <v>182</v>
      </c>
      <c r="C7" s="455"/>
      <c r="D7" s="455"/>
      <c r="E7" s="455"/>
      <c r="F7" s="455"/>
      <c r="G7" s="456"/>
      <c r="H7" s="265"/>
      <c r="I7" s="223"/>
      <c r="J7" s="223"/>
    </row>
    <row r="8" spans="1:12" ht="39" thickBot="1">
      <c r="A8" s="223"/>
      <c r="B8" s="242" t="s">
        <v>183</v>
      </c>
      <c r="C8" s="243" t="s">
        <v>184</v>
      </c>
      <c r="D8" s="244" t="s">
        <v>185</v>
      </c>
      <c r="E8" s="245" t="s">
        <v>186</v>
      </c>
      <c r="F8" s="246" t="s">
        <v>187</v>
      </c>
      <c r="G8" s="246" t="s">
        <v>188</v>
      </c>
      <c r="H8" s="223"/>
      <c r="I8" s="223"/>
      <c r="J8" s="223"/>
      <c r="K8" s="223"/>
      <c r="L8" s="223"/>
    </row>
    <row r="9" spans="1:12" ht="15.75" thickBot="1">
      <c r="A9" s="223"/>
      <c r="B9" s="247" t="s">
        <v>189</v>
      </c>
      <c r="C9" s="457">
        <v>0.6</v>
      </c>
      <c r="D9" s="461">
        <f>C20*0.6</f>
        <v>146016</v>
      </c>
      <c r="E9" s="248">
        <v>31</v>
      </c>
      <c r="F9" s="248">
        <v>22</v>
      </c>
      <c r="G9" s="249">
        <f>($D$9)/(E9-F9)</f>
        <v>16224</v>
      </c>
      <c r="H9" s="223"/>
      <c r="I9" s="223"/>
      <c r="J9" s="223"/>
    </row>
    <row r="10" spans="1:12" s="11" customFormat="1" ht="15.75" thickBot="1">
      <c r="A10" s="223"/>
      <c r="B10" s="250" t="s">
        <v>190</v>
      </c>
      <c r="C10" s="458"/>
      <c r="D10" s="458"/>
      <c r="E10" s="251">
        <v>27</v>
      </c>
      <c r="F10" s="251">
        <v>15.6</v>
      </c>
      <c r="G10" s="249">
        <f>($D$9)/(E10-F10)</f>
        <v>12808.421052631578</v>
      </c>
      <c r="H10" s="223"/>
      <c r="I10" s="223"/>
      <c r="J10" s="223"/>
    </row>
    <row r="11" spans="1:12" ht="15.75" thickBot="1">
      <c r="A11" s="223"/>
      <c r="B11" s="258" t="s">
        <v>191</v>
      </c>
      <c r="C11" s="459">
        <v>0.4</v>
      </c>
      <c r="D11" s="462">
        <f>C20*0.4</f>
        <v>97344</v>
      </c>
      <c r="E11" s="259">
        <v>41</v>
      </c>
      <c r="F11" s="259">
        <v>21.5</v>
      </c>
      <c r="G11" s="260">
        <f>($D$11)/(E11-F11)</f>
        <v>4992</v>
      </c>
      <c r="H11" s="223"/>
      <c r="I11" s="223"/>
      <c r="J11" s="223"/>
    </row>
    <row r="12" spans="1:12" s="11" customFormat="1" ht="15.75" thickBot="1">
      <c r="A12" s="223"/>
      <c r="B12" s="261" t="s">
        <v>192</v>
      </c>
      <c r="C12" s="460"/>
      <c r="D12" s="460"/>
      <c r="E12" s="262">
        <v>38</v>
      </c>
      <c r="F12" s="263">
        <v>18.5</v>
      </c>
      <c r="G12" s="260">
        <f>($D$11)/(E12-F12)</f>
        <v>4992</v>
      </c>
      <c r="H12" s="223"/>
      <c r="I12" s="223"/>
      <c r="J12" s="223"/>
    </row>
    <row r="13" spans="1:12" ht="15.75" thickBot="1">
      <c r="A13" s="223"/>
      <c r="B13" s="252" t="s">
        <v>105</v>
      </c>
      <c r="C13" s="253">
        <v>0.1</v>
      </c>
      <c r="D13" s="254">
        <f>C20*0.1</f>
        <v>24336</v>
      </c>
      <c r="E13" s="255">
        <v>25</v>
      </c>
      <c r="F13" s="256">
        <v>13</v>
      </c>
      <c r="G13" s="257">
        <f>(D13)/(E13-F13)</f>
        <v>2028</v>
      </c>
      <c r="H13" s="223"/>
      <c r="I13" s="223">
        <v>40920</v>
      </c>
      <c r="J13" s="223"/>
    </row>
    <row r="14" spans="1:12" ht="15.75" thickBot="1">
      <c r="A14" s="223"/>
      <c r="B14" s="451" t="s">
        <v>193</v>
      </c>
      <c r="C14" s="452"/>
      <c r="D14" s="452"/>
      <c r="E14" s="452"/>
      <c r="F14" s="453"/>
      <c r="G14" s="264">
        <f>SUM(G9:G13)</f>
        <v>41044.42105263158</v>
      </c>
      <c r="H14" s="223"/>
      <c r="I14" s="223">
        <v>87600</v>
      </c>
      <c r="J14" s="223"/>
    </row>
    <row r="15" spans="1:12">
      <c r="A15" s="223"/>
      <c r="B15" s="223"/>
      <c r="C15" s="223"/>
      <c r="D15" s="223"/>
      <c r="E15" s="223"/>
      <c r="F15" s="223"/>
      <c r="G15" s="223"/>
      <c r="H15" s="223"/>
      <c r="I15" s="223">
        <f>SUM(I13:I14)</f>
        <v>128520</v>
      </c>
      <c r="J15" s="223">
        <f>I15*0.6</f>
        <v>77112</v>
      </c>
    </row>
    <row r="16" spans="1:12">
      <c r="A16" s="223"/>
      <c r="B16" s="223"/>
      <c r="C16" s="223"/>
      <c r="D16" s="223"/>
      <c r="E16" s="223"/>
      <c r="F16" s="223"/>
      <c r="G16" s="223"/>
      <c r="H16" s="223"/>
      <c r="I16" s="223"/>
      <c r="J16" s="223"/>
    </row>
    <row r="17" spans="1:10">
      <c r="A17" s="223"/>
      <c r="B17" s="223"/>
      <c r="C17" s="223"/>
      <c r="D17" s="223"/>
      <c r="E17" s="223"/>
      <c r="F17" s="223"/>
      <c r="G17" s="223"/>
      <c r="H17" s="223"/>
      <c r="I17" s="223"/>
      <c r="J17" s="223"/>
    </row>
    <row r="18" spans="1:10">
      <c r="A18" s="223"/>
      <c r="B18" s="223"/>
      <c r="C18" s="223"/>
      <c r="D18" s="223"/>
      <c r="E18" s="223"/>
      <c r="F18" s="223"/>
      <c r="G18" s="223"/>
      <c r="H18" s="223"/>
      <c r="I18" s="223"/>
      <c r="J18" s="223"/>
    </row>
    <row r="19" spans="1:10">
      <c r="A19" s="223"/>
      <c r="B19" s="223"/>
      <c r="C19" s="223"/>
      <c r="D19" s="223"/>
      <c r="E19" s="223"/>
      <c r="F19" s="223"/>
      <c r="G19" s="223"/>
      <c r="H19" s="223"/>
      <c r="I19" s="223"/>
      <c r="J19" s="223"/>
    </row>
    <row r="20" spans="1:10">
      <c r="A20" s="223"/>
      <c r="B20" s="223"/>
      <c r="C20" s="2">
        <f>'FLUJO DE CAJA'!D60+'FLUJO DE CAJA'!D62</f>
        <v>243360</v>
      </c>
      <c r="D20" s="223"/>
      <c r="E20" s="223"/>
      <c r="F20" s="223"/>
      <c r="G20" s="223"/>
      <c r="H20" s="223"/>
      <c r="I20" s="223"/>
      <c r="J20" s="223"/>
    </row>
    <row r="21" spans="1:10">
      <c r="A21" s="223"/>
      <c r="B21" s="223"/>
      <c r="C21" s="223"/>
      <c r="D21" s="223"/>
      <c r="E21" s="223"/>
      <c r="F21" s="223"/>
      <c r="G21" s="223"/>
      <c r="H21" s="223"/>
      <c r="I21" s="223"/>
      <c r="J21" s="223"/>
    </row>
    <row r="22" spans="1:10">
      <c r="A22" s="223"/>
      <c r="B22" s="223"/>
      <c r="C22" s="223"/>
      <c r="D22" s="223"/>
      <c r="E22" s="223"/>
      <c r="F22" s="223"/>
      <c r="G22" s="223"/>
      <c r="H22" s="223"/>
      <c r="I22" s="223"/>
      <c r="J22" s="223"/>
    </row>
    <row r="23" spans="1:10">
      <c r="A23" s="223"/>
    </row>
    <row r="24" spans="1:10">
      <c r="A24" s="223"/>
    </row>
  </sheetData>
  <mergeCells count="6">
    <mergeCell ref="B14:F14"/>
    <mergeCell ref="B7:G7"/>
    <mergeCell ref="C9:C10"/>
    <mergeCell ref="C11:C12"/>
    <mergeCell ref="D9:D10"/>
    <mergeCell ref="D11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FLUJO DE CAJA</vt:lpstr>
      <vt:lpstr>PRESTAMO</vt:lpstr>
      <vt:lpstr>DEPRECIACION</vt:lpstr>
      <vt:lpstr>COSTOS VARIABLES</vt:lpstr>
      <vt:lpstr>INGRESOS MENSUALES 2013</vt:lpstr>
      <vt:lpstr>CAPITAL DE TRABAJO</vt:lpstr>
      <vt:lpstr>PUNTO DE EQULIBRIO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J@rloVe</dc:creator>
  <cp:lastModifiedBy>Mary</cp:lastModifiedBy>
  <dcterms:created xsi:type="dcterms:W3CDTF">2011-07-13T23:10:14Z</dcterms:created>
  <dcterms:modified xsi:type="dcterms:W3CDTF">2012-02-23T23:00:03Z</dcterms:modified>
</cp:coreProperties>
</file>