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135" windowHeight="8130" tabRatio="955" activeTab="4"/>
  </bookViews>
  <sheets>
    <sheet name="GASTO ORG. Y ADM." sheetId="2" r:id="rId1"/>
    <sheet name="PUBLICIDAD" sheetId="6" r:id="rId2"/>
    <sheet name="INV. PROYECTO" sheetId="3" r:id="rId3"/>
    <sheet name="INV. ACTIVOS FIJOS" sheetId="4" r:id="rId4"/>
    <sheet name="INV. INICIAL" sheetId="5" r:id="rId5"/>
    <sheet name="FINANCIAMIENTO" sheetId="7" r:id="rId6"/>
    <sheet name="COST. FIJOS" sheetId="8" r:id="rId7"/>
    <sheet name="PUNT. EQUILIBRIO" sheetId="10" r:id="rId8"/>
    <sheet name="INGRESOS ANUALES" sheetId="11" r:id="rId9"/>
    <sheet name="CAPITAL DE TRABAJO" sheetId="15" r:id="rId10"/>
    <sheet name="VALOR DE DESECHO" sheetId="16" r:id="rId11"/>
    <sheet name="AMORT. PREST. BANC." sheetId="17" r:id="rId12"/>
    <sheet name="TASA DE DESCUENTO" sheetId="20" r:id="rId13"/>
    <sheet name="FLUJO DE CAJA" sheetId="18" r:id="rId14"/>
    <sheet name="PAYBACK" sheetId="21" r:id="rId15"/>
    <sheet name="ANL. SENS. ESP." sheetId="22" r:id="rId16"/>
    <sheet name="ANL. SENS. OPT." sheetId="23" r:id="rId17"/>
    <sheet name="ANL. SENS. PES." sheetId="24" r:id="rId18"/>
  </sheets>
  <calcPr calcId="145621"/>
</workbook>
</file>

<file path=xl/calcChain.xml><?xml version="1.0" encoding="utf-8"?>
<calcChain xmlns="http://schemas.openxmlformats.org/spreadsheetml/2006/main">
  <c r="E6" i="7" l="1"/>
  <c r="E5" i="5"/>
  <c r="I5" i="11" l="1"/>
  <c r="I7" i="11" s="1"/>
  <c r="I8" i="11" s="1"/>
  <c r="D11" i="24"/>
  <c r="E11" i="24"/>
  <c r="F11" i="24"/>
  <c r="G11" i="24"/>
  <c r="C11" i="24"/>
  <c r="D10" i="24"/>
  <c r="E10" i="24"/>
  <c r="F10" i="24"/>
  <c r="G10" i="24"/>
  <c r="C10" i="24"/>
  <c r="D11" i="23"/>
  <c r="E11" i="23"/>
  <c r="F11" i="23"/>
  <c r="G11" i="23"/>
  <c r="C11" i="23"/>
  <c r="D10" i="23"/>
  <c r="E10" i="23"/>
  <c r="F10" i="23"/>
  <c r="G10" i="23"/>
  <c r="C10" i="23"/>
  <c r="D11" i="22"/>
  <c r="E11" i="22"/>
  <c r="F11" i="22"/>
  <c r="G11" i="22"/>
  <c r="C11" i="22"/>
  <c r="D10" i="22"/>
  <c r="E10" i="22"/>
  <c r="F10" i="22"/>
  <c r="G10" i="22"/>
  <c r="C10" i="22"/>
  <c r="D9" i="23"/>
  <c r="G9" i="22"/>
  <c r="E9" i="22"/>
  <c r="C9" i="22"/>
  <c r="D9" i="18"/>
  <c r="F9" i="18"/>
  <c r="C9" i="18"/>
  <c r="B11" i="8"/>
  <c r="C11" i="8" s="1"/>
  <c r="B8" i="8"/>
  <c r="C8" i="8" s="1"/>
  <c r="B7" i="8"/>
  <c r="C7" i="8" s="1"/>
  <c r="A7" i="8"/>
  <c r="B6" i="8"/>
  <c r="C6" i="8" s="1"/>
  <c r="A6" i="8"/>
  <c r="A5" i="8"/>
  <c r="B5" i="8"/>
  <c r="C11" i="2"/>
  <c r="A11" i="2"/>
  <c r="F14" i="24" l="1"/>
  <c r="D14" i="24"/>
  <c r="G14" i="24"/>
  <c r="E14" i="24"/>
  <c r="C14" i="24"/>
  <c r="F14" i="23"/>
  <c r="D14" i="23"/>
  <c r="G14" i="23"/>
  <c r="C14" i="23"/>
  <c r="G14" i="22"/>
  <c r="E14" i="22"/>
  <c r="C14" i="22"/>
  <c r="D14" i="18"/>
  <c r="F14" i="18"/>
  <c r="E14" i="23"/>
  <c r="F14" i="22"/>
  <c r="D14" i="22"/>
  <c r="C14" i="18"/>
  <c r="E14" i="18"/>
  <c r="G14" i="18"/>
  <c r="G9" i="24"/>
  <c r="E9" i="24"/>
  <c r="C9" i="24"/>
  <c r="F9" i="24"/>
  <c r="D9" i="24"/>
  <c r="G9" i="23"/>
  <c r="E9" i="23"/>
  <c r="C9" i="23"/>
  <c r="G9" i="18"/>
  <c r="E9" i="18"/>
  <c r="D9" i="22"/>
  <c r="F9" i="22"/>
  <c r="F9" i="23"/>
  <c r="C5" i="8"/>
  <c r="D11" i="18"/>
  <c r="E11" i="18"/>
  <c r="F11" i="18"/>
  <c r="G11" i="18"/>
  <c r="C11" i="18"/>
  <c r="D10" i="18"/>
  <c r="E10" i="18"/>
  <c r="F10" i="18"/>
  <c r="G10" i="18"/>
  <c r="C10" i="18"/>
  <c r="M6" i="15"/>
  <c r="L6" i="15"/>
  <c r="K6" i="15"/>
  <c r="J6" i="15"/>
  <c r="I6" i="15"/>
  <c r="H6" i="15"/>
  <c r="G6" i="15"/>
  <c r="F6" i="15"/>
  <c r="E6" i="15"/>
  <c r="D6" i="15"/>
  <c r="C6" i="15"/>
  <c r="C5" i="11"/>
  <c r="D5" i="11"/>
  <c r="E5" i="11"/>
  <c r="F5" i="11"/>
  <c r="B5" i="11"/>
  <c r="B8" i="3"/>
  <c r="B3" i="5" s="1"/>
  <c r="B23" i="15"/>
  <c r="B13" i="15"/>
  <c r="C13" i="15"/>
  <c r="D13" i="15"/>
  <c r="B14" i="15"/>
  <c r="C14" i="15"/>
  <c r="D14" i="15"/>
  <c r="B15" i="15"/>
  <c r="C15" i="15"/>
  <c r="D15" i="15"/>
  <c r="B16" i="15"/>
  <c r="C16" i="15"/>
  <c r="D16" i="15"/>
  <c r="B18" i="15"/>
  <c r="C18" i="15"/>
  <c r="D18" i="15"/>
  <c r="A5" i="16"/>
  <c r="G13" i="24" l="1"/>
  <c r="E13" i="24"/>
  <c r="C13" i="24"/>
  <c r="F13" i="24"/>
  <c r="D13" i="24"/>
  <c r="G13" i="23"/>
  <c r="E13" i="23"/>
  <c r="C13" i="23"/>
  <c r="D13" i="23"/>
  <c r="F13" i="22"/>
  <c r="D13" i="22"/>
  <c r="D13" i="18"/>
  <c r="F13" i="18"/>
  <c r="C13" i="18"/>
  <c r="F13" i="23"/>
  <c r="G13" i="22"/>
  <c r="E13" i="22"/>
  <c r="C13" i="22"/>
  <c r="E13" i="18"/>
  <c r="G13" i="18"/>
  <c r="B4" i="4" l="1"/>
  <c r="B5" i="4"/>
  <c r="D10" i="2"/>
  <c r="E10" i="2" s="1"/>
  <c r="D9" i="2"/>
  <c r="E9" i="2" s="1"/>
  <c r="D8" i="2"/>
  <c r="E8" i="2" s="1"/>
  <c r="D7" i="2"/>
  <c r="E7" i="2" s="1"/>
  <c r="D6" i="2"/>
  <c r="E6" i="2" s="1"/>
  <c r="D5" i="2"/>
  <c r="E5" i="2" s="1"/>
  <c r="D4" i="2"/>
  <c r="E4" i="2" s="1"/>
  <c r="D3" i="2"/>
  <c r="D4" i="6"/>
  <c r="D5" i="6"/>
  <c r="D6" i="6"/>
  <c r="D7" i="6"/>
  <c r="B6" i="11"/>
  <c r="L5" i="15" s="1"/>
  <c r="B5" i="16"/>
  <c r="D5" i="16" s="1"/>
  <c r="B6" i="16"/>
  <c r="D6" i="16" s="1"/>
  <c r="B7" i="16"/>
  <c r="D7" i="16" s="1"/>
  <c r="B7" i="4"/>
  <c r="B6" i="5" s="1"/>
  <c r="B19" i="20"/>
  <c r="C19" i="20" s="1"/>
  <c r="K8" i="17"/>
  <c r="K7" i="17"/>
  <c r="C6" i="17"/>
  <c r="M18" i="15"/>
  <c r="L18" i="15"/>
  <c r="K18" i="15"/>
  <c r="J18" i="15"/>
  <c r="I18" i="15"/>
  <c r="H18" i="15"/>
  <c r="G18" i="15"/>
  <c r="F18" i="15"/>
  <c r="E18" i="15"/>
  <c r="A17" i="15"/>
  <c r="M16" i="15"/>
  <c r="L16" i="15"/>
  <c r="K16" i="15"/>
  <c r="J16" i="15"/>
  <c r="I16" i="15"/>
  <c r="H16" i="15"/>
  <c r="G16" i="15"/>
  <c r="F16" i="15"/>
  <c r="E16" i="15"/>
  <c r="A16" i="15"/>
  <c r="M15" i="15"/>
  <c r="L15" i="15"/>
  <c r="K15" i="15"/>
  <c r="J15" i="15"/>
  <c r="I15" i="15"/>
  <c r="H15" i="15"/>
  <c r="G15" i="15"/>
  <c r="F15" i="15"/>
  <c r="E15" i="15"/>
  <c r="A15" i="15"/>
  <c r="M14" i="15"/>
  <c r="L14" i="15"/>
  <c r="K14" i="15"/>
  <c r="J14" i="15"/>
  <c r="I14" i="15"/>
  <c r="H14" i="15"/>
  <c r="G14" i="15"/>
  <c r="F14" i="15"/>
  <c r="E14" i="15"/>
  <c r="A14" i="15"/>
  <c r="M13" i="15"/>
  <c r="L13" i="15"/>
  <c r="K13" i="15"/>
  <c r="J13" i="15"/>
  <c r="I13" i="15"/>
  <c r="H13" i="15"/>
  <c r="G13" i="15"/>
  <c r="F13" i="15"/>
  <c r="E13" i="15"/>
  <c r="A13" i="15"/>
  <c r="M11" i="15"/>
  <c r="M22" i="15" s="1"/>
  <c r="L11" i="15"/>
  <c r="L22" i="15" s="1"/>
  <c r="K11" i="15"/>
  <c r="K22" i="15" s="1"/>
  <c r="J11" i="15"/>
  <c r="J22" i="15" s="1"/>
  <c r="I11" i="15"/>
  <c r="I22" i="15" s="1"/>
  <c r="H11" i="15"/>
  <c r="H22" i="15" s="1"/>
  <c r="G11" i="15"/>
  <c r="G22" i="15" s="1"/>
  <c r="F11" i="15"/>
  <c r="F22" i="15" s="1"/>
  <c r="E11" i="15"/>
  <c r="E22" i="15" s="1"/>
  <c r="D11" i="15"/>
  <c r="D22" i="15" s="1"/>
  <c r="C11" i="15"/>
  <c r="C22" i="15" s="1"/>
  <c r="B11" i="15"/>
  <c r="B22" i="15" s="1"/>
  <c r="H5" i="15"/>
  <c r="A22" i="3"/>
  <c r="A23" i="3"/>
  <c r="A24" i="3"/>
  <c r="A25" i="3"/>
  <c r="A26" i="3"/>
  <c r="A27" i="3"/>
  <c r="A28" i="3"/>
  <c r="A21" i="3"/>
  <c r="B23" i="3"/>
  <c r="B25" i="3"/>
  <c r="B27" i="3"/>
  <c r="B28" i="3"/>
  <c r="B21" i="3"/>
  <c r="F17" i="24" l="1"/>
  <c r="D17" i="24"/>
  <c r="G17" i="24"/>
  <c r="E17" i="24"/>
  <c r="C17" i="24"/>
  <c r="F17" i="23"/>
  <c r="D17" i="23"/>
  <c r="G17" i="23"/>
  <c r="C17" i="23"/>
  <c r="F17" i="22"/>
  <c r="D17" i="22"/>
  <c r="E17" i="23"/>
  <c r="G17" i="22"/>
  <c r="E17" i="22"/>
  <c r="C17" i="22"/>
  <c r="C17" i="18"/>
  <c r="B24" i="3"/>
  <c r="B22" i="3"/>
  <c r="E18" i="24"/>
  <c r="C18" i="24"/>
  <c r="D18" i="24"/>
  <c r="E18" i="23"/>
  <c r="C18" i="23"/>
  <c r="E18" i="22"/>
  <c r="C18" i="22"/>
  <c r="D18" i="23"/>
  <c r="D18" i="22"/>
  <c r="C18" i="18"/>
  <c r="G16" i="24"/>
  <c r="E16" i="24"/>
  <c r="E15" i="24" s="1"/>
  <c r="E25" i="24" s="1"/>
  <c r="C16" i="24"/>
  <c r="F16" i="24"/>
  <c r="F15" i="24" s="1"/>
  <c r="F25" i="24" s="1"/>
  <c r="D16" i="24"/>
  <c r="D15" i="24" s="1"/>
  <c r="D25" i="24" s="1"/>
  <c r="G16" i="23"/>
  <c r="G15" i="23" s="1"/>
  <c r="G25" i="23" s="1"/>
  <c r="E16" i="23"/>
  <c r="C16" i="23"/>
  <c r="C15" i="23" s="1"/>
  <c r="C25" i="23" s="1"/>
  <c r="D16" i="23"/>
  <c r="G16" i="22"/>
  <c r="G15" i="22" s="1"/>
  <c r="G25" i="22" s="1"/>
  <c r="E16" i="22"/>
  <c r="C16" i="22"/>
  <c r="C15" i="22" s="1"/>
  <c r="C25" i="22" s="1"/>
  <c r="F16" i="23"/>
  <c r="F15" i="23" s="1"/>
  <c r="F25" i="23" s="1"/>
  <c r="F16" i="22"/>
  <c r="F15" i="22" s="1"/>
  <c r="F25" i="22" s="1"/>
  <c r="D16" i="22"/>
  <c r="C16" i="18"/>
  <c r="C15" i="18" s="1"/>
  <c r="C25" i="18" s="1"/>
  <c r="C6" i="11"/>
  <c r="D6" i="11" s="1"/>
  <c r="E6" i="11" s="1"/>
  <c r="F6" i="11" s="1"/>
  <c r="D5" i="15"/>
  <c r="D7" i="15" s="1"/>
  <c r="D8" i="15" s="1"/>
  <c r="D23" i="15" s="1"/>
  <c r="C5" i="15"/>
  <c r="C7" i="15" s="1"/>
  <c r="C8" i="15" s="1"/>
  <c r="C23" i="15" s="1"/>
  <c r="E5" i="15"/>
  <c r="E7" i="15" s="1"/>
  <c r="E8" i="15" s="1"/>
  <c r="F5" i="15"/>
  <c r="J5" i="15"/>
  <c r="J7" i="15" s="1"/>
  <c r="J8" i="15" s="1"/>
  <c r="J23" i="15" s="1"/>
  <c r="D11" i="2"/>
  <c r="B9" i="8" s="1"/>
  <c r="H12" i="15"/>
  <c r="L12" i="15"/>
  <c r="G12" i="15"/>
  <c r="K12" i="15"/>
  <c r="F7" i="15"/>
  <c r="F8" i="15" s="1"/>
  <c r="F23" i="15" s="1"/>
  <c r="H7" i="15"/>
  <c r="H8" i="15" s="1"/>
  <c r="H23" i="15" s="1"/>
  <c r="L7" i="15"/>
  <c r="L8" i="15" s="1"/>
  <c r="L23" i="15" s="1"/>
  <c r="E23" i="15"/>
  <c r="G5" i="15"/>
  <c r="G7" i="15" s="1"/>
  <c r="G8" i="15" s="1"/>
  <c r="G23" i="15" s="1"/>
  <c r="I5" i="15"/>
  <c r="I7" i="15" s="1"/>
  <c r="I8" i="15" s="1"/>
  <c r="I23" i="15" s="1"/>
  <c r="K5" i="15"/>
  <c r="K7" i="15" s="1"/>
  <c r="K8" i="15" s="1"/>
  <c r="K23" i="15" s="1"/>
  <c r="M5" i="15"/>
  <c r="M7" i="15" s="1"/>
  <c r="M8" i="15" s="1"/>
  <c r="M23" i="15" s="1"/>
  <c r="E18" i="18"/>
  <c r="F7" i="16"/>
  <c r="G7" i="16" s="1"/>
  <c r="E3" i="2"/>
  <c r="E11" i="2" s="1"/>
  <c r="D8" i="6"/>
  <c r="D18" i="18"/>
  <c r="G16" i="18"/>
  <c r="F5" i="16"/>
  <c r="G5" i="16" s="1"/>
  <c r="D16" i="18"/>
  <c r="E16" i="18"/>
  <c r="F16" i="18"/>
  <c r="D8" i="16"/>
  <c r="G17" i="18"/>
  <c r="F6" i="16"/>
  <c r="G6" i="16" s="1"/>
  <c r="D17" i="18"/>
  <c r="E17" i="18"/>
  <c r="F17" i="18"/>
  <c r="B26" i="3"/>
  <c r="G8" i="16" l="1"/>
  <c r="F8" i="24"/>
  <c r="D8" i="24"/>
  <c r="G8" i="24"/>
  <c r="E8" i="24"/>
  <c r="C8" i="24"/>
  <c r="F8" i="23"/>
  <c r="D8" i="23"/>
  <c r="G8" i="23"/>
  <c r="C8" i="23"/>
  <c r="G8" i="22"/>
  <c r="E8" i="22"/>
  <c r="C8" i="22"/>
  <c r="E8" i="23"/>
  <c r="F8" i="22"/>
  <c r="D8" i="22"/>
  <c r="C9" i="8"/>
  <c r="B12" i="8"/>
  <c r="D15" i="22"/>
  <c r="D25" i="22" s="1"/>
  <c r="E15" i="22"/>
  <c r="E25" i="22" s="1"/>
  <c r="D15" i="23"/>
  <c r="D25" i="23" s="1"/>
  <c r="E15" i="23"/>
  <c r="E25" i="23" s="1"/>
  <c r="C15" i="24"/>
  <c r="C25" i="24" s="1"/>
  <c r="G15" i="24"/>
  <c r="G25" i="24" s="1"/>
  <c r="B15" i="3"/>
  <c r="D17" i="15" s="1"/>
  <c r="B10" i="8"/>
  <c r="C10" i="8" s="1"/>
  <c r="E8" i="18"/>
  <c r="G8" i="18"/>
  <c r="C8" i="18"/>
  <c r="F8" i="18"/>
  <c r="D8" i="18"/>
  <c r="C12" i="15"/>
  <c r="B12" i="15"/>
  <c r="D12" i="15"/>
  <c r="B17" i="15"/>
  <c r="C17" i="15"/>
  <c r="M12" i="15"/>
  <c r="I12" i="15"/>
  <c r="E12" i="15"/>
  <c r="J12" i="15"/>
  <c r="F12" i="15"/>
  <c r="I17" i="15"/>
  <c r="E17" i="15"/>
  <c r="H17" i="15"/>
  <c r="K17" i="15"/>
  <c r="F17" i="15"/>
  <c r="E15" i="18"/>
  <c r="E25" i="18" s="1"/>
  <c r="F15" i="18"/>
  <c r="F25" i="18" s="1"/>
  <c r="D15" i="18"/>
  <c r="D25" i="18" s="1"/>
  <c r="G15" i="18"/>
  <c r="G25" i="18" s="1"/>
  <c r="G7" i="22" l="1"/>
  <c r="G30" i="23"/>
  <c r="G30" i="24"/>
  <c r="G30" i="22"/>
  <c r="J17" i="15"/>
  <c r="B18" i="3"/>
  <c r="B4" i="5" s="1"/>
  <c r="G17" i="15"/>
  <c r="M17" i="15"/>
  <c r="L17" i="15"/>
  <c r="F12" i="24"/>
  <c r="D12" i="24"/>
  <c r="D7" i="24" s="1"/>
  <c r="G12" i="24"/>
  <c r="E12" i="24"/>
  <c r="E7" i="24" s="1"/>
  <c r="C12" i="24"/>
  <c r="F12" i="23"/>
  <c r="F7" i="23" s="1"/>
  <c r="D12" i="23"/>
  <c r="E12" i="23"/>
  <c r="E7" i="23" s="1"/>
  <c r="G12" i="22"/>
  <c r="E12" i="22"/>
  <c r="C12" i="22"/>
  <c r="C7" i="22" s="1"/>
  <c r="G12" i="23"/>
  <c r="G7" i="23" s="1"/>
  <c r="C12" i="23"/>
  <c r="F12" i="22"/>
  <c r="F7" i="22" s="1"/>
  <c r="D12" i="22"/>
  <c r="D7" i="22"/>
  <c r="E7" i="22"/>
  <c r="C7" i="23"/>
  <c r="D7" i="23"/>
  <c r="C7" i="24"/>
  <c r="G7" i="24"/>
  <c r="F7" i="24"/>
  <c r="F12" i="18"/>
  <c r="E12" i="18"/>
  <c r="D12" i="18"/>
  <c r="C12" i="18"/>
  <c r="C7" i="18" s="1"/>
  <c r="G12" i="18"/>
  <c r="C12" i="8"/>
  <c r="D19" i="15"/>
  <c r="D24" i="15" s="1"/>
  <c r="D25" i="15" s="1"/>
  <c r="C19" i="15"/>
  <c r="C24" i="15" s="1"/>
  <c r="C25" i="15" s="1"/>
  <c r="G30" i="18"/>
  <c r="B19" i="15"/>
  <c r="B24" i="15" s="1"/>
  <c r="B25" i="15" s="1"/>
  <c r="B26" i="15" s="1"/>
  <c r="B28" i="23" l="1"/>
  <c r="B28" i="22"/>
  <c r="G28" i="22" s="1"/>
  <c r="B28" i="18"/>
  <c r="C26" i="15"/>
  <c r="D26" i="15" s="1"/>
  <c r="G28" i="23" l="1"/>
  <c r="B28" i="24"/>
  <c r="B7" i="11"/>
  <c r="G28" i="24" l="1"/>
  <c r="C5" i="24"/>
  <c r="C6" i="24" s="1"/>
  <c r="C19" i="24" s="1"/>
  <c r="C5" i="22"/>
  <c r="C6" i="22" s="1"/>
  <c r="C19" i="22" s="1"/>
  <c r="C5" i="23"/>
  <c r="C6" i="23" s="1"/>
  <c r="C19" i="23" s="1"/>
  <c r="C5" i="18"/>
  <c r="C6" i="18" s="1"/>
  <c r="C7" i="11"/>
  <c r="D5" i="24" l="1"/>
  <c r="D6" i="24" s="1"/>
  <c r="D19" i="24" s="1"/>
  <c r="D5" i="22"/>
  <c r="D6" i="22" s="1"/>
  <c r="D19" i="22" s="1"/>
  <c r="D5" i="23"/>
  <c r="D6" i="23" s="1"/>
  <c r="D19" i="23" s="1"/>
  <c r="D5" i="18"/>
  <c r="D6" i="18" s="1"/>
  <c r="D7" i="11"/>
  <c r="E5" i="23" l="1"/>
  <c r="E6" i="23" s="1"/>
  <c r="E19" i="23" s="1"/>
  <c r="E5" i="24"/>
  <c r="E6" i="24" s="1"/>
  <c r="E19" i="24" s="1"/>
  <c r="E5" i="22"/>
  <c r="E6" i="22" s="1"/>
  <c r="E19" i="22" s="1"/>
  <c r="E5" i="18"/>
  <c r="E6" i="18" s="1"/>
  <c r="E7" i="11"/>
  <c r="F5" i="24" l="1"/>
  <c r="F6" i="24" s="1"/>
  <c r="F19" i="24" s="1"/>
  <c r="F5" i="22"/>
  <c r="F6" i="22" s="1"/>
  <c r="F19" i="22" s="1"/>
  <c r="F5" i="23"/>
  <c r="F6" i="23" s="1"/>
  <c r="F19" i="23" s="1"/>
  <c r="F5" i="18"/>
  <c r="F6" i="18" s="1"/>
  <c r="F7" i="11"/>
  <c r="G5" i="23" l="1"/>
  <c r="G6" i="23" s="1"/>
  <c r="G19" i="23" s="1"/>
  <c r="G5" i="24"/>
  <c r="G6" i="24" s="1"/>
  <c r="G19" i="24" s="1"/>
  <c r="G5" i="22"/>
  <c r="G6" i="22" s="1"/>
  <c r="G19" i="22" s="1"/>
  <c r="G5" i="18"/>
  <c r="G6" i="18" s="1"/>
  <c r="I19" i="15" l="1"/>
  <c r="I24" i="15" s="1"/>
  <c r="I25" i="15" s="1"/>
  <c r="K19" i="15"/>
  <c r="K24" i="15" s="1"/>
  <c r="K25" i="15" s="1"/>
  <c r="J19" i="15"/>
  <c r="J24" i="15" s="1"/>
  <c r="J25" i="15" s="1"/>
  <c r="H19" i="15"/>
  <c r="H24" i="15" s="1"/>
  <c r="H25" i="15" s="1"/>
  <c r="E19" i="15"/>
  <c r="E24" i="15" s="1"/>
  <c r="E25" i="15" s="1"/>
  <c r="L19" i="15"/>
  <c r="L24" i="15" s="1"/>
  <c r="L25" i="15" s="1"/>
  <c r="M19" i="15"/>
  <c r="M24" i="15" s="1"/>
  <c r="M25" i="15" s="1"/>
  <c r="F19" i="15"/>
  <c r="F24" i="15" s="1"/>
  <c r="F25" i="15" s="1"/>
  <c r="G19" i="15"/>
  <c r="G24" i="15" s="1"/>
  <c r="G25" i="15" s="1"/>
  <c r="B4" i="10"/>
  <c r="B7" i="10" s="1"/>
  <c r="C19" i="18"/>
  <c r="D7" i="18"/>
  <c r="D19" i="18" s="1"/>
  <c r="E7" i="18"/>
  <c r="E19" i="18" s="1"/>
  <c r="F7" i="18"/>
  <c r="F19" i="18" s="1"/>
  <c r="G7" i="18"/>
  <c r="G19" i="18" s="1"/>
  <c r="E26" i="15" l="1"/>
  <c r="F26" i="15" s="1"/>
  <c r="G26" i="15" s="1"/>
  <c r="H26" i="15" s="1"/>
  <c r="I26" i="15" s="1"/>
  <c r="J26" i="15" s="1"/>
  <c r="K26" i="15" s="1"/>
  <c r="L26" i="15" s="1"/>
  <c r="M26" i="15" s="1"/>
  <c r="B29" i="3"/>
  <c r="B5" i="5" s="1"/>
  <c r="B7" i="5" s="1"/>
  <c r="B27" i="24" l="1"/>
  <c r="B27" i="23"/>
  <c r="B27" i="22"/>
  <c r="B27" i="18"/>
  <c r="G28" i="18"/>
  <c r="B9" i="7"/>
  <c r="B5" i="7"/>
  <c r="B6" i="7" s="1"/>
  <c r="E4" i="5"/>
  <c r="E6" i="5" s="1"/>
  <c r="E9" i="7" l="1"/>
  <c r="C4" i="17" s="1"/>
  <c r="E5" i="7"/>
  <c r="K6" i="17" l="1"/>
  <c r="E12" i="17"/>
  <c r="K9" i="17"/>
  <c r="L12" i="17"/>
  <c r="C9" i="17"/>
  <c r="B29" i="24" l="1"/>
  <c r="B31" i="24" s="1"/>
  <c r="B29" i="23"/>
  <c r="B31" i="23" s="1"/>
  <c r="B29" i="22"/>
  <c r="B31" i="22" s="1"/>
  <c r="B51" i="17"/>
  <c r="B38" i="17"/>
  <c r="B70" i="17"/>
  <c r="B61" i="17"/>
  <c r="B68" i="17"/>
  <c r="B66" i="17"/>
  <c r="B29" i="17"/>
  <c r="B47" i="17"/>
  <c r="B63" i="17"/>
  <c r="B45" i="17"/>
  <c r="B40" i="17"/>
  <c r="B59" i="17"/>
  <c r="B54" i="17"/>
  <c r="B14" i="17"/>
  <c r="B37" i="17"/>
  <c r="B32" i="17"/>
  <c r="B56" i="17"/>
  <c r="B34" i="17"/>
  <c r="B31" i="17"/>
  <c r="B41" i="17"/>
  <c r="B21" i="17"/>
  <c r="B26" i="17"/>
  <c r="B42" i="17"/>
  <c r="B35" i="17"/>
  <c r="B24" i="17"/>
  <c r="B46" i="17"/>
  <c r="B72" i="17"/>
  <c r="B53" i="17"/>
  <c r="B71" i="17"/>
  <c r="B15" i="17"/>
  <c r="B16" i="17"/>
  <c r="B69" i="17"/>
  <c r="B48" i="17"/>
  <c r="B36" i="17"/>
  <c r="B18" i="17"/>
  <c r="B43" i="17"/>
  <c r="B27" i="17"/>
  <c r="B20" i="17"/>
  <c r="B28" i="17"/>
  <c r="B60" i="17"/>
  <c r="B39" i="17"/>
  <c r="B55" i="17"/>
  <c r="B49" i="17"/>
  <c r="B50" i="17"/>
  <c r="B25" i="17"/>
  <c r="B64" i="17"/>
  <c r="B62" i="17"/>
  <c r="B23" i="17"/>
  <c r="B52" i="17"/>
  <c r="B44" i="17"/>
  <c r="B33" i="17"/>
  <c r="B65" i="17"/>
  <c r="B30" i="17"/>
  <c r="B13" i="17"/>
  <c r="B67" i="17"/>
  <c r="B19" i="17"/>
  <c r="B58" i="17"/>
  <c r="B17" i="17"/>
  <c r="B57" i="17"/>
  <c r="B22" i="17"/>
  <c r="F24" i="17"/>
  <c r="F36" i="17" s="1"/>
  <c r="F48" i="17" s="1"/>
  <c r="F60" i="17" s="1"/>
  <c r="F72" i="17" s="1"/>
  <c r="I17" i="17"/>
  <c r="I13" i="17"/>
  <c r="I16" i="17"/>
  <c r="I15" i="17"/>
  <c r="I14" i="17"/>
  <c r="B29" i="18"/>
  <c r="B31" i="18" s="1"/>
  <c r="J13" i="17"/>
  <c r="C13" i="17"/>
  <c r="C21" i="24" l="1"/>
  <c r="C20" i="24" s="1"/>
  <c r="C22" i="24" s="1"/>
  <c r="C23" i="24" s="1"/>
  <c r="C24" i="24" s="1"/>
  <c r="C21" i="23"/>
  <c r="C20" i="23" s="1"/>
  <c r="C22" i="23" s="1"/>
  <c r="C23" i="23" s="1"/>
  <c r="C24" i="23" s="1"/>
  <c r="C21" i="22"/>
  <c r="C20" i="22" s="1"/>
  <c r="C22" i="22" s="1"/>
  <c r="C23" i="22" s="1"/>
  <c r="C24" i="22" s="1"/>
  <c r="C21" i="18"/>
  <c r="C20" i="18" s="1"/>
  <c r="C22" i="18" s="1"/>
  <c r="C23" i="18"/>
  <c r="C24" i="18" s="1"/>
  <c r="D13" i="17"/>
  <c r="E13" i="17" s="1"/>
  <c r="C14" i="17" s="1"/>
  <c r="D14" i="17" s="1"/>
  <c r="E14" i="17" s="1"/>
  <c r="B5" i="21"/>
  <c r="K13" i="17"/>
  <c r="C26" i="24" l="1"/>
  <c r="C31" i="24" s="1"/>
  <c r="C26" i="22"/>
  <c r="C31" i="22" s="1"/>
  <c r="C26" i="23"/>
  <c r="C31" i="23" s="1"/>
  <c r="C26" i="18"/>
  <c r="C15" i="17"/>
  <c r="D15" i="17" s="1"/>
  <c r="E15" i="17" s="1"/>
  <c r="L13" i="17"/>
  <c r="C31" i="18"/>
  <c r="D5" i="21"/>
  <c r="C5" i="21" l="1"/>
  <c r="E5" i="21" s="1"/>
  <c r="B6" i="21" s="1"/>
  <c r="J14" i="17"/>
  <c r="C16" i="17"/>
  <c r="D16" i="17" s="1"/>
  <c r="E16" i="17" s="1"/>
  <c r="D21" i="24" l="1"/>
  <c r="D20" i="24" s="1"/>
  <c r="D22" i="24" s="1"/>
  <c r="D23" i="24" s="1"/>
  <c r="D24" i="24" s="1"/>
  <c r="D21" i="22"/>
  <c r="D20" i="22" s="1"/>
  <c r="D22" i="22" s="1"/>
  <c r="D23" i="22" s="1"/>
  <c r="D24" i="22" s="1"/>
  <c r="D21" i="23"/>
  <c r="D20" i="23" s="1"/>
  <c r="D22" i="23" s="1"/>
  <c r="D23" i="23" s="1"/>
  <c r="D24" i="23" s="1"/>
  <c r="C17" i="17"/>
  <c r="D17" i="17" s="1"/>
  <c r="E17" i="17" s="1"/>
  <c r="D21" i="18"/>
  <c r="D20" i="18" s="1"/>
  <c r="D22" i="18" s="1"/>
  <c r="D23" i="18" s="1"/>
  <c r="K14" i="17"/>
  <c r="D6" i="21"/>
  <c r="D26" i="24" l="1"/>
  <c r="D26" i="23"/>
  <c r="D26" i="22"/>
  <c r="D31" i="22" s="1"/>
  <c r="D31" i="23"/>
  <c r="D31" i="24"/>
  <c r="D26" i="18"/>
  <c r="L14" i="17"/>
  <c r="D24" i="18"/>
  <c r="D31" i="18" s="1"/>
  <c r="C18" i="17"/>
  <c r="D18" i="17" s="1"/>
  <c r="E18" i="17" s="1"/>
  <c r="C19" i="17" l="1"/>
  <c r="D19" i="17" s="1"/>
  <c r="E19" i="17" s="1"/>
  <c r="J15" i="17"/>
  <c r="E21" i="24" l="1"/>
  <c r="E20" i="24" s="1"/>
  <c r="E22" i="24" s="1"/>
  <c r="E23" i="24" s="1"/>
  <c r="E24" i="24" s="1"/>
  <c r="E21" i="23"/>
  <c r="E20" i="23" s="1"/>
  <c r="E22" i="23" s="1"/>
  <c r="E23" i="23" s="1"/>
  <c r="E24" i="23" s="1"/>
  <c r="E21" i="22"/>
  <c r="E20" i="22" s="1"/>
  <c r="E22" i="22" s="1"/>
  <c r="E23" i="22" s="1"/>
  <c r="E24" i="22" s="1"/>
  <c r="C6" i="21"/>
  <c r="E6" i="21" s="1"/>
  <c r="B7" i="21" s="1"/>
  <c r="D7" i="21" s="1"/>
  <c r="E21" i="18"/>
  <c r="E20" i="18" s="1"/>
  <c r="E22" i="18" s="1"/>
  <c r="E23" i="18" s="1"/>
  <c r="K15" i="17"/>
  <c r="C20" i="17"/>
  <c r="D20" i="17" s="1"/>
  <c r="E20" i="17" s="1"/>
  <c r="E26" i="24" l="1"/>
  <c r="E31" i="24" s="1"/>
  <c r="E26" i="22"/>
  <c r="E26" i="23"/>
  <c r="E31" i="23" s="1"/>
  <c r="E31" i="22"/>
  <c r="C21" i="17"/>
  <c r="D21" i="17" s="1"/>
  <c r="E21" i="17" s="1"/>
  <c r="E24" i="18"/>
  <c r="E26" i="18"/>
  <c r="L15" i="17"/>
  <c r="E31" i="18" l="1"/>
  <c r="J16" i="17"/>
  <c r="C22" i="17"/>
  <c r="D22" i="17" s="1"/>
  <c r="E22" i="17" s="1"/>
  <c r="F21" i="24" l="1"/>
  <c r="F20" i="24" s="1"/>
  <c r="F22" i="24" s="1"/>
  <c r="F23" i="24" s="1"/>
  <c r="F24" i="24" s="1"/>
  <c r="F21" i="22"/>
  <c r="F20" i="22" s="1"/>
  <c r="F22" i="22" s="1"/>
  <c r="F23" i="22" s="1"/>
  <c r="F24" i="22" s="1"/>
  <c r="F21" i="23"/>
  <c r="F20" i="23" s="1"/>
  <c r="F22" i="23" s="1"/>
  <c r="F23" i="23" s="1"/>
  <c r="F24" i="23" s="1"/>
  <c r="C7" i="21"/>
  <c r="E7" i="21" s="1"/>
  <c r="B8" i="21" s="1"/>
  <c r="D8" i="21" s="1"/>
  <c r="C23" i="17"/>
  <c r="D23" i="17" s="1"/>
  <c r="E23" i="17" s="1"/>
  <c r="F21" i="18"/>
  <c r="F20" i="18" s="1"/>
  <c r="F22" i="18" s="1"/>
  <c r="F23" i="18" s="1"/>
  <c r="K16" i="17"/>
  <c r="F26" i="24" l="1"/>
  <c r="F26" i="23"/>
  <c r="F26" i="22"/>
  <c r="F31" i="22" s="1"/>
  <c r="F31" i="23"/>
  <c r="F31" i="24"/>
  <c r="F26" i="18"/>
  <c r="L16" i="17"/>
  <c r="F24" i="18"/>
  <c r="F31" i="18" s="1"/>
  <c r="C24" i="17"/>
  <c r="D24" i="17" s="1"/>
  <c r="E24" i="17" s="1"/>
  <c r="C25" i="17" l="1"/>
  <c r="D25" i="17" s="1"/>
  <c r="E25" i="17" s="1"/>
  <c r="J17" i="17"/>
  <c r="G21" i="24" l="1"/>
  <c r="G20" i="24" s="1"/>
  <c r="G22" i="24" s="1"/>
  <c r="G23" i="24" s="1"/>
  <c r="G24" i="24" s="1"/>
  <c r="G21" i="23"/>
  <c r="G20" i="23" s="1"/>
  <c r="G22" i="23" s="1"/>
  <c r="G23" i="23" s="1"/>
  <c r="G24" i="23" s="1"/>
  <c r="G21" i="22"/>
  <c r="G20" i="22" s="1"/>
  <c r="G22" i="22" s="1"/>
  <c r="G23" i="22" s="1"/>
  <c r="G24" i="22" s="1"/>
  <c r="C8" i="21"/>
  <c r="E8" i="21" s="1"/>
  <c r="B9" i="21" s="1"/>
  <c r="D9" i="21" s="1"/>
  <c r="G21" i="18"/>
  <c r="G20" i="18" s="1"/>
  <c r="G22" i="18" s="1"/>
  <c r="G23" i="18" s="1"/>
  <c r="K17" i="17"/>
  <c r="C26" i="17"/>
  <c r="D26" i="17" s="1"/>
  <c r="E26" i="17" s="1"/>
  <c r="G26" i="24" l="1"/>
  <c r="G26" i="22"/>
  <c r="G26" i="23"/>
  <c r="G31" i="23" s="1"/>
  <c r="G31" i="22"/>
  <c r="G31" i="24"/>
  <c r="C27" i="17"/>
  <c r="D27" i="17" s="1"/>
  <c r="E27" i="17" s="1"/>
  <c r="G26" i="18"/>
  <c r="L17" i="17"/>
  <c r="G24" i="18"/>
  <c r="B34" i="23" l="1"/>
  <c r="C40" i="23" s="1"/>
  <c r="B33" i="23"/>
  <c r="B40" i="23" s="1"/>
  <c r="B33" i="24"/>
  <c r="B40" i="24" s="1"/>
  <c r="B34" i="24"/>
  <c r="C40" i="24" s="1"/>
  <c r="B33" i="22"/>
  <c r="B38" i="22" s="1"/>
  <c r="B34" i="22"/>
  <c r="C38" i="22" s="1"/>
  <c r="G31" i="18"/>
  <c r="C28" i="17"/>
  <c r="D28" i="17" s="1"/>
  <c r="E28" i="17" s="1"/>
  <c r="C9" i="21" l="1"/>
  <c r="E9" i="21" s="1"/>
  <c r="B34" i="18"/>
  <c r="B33" i="18"/>
  <c r="C29" i="17"/>
  <c r="D29" i="17" s="1"/>
  <c r="E29" i="17" s="1"/>
  <c r="C30" i="17" l="1"/>
  <c r="D30" i="17" s="1"/>
  <c r="E30" i="17" s="1"/>
  <c r="C31" i="17" l="1"/>
  <c r="D31" i="17" s="1"/>
  <c r="E31" i="17" s="1"/>
  <c r="C32" i="17" l="1"/>
  <c r="D32" i="17" s="1"/>
  <c r="E32" i="17" s="1"/>
  <c r="C33" i="17" l="1"/>
  <c r="D33" i="17" s="1"/>
  <c r="E33" i="17" s="1"/>
  <c r="C34" i="17" l="1"/>
  <c r="D34" i="17" s="1"/>
  <c r="E34" i="17" s="1"/>
  <c r="C35" i="17" l="1"/>
  <c r="D35" i="17" s="1"/>
  <c r="E35" i="17" s="1"/>
  <c r="C36" i="17" l="1"/>
  <c r="D36" i="17" s="1"/>
  <c r="E36" i="17" s="1"/>
  <c r="C37" i="17" l="1"/>
  <c r="D37" i="17" s="1"/>
  <c r="E37" i="17" s="1"/>
  <c r="C38" i="17" l="1"/>
  <c r="D38" i="17" s="1"/>
  <c r="E38" i="17" s="1"/>
  <c r="C39" i="17" l="1"/>
  <c r="D39" i="17" s="1"/>
  <c r="E39" i="17" s="1"/>
  <c r="C40" i="17" l="1"/>
  <c r="D40" i="17" s="1"/>
  <c r="E40" i="17" s="1"/>
  <c r="C41" i="17" l="1"/>
  <c r="D41" i="17" s="1"/>
  <c r="E41" i="17" s="1"/>
  <c r="C42" i="17" l="1"/>
  <c r="D42" i="17" s="1"/>
  <c r="E42" i="17" s="1"/>
  <c r="C43" i="17" l="1"/>
  <c r="D43" i="17" s="1"/>
  <c r="E43" i="17" s="1"/>
  <c r="C44" i="17" l="1"/>
  <c r="D44" i="17" s="1"/>
  <c r="E44" i="17" s="1"/>
  <c r="C45" i="17" l="1"/>
  <c r="D45" i="17" s="1"/>
  <c r="E45" i="17" s="1"/>
  <c r="C46" i="17" l="1"/>
  <c r="D46" i="17" s="1"/>
  <c r="E46" i="17" s="1"/>
  <c r="C47" i="17" l="1"/>
  <c r="D47" i="17" s="1"/>
  <c r="E47" i="17" s="1"/>
  <c r="C48" i="17" l="1"/>
  <c r="D48" i="17" s="1"/>
  <c r="E48" i="17" s="1"/>
  <c r="C49" i="17" l="1"/>
  <c r="D49" i="17" s="1"/>
  <c r="E49" i="17" s="1"/>
  <c r="C50" i="17" l="1"/>
  <c r="D50" i="17" s="1"/>
  <c r="E50" i="17" s="1"/>
  <c r="C51" i="17" l="1"/>
  <c r="D51" i="17" s="1"/>
  <c r="E51" i="17" s="1"/>
  <c r="C52" i="17" l="1"/>
  <c r="D52" i="17" s="1"/>
  <c r="E52" i="17" s="1"/>
  <c r="C53" i="17" l="1"/>
  <c r="D53" i="17" s="1"/>
  <c r="E53" i="17" s="1"/>
  <c r="C54" i="17" l="1"/>
  <c r="D54" i="17" s="1"/>
  <c r="E54" i="17" s="1"/>
  <c r="C55" i="17" l="1"/>
  <c r="D55" i="17" s="1"/>
  <c r="E55" i="17" s="1"/>
  <c r="C56" i="17" l="1"/>
  <c r="D56" i="17" s="1"/>
  <c r="E56" i="17" s="1"/>
  <c r="C57" i="17" l="1"/>
  <c r="D57" i="17" s="1"/>
  <c r="E57" i="17" s="1"/>
  <c r="C58" i="17" l="1"/>
  <c r="D58" i="17" s="1"/>
  <c r="E58" i="17" s="1"/>
  <c r="C59" i="17" l="1"/>
  <c r="D59" i="17" s="1"/>
  <c r="E59" i="17" s="1"/>
  <c r="C60" i="17" l="1"/>
  <c r="D60" i="17" s="1"/>
  <c r="E60" i="17" s="1"/>
  <c r="C61" i="17" l="1"/>
  <c r="D61" i="17" s="1"/>
  <c r="E61" i="17" s="1"/>
  <c r="C62" i="17" l="1"/>
  <c r="D62" i="17" s="1"/>
  <c r="E62" i="17" s="1"/>
  <c r="C63" i="17" l="1"/>
  <c r="D63" i="17" s="1"/>
  <c r="E63" i="17" s="1"/>
  <c r="C64" i="17" l="1"/>
  <c r="D64" i="17" s="1"/>
  <c r="E64" i="17" s="1"/>
  <c r="C65" i="17" l="1"/>
  <c r="D65" i="17" s="1"/>
  <c r="E65" i="17" s="1"/>
  <c r="C66" i="17" l="1"/>
  <c r="D66" i="17" s="1"/>
  <c r="E66" i="17" s="1"/>
  <c r="C67" i="17" l="1"/>
  <c r="D67" i="17" s="1"/>
  <c r="E67" i="17" s="1"/>
  <c r="C68" i="17" l="1"/>
  <c r="D68" i="17" s="1"/>
  <c r="E68" i="17" s="1"/>
  <c r="C69" i="17" l="1"/>
  <c r="D69" i="17" s="1"/>
  <c r="E69" i="17" s="1"/>
  <c r="C70" i="17" l="1"/>
  <c r="D70" i="17" s="1"/>
  <c r="E70" i="17" s="1"/>
  <c r="C71" i="17" l="1"/>
  <c r="D71" i="17" s="1"/>
  <c r="E71" i="17" s="1"/>
  <c r="C72" i="17" l="1"/>
  <c r="D72" i="17" s="1"/>
  <c r="E72" i="17" s="1"/>
</calcChain>
</file>

<file path=xl/sharedStrings.xml><?xml version="1.0" encoding="utf-8"?>
<sst xmlns="http://schemas.openxmlformats.org/spreadsheetml/2006/main" count="337" uniqueCount="200">
  <si>
    <t>Nº de
Personas</t>
  </si>
  <si>
    <t>Funciones que 
desempeñan</t>
  </si>
  <si>
    <t>Costo por
empleado</t>
  </si>
  <si>
    <t>Costo mensual
total</t>
  </si>
  <si>
    <t>Costo anual
total</t>
  </si>
  <si>
    <t>Gerente General</t>
  </si>
  <si>
    <t>TOTAL GASTOS</t>
  </si>
  <si>
    <t>Elaborado por los autores</t>
  </si>
  <si>
    <t>INVERSIONES DEL PROYECTO</t>
  </si>
  <si>
    <t>COSTOS INDIRECTOS</t>
  </si>
  <si>
    <t>Energía eléctrica</t>
  </si>
  <si>
    <t>Agua potable</t>
  </si>
  <si>
    <t>Telefonía</t>
  </si>
  <si>
    <t>Envases para recolección de desechos orgánicos</t>
  </si>
  <si>
    <t>Publicidad</t>
  </si>
  <si>
    <t>TOTAL COSTOS INDIRECTOS</t>
  </si>
  <si>
    <t>COSTOS ADMINISTRATIVOS</t>
  </si>
  <si>
    <t>TOTAL COSTOS ADMINISTRATIVOS</t>
  </si>
  <si>
    <t>ACTIVOS FIJOS</t>
  </si>
  <si>
    <t>Vehículo</t>
  </si>
  <si>
    <t>Muebles y Equipo de oficina</t>
  </si>
  <si>
    <t>Equipos de computación</t>
  </si>
  <si>
    <t>TOTAL ACTIVOS FIJOS</t>
  </si>
  <si>
    <t>INVERSIÓN INICIAL</t>
  </si>
  <si>
    <t>Costos Indirectos</t>
  </si>
  <si>
    <t>Costos Administrativos</t>
  </si>
  <si>
    <t>Activos Fijos</t>
  </si>
  <si>
    <t>TOTAL INV. INICIAL</t>
  </si>
  <si>
    <t>PUBLICIDAD</t>
  </si>
  <si>
    <t>TIPO</t>
  </si>
  <si>
    <t>TOTAL PUBLICIDAD</t>
  </si>
  <si>
    <t>COST. UNITARIO</t>
  </si>
  <si>
    <t>CAPITAL PROPIO</t>
  </si>
  <si>
    <t>DEUDA BANCARIA</t>
  </si>
  <si>
    <t>Porcentaje aporte 20%</t>
  </si>
  <si>
    <t>COSTOS FIJOS</t>
  </si>
  <si>
    <t>TOTAL COSTOS FIJOS</t>
  </si>
  <si>
    <t>MENSUAL</t>
  </si>
  <si>
    <t>ANUAL</t>
  </si>
  <si>
    <t>PUNTO DE EQUILIBRIO</t>
  </si>
  <si>
    <t>Costos Fijos</t>
  </si>
  <si>
    <t>Precio</t>
  </si>
  <si>
    <t>Costo Variable Unitario</t>
  </si>
  <si>
    <t>Q*</t>
  </si>
  <si>
    <t>INGRESOS ANUALES</t>
  </si>
  <si>
    <t>Ingresos Anuales</t>
  </si>
  <si>
    <t>AÑO</t>
  </si>
  <si>
    <t>DEFICIT ACUMULADO MAXIMO</t>
  </si>
  <si>
    <t>Ingreso Mensual</t>
  </si>
  <si>
    <t>Egreso Mensual</t>
  </si>
  <si>
    <t>Saldo Mensual</t>
  </si>
  <si>
    <t>Saldo Acumulado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</si>
  <si>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</si>
  <si>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</si>
  <si>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</si>
  <si>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</si>
  <si>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</si>
  <si>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</si>
  <si>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</si>
  <si>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</si>
  <si>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</si>
  <si>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</si>
  <si>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</si>
  <si>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</si>
  <si>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INGRESOS</t>
  </si>
  <si>
    <t>Ventas</t>
  </si>
  <si>
    <t>100% contado</t>
  </si>
  <si>
    <t>EGRESOS</t>
  </si>
  <si>
    <t>Gastos Administrativos</t>
  </si>
  <si>
    <t>Gastos varios</t>
  </si>
  <si>
    <t>EGRESO MENSUAL</t>
  </si>
  <si>
    <t>METODO CONTABLE</t>
  </si>
  <si>
    <t>VIDA
CONTABLE</t>
  </si>
  <si>
    <t>VALOR DE
COMPRA</t>
  </si>
  <si>
    <t>DEPRECIACION
ANUAL</t>
  </si>
  <si>
    <t>AÑOS
DEPRECIANDOSE</t>
  </si>
  <si>
    <t>DEPRECIACION
ACUMULADA</t>
  </si>
  <si>
    <t>VALOR EN
LIBROS</t>
  </si>
  <si>
    <t>Muebles y
Eq. Oficina</t>
  </si>
  <si>
    <t>DEPRECIACION ACUMULADA</t>
  </si>
  <si>
    <t>VALOR DE DESECHO</t>
  </si>
  <si>
    <t>Prestamo</t>
  </si>
  <si>
    <t>T. Interes</t>
  </si>
  <si>
    <t>Anual</t>
  </si>
  <si>
    <t>Mensual</t>
  </si>
  <si>
    <t>Tiempo</t>
  </si>
  <si>
    <t>Años</t>
  </si>
  <si>
    <t>Meses</t>
  </si>
  <si>
    <t>Pago Mensual</t>
  </si>
  <si>
    <t>Pago Anual</t>
  </si>
  <si>
    <t>Mes</t>
  </si>
  <si>
    <t>Pago</t>
  </si>
  <si>
    <t>Intereses</t>
  </si>
  <si>
    <t>Amortizacion</t>
  </si>
  <si>
    <t>Saldo</t>
  </si>
  <si>
    <t>Año</t>
  </si>
  <si>
    <t>T. Interés (anual)</t>
  </si>
  <si>
    <t>AMORTIZACION PRESTAMO BANCARIO</t>
  </si>
  <si>
    <t>GASTOS OPERATIVOS</t>
  </si>
  <si>
    <t>(=) UTILIDAD BRUTA</t>
  </si>
  <si>
    <t>(-) Gastos de servicios básicos</t>
  </si>
  <si>
    <t>(-) Gastos administrativos</t>
  </si>
  <si>
    <t>(-) Gastos de publicidad</t>
  </si>
  <si>
    <t>(-) Gastos varios</t>
  </si>
  <si>
    <t>DEPRECIACIONES</t>
  </si>
  <si>
    <t>(-) Dep. Vehículo</t>
  </si>
  <si>
    <t>(-) Dep. Muebles y Eq. Oficina</t>
  </si>
  <si>
    <t>(-) Dep. Eq. Computación</t>
  </si>
  <si>
    <t>(=) UTILIDAD OPERATIVA</t>
  </si>
  <si>
    <t>GASTOS NO OPERATIVOS</t>
  </si>
  <si>
    <t>(-) Gastos por Interés</t>
  </si>
  <si>
    <t>(=) UTILIDAD ANTES DE IMPUESTOS</t>
  </si>
  <si>
    <t>(=) UTILIDAD NETA</t>
  </si>
  <si>
    <t>(+) Depreciación</t>
  </si>
  <si>
    <t>(-) Amortización</t>
  </si>
  <si>
    <t>(-)(+) Capital de Trabajo</t>
  </si>
  <si>
    <t>(+) Préstamo</t>
  </si>
  <si>
    <t>(+) Valor de Desecho</t>
  </si>
  <si>
    <t>(=) FLUJO DE CAJA</t>
  </si>
  <si>
    <t>FLUJO DE CAJA</t>
  </si>
  <si>
    <t>VAN</t>
  </si>
  <si>
    <t>TIR</t>
  </si>
  <si>
    <t>TASA DE DESCUENTO</t>
  </si>
  <si>
    <t>KE= TASA DE DESCUENTO O DE MERCADO</t>
  </si>
  <si>
    <t>?????</t>
  </si>
  <si>
    <t>KF= TASA LIBRE DE RIESGO</t>
  </si>
  <si>
    <t>B= PARAMETRO DE ELASTICIDAD</t>
  </si>
  <si>
    <t xml:space="preserve">KM= TASA DE LOS INVERSIONISTA </t>
  </si>
  <si>
    <t>RP= RIESGO PAIS</t>
  </si>
  <si>
    <t>ke=</t>
  </si>
  <si>
    <t>TOTAL INVERSIÓN INICIAL</t>
  </si>
  <si>
    <t>Capital de Trabajo</t>
  </si>
  <si>
    <t>Inversión Inicial</t>
  </si>
  <si>
    <t>VIDA UTIL /
CONTABLE</t>
  </si>
  <si>
    <t>años</t>
  </si>
  <si>
    <t>FINANCIAMIENTO (SIN CAP. TRABAJO)</t>
  </si>
  <si>
    <t>FINANCIAMIENTO (CON CAP. TRABAJO)</t>
  </si>
  <si>
    <t>PERIODO</t>
  </si>
  <si>
    <t>SALDO DE 
INVERSION</t>
  </si>
  <si>
    <t>FLUJO DE
CAJA</t>
  </si>
  <si>
    <t>RENTABILIDAD
EXIGIDA</t>
  </si>
  <si>
    <t>RECUPERACION
DE INVERSION</t>
  </si>
  <si>
    <t>PAYBACK</t>
  </si>
  <si>
    <t>UNID. ANUALES</t>
  </si>
  <si>
    <t>AÑOS</t>
  </si>
  <si>
    <t>Movilización (Combustible)</t>
  </si>
  <si>
    <t>MES</t>
  </si>
  <si>
    <t>Equipos de 
Computación</t>
  </si>
  <si>
    <t>Préstamo</t>
  </si>
  <si>
    <t>Amortización</t>
  </si>
  <si>
    <t>(-) Inversión Inicial</t>
  </si>
  <si>
    <t>ANALISIS DE SENSIBILIDAD (ESPERADO)</t>
  </si>
  <si>
    <t>ANALISIS DE SENSIBILIDAD (OPTIMISTA)</t>
  </si>
  <si>
    <t>ANALISIS DE SENSIBILIDAD (PESIMISTA)</t>
  </si>
  <si>
    <t>ESCENARIO ESPERADO</t>
  </si>
  <si>
    <t>Variaciones en los Costos (-5%)</t>
  </si>
  <si>
    <t>ESCENARIO OPTIMISTA</t>
  </si>
  <si>
    <t>ESCENARIO PESIMISTA</t>
  </si>
  <si>
    <t>ACTIVOS</t>
  </si>
  <si>
    <t>Contador</t>
  </si>
  <si>
    <t>Jefe de Rutas</t>
  </si>
  <si>
    <t>Secretaria</t>
  </si>
  <si>
    <t>Mensajero</t>
  </si>
  <si>
    <t>Chofer</t>
  </si>
  <si>
    <t>Ayudante de Ruta</t>
  </si>
  <si>
    <t>Redes Sociales</t>
  </si>
  <si>
    <t>Publicaciones en Revistas</t>
  </si>
  <si>
    <t>Volantes</t>
  </si>
  <si>
    <t>Pulseras</t>
  </si>
  <si>
    <t>Alquiler Local</t>
  </si>
  <si>
    <t>Cubículos de Oficina</t>
  </si>
  <si>
    <t>Maquinarias (Vehículos)</t>
  </si>
  <si>
    <t>2 accionistas (aporte c/u)</t>
  </si>
  <si>
    <t>Porcentaje financiamiento 80%</t>
  </si>
  <si>
    <t>Varios (suministros oficina)</t>
  </si>
  <si>
    <t>Demanda</t>
  </si>
  <si>
    <t>hasta el 14 de enero del 2012</t>
  </si>
  <si>
    <t>(+) Ingreso</t>
  </si>
  <si>
    <t>(-) Gastos de movilización (combustible)</t>
  </si>
  <si>
    <t>(-) Mantenimiento</t>
  </si>
  <si>
    <t>Variaciones en los Ingresos (+10%)</t>
  </si>
  <si>
    <t>Variaciones en las Ventas (+15%)</t>
  </si>
  <si>
    <t>Variaciones en los Costos (-10%)</t>
  </si>
  <si>
    <t>Variaciones en las Ventas (-10%)</t>
  </si>
  <si>
    <t>Variaciones en los Costos (+5%)</t>
  </si>
  <si>
    <t>Recepcionista del Call Center</t>
  </si>
  <si>
    <t>Mantenimiento Vehiculo</t>
  </si>
  <si>
    <t>COSTOS DIRECTOS</t>
  </si>
  <si>
    <t>TOTAL COSTOS DIRECTOS</t>
  </si>
  <si>
    <t>Costos Directos</t>
  </si>
  <si>
    <t>Pasajeros</t>
  </si>
  <si>
    <t>(-) Impuestos (24%)</t>
  </si>
  <si>
    <t>Servicios Básicos</t>
  </si>
  <si>
    <t>COST. ANUAL</t>
  </si>
  <si>
    <t>(-) Alquiler Local</t>
  </si>
  <si>
    <t>Capacidad de los Vehiculos (ida y vuelta)</t>
  </si>
  <si>
    <t>Personal Trasladado (Mensual)</t>
  </si>
  <si>
    <t>Personal Trasladado (Anual)</t>
  </si>
  <si>
    <t>Dias al mes trabajado</t>
  </si>
  <si>
    <t>DEMANDA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</si>
</sst>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\ #,##0.00_);[Red]\(&quot;$&quot;\ #,##0.0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#,##0.00\ &quot;€&quot;;[Red]\-#,##0.00\ &quot;€&quot;"/>
    <numFmt numFmtId="165" formatCode="&quot;$&quot;\ #,##0.00"/>
    <numFmt numFmtId="166" formatCode="_-* #,##0.000000\ _€_-;\-* #,##0.000000\ _€_-;_-* &quot;-&quot;??\ _€_-;_-@_-"/>
  </numFmts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20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25">
    <xf numFmtId="0" fontId="0" fillId="0" borderId="0" xfId="0"/>
    <xf numFmtId="0" fontId="0" fillId="0" borderId="1" xfId="0" applyBorder="1"/>
    <xf numFmtId="165" fontId="0" fillId="0" borderId="1" xfId="0" applyNumberFormat="1" applyBorder="1"/>
    <xf numFmtId="165" fontId="0" fillId="0" borderId="8" xfId="0" applyNumberFormat="1" applyBorder="1"/>
    <xf numFmtId="0" fontId="2" fillId="0" borderId="0" xfId="0" applyFont="1" applyBorder="1" applyAlignment="1"/>
    <xf numFmtId="0" fontId="4" fillId="0" borderId="0" xfId="0" applyFont="1" applyFill="1"/>
    <xf numFmtId="0" fontId="1" fillId="0" borderId="0" xfId="0" applyFont="1" applyFill="1" applyBorder="1"/>
    <xf numFmtId="0" fontId="0" fillId="0" borderId="0" xfId="0" applyFill="1" applyBorder="1"/>
    <xf numFmtId="165" fontId="0" fillId="0" borderId="0" xfId="0" applyNumberFormat="1"/>
    <xf numFmtId="0" fontId="0" fillId="0" borderId="0" xfId="0" applyBorder="1"/>
    <xf numFmtId="0" fontId="0" fillId="0" borderId="1" xfId="0" applyBorder="1" applyAlignment="1">
      <alignment horizontal="center"/>
    </xf>
    <xf numFmtId="165" fontId="0" fillId="0" borderId="1" xfId="0" applyNumberFormat="1" applyFill="1" applyBorder="1"/>
    <xf numFmtId="0" fontId="0" fillId="0" borderId="0" xfId="0" applyAlignment="1">
      <alignment horizontal="center"/>
    </xf>
    <xf numFmtId="1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wrapText="1"/>
    </xf>
    <xf numFmtId="164" fontId="0" fillId="0" borderId="0" xfId="0" applyNumberFormat="1"/>
    <xf numFmtId="44" fontId="0" fillId="0" borderId="0" xfId="2" applyFont="1" applyBorder="1"/>
    <xf numFmtId="1" fontId="0" fillId="0" borderId="0" xfId="0" applyNumberFormat="1" applyBorder="1"/>
    <xf numFmtId="1" fontId="1" fillId="0" borderId="0" xfId="0" applyNumberFormat="1" applyFont="1" applyBorder="1"/>
    <xf numFmtId="44" fontId="0" fillId="0" borderId="0" xfId="2" applyFont="1"/>
    <xf numFmtId="44" fontId="0" fillId="0" borderId="10" xfId="2" applyFont="1" applyBorder="1"/>
    <xf numFmtId="44" fontId="1" fillId="0" borderId="0" xfId="2" applyFont="1"/>
    <xf numFmtId="10" fontId="0" fillId="0" borderId="0" xfId="0" applyNumberFormat="1" applyAlignment="1">
      <alignment horizontal="center"/>
    </xf>
    <xf numFmtId="44" fontId="0" fillId="0" borderId="0" xfId="0" applyNumberFormat="1"/>
    <xf numFmtId="165" fontId="0" fillId="0" borderId="0" xfId="0" applyNumberFormat="1" applyBorder="1"/>
    <xf numFmtId="165" fontId="0" fillId="0" borderId="1" xfId="0" applyNumberFormat="1" applyBorder="1" applyAlignment="1">
      <alignment horizontal="right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4" borderId="7" xfId="0" applyFont="1" applyFill="1" applyBorder="1"/>
    <xf numFmtId="165" fontId="1" fillId="4" borderId="7" xfId="0" applyNumberFormat="1" applyFont="1" applyFill="1" applyBorder="1"/>
    <xf numFmtId="165" fontId="1" fillId="4" borderId="9" xfId="0" applyNumberFormat="1" applyFont="1" applyFill="1" applyBorder="1"/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1" fillId="3" borderId="1" xfId="0" applyFont="1" applyFill="1" applyBorder="1"/>
    <xf numFmtId="0" fontId="0" fillId="3" borderId="1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wrapText="1"/>
    </xf>
    <xf numFmtId="0" fontId="1" fillId="3" borderId="0" xfId="0" applyFont="1" applyFill="1"/>
    <xf numFmtId="0" fontId="1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7" fillId="3" borderId="0" xfId="0" applyFont="1" applyFill="1"/>
    <xf numFmtId="166" fontId="7" fillId="3" borderId="0" xfId="1" applyNumberFormat="1" applyFont="1" applyFill="1" applyAlignment="1"/>
    <xf numFmtId="10" fontId="7" fillId="3" borderId="0" xfId="3" applyNumberFormat="1" applyFont="1" applyFill="1" applyAlignment="1"/>
    <xf numFmtId="0" fontId="9" fillId="3" borderId="0" xfId="0" applyFont="1" applyFill="1"/>
    <xf numFmtId="165" fontId="5" fillId="4" borderId="1" xfId="0" applyNumberFormat="1" applyFont="1" applyFill="1" applyBorder="1" applyAlignment="1">
      <alignment horizontal="right"/>
    </xf>
    <xf numFmtId="0" fontId="1" fillId="4" borderId="1" xfId="0" applyFont="1" applyFill="1" applyBorder="1"/>
    <xf numFmtId="165" fontId="1" fillId="4" borderId="1" xfId="0" applyNumberFormat="1" applyFont="1" applyFill="1" applyBorder="1"/>
    <xf numFmtId="0" fontId="1" fillId="4" borderId="0" xfId="0" applyFont="1" applyFill="1" applyBorder="1"/>
    <xf numFmtId="44" fontId="0" fillId="4" borderId="0" xfId="2" applyFont="1" applyFill="1" applyBorder="1"/>
    <xf numFmtId="0" fontId="0" fillId="4" borderId="1" xfId="0" applyFill="1" applyBorder="1"/>
    <xf numFmtId="165" fontId="0" fillId="4" borderId="1" xfId="0" applyNumberFormat="1" applyFill="1" applyBorder="1"/>
    <xf numFmtId="0" fontId="1" fillId="4" borderId="0" xfId="0" applyFont="1" applyFill="1"/>
    <xf numFmtId="0" fontId="0" fillId="4" borderId="0" xfId="0" applyFill="1"/>
    <xf numFmtId="1" fontId="0" fillId="4" borderId="0" xfId="0" applyNumberFormat="1" applyFill="1" applyBorder="1"/>
    <xf numFmtId="165" fontId="0" fillId="4" borderId="0" xfId="0" applyNumberFormat="1" applyFill="1"/>
    <xf numFmtId="165" fontId="1" fillId="4" borderId="0" xfId="0" applyNumberFormat="1" applyFont="1" applyFill="1"/>
    <xf numFmtId="165" fontId="0" fillId="4" borderId="0" xfId="0" applyNumberFormat="1" applyFill="1" applyBorder="1"/>
    <xf numFmtId="10" fontId="0" fillId="4" borderId="0" xfId="0" applyNumberFormat="1" applyFill="1" applyBorder="1"/>
    <xf numFmtId="0" fontId="0" fillId="4" borderId="0" xfId="0" applyFill="1" applyBorder="1"/>
    <xf numFmtId="10" fontId="0" fillId="4" borderId="0" xfId="0" applyNumberFormat="1" applyFill="1"/>
    <xf numFmtId="44" fontId="0" fillId="4" borderId="0" xfId="2" applyFont="1" applyFill="1"/>
    <xf numFmtId="44" fontId="1" fillId="4" borderId="0" xfId="2" applyFont="1" applyFill="1"/>
    <xf numFmtId="8" fontId="0" fillId="4" borderId="0" xfId="0" applyNumberFormat="1" applyFill="1"/>
    <xf numFmtId="0" fontId="0" fillId="0" borderId="0" xfId="0" applyAlignment="1">
      <alignment horizontal="left"/>
    </xf>
    <xf numFmtId="0" fontId="9" fillId="3" borderId="0" xfId="0" applyFont="1" applyFill="1" applyAlignment="1">
      <alignment horizontal="center"/>
    </xf>
    <xf numFmtId="165" fontId="9" fillId="4" borderId="0" xfId="0" applyNumberFormat="1" applyFont="1" applyFill="1"/>
    <xf numFmtId="165" fontId="9" fillId="3" borderId="0" xfId="0" applyNumberFormat="1" applyFont="1" applyFill="1"/>
    <xf numFmtId="0" fontId="9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9" fontId="0" fillId="0" borderId="0" xfId="0" applyNumberFormat="1" applyFill="1"/>
    <xf numFmtId="0" fontId="0" fillId="6" borderId="0" xfId="0" applyFill="1"/>
    <xf numFmtId="0" fontId="9" fillId="4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165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9" fillId="4" borderId="0" xfId="0" applyFont="1" applyFill="1" applyBorder="1" applyAlignment="1">
      <alignment horizontal="center"/>
    </xf>
    <xf numFmtId="0" fontId="0" fillId="5" borderId="0" xfId="0" applyFill="1"/>
    <xf numFmtId="0" fontId="3" fillId="5" borderId="0" xfId="0" applyFont="1" applyFill="1"/>
    <xf numFmtId="0" fontId="1" fillId="3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44" fontId="0" fillId="4" borderId="0" xfId="0" applyNumberFormat="1" applyFill="1"/>
    <xf numFmtId="44" fontId="0" fillId="4" borderId="12" xfId="2" applyFont="1" applyFill="1" applyBorder="1"/>
    <xf numFmtId="44" fontId="0" fillId="0" borderId="0" xfId="2" applyFont="1" applyFill="1" applyBorder="1"/>
    <xf numFmtId="0" fontId="0" fillId="0" borderId="0" xfId="0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44" fontId="1" fillId="0" borderId="0" xfId="2" applyFont="1" applyFill="1" applyBorder="1"/>
    <xf numFmtId="10" fontId="0" fillId="0" borderId="0" xfId="0" applyNumberFormat="1" applyFill="1" applyBorder="1"/>
    <xf numFmtId="0" fontId="2" fillId="0" borderId="0" xfId="0" applyFont="1" applyFill="1" applyBorder="1" applyAlignment="1"/>
    <xf numFmtId="0" fontId="0" fillId="0" borderId="1" xfId="0" applyFill="1" applyBorder="1"/>
    <xf numFmtId="0" fontId="2" fillId="0" borderId="0" xfId="0" applyFont="1" applyBorder="1" applyAlignment="1">
      <alignment horizontal="left"/>
    </xf>
    <xf numFmtId="0" fontId="1" fillId="3" borderId="14" xfId="0" applyFont="1" applyFill="1" applyBorder="1"/>
    <xf numFmtId="0" fontId="6" fillId="0" borderId="1" xfId="0" applyFont="1" applyFill="1" applyBorder="1"/>
    <xf numFmtId="0" fontId="9" fillId="0" borderId="0" xfId="0" applyFont="1" applyFill="1" applyAlignment="1">
      <alignment horizontal="center"/>
    </xf>
    <xf numFmtId="44" fontId="0" fillId="0" borderId="0" xfId="0" applyNumberFormat="1" applyFill="1"/>
    <xf numFmtId="0" fontId="1" fillId="3" borderId="14" xfId="0" applyFont="1" applyFill="1" applyBorder="1" applyAlignment="1">
      <alignment horizontal="center"/>
    </xf>
    <xf numFmtId="0" fontId="4" fillId="0" borderId="0" xfId="0" applyFont="1" applyFill="1" applyAlignment="1"/>
    <xf numFmtId="0" fontId="2" fillId="0" borderId="11" xfId="0" applyFont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2" fillId="0" borderId="12" xfId="0" applyFont="1" applyBorder="1" applyAlignment="1">
      <alignment horizontal="left"/>
    </xf>
    <xf numFmtId="0" fontId="1" fillId="3" borderId="0" xfId="0" applyFont="1" applyFill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 wrapText="1"/>
    </xf>
    <xf numFmtId="0" fontId="9" fillId="4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0" xfId="0" applyFont="1" applyFill="1" applyBorder="1" applyAlignment="1">
      <alignment horizontal="left"/>
    </xf>
    <xf numFmtId="8" fontId="9" fillId="6" borderId="0" xfId="0" applyNumberFormat="1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10" fontId="9" fillId="6" borderId="0" xfId="3" applyNumberFormat="1" applyFont="1" applyFill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</xdr:rowOff>
    </xdr:from>
    <xdr:to>
      <xdr:col>4</xdr:col>
      <xdr:colOff>0</xdr:colOff>
      <xdr:row>6</xdr:row>
      <xdr:rowOff>9525</xdr:rowOff>
    </xdr:to>
    <xdr:sp macro="" textlink="">
      <xdr:nvSpPr>
        <xdr:cNvPr id="2" name="1 CuadroTexto"/>
        <xdr:cNvSpPr txBox="1"/>
      </xdr:nvSpPr>
      <xdr:spPr>
        <a:xfrm>
          <a:off x="0" y="571501"/>
          <a:ext cx="4791075" cy="5810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2400"/>
            <a:t>KE = KF +B (KM-KF)+RP</a:t>
          </a:r>
        </a:p>
      </xdr:txBody>
    </xdr:sp>
    <xdr:clientData/>
  </xdr:twoCellAnchor>
  <xdr:twoCellAnchor>
    <xdr:from>
      <xdr:col>0</xdr:col>
      <xdr:colOff>0</xdr:colOff>
      <xdr:row>13</xdr:row>
      <xdr:rowOff>180975</xdr:rowOff>
    </xdr:from>
    <xdr:to>
      <xdr:col>4</xdr:col>
      <xdr:colOff>0</xdr:colOff>
      <xdr:row>15</xdr:row>
      <xdr:rowOff>180974</xdr:rowOff>
    </xdr:to>
    <xdr:sp macro="" textlink="">
      <xdr:nvSpPr>
        <xdr:cNvPr id="3" name="2 CuadroTexto"/>
        <xdr:cNvSpPr txBox="1"/>
      </xdr:nvSpPr>
      <xdr:spPr>
        <a:xfrm>
          <a:off x="0" y="2276475"/>
          <a:ext cx="4791075" cy="380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2000"/>
            <a:t>ke = 4.52%+9.5% ( 12.20 % - 4,52%)+8.96%</a:t>
          </a:r>
        </a:p>
      </xdr:txBody>
    </xdr:sp>
    <xdr:clientData/>
  </xdr:twoCellAnchor>
  <xdr:twoCellAnchor editAs="oneCell">
    <xdr:from>
      <xdr:col>6</xdr:col>
      <xdr:colOff>9525</xdr:colOff>
      <xdr:row>0</xdr:row>
      <xdr:rowOff>0</xdr:rowOff>
    </xdr:from>
    <xdr:to>
      <xdr:col>15</xdr:col>
      <xdr:colOff>85725</xdr:colOff>
      <xdr:row>25</xdr:row>
      <xdr:rowOff>38100</xdr:rowOff>
    </xdr:to>
    <xdr:pic>
      <xdr:nvPicPr>
        <xdr:cNvPr id="307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1375" t="16844" r="22655" b="8316"/>
        <a:stretch>
          <a:fillRect/>
        </a:stretch>
      </xdr:blipFill>
      <xdr:spPr bwMode="auto">
        <a:xfrm>
          <a:off x="7734300" y="0"/>
          <a:ext cx="6934200" cy="49434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Normal="100" workbookViewId="0">
      <selection activeCell="F19" sqref="F19"/>
    </sheetView>
  </sheetViews>
  <sheetFormatPr baseColWidth="10" defaultRowHeight="15" x14ac:dyDescent="0.25"/>
  <cols>
    <col min="1" max="1" width="9" bestFit="1" customWidth="1"/>
    <col min="2" max="2" width="28.5703125" bestFit="1" customWidth="1"/>
    <col min="4" max="4" width="14" bestFit="1" customWidth="1"/>
    <col min="5" max="5" width="11.7109375" bestFit="1" customWidth="1"/>
  </cols>
  <sheetData>
    <row r="1" spans="1:5" ht="15.75" thickBot="1" x14ac:dyDescent="0.3"/>
    <row r="2" spans="1:5" ht="30" customHeight="1" x14ac:dyDescent="0.25">
      <c r="A2" s="28" t="s">
        <v>0</v>
      </c>
      <c r="B2" s="29" t="s">
        <v>1</v>
      </c>
      <c r="C2" s="29" t="s">
        <v>2</v>
      </c>
      <c r="D2" s="29" t="s">
        <v>3</v>
      </c>
      <c r="E2" s="30" t="s">
        <v>4</v>
      </c>
    </row>
    <row r="3" spans="1:5" x14ac:dyDescent="0.25">
      <c r="A3" s="86">
        <v>1</v>
      </c>
      <c r="B3" s="1" t="s">
        <v>5</v>
      </c>
      <c r="C3" s="2">
        <v>700</v>
      </c>
      <c r="D3" s="2">
        <f>A3*C3</f>
        <v>700</v>
      </c>
      <c r="E3" s="3">
        <f>D3*12</f>
        <v>8400</v>
      </c>
    </row>
    <row r="4" spans="1:5" x14ac:dyDescent="0.25">
      <c r="A4" s="86">
        <v>1</v>
      </c>
      <c r="B4" s="1" t="s">
        <v>159</v>
      </c>
      <c r="C4" s="2">
        <v>600</v>
      </c>
      <c r="D4" s="2">
        <f t="shared" ref="D4:D10" si="0">A4*C4</f>
        <v>600</v>
      </c>
      <c r="E4" s="3">
        <f t="shared" ref="E4:E10" si="1">D4*12</f>
        <v>7200</v>
      </c>
    </row>
    <row r="5" spans="1:5" x14ac:dyDescent="0.25">
      <c r="A5" s="86">
        <v>1</v>
      </c>
      <c r="B5" s="1" t="s">
        <v>160</v>
      </c>
      <c r="C5" s="2">
        <v>500</v>
      </c>
      <c r="D5" s="2">
        <f t="shared" si="0"/>
        <v>500</v>
      </c>
      <c r="E5" s="3">
        <f t="shared" si="1"/>
        <v>6000</v>
      </c>
    </row>
    <row r="6" spans="1:5" x14ac:dyDescent="0.25">
      <c r="A6" s="86">
        <v>1</v>
      </c>
      <c r="B6" s="1" t="s">
        <v>185</v>
      </c>
      <c r="C6" s="2">
        <v>300</v>
      </c>
      <c r="D6" s="2">
        <f t="shared" si="0"/>
        <v>300</v>
      </c>
      <c r="E6" s="3">
        <f t="shared" si="1"/>
        <v>3600</v>
      </c>
    </row>
    <row r="7" spans="1:5" x14ac:dyDescent="0.25">
      <c r="A7" s="86">
        <v>1</v>
      </c>
      <c r="B7" s="1" t="s">
        <v>161</v>
      </c>
      <c r="C7" s="2">
        <v>300</v>
      </c>
      <c r="D7" s="2">
        <f t="shared" si="0"/>
        <v>300</v>
      </c>
      <c r="E7" s="3">
        <f t="shared" si="1"/>
        <v>3600</v>
      </c>
    </row>
    <row r="8" spans="1:5" x14ac:dyDescent="0.25">
      <c r="A8" s="86">
        <v>1</v>
      </c>
      <c r="B8" s="1" t="s">
        <v>162</v>
      </c>
      <c r="C8" s="2">
        <v>300</v>
      </c>
      <c r="D8" s="2">
        <f t="shared" si="0"/>
        <v>300</v>
      </c>
      <c r="E8" s="3">
        <f t="shared" si="1"/>
        <v>3600</v>
      </c>
    </row>
    <row r="9" spans="1:5" x14ac:dyDescent="0.25">
      <c r="A9" s="86">
        <v>5</v>
      </c>
      <c r="B9" s="1" t="s">
        <v>163</v>
      </c>
      <c r="C9" s="2">
        <v>450</v>
      </c>
      <c r="D9" s="2">
        <f t="shared" si="0"/>
        <v>2250</v>
      </c>
      <c r="E9" s="3">
        <f t="shared" si="1"/>
        <v>27000</v>
      </c>
    </row>
    <row r="10" spans="1:5" x14ac:dyDescent="0.25">
      <c r="A10" s="86">
        <v>2</v>
      </c>
      <c r="B10" s="1" t="s">
        <v>164</v>
      </c>
      <c r="C10" s="2">
        <v>300</v>
      </c>
      <c r="D10" s="2">
        <f t="shared" si="0"/>
        <v>600</v>
      </c>
      <c r="E10" s="3">
        <f t="shared" si="1"/>
        <v>7200</v>
      </c>
    </row>
    <row r="11" spans="1:5" ht="15.75" thickBot="1" x14ac:dyDescent="0.3">
      <c r="A11" s="87">
        <f>SUM(A3:A10)</f>
        <v>13</v>
      </c>
      <c r="B11" s="31" t="s">
        <v>6</v>
      </c>
      <c r="C11" s="32">
        <f>SUM(C3:C10)</f>
        <v>3450</v>
      </c>
      <c r="D11" s="32">
        <f>SUM(D3:D10)</f>
        <v>5550</v>
      </c>
      <c r="E11" s="33">
        <f>SUM(E3:E10)</f>
        <v>66600</v>
      </c>
    </row>
    <row r="12" spans="1:5" x14ac:dyDescent="0.25">
      <c r="A12" s="107" t="s">
        <v>7</v>
      </c>
      <c r="B12" s="107"/>
    </row>
  </sheetData>
  <mergeCells count="1">
    <mergeCell ref="A12:B12"/>
  </mergeCells>
  <phoneticPr fontId="8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0"/>
  <sheetViews>
    <sheetView workbookViewId="0">
      <selection activeCell="B26" sqref="B26"/>
    </sheetView>
  </sheetViews>
  <sheetFormatPr baseColWidth="10" defaultRowHeight="15" x14ac:dyDescent="0.25"/>
  <cols>
    <col min="1" max="1" width="25.5703125" bestFit="1" customWidth="1"/>
    <col min="2" max="2" width="11.28515625" bestFit="1" customWidth="1"/>
    <col min="3" max="3" width="11.5703125" bestFit="1" customWidth="1"/>
    <col min="4" max="13" width="13.140625" bestFit="1" customWidth="1"/>
  </cols>
  <sheetData>
    <row r="2" spans="1:13" ht="15.75" x14ac:dyDescent="0.25">
      <c r="A2" s="112" t="s">
        <v>47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</row>
    <row r="4" spans="1:13" x14ac:dyDescent="0.25">
      <c r="A4" s="38" t="s">
        <v>64</v>
      </c>
      <c r="B4" s="38" t="s">
        <v>52</v>
      </c>
      <c r="C4" s="38" t="s">
        <v>53</v>
      </c>
      <c r="D4" s="38" t="s">
        <v>54</v>
      </c>
      <c r="E4" s="38" t="s">
        <v>55</v>
      </c>
      <c r="F4" s="38" t="s">
        <v>56</v>
      </c>
      <c r="G4" s="38" t="s">
        <v>57</v>
      </c>
      <c r="H4" s="38" t="s">
        <v>58</v>
      </c>
      <c r="I4" s="38" t="s">
        <v>59</v>
      </c>
      <c r="J4" s="38" t="s">
        <v>60</v>
      </c>
      <c r="K4" s="38" t="s">
        <v>61</v>
      </c>
      <c r="L4" s="38" t="s">
        <v>62</v>
      </c>
      <c r="M4" s="38" t="s">
        <v>63</v>
      </c>
    </row>
    <row r="5" spans="1:13" x14ac:dyDescent="0.25">
      <c r="A5" t="s">
        <v>41</v>
      </c>
      <c r="C5" s="21">
        <f>'INGRESOS ANUALES'!$B$6</f>
        <v>5</v>
      </c>
      <c r="D5" s="21">
        <f>'INGRESOS ANUALES'!$B$6</f>
        <v>5</v>
      </c>
      <c r="E5" s="21">
        <f>'INGRESOS ANUALES'!$B$6</f>
        <v>5</v>
      </c>
      <c r="F5" s="21">
        <f>'INGRESOS ANUALES'!$B$6</f>
        <v>5</v>
      </c>
      <c r="G5" s="21">
        <f>'INGRESOS ANUALES'!$B$6</f>
        <v>5</v>
      </c>
      <c r="H5" s="21">
        <f>'INGRESOS ANUALES'!$B$6</f>
        <v>5</v>
      </c>
      <c r="I5" s="21">
        <f>'INGRESOS ANUALES'!$B$6</f>
        <v>5</v>
      </c>
      <c r="J5" s="21">
        <f>'INGRESOS ANUALES'!$B$6</f>
        <v>5</v>
      </c>
      <c r="K5" s="21">
        <f>'INGRESOS ANUALES'!$B$6</f>
        <v>5</v>
      </c>
      <c r="L5" s="21">
        <f>'INGRESOS ANUALES'!$B$6</f>
        <v>5</v>
      </c>
      <c r="M5" s="21">
        <f>'INGRESOS ANUALES'!$B$6</f>
        <v>5</v>
      </c>
    </row>
    <row r="6" spans="1:13" x14ac:dyDescent="0.25">
      <c r="A6" t="s">
        <v>190</v>
      </c>
      <c r="C6">
        <f>130*24</f>
        <v>3120</v>
      </c>
      <c r="D6">
        <f t="shared" ref="D6:M6" si="0">130*24</f>
        <v>3120</v>
      </c>
      <c r="E6">
        <f t="shared" si="0"/>
        <v>3120</v>
      </c>
      <c r="F6">
        <f t="shared" si="0"/>
        <v>3120</v>
      </c>
      <c r="G6">
        <f t="shared" si="0"/>
        <v>3120</v>
      </c>
      <c r="H6">
        <f t="shared" si="0"/>
        <v>3120</v>
      </c>
      <c r="I6">
        <f t="shared" si="0"/>
        <v>3120</v>
      </c>
      <c r="J6">
        <f t="shared" si="0"/>
        <v>3120</v>
      </c>
      <c r="K6">
        <f t="shared" si="0"/>
        <v>3120</v>
      </c>
      <c r="L6">
        <f t="shared" si="0"/>
        <v>3120</v>
      </c>
      <c r="M6">
        <f t="shared" si="0"/>
        <v>3120</v>
      </c>
    </row>
    <row r="7" spans="1:13" x14ac:dyDescent="0.25">
      <c r="A7" t="s">
        <v>65</v>
      </c>
      <c r="C7" s="8">
        <f t="shared" ref="C7:M7" si="1">C5*C6</f>
        <v>15600</v>
      </c>
      <c r="D7" s="8">
        <f t="shared" si="1"/>
        <v>15600</v>
      </c>
      <c r="E7" s="8">
        <f t="shared" si="1"/>
        <v>15600</v>
      </c>
      <c r="F7" s="8">
        <f t="shared" si="1"/>
        <v>15600</v>
      </c>
      <c r="G7" s="8">
        <f t="shared" si="1"/>
        <v>15600</v>
      </c>
      <c r="H7" s="8">
        <f t="shared" si="1"/>
        <v>15600</v>
      </c>
      <c r="I7" s="8">
        <f t="shared" si="1"/>
        <v>15600</v>
      </c>
      <c r="J7" s="8">
        <f t="shared" si="1"/>
        <v>15600</v>
      </c>
      <c r="K7" s="8">
        <f t="shared" si="1"/>
        <v>15600</v>
      </c>
      <c r="L7" s="8">
        <f t="shared" si="1"/>
        <v>15600</v>
      </c>
      <c r="M7" s="8">
        <f t="shared" si="1"/>
        <v>15600</v>
      </c>
    </row>
    <row r="8" spans="1:13" x14ac:dyDescent="0.25">
      <c r="A8" s="54" t="s">
        <v>66</v>
      </c>
      <c r="B8" s="54"/>
      <c r="C8" s="58">
        <f t="shared" ref="C8:M8" si="2">C7</f>
        <v>15600</v>
      </c>
      <c r="D8" s="58">
        <f t="shared" si="2"/>
        <v>15600</v>
      </c>
      <c r="E8" s="58">
        <f t="shared" si="2"/>
        <v>15600</v>
      </c>
      <c r="F8" s="58">
        <f t="shared" si="2"/>
        <v>15600</v>
      </c>
      <c r="G8" s="58">
        <f t="shared" si="2"/>
        <v>15600</v>
      </c>
      <c r="H8" s="58">
        <f t="shared" si="2"/>
        <v>15600</v>
      </c>
      <c r="I8" s="58">
        <f t="shared" si="2"/>
        <v>15600</v>
      </c>
      <c r="J8" s="58">
        <f t="shared" si="2"/>
        <v>15600</v>
      </c>
      <c r="K8" s="58">
        <f t="shared" si="2"/>
        <v>15600</v>
      </c>
      <c r="L8" s="58">
        <f t="shared" si="2"/>
        <v>15600</v>
      </c>
      <c r="M8" s="58">
        <f t="shared" si="2"/>
        <v>15600</v>
      </c>
    </row>
    <row r="11" spans="1:13" x14ac:dyDescent="0.25">
      <c r="A11" s="38" t="s">
        <v>67</v>
      </c>
      <c r="B11" s="38" t="str">
        <f>B4</f>
        <v>Enero</v>
      </c>
      <c r="C11" s="38" t="str">
        <f t="shared" ref="C11:M11" si="3">C4</f>
        <v>Febrero</v>
      </c>
      <c r="D11" s="38" t="str">
        <f t="shared" si="3"/>
        <v>Marzo</v>
      </c>
      <c r="E11" s="38" t="str">
        <f t="shared" si="3"/>
        <v>Abril</v>
      </c>
      <c r="F11" s="38" t="str">
        <f t="shared" si="3"/>
        <v>Mayo</v>
      </c>
      <c r="G11" s="38" t="str">
        <f t="shared" si="3"/>
        <v>Junio</v>
      </c>
      <c r="H11" s="38" t="str">
        <f t="shared" si="3"/>
        <v>Julio</v>
      </c>
      <c r="I11" s="38" t="str">
        <f t="shared" si="3"/>
        <v>Agosto</v>
      </c>
      <c r="J11" s="38" t="str">
        <f t="shared" si="3"/>
        <v>Septiembre</v>
      </c>
      <c r="K11" s="38" t="str">
        <f t="shared" si="3"/>
        <v>Octubre</v>
      </c>
      <c r="L11" s="38" t="str">
        <f t="shared" si="3"/>
        <v>Noviembre</v>
      </c>
      <c r="M11" s="38" t="str">
        <f t="shared" si="3"/>
        <v>Diciembre</v>
      </c>
    </row>
    <row r="12" spans="1:13" x14ac:dyDescent="0.25">
      <c r="A12" t="s">
        <v>68</v>
      </c>
      <c r="B12" s="8">
        <f>'GASTO ORG. Y ADM.'!$D$11</f>
        <v>5550</v>
      </c>
      <c r="C12" s="8">
        <f>'GASTO ORG. Y ADM.'!$D$11</f>
        <v>5550</v>
      </c>
      <c r="D12" s="8">
        <f>'GASTO ORG. Y ADM.'!$D$11</f>
        <v>5550</v>
      </c>
      <c r="E12" s="8">
        <f>'GASTO ORG. Y ADM.'!$D$11</f>
        <v>5550</v>
      </c>
      <c r="F12" s="8">
        <f>'GASTO ORG. Y ADM.'!$D$11</f>
        <v>5550</v>
      </c>
      <c r="G12" s="8">
        <f>'GASTO ORG. Y ADM.'!$D$11</f>
        <v>5550</v>
      </c>
      <c r="H12" s="8">
        <f>'GASTO ORG. Y ADM.'!$D$11</f>
        <v>5550</v>
      </c>
      <c r="I12" s="8">
        <f>'GASTO ORG. Y ADM.'!$D$11</f>
        <v>5550</v>
      </c>
      <c r="J12" s="8">
        <f>'GASTO ORG. Y ADM.'!$D$11</f>
        <v>5550</v>
      </c>
      <c r="K12" s="8">
        <f>'GASTO ORG. Y ADM.'!$D$11</f>
        <v>5550</v>
      </c>
      <c r="L12" s="8">
        <f>'GASTO ORG. Y ADM.'!$D$11</f>
        <v>5550</v>
      </c>
      <c r="M12" s="8">
        <f>'GASTO ORG. Y ADM.'!$D$11</f>
        <v>5550</v>
      </c>
    </row>
    <row r="13" spans="1:13" x14ac:dyDescent="0.25">
      <c r="A13" t="str">
        <f>'INV. PROYECTO'!A11</f>
        <v>Energía eléctrica</v>
      </c>
      <c r="B13" s="8">
        <f>'INV. PROYECTO'!$B$11</f>
        <v>150</v>
      </c>
      <c r="C13" s="8">
        <f>'INV. PROYECTO'!$B$11</f>
        <v>150</v>
      </c>
      <c r="D13" s="8">
        <f>'INV. PROYECTO'!$B$11</f>
        <v>150</v>
      </c>
      <c r="E13" s="8">
        <f>'INV. PROYECTO'!$B$11</f>
        <v>150</v>
      </c>
      <c r="F13" s="8">
        <f>'INV. PROYECTO'!$B$11</f>
        <v>150</v>
      </c>
      <c r="G13" s="8">
        <f>'INV. PROYECTO'!$B$11</f>
        <v>150</v>
      </c>
      <c r="H13" s="8">
        <f>'INV. PROYECTO'!$B$11</f>
        <v>150</v>
      </c>
      <c r="I13" s="8">
        <f>'INV. PROYECTO'!$B$11</f>
        <v>150</v>
      </c>
      <c r="J13" s="8">
        <f>'INV. PROYECTO'!$B$11</f>
        <v>150</v>
      </c>
      <c r="K13" s="8">
        <f>'INV. PROYECTO'!$B$11</f>
        <v>150</v>
      </c>
      <c r="L13" s="8">
        <f>'INV. PROYECTO'!$B$11</f>
        <v>150</v>
      </c>
      <c r="M13" s="8">
        <f>'INV. PROYECTO'!$B$11</f>
        <v>150</v>
      </c>
    </row>
    <row r="14" spans="1:13" x14ac:dyDescent="0.25">
      <c r="A14" t="str">
        <f>'INV. PROYECTO'!A12</f>
        <v>Agua potable</v>
      </c>
      <c r="B14" s="8">
        <f>'INV. PROYECTO'!$B$12</f>
        <v>20</v>
      </c>
      <c r="C14" s="8">
        <f>'INV. PROYECTO'!$B$12</f>
        <v>20</v>
      </c>
      <c r="D14" s="8">
        <f>'INV. PROYECTO'!$B$12</f>
        <v>20</v>
      </c>
      <c r="E14" s="8">
        <f>'INV. PROYECTO'!$B$12</f>
        <v>20</v>
      </c>
      <c r="F14" s="8">
        <f>'INV. PROYECTO'!$B$12</f>
        <v>20</v>
      </c>
      <c r="G14" s="8">
        <f>'INV. PROYECTO'!$B$12</f>
        <v>20</v>
      </c>
      <c r="H14" s="8">
        <f>'INV. PROYECTO'!$B$12</f>
        <v>20</v>
      </c>
      <c r="I14" s="8">
        <f>'INV. PROYECTO'!$B$12</f>
        <v>20</v>
      </c>
      <c r="J14" s="8">
        <f>'INV. PROYECTO'!$B$12</f>
        <v>20</v>
      </c>
      <c r="K14" s="8">
        <f>'INV. PROYECTO'!$B$12</f>
        <v>20</v>
      </c>
      <c r="L14" s="8">
        <f>'INV. PROYECTO'!$B$12</f>
        <v>20</v>
      </c>
      <c r="M14" s="8">
        <f>'INV. PROYECTO'!$B$12</f>
        <v>20</v>
      </c>
    </row>
    <row r="15" spans="1:13" x14ac:dyDescent="0.25">
      <c r="A15" t="str">
        <f>'INV. PROYECTO'!A13</f>
        <v>Telefonía</v>
      </c>
      <c r="B15" s="8">
        <f>'INV. PROYECTO'!$B$13</f>
        <v>500</v>
      </c>
      <c r="C15" s="8">
        <f>'INV. PROYECTO'!$B$13</f>
        <v>500</v>
      </c>
      <c r="D15" s="8">
        <f>'INV. PROYECTO'!$B$13</f>
        <v>500</v>
      </c>
      <c r="E15" s="8">
        <f>'INV. PROYECTO'!$B$13</f>
        <v>500</v>
      </c>
      <c r="F15" s="8">
        <f>'INV. PROYECTO'!$B$13</f>
        <v>500</v>
      </c>
      <c r="G15" s="8">
        <f>'INV. PROYECTO'!$B$13</f>
        <v>500</v>
      </c>
      <c r="H15" s="8">
        <f>'INV. PROYECTO'!$B$13</f>
        <v>500</v>
      </c>
      <c r="I15" s="8">
        <f>'INV. PROYECTO'!$B$13</f>
        <v>500</v>
      </c>
      <c r="J15" s="8">
        <f>'INV. PROYECTO'!$B$13</f>
        <v>500</v>
      </c>
      <c r="K15" s="8">
        <f>'INV. PROYECTO'!$B$13</f>
        <v>500</v>
      </c>
      <c r="L15" s="8">
        <f>'INV. PROYECTO'!$B$13</f>
        <v>500</v>
      </c>
      <c r="M15" s="8">
        <f>'INV. PROYECTO'!$B$13</f>
        <v>500</v>
      </c>
    </row>
    <row r="16" spans="1:13" x14ac:dyDescent="0.25">
      <c r="A16" t="str">
        <f>'INV. PROYECTO'!A6</f>
        <v>Movilización (Combustible)</v>
      </c>
      <c r="B16" s="8">
        <f>'INV. PROYECTO'!$B$6</f>
        <v>3800</v>
      </c>
      <c r="C16" s="8">
        <f>'INV. PROYECTO'!$B$6</f>
        <v>3800</v>
      </c>
      <c r="D16" s="8">
        <f>'INV. PROYECTO'!$B$6</f>
        <v>3800</v>
      </c>
      <c r="E16" s="8">
        <f>'INV. PROYECTO'!$B$6</f>
        <v>3800</v>
      </c>
      <c r="F16" s="8">
        <f>'INV. PROYECTO'!$B$6</f>
        <v>3800</v>
      </c>
      <c r="G16" s="8">
        <f>'INV. PROYECTO'!$B$6</f>
        <v>3800</v>
      </c>
      <c r="H16" s="8">
        <f>'INV. PROYECTO'!$B$6</f>
        <v>3800</v>
      </c>
      <c r="I16" s="8">
        <f>'INV. PROYECTO'!$B$6</f>
        <v>3800</v>
      </c>
      <c r="J16" s="8">
        <f>'INV. PROYECTO'!$B$6</f>
        <v>3800</v>
      </c>
      <c r="K16" s="8">
        <f>'INV. PROYECTO'!$B$6</f>
        <v>3800</v>
      </c>
      <c r="L16" s="8">
        <f>'INV. PROYECTO'!$B$6</f>
        <v>3800</v>
      </c>
      <c r="M16" s="8">
        <f>'INV. PROYECTO'!$B$6</f>
        <v>3800</v>
      </c>
    </row>
    <row r="17" spans="1:13" x14ac:dyDescent="0.25">
      <c r="A17" t="str">
        <f>'INV. PROYECTO'!A15</f>
        <v>Publicidad</v>
      </c>
      <c r="B17" s="8">
        <f>'INV. PROYECTO'!$B$15</f>
        <v>425</v>
      </c>
      <c r="C17" s="8">
        <f>'INV. PROYECTO'!$B$15</f>
        <v>425</v>
      </c>
      <c r="D17" s="8">
        <f>'INV. PROYECTO'!$B$15</f>
        <v>425</v>
      </c>
      <c r="E17" s="8">
        <f>'INV. PROYECTO'!$B$15</f>
        <v>425</v>
      </c>
      <c r="F17" s="8">
        <f>'INV. PROYECTO'!$B$15</f>
        <v>425</v>
      </c>
      <c r="G17" s="8">
        <f>'INV. PROYECTO'!$B$15</f>
        <v>425</v>
      </c>
      <c r="H17" s="8">
        <f>'INV. PROYECTO'!$B$15</f>
        <v>425</v>
      </c>
      <c r="I17" s="8">
        <f>'INV. PROYECTO'!$B$15</f>
        <v>425</v>
      </c>
      <c r="J17" s="8">
        <f>'INV. PROYECTO'!$B$15</f>
        <v>425</v>
      </c>
      <c r="K17" s="8">
        <f>'INV. PROYECTO'!$B$15</f>
        <v>425</v>
      </c>
      <c r="L17" s="8">
        <f>'INV. PROYECTO'!$B$15</f>
        <v>425</v>
      </c>
      <c r="M17" s="8">
        <f>'INV. PROYECTO'!$B$15</f>
        <v>425</v>
      </c>
    </row>
    <row r="18" spans="1:13" x14ac:dyDescent="0.25">
      <c r="A18" t="s">
        <v>69</v>
      </c>
      <c r="B18" s="8">
        <f>'INV. PROYECTO'!$B$17</f>
        <v>50</v>
      </c>
      <c r="C18" s="8">
        <f>'INV. PROYECTO'!$B$17</f>
        <v>50</v>
      </c>
      <c r="D18" s="8">
        <f>'INV. PROYECTO'!$B$17</f>
        <v>50</v>
      </c>
      <c r="E18" s="8">
        <f>'INV. PROYECTO'!$B$17</f>
        <v>50</v>
      </c>
      <c r="F18" s="8">
        <f>'INV. PROYECTO'!$B$17</f>
        <v>50</v>
      </c>
      <c r="G18" s="8">
        <f>'INV. PROYECTO'!$B$17</f>
        <v>50</v>
      </c>
      <c r="H18" s="8">
        <f>'INV. PROYECTO'!$B$17</f>
        <v>50</v>
      </c>
      <c r="I18" s="8">
        <f>'INV. PROYECTO'!$B$17</f>
        <v>50</v>
      </c>
      <c r="J18" s="8">
        <f>'INV. PROYECTO'!$B$17</f>
        <v>50</v>
      </c>
      <c r="K18" s="8">
        <f>'INV. PROYECTO'!$B$17</f>
        <v>50</v>
      </c>
      <c r="L18" s="8">
        <f>'INV. PROYECTO'!$B$17</f>
        <v>50</v>
      </c>
      <c r="M18" s="8">
        <f>'INV. PROYECTO'!$B$17</f>
        <v>50</v>
      </c>
    </row>
    <row r="19" spans="1:13" x14ac:dyDescent="0.25">
      <c r="A19" s="54" t="s">
        <v>70</v>
      </c>
      <c r="B19" s="58">
        <f t="shared" ref="B19:D19" si="4">SUM(B12:B18)</f>
        <v>10495</v>
      </c>
      <c r="C19" s="58">
        <f t="shared" si="4"/>
        <v>10495</v>
      </c>
      <c r="D19" s="58">
        <f t="shared" si="4"/>
        <v>10495</v>
      </c>
      <c r="E19" s="58">
        <f t="shared" ref="E19:M19" si="5">SUM(E12:E18)</f>
        <v>10495</v>
      </c>
      <c r="F19" s="58">
        <f t="shared" si="5"/>
        <v>10495</v>
      </c>
      <c r="G19" s="58">
        <f t="shared" si="5"/>
        <v>10495</v>
      </c>
      <c r="H19" s="58">
        <f t="shared" si="5"/>
        <v>10495</v>
      </c>
      <c r="I19" s="58">
        <f t="shared" si="5"/>
        <v>10495</v>
      </c>
      <c r="J19" s="58">
        <f t="shared" si="5"/>
        <v>10495</v>
      </c>
      <c r="K19" s="58">
        <f t="shared" si="5"/>
        <v>10495</v>
      </c>
      <c r="L19" s="58">
        <f t="shared" si="5"/>
        <v>10495</v>
      </c>
      <c r="M19" s="58">
        <f t="shared" si="5"/>
        <v>10495</v>
      </c>
    </row>
    <row r="22" spans="1:13" x14ac:dyDescent="0.25">
      <c r="A22" s="67" t="s">
        <v>146</v>
      </c>
      <c r="B22" s="38" t="str">
        <f>B11</f>
        <v>Enero</v>
      </c>
      <c r="C22" s="38" t="str">
        <f t="shared" ref="C22:M22" si="6">C11</f>
        <v>Febrero</v>
      </c>
      <c r="D22" s="38" t="str">
        <f t="shared" si="6"/>
        <v>Marzo</v>
      </c>
      <c r="E22" s="38" t="str">
        <f t="shared" si="6"/>
        <v>Abril</v>
      </c>
      <c r="F22" s="38" t="str">
        <f t="shared" si="6"/>
        <v>Mayo</v>
      </c>
      <c r="G22" s="38" t="str">
        <f t="shared" si="6"/>
        <v>Junio</v>
      </c>
      <c r="H22" s="38" t="str">
        <f t="shared" si="6"/>
        <v>Julio</v>
      </c>
      <c r="I22" s="38" t="str">
        <f t="shared" si="6"/>
        <v>Agosto</v>
      </c>
      <c r="J22" s="38" t="str">
        <f t="shared" si="6"/>
        <v>Septiembre</v>
      </c>
      <c r="K22" s="38" t="str">
        <f t="shared" si="6"/>
        <v>Octubre</v>
      </c>
      <c r="L22" s="38" t="str">
        <f t="shared" si="6"/>
        <v>Noviembre</v>
      </c>
      <c r="M22" s="38" t="str">
        <f t="shared" si="6"/>
        <v>Diciembre</v>
      </c>
    </row>
    <row r="23" spans="1:13" x14ac:dyDescent="0.25">
      <c r="A23" t="s">
        <v>48</v>
      </c>
      <c r="B23" s="8">
        <f t="shared" ref="B23:D23" si="7">B8</f>
        <v>0</v>
      </c>
      <c r="C23" s="8">
        <f t="shared" si="7"/>
        <v>15600</v>
      </c>
      <c r="D23" s="8">
        <f t="shared" si="7"/>
        <v>15600</v>
      </c>
      <c r="E23" s="8">
        <f t="shared" ref="E23:M23" si="8">E8</f>
        <v>15600</v>
      </c>
      <c r="F23" s="8">
        <f t="shared" si="8"/>
        <v>15600</v>
      </c>
      <c r="G23" s="8">
        <f t="shared" si="8"/>
        <v>15600</v>
      </c>
      <c r="H23" s="8">
        <f t="shared" si="8"/>
        <v>15600</v>
      </c>
      <c r="I23" s="8">
        <f t="shared" si="8"/>
        <v>15600</v>
      </c>
      <c r="J23" s="8">
        <f t="shared" si="8"/>
        <v>15600</v>
      </c>
      <c r="K23" s="8">
        <f t="shared" si="8"/>
        <v>15600</v>
      </c>
      <c r="L23" s="8">
        <f t="shared" si="8"/>
        <v>15600</v>
      </c>
      <c r="M23" s="8">
        <f t="shared" si="8"/>
        <v>15600</v>
      </c>
    </row>
    <row r="24" spans="1:13" x14ac:dyDescent="0.25">
      <c r="A24" t="s">
        <v>49</v>
      </c>
      <c r="B24" s="8">
        <f t="shared" ref="B24:D24" si="9">B19</f>
        <v>10495</v>
      </c>
      <c r="C24" s="8">
        <f t="shared" si="9"/>
        <v>10495</v>
      </c>
      <c r="D24" s="8">
        <f t="shared" si="9"/>
        <v>10495</v>
      </c>
      <c r="E24" s="8">
        <f t="shared" ref="E24:M24" si="10">E19</f>
        <v>10495</v>
      </c>
      <c r="F24" s="8">
        <f t="shared" si="10"/>
        <v>10495</v>
      </c>
      <c r="G24" s="8">
        <f t="shared" si="10"/>
        <v>10495</v>
      </c>
      <c r="H24" s="8">
        <f t="shared" si="10"/>
        <v>10495</v>
      </c>
      <c r="I24" s="8">
        <f t="shared" si="10"/>
        <v>10495</v>
      </c>
      <c r="J24" s="8">
        <f t="shared" si="10"/>
        <v>10495</v>
      </c>
      <c r="K24" s="8">
        <f t="shared" si="10"/>
        <v>10495</v>
      </c>
      <c r="L24" s="8">
        <f t="shared" si="10"/>
        <v>10495</v>
      </c>
      <c r="M24" s="8">
        <f t="shared" si="10"/>
        <v>10495</v>
      </c>
    </row>
    <row r="25" spans="1:13" x14ac:dyDescent="0.25">
      <c r="A25" t="s">
        <v>50</v>
      </c>
      <c r="B25" s="8">
        <f t="shared" ref="B25:D25" si="11">B23-B24</f>
        <v>-10495</v>
      </c>
      <c r="C25" s="8">
        <f t="shared" si="11"/>
        <v>5105</v>
      </c>
      <c r="D25" s="8">
        <f t="shared" si="11"/>
        <v>5105</v>
      </c>
      <c r="E25" s="8">
        <f t="shared" ref="E25:M25" si="12">E23-E24</f>
        <v>5105</v>
      </c>
      <c r="F25" s="8">
        <f t="shared" si="12"/>
        <v>5105</v>
      </c>
      <c r="G25" s="8">
        <f t="shared" si="12"/>
        <v>5105</v>
      </c>
      <c r="H25" s="8">
        <f t="shared" si="12"/>
        <v>5105</v>
      </c>
      <c r="I25" s="8">
        <f t="shared" si="12"/>
        <v>5105</v>
      </c>
      <c r="J25" s="8">
        <f t="shared" si="12"/>
        <v>5105</v>
      </c>
      <c r="K25" s="8">
        <f t="shared" si="12"/>
        <v>5105</v>
      </c>
      <c r="L25" s="8">
        <f t="shared" si="12"/>
        <v>5105</v>
      </c>
      <c r="M25" s="8">
        <f t="shared" si="12"/>
        <v>5105</v>
      </c>
    </row>
    <row r="26" spans="1:13" x14ac:dyDescent="0.25">
      <c r="A26" s="54" t="s">
        <v>51</v>
      </c>
      <c r="B26" s="58">
        <f>B25</f>
        <v>-10495</v>
      </c>
      <c r="C26" s="58">
        <f t="shared" ref="C26" si="13">B26+C25</f>
        <v>-5390</v>
      </c>
      <c r="D26" s="58">
        <f t="shared" ref="D26" si="14">C26+D25</f>
        <v>-285</v>
      </c>
      <c r="E26" s="58">
        <f t="shared" ref="E26:M26" si="15">D26+E25</f>
        <v>4820</v>
      </c>
      <c r="F26" s="58">
        <f t="shared" si="15"/>
        <v>9925</v>
      </c>
      <c r="G26" s="58">
        <f t="shared" si="15"/>
        <v>15030</v>
      </c>
      <c r="H26" s="58">
        <f t="shared" si="15"/>
        <v>20135</v>
      </c>
      <c r="I26" s="58">
        <f t="shared" si="15"/>
        <v>25240</v>
      </c>
      <c r="J26" s="58">
        <f t="shared" si="15"/>
        <v>30345</v>
      </c>
      <c r="K26" s="58">
        <f t="shared" si="15"/>
        <v>35450</v>
      </c>
      <c r="L26" s="58">
        <f t="shared" si="15"/>
        <v>40555</v>
      </c>
      <c r="M26" s="58">
        <f t="shared" si="15"/>
        <v>45660</v>
      </c>
    </row>
    <row r="28" spans="1:13" x14ac:dyDescent="0.25">
      <c r="A28" s="109" t="s">
        <v>7</v>
      </c>
      <c r="B28" s="109"/>
    </row>
    <row r="30" spans="1:13" x14ac:dyDescent="0.25">
      <c r="C30" s="8"/>
    </row>
  </sheetData>
  <mergeCells count="2">
    <mergeCell ref="A28:B28"/>
    <mergeCell ref="A2:M2"/>
  </mergeCells>
  <phoneticPr fontId="8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"/>
  <sheetViews>
    <sheetView workbookViewId="0">
      <selection activeCell="A4" sqref="A4:G8"/>
    </sheetView>
  </sheetViews>
  <sheetFormatPr baseColWidth="10" defaultRowHeight="15" x14ac:dyDescent="0.25"/>
  <cols>
    <col min="1" max="1" width="12.7109375" bestFit="1" customWidth="1"/>
    <col min="2" max="2" width="11.5703125" bestFit="1" customWidth="1"/>
    <col min="3" max="3" width="10.28515625" bestFit="1" customWidth="1"/>
    <col min="4" max="4" width="14.140625" bestFit="1" customWidth="1"/>
    <col min="5" max="5" width="15.7109375" bestFit="1" customWidth="1"/>
    <col min="6" max="6" width="14.140625" bestFit="1" customWidth="1"/>
    <col min="7" max="7" width="11.5703125" bestFit="1" customWidth="1"/>
    <col min="9" max="9" width="12.7109375" bestFit="1" customWidth="1"/>
    <col min="10" max="11" width="7.85546875" customWidth="1"/>
  </cols>
  <sheetData>
    <row r="2" spans="1:11" ht="15.75" x14ac:dyDescent="0.25">
      <c r="A2" s="112" t="s">
        <v>71</v>
      </c>
      <c r="B2" s="112"/>
      <c r="C2" s="112"/>
      <c r="D2" s="112"/>
      <c r="E2" s="112"/>
      <c r="F2" s="112"/>
      <c r="G2" s="112"/>
    </row>
    <row r="4" spans="1:11" ht="30" x14ac:dyDescent="0.25">
      <c r="A4" s="78" t="s">
        <v>158</v>
      </c>
      <c r="B4" s="78" t="s">
        <v>73</v>
      </c>
      <c r="C4" s="78" t="s">
        <v>72</v>
      </c>
      <c r="D4" s="78" t="s">
        <v>74</v>
      </c>
      <c r="E4" s="78" t="s">
        <v>75</v>
      </c>
      <c r="F4" s="78" t="s">
        <v>76</v>
      </c>
      <c r="G4" s="78" t="s">
        <v>77</v>
      </c>
      <c r="I4" s="78" t="s">
        <v>158</v>
      </c>
      <c r="J4" s="117" t="s">
        <v>133</v>
      </c>
      <c r="K4" s="117"/>
    </row>
    <row r="5" spans="1:11" ht="30" customHeight="1" x14ac:dyDescent="0.25">
      <c r="A5" s="16" t="str">
        <f>'INV. ACTIVOS FIJOS'!A3</f>
        <v>Maquinarias (Vehículos)</v>
      </c>
      <c r="B5" s="79">
        <f>'INV. ACTIVOS FIJOS'!B3</f>
        <v>119750</v>
      </c>
      <c r="C5" s="80">
        <v>5</v>
      </c>
      <c r="D5" s="79">
        <f>B5/C5</f>
        <v>23950</v>
      </c>
      <c r="E5" s="80">
        <v>5</v>
      </c>
      <c r="F5" s="79">
        <f>D5*E5</f>
        <v>119750</v>
      </c>
      <c r="G5" s="79">
        <f>B5-F5</f>
        <v>0</v>
      </c>
      <c r="I5" s="81" t="s">
        <v>19</v>
      </c>
      <c r="J5" s="80">
        <v>5</v>
      </c>
      <c r="K5" s="80" t="s">
        <v>134</v>
      </c>
    </row>
    <row r="6" spans="1:11" ht="30" x14ac:dyDescent="0.25">
      <c r="A6" s="16" t="s">
        <v>78</v>
      </c>
      <c r="B6" s="79">
        <f>'INV. ACTIVOS FIJOS'!B4</f>
        <v>1119.93</v>
      </c>
      <c r="C6" s="80">
        <v>10</v>
      </c>
      <c r="D6" s="79">
        <f>B6/C6</f>
        <v>111.99300000000001</v>
      </c>
      <c r="E6" s="80">
        <v>5</v>
      </c>
      <c r="F6" s="79">
        <f>D6*E6</f>
        <v>559.96500000000003</v>
      </c>
      <c r="G6" s="79">
        <f>B6-F6</f>
        <v>559.96500000000003</v>
      </c>
      <c r="I6" s="16" t="s">
        <v>78</v>
      </c>
      <c r="J6" s="80">
        <v>10</v>
      </c>
      <c r="K6" s="80" t="s">
        <v>134</v>
      </c>
    </row>
    <row r="7" spans="1:11" ht="30" customHeight="1" x14ac:dyDescent="0.25">
      <c r="A7" s="16" t="s">
        <v>147</v>
      </c>
      <c r="B7" s="79">
        <f>'INV. ACTIVOS FIJOS'!B5</f>
        <v>1600</v>
      </c>
      <c r="C7" s="80">
        <v>3</v>
      </c>
      <c r="D7" s="79">
        <f>B7/C7</f>
        <v>533.33333333333337</v>
      </c>
      <c r="E7" s="80">
        <v>3</v>
      </c>
      <c r="F7" s="79">
        <f>D7*E7</f>
        <v>1600</v>
      </c>
      <c r="G7" s="79">
        <f>B7-F7</f>
        <v>0</v>
      </c>
      <c r="I7" s="16" t="s">
        <v>147</v>
      </c>
      <c r="J7" s="80">
        <v>3</v>
      </c>
      <c r="K7" s="80" t="s">
        <v>134</v>
      </c>
    </row>
    <row r="8" spans="1:11" x14ac:dyDescent="0.25">
      <c r="A8" s="118" t="s">
        <v>79</v>
      </c>
      <c r="B8" s="118"/>
      <c r="C8" s="118"/>
      <c r="D8" s="68">
        <f>SUM(D5:D7)</f>
        <v>24595.326333333331</v>
      </c>
      <c r="E8" s="119" t="s">
        <v>80</v>
      </c>
      <c r="F8" s="119"/>
      <c r="G8" s="69">
        <f>SUM(G5:G7)</f>
        <v>559.96500000000003</v>
      </c>
    </row>
    <row r="9" spans="1:11" x14ac:dyDescent="0.25">
      <c r="I9" s="109" t="s">
        <v>7</v>
      </c>
      <c r="J9" s="109"/>
      <c r="K9" s="109"/>
    </row>
    <row r="10" spans="1:11" x14ac:dyDescent="0.25">
      <c r="A10" s="109" t="s">
        <v>7</v>
      </c>
      <c r="B10" s="109"/>
    </row>
  </sheetData>
  <mergeCells count="6">
    <mergeCell ref="A2:G2"/>
    <mergeCell ref="A10:B10"/>
    <mergeCell ref="J4:K4"/>
    <mergeCell ref="I9:K9"/>
    <mergeCell ref="A8:C8"/>
    <mergeCell ref="E8:F8"/>
  </mergeCells>
  <phoneticPr fontId="8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4"/>
  <sheetViews>
    <sheetView topLeftCell="C1" workbookViewId="0">
      <selection activeCell="C4" sqref="C4"/>
    </sheetView>
  </sheetViews>
  <sheetFormatPr baseColWidth="10" defaultRowHeight="15" x14ac:dyDescent="0.25"/>
  <cols>
    <col min="1" max="1" width="11.42578125" style="73"/>
    <col min="2" max="2" width="13.42578125" bestFit="1" customWidth="1"/>
    <col min="3" max="3" width="11.5703125" bestFit="1" customWidth="1"/>
    <col min="4" max="4" width="12.7109375" bestFit="1" customWidth="1"/>
    <col min="9" max="11" width="12" bestFit="1" customWidth="1"/>
    <col min="12" max="12" width="13" bestFit="1" customWidth="1"/>
  </cols>
  <sheetData>
    <row r="2" spans="1:12" ht="15.75" x14ac:dyDescent="0.25">
      <c r="A2" s="112" t="s">
        <v>97</v>
      </c>
      <c r="B2" s="112"/>
      <c r="C2" s="112"/>
      <c r="D2" s="112"/>
      <c r="E2" s="112"/>
    </row>
    <row r="4" spans="1:12" x14ac:dyDescent="0.25">
      <c r="A4" s="88"/>
      <c r="B4" s="41" t="s">
        <v>81</v>
      </c>
      <c r="C4" s="59">
        <f>FINANCIAMIENTO!E9</f>
        <v>115791.944</v>
      </c>
      <c r="D4" s="9"/>
      <c r="E4" s="9"/>
      <c r="F4" s="9"/>
    </row>
    <row r="5" spans="1:12" x14ac:dyDescent="0.25">
      <c r="A5" s="88"/>
      <c r="B5" s="41" t="s">
        <v>82</v>
      </c>
      <c r="C5" s="60">
        <v>9.5000000000000001E-2</v>
      </c>
      <c r="D5" s="9" t="s">
        <v>83</v>
      </c>
      <c r="E5" s="9"/>
      <c r="F5" s="9"/>
    </row>
    <row r="6" spans="1:12" x14ac:dyDescent="0.25">
      <c r="A6" s="88"/>
      <c r="B6" s="41"/>
      <c r="C6" s="60">
        <f>(1+C5)^(1/12)-1</f>
        <v>7.5915342905825689E-3</v>
      </c>
      <c r="D6" s="9" t="s">
        <v>84</v>
      </c>
      <c r="E6" s="9"/>
      <c r="F6" s="9"/>
      <c r="I6" s="120" t="s">
        <v>148</v>
      </c>
      <c r="J6" s="120"/>
      <c r="K6" s="57">
        <f>C4</f>
        <v>115791.944</v>
      </c>
    </row>
    <row r="7" spans="1:12" x14ac:dyDescent="0.25">
      <c r="A7" s="88"/>
      <c r="B7" s="41" t="s">
        <v>85</v>
      </c>
      <c r="C7" s="61">
        <v>5</v>
      </c>
      <c r="D7" s="9" t="s">
        <v>86</v>
      </c>
      <c r="E7" s="9"/>
      <c r="F7" s="9"/>
      <c r="I7" s="120" t="s">
        <v>96</v>
      </c>
      <c r="J7" s="120"/>
      <c r="K7" s="62">
        <f>C5</f>
        <v>9.5000000000000001E-2</v>
      </c>
    </row>
    <row r="8" spans="1:12" x14ac:dyDescent="0.25">
      <c r="A8" s="88"/>
      <c r="B8" s="41"/>
      <c r="C8" s="61">
        <v>60</v>
      </c>
      <c r="D8" s="9" t="s">
        <v>87</v>
      </c>
      <c r="E8" s="9"/>
      <c r="F8" s="9"/>
      <c r="I8" s="120" t="s">
        <v>86</v>
      </c>
      <c r="J8" s="120"/>
      <c r="K8" s="55">
        <f>C7</f>
        <v>5</v>
      </c>
    </row>
    <row r="9" spans="1:12" x14ac:dyDescent="0.25">
      <c r="A9" s="88"/>
      <c r="B9" s="41" t="s">
        <v>88</v>
      </c>
      <c r="C9" s="56">
        <f>C4*C6/(1-(1+C6)^-C8)</f>
        <v>2409.8278015750898</v>
      </c>
      <c r="D9" s="9"/>
      <c r="E9" s="9"/>
      <c r="F9" s="9"/>
      <c r="H9" s="9"/>
      <c r="I9" s="121" t="s">
        <v>89</v>
      </c>
      <c r="J9" s="121"/>
      <c r="K9" s="59">
        <f>C4*C5/(1-(1+C5)^-C7)</f>
        <v>30156.439052594091</v>
      </c>
      <c r="L9" s="9"/>
    </row>
    <row r="10" spans="1:12" x14ac:dyDescent="0.25">
      <c r="A10" s="88"/>
      <c r="B10" s="9"/>
      <c r="C10" s="9"/>
      <c r="D10" s="9"/>
      <c r="E10" s="9"/>
      <c r="F10" s="9"/>
      <c r="H10" s="9"/>
      <c r="I10" s="9"/>
      <c r="J10" s="9"/>
      <c r="K10" s="9"/>
      <c r="L10" s="9"/>
    </row>
    <row r="11" spans="1:12" x14ac:dyDescent="0.25">
      <c r="A11" s="72" t="s">
        <v>90</v>
      </c>
      <c r="B11" s="42" t="s">
        <v>91</v>
      </c>
      <c r="C11" s="42" t="s">
        <v>92</v>
      </c>
      <c r="D11" s="42" t="s">
        <v>93</v>
      </c>
      <c r="E11" s="42" t="s">
        <v>94</v>
      </c>
      <c r="F11" s="9"/>
      <c r="H11" s="42" t="s">
        <v>95</v>
      </c>
      <c r="I11" s="42" t="s">
        <v>91</v>
      </c>
      <c r="J11" s="42" t="s">
        <v>92</v>
      </c>
      <c r="K11" s="42" t="s">
        <v>149</v>
      </c>
      <c r="L11" s="42" t="s">
        <v>94</v>
      </c>
    </row>
    <row r="12" spans="1:12" x14ac:dyDescent="0.25">
      <c r="A12" s="89">
        <v>0</v>
      </c>
      <c r="B12" s="19"/>
      <c r="C12" s="19"/>
      <c r="D12" s="19"/>
      <c r="E12" s="19">
        <f>C4</f>
        <v>115791.944</v>
      </c>
      <c r="F12" s="9"/>
      <c r="H12" s="82">
        <v>0</v>
      </c>
      <c r="I12" s="9"/>
      <c r="J12" s="9"/>
      <c r="K12" s="9"/>
      <c r="L12" s="18">
        <f>C4</f>
        <v>115791.944</v>
      </c>
    </row>
    <row r="13" spans="1:12" x14ac:dyDescent="0.25">
      <c r="A13" s="89">
        <v>1</v>
      </c>
      <c r="B13" s="19">
        <f t="shared" ref="B13:B72" si="0">$C$9</f>
        <v>2409.8278015750898</v>
      </c>
      <c r="C13" s="19">
        <f t="shared" ref="C13:C44" si="1">E12*$C$6</f>
        <v>879.03851344921657</v>
      </c>
      <c r="D13" s="19">
        <f t="shared" ref="D13:D72" si="2">B13-C13</f>
        <v>1530.7892881258731</v>
      </c>
      <c r="E13" s="19">
        <f t="shared" ref="E13:E72" si="3">E12-D13</f>
        <v>114261.15471187413</v>
      </c>
      <c r="F13" s="9"/>
      <c r="H13" s="82">
        <v>1</v>
      </c>
      <c r="I13" s="18">
        <f>$K$9</f>
        <v>30156.439052594091</v>
      </c>
      <c r="J13" s="18">
        <f>L12*$C$5</f>
        <v>11000.23468</v>
      </c>
      <c r="K13" s="18">
        <f>I13-J13</f>
        <v>19156.204372594089</v>
      </c>
      <c r="L13" s="18">
        <f>L12-K13</f>
        <v>96635.739627405914</v>
      </c>
    </row>
    <row r="14" spans="1:12" x14ac:dyDescent="0.25">
      <c r="A14" s="89">
        <v>2</v>
      </c>
      <c r="B14" s="19">
        <f t="shared" si="0"/>
        <v>2409.8278015750898</v>
      </c>
      <c r="C14" s="19">
        <f t="shared" si="1"/>
        <v>867.41747407675257</v>
      </c>
      <c r="D14" s="19">
        <f t="shared" si="2"/>
        <v>1542.4103274983372</v>
      </c>
      <c r="E14" s="19">
        <f t="shared" si="3"/>
        <v>112718.74438437579</v>
      </c>
      <c r="F14" s="9"/>
      <c r="H14" s="82">
        <v>2</v>
      </c>
      <c r="I14" s="18">
        <f>$K$9</f>
        <v>30156.439052594091</v>
      </c>
      <c r="J14" s="18">
        <f>L13*$C$5</f>
        <v>9180.3952646035614</v>
      </c>
      <c r="K14" s="18">
        <f>I14-J14</f>
        <v>20976.043787990529</v>
      </c>
      <c r="L14" s="18">
        <f>L13-K14</f>
        <v>75659.695839415392</v>
      </c>
    </row>
    <row r="15" spans="1:12" x14ac:dyDescent="0.25">
      <c r="A15" s="89">
        <v>3</v>
      </c>
      <c r="B15" s="19">
        <f t="shared" si="0"/>
        <v>2409.8278015750898</v>
      </c>
      <c r="C15" s="19">
        <f t="shared" si="1"/>
        <v>855.70821318540027</v>
      </c>
      <c r="D15" s="19">
        <f t="shared" si="2"/>
        <v>1554.1195883896894</v>
      </c>
      <c r="E15" s="19">
        <f t="shared" si="3"/>
        <v>111164.62479598611</v>
      </c>
      <c r="F15" s="9"/>
      <c r="H15" s="82">
        <v>3</v>
      </c>
      <c r="I15" s="18">
        <f>$K$9</f>
        <v>30156.439052594091</v>
      </c>
      <c r="J15" s="18">
        <f>L14*$C$5</f>
        <v>7187.6711047444624</v>
      </c>
      <c r="K15" s="18">
        <f>I15-J15</f>
        <v>22968.767947849628</v>
      </c>
      <c r="L15" s="18">
        <f>L14-K15</f>
        <v>52690.927891565763</v>
      </c>
    </row>
    <row r="16" spans="1:12" x14ac:dyDescent="0.25">
      <c r="A16" s="89">
        <v>4</v>
      </c>
      <c r="B16" s="19">
        <f t="shared" si="0"/>
        <v>2409.8278015750898</v>
      </c>
      <c r="C16" s="19">
        <f t="shared" si="1"/>
        <v>843.91006103847383</v>
      </c>
      <c r="D16" s="19">
        <f t="shared" si="2"/>
        <v>1565.9177405366158</v>
      </c>
      <c r="E16" s="19">
        <f t="shared" si="3"/>
        <v>109598.70705544949</v>
      </c>
      <c r="F16" s="9"/>
      <c r="H16" s="82">
        <v>4</v>
      </c>
      <c r="I16" s="18">
        <f>$K$9</f>
        <v>30156.439052594091</v>
      </c>
      <c r="J16" s="18">
        <f>L15*$C$5</f>
        <v>5005.6381496987478</v>
      </c>
      <c r="K16" s="18">
        <f>I16-J16</f>
        <v>25150.800902895342</v>
      </c>
      <c r="L16" s="18">
        <f>L15-K16</f>
        <v>27540.126988670421</v>
      </c>
    </row>
    <row r="17" spans="1:12" x14ac:dyDescent="0.25">
      <c r="A17" s="89">
        <v>5</v>
      </c>
      <c r="B17" s="19">
        <f t="shared" si="0"/>
        <v>2409.8278015750898</v>
      </c>
      <c r="C17" s="19">
        <f t="shared" si="1"/>
        <v>832.02234281495851</v>
      </c>
      <c r="D17" s="19">
        <f t="shared" si="2"/>
        <v>1577.8054587601314</v>
      </c>
      <c r="E17" s="19">
        <f t="shared" si="3"/>
        <v>108020.90159668935</v>
      </c>
      <c r="F17" s="9"/>
      <c r="H17" s="82">
        <v>5</v>
      </c>
      <c r="I17" s="18">
        <f>$K$9</f>
        <v>30156.439052594091</v>
      </c>
      <c r="J17" s="18">
        <f>L16*$C$5</f>
        <v>2616.3120639236899</v>
      </c>
      <c r="K17" s="18">
        <f>I17-J17</f>
        <v>27540.126988670399</v>
      </c>
      <c r="L17" s="18">
        <f>L16-K17</f>
        <v>0</v>
      </c>
    </row>
    <row r="18" spans="1:12" x14ac:dyDescent="0.25">
      <c r="A18" s="89">
        <v>6</v>
      </c>
      <c r="B18" s="19">
        <f t="shared" si="0"/>
        <v>2409.8278015750898</v>
      </c>
      <c r="C18" s="19">
        <f t="shared" si="1"/>
        <v>820.04437857091261</v>
      </c>
      <c r="D18" s="19">
        <f t="shared" si="2"/>
        <v>1589.7834230041772</v>
      </c>
      <c r="E18" s="19">
        <f t="shared" si="3"/>
        <v>106431.11817368517</v>
      </c>
      <c r="F18" s="9"/>
    </row>
    <row r="19" spans="1:12" x14ac:dyDescent="0.25">
      <c r="A19" s="89">
        <v>7</v>
      </c>
      <c r="B19" s="19">
        <f t="shared" si="0"/>
        <v>2409.8278015750898</v>
      </c>
      <c r="C19" s="19">
        <f t="shared" si="1"/>
        <v>807.9754832005766</v>
      </c>
      <c r="D19" s="19">
        <f t="shared" si="2"/>
        <v>1601.8523183745133</v>
      </c>
      <c r="E19" s="19">
        <f t="shared" si="3"/>
        <v>104829.26585531066</v>
      </c>
      <c r="F19" s="9"/>
      <c r="H19" s="109" t="s">
        <v>7</v>
      </c>
      <c r="I19" s="109"/>
    </row>
    <row r="20" spans="1:12" x14ac:dyDescent="0.25">
      <c r="A20" s="89">
        <v>8</v>
      </c>
      <c r="B20" s="19">
        <f t="shared" si="0"/>
        <v>2409.8278015750898</v>
      </c>
      <c r="C20" s="19">
        <f t="shared" si="1"/>
        <v>795.81496639718728</v>
      </c>
      <c r="D20" s="19">
        <f t="shared" si="2"/>
        <v>1614.0128351779026</v>
      </c>
      <c r="E20" s="19">
        <f t="shared" si="3"/>
        <v>103215.25302013276</v>
      </c>
      <c r="F20" s="9"/>
    </row>
    <row r="21" spans="1:12" x14ac:dyDescent="0.25">
      <c r="A21" s="89">
        <v>9</v>
      </c>
      <c r="B21" s="19">
        <f t="shared" si="0"/>
        <v>2409.8278015750898</v>
      </c>
      <c r="C21" s="19">
        <f t="shared" si="1"/>
        <v>783.56213261349387</v>
      </c>
      <c r="D21" s="19">
        <f t="shared" si="2"/>
        <v>1626.265668961596</v>
      </c>
      <c r="E21" s="19">
        <f t="shared" si="3"/>
        <v>101588.98735117116</v>
      </c>
      <c r="F21" s="9"/>
    </row>
    <row r="22" spans="1:12" x14ac:dyDescent="0.25">
      <c r="A22" s="89">
        <v>10</v>
      </c>
      <c r="B22" s="19">
        <f t="shared" si="0"/>
        <v>2409.8278015750898</v>
      </c>
      <c r="C22" s="19">
        <f t="shared" si="1"/>
        <v>771.21628102197474</v>
      </c>
      <c r="D22" s="19">
        <f t="shared" si="2"/>
        <v>1638.611520553115</v>
      </c>
      <c r="E22" s="19">
        <f t="shared" si="3"/>
        <v>99950.375830618053</v>
      </c>
      <c r="F22" s="9"/>
    </row>
    <row r="23" spans="1:12" x14ac:dyDescent="0.25">
      <c r="A23" s="89">
        <v>11</v>
      </c>
      <c r="B23" s="19">
        <f t="shared" si="0"/>
        <v>2409.8278015750898</v>
      </c>
      <c r="C23" s="19">
        <f t="shared" si="1"/>
        <v>758.77670547475213</v>
      </c>
      <c r="D23" s="19">
        <f t="shared" si="2"/>
        <v>1651.0510961003376</v>
      </c>
      <c r="E23" s="19">
        <f t="shared" si="3"/>
        <v>98299.324734517722</v>
      </c>
      <c r="F23" s="9"/>
    </row>
    <row r="24" spans="1:12" x14ac:dyDescent="0.25">
      <c r="A24" s="90">
        <v>12</v>
      </c>
      <c r="B24" s="20">
        <f t="shared" si="0"/>
        <v>2409.8278015750898</v>
      </c>
      <c r="C24" s="20">
        <f t="shared" si="1"/>
        <v>746.24269446320261</v>
      </c>
      <c r="D24" s="20">
        <f t="shared" si="2"/>
        <v>1663.5851071118873</v>
      </c>
      <c r="E24" s="20">
        <f t="shared" si="3"/>
        <v>96635.739627405841</v>
      </c>
      <c r="F24" s="20">
        <f>FV($C$6,12,-C9)</f>
        <v>30156.439052594014</v>
      </c>
      <c r="G24" s="17"/>
    </row>
    <row r="25" spans="1:12" x14ac:dyDescent="0.25">
      <c r="A25" s="89">
        <v>13</v>
      </c>
      <c r="B25" s="19">
        <f t="shared" si="0"/>
        <v>2409.8278015750898</v>
      </c>
      <c r="C25" s="19">
        <f t="shared" si="1"/>
        <v>733.61353107726029</v>
      </c>
      <c r="D25" s="19">
        <f t="shared" si="2"/>
        <v>1676.2142704978296</v>
      </c>
      <c r="E25" s="19">
        <f t="shared" si="3"/>
        <v>94959.525356908009</v>
      </c>
      <c r="F25" s="9"/>
    </row>
    <row r="26" spans="1:12" x14ac:dyDescent="0.25">
      <c r="A26" s="89">
        <v>14</v>
      </c>
      <c r="B26" s="19">
        <f t="shared" si="0"/>
        <v>2409.8278015750898</v>
      </c>
      <c r="C26" s="19">
        <f t="shared" si="1"/>
        <v>720.88849296441208</v>
      </c>
      <c r="D26" s="19">
        <f t="shared" si="2"/>
        <v>1688.9393086106777</v>
      </c>
      <c r="E26" s="19">
        <f t="shared" si="3"/>
        <v>93270.586048297337</v>
      </c>
      <c r="F26" s="9"/>
      <c r="I26" s="17"/>
    </row>
    <row r="27" spans="1:12" x14ac:dyDescent="0.25">
      <c r="A27" s="89">
        <v>15</v>
      </c>
      <c r="B27" s="19">
        <f t="shared" si="0"/>
        <v>2409.8278015750898</v>
      </c>
      <c r="C27" s="19">
        <f t="shared" si="1"/>
        <v>708.06685228838137</v>
      </c>
      <c r="D27" s="19">
        <f t="shared" si="2"/>
        <v>1701.7609492867084</v>
      </c>
      <c r="E27" s="19">
        <f t="shared" si="3"/>
        <v>91568.825099010632</v>
      </c>
      <c r="F27" s="9"/>
    </row>
    <row r="28" spans="1:12" x14ac:dyDescent="0.25">
      <c r="A28" s="89">
        <v>16</v>
      </c>
      <c r="B28" s="19">
        <f t="shared" si="0"/>
        <v>2409.8278015750898</v>
      </c>
      <c r="C28" s="19">
        <f t="shared" si="1"/>
        <v>695.14787568749705</v>
      </c>
      <c r="D28" s="19">
        <f t="shared" si="2"/>
        <v>1714.6799258875926</v>
      </c>
      <c r="E28" s="19">
        <f t="shared" si="3"/>
        <v>89854.145173123034</v>
      </c>
      <c r="F28" s="9"/>
    </row>
    <row r="29" spans="1:12" x14ac:dyDescent="0.25">
      <c r="A29" s="89">
        <v>17</v>
      </c>
      <c r="B29" s="19">
        <f t="shared" si="0"/>
        <v>2409.8278015750898</v>
      </c>
      <c r="C29" s="19">
        <f t="shared" si="1"/>
        <v>682.13082423274773</v>
      </c>
      <c r="D29" s="19">
        <f t="shared" si="2"/>
        <v>1727.6969773423421</v>
      </c>
      <c r="E29" s="19">
        <f t="shared" si="3"/>
        <v>88126.448195780686</v>
      </c>
      <c r="F29" s="9"/>
    </row>
    <row r="30" spans="1:12" x14ac:dyDescent="0.25">
      <c r="A30" s="89">
        <v>18</v>
      </c>
      <c r="B30" s="19">
        <f t="shared" si="0"/>
        <v>2409.8278015750898</v>
      </c>
      <c r="C30" s="19">
        <f t="shared" si="1"/>
        <v>669.0149533855174</v>
      </c>
      <c r="D30" s="19">
        <f t="shared" si="2"/>
        <v>1740.8128481895724</v>
      </c>
      <c r="E30" s="19">
        <f t="shared" si="3"/>
        <v>86385.635347591116</v>
      </c>
      <c r="F30" s="9"/>
    </row>
    <row r="31" spans="1:12" x14ac:dyDescent="0.25">
      <c r="A31" s="89">
        <v>19</v>
      </c>
      <c r="B31" s="19">
        <f t="shared" si="0"/>
        <v>2409.8278015750898</v>
      </c>
      <c r="C31" s="19">
        <f t="shared" si="1"/>
        <v>655.79951295499961</v>
      </c>
      <c r="D31" s="19">
        <f t="shared" si="2"/>
        <v>1754.0282886200903</v>
      </c>
      <c r="E31" s="19">
        <f t="shared" si="3"/>
        <v>84631.607058971029</v>
      </c>
      <c r="F31" s="9"/>
    </row>
    <row r="32" spans="1:12" x14ac:dyDescent="0.25">
      <c r="A32" s="89">
        <v>20</v>
      </c>
      <c r="B32" s="19">
        <f t="shared" si="0"/>
        <v>2409.8278015750898</v>
      </c>
      <c r="C32" s="19">
        <f t="shared" si="1"/>
        <v>642.4837470552884</v>
      </c>
      <c r="D32" s="19">
        <f t="shared" si="2"/>
        <v>1767.3440545198014</v>
      </c>
      <c r="E32" s="19">
        <f t="shared" si="3"/>
        <v>82864.263004451233</v>
      </c>
      <c r="F32" s="9"/>
    </row>
    <row r="33" spans="1:7" x14ac:dyDescent="0.25">
      <c r="A33" s="89">
        <v>21</v>
      </c>
      <c r="B33" s="19">
        <f t="shared" si="0"/>
        <v>2409.8278015750898</v>
      </c>
      <c r="C33" s="19">
        <f t="shared" si="1"/>
        <v>629.06689406214412</v>
      </c>
      <c r="D33" s="19">
        <f t="shared" si="2"/>
        <v>1780.7609075129458</v>
      </c>
      <c r="E33" s="19">
        <f t="shared" si="3"/>
        <v>81083.502096938289</v>
      </c>
      <c r="F33" s="9"/>
    </row>
    <row r="34" spans="1:7" x14ac:dyDescent="0.25">
      <c r="A34" s="89">
        <v>22</v>
      </c>
      <c r="B34" s="19">
        <f t="shared" si="0"/>
        <v>2409.8278015750898</v>
      </c>
      <c r="C34" s="19">
        <f t="shared" si="1"/>
        <v>615.54818656943064</v>
      </c>
      <c r="D34" s="19">
        <f t="shared" si="2"/>
        <v>1794.2796150056593</v>
      </c>
      <c r="E34" s="19">
        <f t="shared" si="3"/>
        <v>79289.222481932637</v>
      </c>
      <c r="F34" s="9"/>
    </row>
    <row r="35" spans="1:7" x14ac:dyDescent="0.25">
      <c r="A35" s="89">
        <v>23</v>
      </c>
      <c r="B35" s="19">
        <f t="shared" si="0"/>
        <v>2409.8278015750898</v>
      </c>
      <c r="C35" s="19">
        <f t="shared" si="1"/>
        <v>601.92685134522196</v>
      </c>
      <c r="D35" s="19">
        <f t="shared" si="2"/>
        <v>1807.9009502298677</v>
      </c>
      <c r="E35" s="19">
        <f t="shared" si="3"/>
        <v>77481.321531702764</v>
      </c>
      <c r="F35" s="9"/>
    </row>
    <row r="36" spans="1:7" x14ac:dyDescent="0.25">
      <c r="A36" s="90">
        <v>24</v>
      </c>
      <c r="B36" s="20">
        <f t="shared" si="0"/>
        <v>2409.8278015750898</v>
      </c>
      <c r="C36" s="20">
        <f t="shared" si="1"/>
        <v>588.20210928757501</v>
      </c>
      <c r="D36" s="20">
        <f t="shared" si="2"/>
        <v>1821.6256922875148</v>
      </c>
      <c r="E36" s="20">
        <f t="shared" si="3"/>
        <v>75659.695839415246</v>
      </c>
      <c r="F36" s="20">
        <f>$F$24</f>
        <v>30156.439052594014</v>
      </c>
      <c r="G36" s="15"/>
    </row>
    <row r="37" spans="1:7" x14ac:dyDescent="0.25">
      <c r="A37" s="89">
        <v>25</v>
      </c>
      <c r="B37" s="19">
        <f t="shared" si="0"/>
        <v>2409.8278015750898</v>
      </c>
      <c r="C37" s="19">
        <f t="shared" si="1"/>
        <v>574.37317537996819</v>
      </c>
      <c r="D37" s="19">
        <f t="shared" si="2"/>
        <v>1835.4546261951216</v>
      </c>
      <c r="E37" s="19">
        <f t="shared" si="3"/>
        <v>73824.241213220128</v>
      </c>
      <c r="F37" s="9"/>
    </row>
    <row r="38" spans="1:7" x14ac:dyDescent="0.25">
      <c r="A38" s="89">
        <v>26</v>
      </c>
      <c r="B38" s="19">
        <f t="shared" si="0"/>
        <v>2409.8278015750898</v>
      </c>
      <c r="C38" s="19">
        <f t="shared" si="1"/>
        <v>560.43925864639948</v>
      </c>
      <c r="D38" s="19">
        <f t="shared" si="2"/>
        <v>1849.3885429286902</v>
      </c>
      <c r="E38" s="19">
        <f t="shared" si="3"/>
        <v>71974.852670291439</v>
      </c>
      <c r="F38" s="9"/>
    </row>
    <row r="39" spans="1:7" x14ac:dyDescent="0.25">
      <c r="A39" s="89">
        <v>27</v>
      </c>
      <c r="B39" s="19">
        <f t="shared" si="0"/>
        <v>2409.8278015750898</v>
      </c>
      <c r="C39" s="19">
        <f t="shared" si="1"/>
        <v>546.39956210614582</v>
      </c>
      <c r="D39" s="19">
        <f t="shared" si="2"/>
        <v>1863.428239468944</v>
      </c>
      <c r="E39" s="19">
        <f t="shared" si="3"/>
        <v>70111.424430822488</v>
      </c>
      <c r="F39" s="9"/>
    </row>
    <row r="40" spans="1:7" x14ac:dyDescent="0.25">
      <c r="A40" s="89">
        <v>28</v>
      </c>
      <c r="B40" s="19">
        <f t="shared" si="0"/>
        <v>2409.8278015750898</v>
      </c>
      <c r="C40" s="19">
        <f t="shared" si="1"/>
        <v>532.2532827281774</v>
      </c>
      <c r="D40" s="19">
        <f t="shared" si="2"/>
        <v>1877.5745188469123</v>
      </c>
      <c r="E40" s="19">
        <f t="shared" si="3"/>
        <v>68233.849911975572</v>
      </c>
      <c r="F40" s="9"/>
    </row>
    <row r="41" spans="1:7" x14ac:dyDescent="0.25">
      <c r="A41" s="89">
        <v>29</v>
      </c>
      <c r="B41" s="19">
        <f t="shared" si="0"/>
        <v>2409.8278015750898</v>
      </c>
      <c r="C41" s="19">
        <f t="shared" si="1"/>
        <v>517.99961138522701</v>
      </c>
      <c r="D41" s="19">
        <f t="shared" si="2"/>
        <v>1891.8281901898627</v>
      </c>
      <c r="E41" s="19">
        <f t="shared" si="3"/>
        <v>66342.021721785713</v>
      </c>
      <c r="F41" s="9"/>
    </row>
    <row r="42" spans="1:7" x14ac:dyDescent="0.25">
      <c r="A42" s="89">
        <v>30</v>
      </c>
      <c r="B42" s="19">
        <f t="shared" si="0"/>
        <v>2409.8278015750898</v>
      </c>
      <c r="C42" s="19">
        <f t="shared" si="1"/>
        <v>503.63773280750991</v>
      </c>
      <c r="D42" s="19">
        <f t="shared" si="2"/>
        <v>1906.1900687675798</v>
      </c>
      <c r="E42" s="19">
        <f t="shared" si="3"/>
        <v>64435.831653018133</v>
      </c>
      <c r="F42" s="9"/>
    </row>
    <row r="43" spans="1:7" x14ac:dyDescent="0.25">
      <c r="A43" s="89">
        <v>31</v>
      </c>
      <c r="B43" s="19">
        <f t="shared" si="0"/>
        <v>2409.8278015750898</v>
      </c>
      <c r="C43" s="19">
        <f t="shared" si="1"/>
        <v>489.16682553609286</v>
      </c>
      <c r="D43" s="19">
        <f t="shared" si="2"/>
        <v>1920.660976038997</v>
      </c>
      <c r="E43" s="19">
        <f t="shared" si="3"/>
        <v>62515.170676979134</v>
      </c>
      <c r="F43" s="9"/>
    </row>
    <row r="44" spans="1:7" x14ac:dyDescent="0.25">
      <c r="A44" s="89">
        <v>32</v>
      </c>
      <c r="B44" s="19">
        <f t="shared" si="0"/>
        <v>2409.8278015750898</v>
      </c>
      <c r="C44" s="19">
        <f t="shared" si="1"/>
        <v>474.58606187590902</v>
      </c>
      <c r="D44" s="19">
        <f t="shared" si="2"/>
        <v>1935.2417396991807</v>
      </c>
      <c r="E44" s="19">
        <f t="shared" si="3"/>
        <v>60579.928937279954</v>
      </c>
      <c r="F44" s="9"/>
    </row>
    <row r="45" spans="1:7" x14ac:dyDescent="0.25">
      <c r="A45" s="89">
        <v>33</v>
      </c>
      <c r="B45" s="19">
        <f t="shared" si="0"/>
        <v>2409.8278015750898</v>
      </c>
      <c r="C45" s="19">
        <f t="shared" ref="C45:C72" si="4">E44*$C$6</f>
        <v>459.894607848416</v>
      </c>
      <c r="D45" s="19">
        <f t="shared" si="2"/>
        <v>1949.9331937266738</v>
      </c>
      <c r="E45" s="19">
        <f t="shared" si="3"/>
        <v>58629.995743553278</v>
      </c>
      <c r="F45" s="9"/>
    </row>
    <row r="46" spans="1:7" x14ac:dyDescent="0.25">
      <c r="A46" s="89">
        <v>34</v>
      </c>
      <c r="B46" s="19">
        <f t="shared" si="0"/>
        <v>2409.8278015750898</v>
      </c>
      <c r="C46" s="19">
        <f t="shared" si="4"/>
        <v>445.09162314389476</v>
      </c>
      <c r="D46" s="19">
        <f t="shared" si="2"/>
        <v>1964.736178431195</v>
      </c>
      <c r="E46" s="19">
        <f t="shared" si="3"/>
        <v>56665.259565122084</v>
      </c>
      <c r="F46" s="9"/>
    </row>
    <row r="47" spans="1:7" x14ac:dyDescent="0.25">
      <c r="A47" s="89">
        <v>35</v>
      </c>
      <c r="B47" s="19">
        <f t="shared" si="0"/>
        <v>2409.8278015750898</v>
      </c>
      <c r="C47" s="19">
        <f t="shared" si="4"/>
        <v>430.17626107338623</v>
      </c>
      <c r="D47" s="19">
        <f t="shared" si="2"/>
        <v>1979.6515405017035</v>
      </c>
      <c r="E47" s="19">
        <f t="shared" si="3"/>
        <v>54685.608024620378</v>
      </c>
      <c r="F47" s="9"/>
    </row>
    <row r="48" spans="1:7" x14ac:dyDescent="0.25">
      <c r="A48" s="90">
        <v>36</v>
      </c>
      <c r="B48" s="20">
        <f t="shared" si="0"/>
        <v>2409.8278015750898</v>
      </c>
      <c r="C48" s="20">
        <f t="shared" si="4"/>
        <v>415.14766852026293</v>
      </c>
      <c r="D48" s="20">
        <f t="shared" si="2"/>
        <v>1994.6801330548269</v>
      </c>
      <c r="E48" s="20">
        <f t="shared" si="3"/>
        <v>52690.927891565552</v>
      </c>
      <c r="F48" s="20">
        <f>F36</f>
        <v>30156.439052594014</v>
      </c>
    </row>
    <row r="49" spans="1:6" x14ac:dyDescent="0.25">
      <c r="A49" s="89">
        <v>37</v>
      </c>
      <c r="B49" s="19">
        <f t="shared" si="0"/>
        <v>2409.8278015750898</v>
      </c>
      <c r="C49" s="19">
        <f t="shared" si="4"/>
        <v>400.00498589143336</v>
      </c>
      <c r="D49" s="19">
        <f t="shared" si="2"/>
        <v>2009.8228156836565</v>
      </c>
      <c r="E49" s="19">
        <f t="shared" si="3"/>
        <v>50681.105075881896</v>
      </c>
      <c r="F49" s="9"/>
    </row>
    <row r="50" spans="1:6" x14ac:dyDescent="0.25">
      <c r="A50" s="89">
        <v>38</v>
      </c>
      <c r="B50" s="19">
        <f t="shared" si="0"/>
        <v>2409.8278015750898</v>
      </c>
      <c r="C50" s="19">
        <f t="shared" si="4"/>
        <v>384.74734706817571</v>
      </c>
      <c r="D50" s="19">
        <f t="shared" si="2"/>
        <v>2025.0804545069141</v>
      </c>
      <c r="E50" s="19">
        <f t="shared" si="3"/>
        <v>48656.024621374985</v>
      </c>
      <c r="F50" s="9"/>
    </row>
    <row r="51" spans="1:6" x14ac:dyDescent="0.25">
      <c r="A51" s="89">
        <v>39</v>
      </c>
      <c r="B51" s="19">
        <f t="shared" si="0"/>
        <v>2409.8278015750898</v>
      </c>
      <c r="C51" s="19">
        <f t="shared" si="4"/>
        <v>369.37387935659797</v>
      </c>
      <c r="D51" s="19">
        <f t="shared" si="2"/>
        <v>2040.4539222184917</v>
      </c>
      <c r="E51" s="19">
        <f t="shared" si="3"/>
        <v>46615.570699156495</v>
      </c>
      <c r="F51" s="9"/>
    </row>
    <row r="52" spans="1:6" x14ac:dyDescent="0.25">
      <c r="A52" s="89">
        <v>40</v>
      </c>
      <c r="B52" s="19">
        <f t="shared" si="0"/>
        <v>2409.8278015750898</v>
      </c>
      <c r="C52" s="19">
        <f t="shared" si="4"/>
        <v>353.8837034377226</v>
      </c>
      <c r="D52" s="19">
        <f t="shared" si="2"/>
        <v>2055.9440981373673</v>
      </c>
      <c r="E52" s="19">
        <f t="shared" si="3"/>
        <v>44559.626601019125</v>
      </c>
      <c r="F52" s="9"/>
    </row>
    <row r="53" spans="1:6" x14ac:dyDescent="0.25">
      <c r="A53" s="89">
        <v>41</v>
      </c>
      <c r="B53" s="19">
        <f t="shared" si="0"/>
        <v>2409.8278015750898</v>
      </c>
      <c r="C53" s="19">
        <f t="shared" si="4"/>
        <v>338.27593331719191</v>
      </c>
      <c r="D53" s="19">
        <f t="shared" si="2"/>
        <v>2071.5518682578977</v>
      </c>
      <c r="E53" s="19">
        <f t="shared" si="3"/>
        <v>42488.074732761226</v>
      </c>
      <c r="F53" s="9"/>
    </row>
    <row r="54" spans="1:6" x14ac:dyDescent="0.25">
      <c r="A54" s="89">
        <v>42</v>
      </c>
      <c r="B54" s="19">
        <f t="shared" si="0"/>
        <v>2409.8278015750898</v>
      </c>
      <c r="C54" s="19">
        <f t="shared" si="4"/>
        <v>322.54967627459166</v>
      </c>
      <c r="D54" s="19">
        <f t="shared" si="2"/>
        <v>2087.2781253004982</v>
      </c>
      <c r="E54" s="19">
        <f t="shared" si="3"/>
        <v>40400.796607460725</v>
      </c>
      <c r="F54" s="9"/>
    </row>
    <row r="55" spans="1:6" x14ac:dyDescent="0.25">
      <c r="A55" s="89">
        <v>43</v>
      </c>
      <c r="B55" s="19">
        <f t="shared" si="0"/>
        <v>2409.8278015750898</v>
      </c>
      <c r="C55" s="19">
        <f t="shared" si="4"/>
        <v>306.70403281238998</v>
      </c>
      <c r="D55" s="19">
        <f t="shared" si="2"/>
        <v>2103.1237687626999</v>
      </c>
      <c r="E55" s="19">
        <f t="shared" si="3"/>
        <v>38297.672838698025</v>
      </c>
      <c r="F55" s="9"/>
    </row>
    <row r="56" spans="1:6" x14ac:dyDescent="0.25">
      <c r="A56" s="89">
        <v>44</v>
      </c>
      <c r="B56" s="19">
        <f t="shared" si="0"/>
        <v>2409.8278015750898</v>
      </c>
      <c r="C56" s="19">
        <f t="shared" si="4"/>
        <v>290.7380966044887</v>
      </c>
      <c r="D56" s="19">
        <f t="shared" si="2"/>
        <v>2119.0897049706009</v>
      </c>
      <c r="E56" s="19">
        <f t="shared" si="3"/>
        <v>36178.583133727421</v>
      </c>
      <c r="F56" s="9"/>
    </row>
    <row r="57" spans="1:6" x14ac:dyDescent="0.25">
      <c r="A57" s="89">
        <v>45</v>
      </c>
      <c r="B57" s="19">
        <f t="shared" si="0"/>
        <v>2409.8278015750898</v>
      </c>
      <c r="C57" s="19">
        <f t="shared" si="4"/>
        <v>274.6509544443839</v>
      </c>
      <c r="D57" s="19">
        <f t="shared" si="2"/>
        <v>2135.1768471307059</v>
      </c>
      <c r="E57" s="19">
        <f t="shared" si="3"/>
        <v>34043.406286596713</v>
      </c>
      <c r="F57" s="9"/>
    </row>
    <row r="58" spans="1:6" x14ac:dyDescent="0.25">
      <c r="A58" s="89">
        <v>46</v>
      </c>
      <c r="B58" s="19">
        <f t="shared" si="0"/>
        <v>2409.8278015750898</v>
      </c>
      <c r="C58" s="19">
        <f t="shared" si="4"/>
        <v>258.44168619293316</v>
      </c>
      <c r="D58" s="19">
        <f t="shared" si="2"/>
        <v>2151.3861153821567</v>
      </c>
      <c r="E58" s="19">
        <f t="shared" si="3"/>
        <v>31892.020171214557</v>
      </c>
      <c r="F58" s="9"/>
    </row>
    <row r="59" spans="1:6" x14ac:dyDescent="0.25">
      <c r="A59" s="89">
        <v>47</v>
      </c>
      <c r="B59" s="19">
        <f t="shared" si="0"/>
        <v>2409.8278015750898</v>
      </c>
      <c r="C59" s="19">
        <f t="shared" si="4"/>
        <v>242.10936472572629</v>
      </c>
      <c r="D59" s="19">
        <f t="shared" si="2"/>
        <v>2167.7184368493636</v>
      </c>
      <c r="E59" s="19">
        <f t="shared" si="3"/>
        <v>29724.301734365195</v>
      </c>
      <c r="F59" s="9"/>
    </row>
    <row r="60" spans="1:6" x14ac:dyDescent="0.25">
      <c r="A60" s="90">
        <v>48</v>
      </c>
      <c r="B60" s="20">
        <f t="shared" si="0"/>
        <v>2409.8278015750898</v>
      </c>
      <c r="C60" s="20">
        <f t="shared" si="4"/>
        <v>225.65305588005631</v>
      </c>
      <c r="D60" s="20">
        <f t="shared" si="2"/>
        <v>2184.1747456950334</v>
      </c>
      <c r="E60" s="20">
        <f t="shared" si="3"/>
        <v>27540.126988670163</v>
      </c>
      <c r="F60" s="20">
        <f>F48</f>
        <v>30156.439052594014</v>
      </c>
    </row>
    <row r="61" spans="1:6" x14ac:dyDescent="0.25">
      <c r="A61" s="89">
        <v>49</v>
      </c>
      <c r="B61" s="19">
        <f t="shared" si="0"/>
        <v>2409.8278015750898</v>
      </c>
      <c r="C61" s="19">
        <f t="shared" si="4"/>
        <v>209.071818401488</v>
      </c>
      <c r="D61" s="19">
        <f t="shared" si="2"/>
        <v>2200.7559831736016</v>
      </c>
      <c r="E61" s="19">
        <f t="shared" si="3"/>
        <v>25339.371005496563</v>
      </c>
      <c r="F61" s="9"/>
    </row>
    <row r="62" spans="1:6" x14ac:dyDescent="0.25">
      <c r="A62" s="89">
        <v>50</v>
      </c>
      <c r="B62" s="19">
        <f t="shared" si="0"/>
        <v>2409.8278015750898</v>
      </c>
      <c r="C62" s="19">
        <f t="shared" si="4"/>
        <v>192.36470389002088</v>
      </c>
      <c r="D62" s="19">
        <f t="shared" si="2"/>
        <v>2217.463097685069</v>
      </c>
      <c r="E62" s="19">
        <f t="shared" si="3"/>
        <v>23121.907907811496</v>
      </c>
      <c r="F62" s="9"/>
    </row>
    <row r="63" spans="1:6" x14ac:dyDescent="0.25">
      <c r="A63" s="89">
        <v>51</v>
      </c>
      <c r="B63" s="19">
        <f t="shared" si="0"/>
        <v>2409.8278015750898</v>
      </c>
      <c r="C63" s="19">
        <f t="shared" si="4"/>
        <v>175.53075674584323</v>
      </c>
      <c r="D63" s="19">
        <f t="shared" si="2"/>
        <v>2234.2970448292467</v>
      </c>
      <c r="E63" s="19">
        <f t="shared" si="3"/>
        <v>20887.610862982248</v>
      </c>
      <c r="F63" s="9"/>
    </row>
    <row r="64" spans="1:6" x14ac:dyDescent="0.25">
      <c r="A64" s="89">
        <v>52</v>
      </c>
      <c r="B64" s="19">
        <f t="shared" si="0"/>
        <v>2409.8278015750898</v>
      </c>
      <c r="C64" s="19">
        <f t="shared" si="4"/>
        <v>158.5690141146747</v>
      </c>
      <c r="D64" s="19">
        <f t="shared" si="2"/>
        <v>2251.2587874604151</v>
      </c>
      <c r="E64" s="19">
        <f t="shared" si="3"/>
        <v>18636.352075521834</v>
      </c>
      <c r="F64" s="9"/>
    </row>
    <row r="65" spans="1:6" x14ac:dyDescent="0.25">
      <c r="A65" s="89">
        <v>53</v>
      </c>
      <c r="B65" s="19">
        <f t="shared" si="0"/>
        <v>2409.8278015750898</v>
      </c>
      <c r="C65" s="19">
        <f t="shared" si="4"/>
        <v>141.47850583269363</v>
      </c>
      <c r="D65" s="19">
        <f t="shared" si="2"/>
        <v>2268.349295742396</v>
      </c>
      <c r="E65" s="19">
        <f t="shared" si="3"/>
        <v>16368.002779779439</v>
      </c>
      <c r="F65" s="9"/>
    </row>
    <row r="66" spans="1:6" x14ac:dyDescent="0.25">
      <c r="A66" s="89">
        <v>54</v>
      </c>
      <c r="B66" s="19">
        <f t="shared" si="0"/>
        <v>2409.8278015750898</v>
      </c>
      <c r="C66" s="19">
        <f t="shared" si="4"/>
        <v>124.25825437104642</v>
      </c>
      <c r="D66" s="19">
        <f t="shared" si="2"/>
        <v>2285.5695472040434</v>
      </c>
      <c r="E66" s="19">
        <f t="shared" si="3"/>
        <v>14082.433232575397</v>
      </c>
      <c r="F66" s="9"/>
    </row>
    <row r="67" spans="1:6" x14ac:dyDescent="0.25">
      <c r="A67" s="89">
        <v>55</v>
      </c>
      <c r="B67" s="19">
        <f t="shared" si="0"/>
        <v>2409.8278015750898</v>
      </c>
      <c r="C67" s="19">
        <f t="shared" si="4"/>
        <v>106.90727477993566</v>
      </c>
      <c r="D67" s="19">
        <f t="shared" si="2"/>
        <v>2302.9205267951543</v>
      </c>
      <c r="E67" s="19">
        <f t="shared" si="3"/>
        <v>11779.512705780242</v>
      </c>
      <c r="F67" s="9"/>
    </row>
    <row r="68" spans="1:6" x14ac:dyDescent="0.25">
      <c r="A68" s="89">
        <v>56</v>
      </c>
      <c r="B68" s="19">
        <f t="shared" si="0"/>
        <v>2409.8278015750898</v>
      </c>
      <c r="C68" s="19">
        <f t="shared" si="4"/>
        <v>89.424574632283765</v>
      </c>
      <c r="D68" s="19">
        <f t="shared" si="2"/>
        <v>2320.4032269428062</v>
      </c>
      <c r="E68" s="19">
        <f t="shared" si="3"/>
        <v>9459.1094788374357</v>
      </c>
      <c r="F68" s="9"/>
    </row>
    <row r="69" spans="1:6" x14ac:dyDescent="0.25">
      <c r="A69" s="89">
        <v>57</v>
      </c>
      <c r="B69" s="19">
        <f t="shared" si="0"/>
        <v>2409.8278015750898</v>
      </c>
      <c r="C69" s="19">
        <f t="shared" si="4"/>
        <v>71.809153966969006</v>
      </c>
      <c r="D69" s="19">
        <f t="shared" si="2"/>
        <v>2338.0186476081208</v>
      </c>
      <c r="E69" s="19">
        <f t="shared" si="3"/>
        <v>7121.090831229315</v>
      </c>
      <c r="F69" s="9"/>
    </row>
    <row r="70" spans="1:6" x14ac:dyDescent="0.25">
      <c r="A70" s="89">
        <v>58</v>
      </c>
      <c r="B70" s="19">
        <f t="shared" si="0"/>
        <v>2409.8278015750898</v>
      </c>
      <c r="C70" s="19">
        <f t="shared" si="4"/>
        <v>54.060005231630477</v>
      </c>
      <c r="D70" s="19">
        <f t="shared" si="2"/>
        <v>2355.7677963434594</v>
      </c>
      <c r="E70" s="19">
        <f t="shared" si="3"/>
        <v>4765.323034885856</v>
      </c>
      <c r="F70" s="9"/>
    </row>
    <row r="71" spans="1:6" x14ac:dyDescent="0.25">
      <c r="A71" s="89">
        <v>59</v>
      </c>
      <c r="B71" s="19">
        <f t="shared" si="0"/>
        <v>2409.8278015750898</v>
      </c>
      <c r="C71" s="19">
        <f t="shared" si="4"/>
        <v>36.176113225038968</v>
      </c>
      <c r="D71" s="19">
        <f t="shared" si="2"/>
        <v>2373.6516883500508</v>
      </c>
      <c r="E71" s="19">
        <f t="shared" si="3"/>
        <v>2391.6713465358052</v>
      </c>
      <c r="F71" s="9"/>
    </row>
    <row r="72" spans="1:6" x14ac:dyDescent="0.25">
      <c r="A72" s="90">
        <v>60</v>
      </c>
      <c r="B72" s="20">
        <f t="shared" si="0"/>
        <v>2409.8278015750898</v>
      </c>
      <c r="C72" s="20">
        <f t="shared" si="4"/>
        <v>18.156455039030352</v>
      </c>
      <c r="D72" s="20">
        <f t="shared" si="2"/>
        <v>2391.6713465360594</v>
      </c>
      <c r="E72" s="20">
        <f t="shared" si="3"/>
        <v>-2.5420376914553344E-10</v>
      </c>
      <c r="F72" s="20">
        <f>F60</f>
        <v>30156.439052594014</v>
      </c>
    </row>
    <row r="74" spans="1:6" x14ac:dyDescent="0.25">
      <c r="A74" s="109" t="s">
        <v>7</v>
      </c>
      <c r="B74" s="109"/>
    </row>
  </sheetData>
  <mergeCells count="7">
    <mergeCell ref="A2:E2"/>
    <mergeCell ref="A74:B74"/>
    <mergeCell ref="H19:I19"/>
    <mergeCell ref="I6:J6"/>
    <mergeCell ref="I7:J7"/>
    <mergeCell ref="I8:J8"/>
    <mergeCell ref="I9:J9"/>
  </mergeCells>
  <phoneticPr fontId="8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workbookViewId="0">
      <selection activeCell="C10" sqref="C10"/>
    </sheetView>
  </sheetViews>
  <sheetFormatPr baseColWidth="10" defaultRowHeight="15" x14ac:dyDescent="0.25"/>
  <cols>
    <col min="1" max="1" width="37.5703125" bestFit="1" customWidth="1"/>
    <col min="2" max="3" width="22" bestFit="1" customWidth="1"/>
  </cols>
  <sheetData>
    <row r="2" spans="1:5" x14ac:dyDescent="0.25">
      <c r="A2" s="114" t="s">
        <v>122</v>
      </c>
      <c r="B2" s="114"/>
      <c r="C2" s="114"/>
    </row>
    <row r="9" spans="1:5" x14ac:dyDescent="0.25">
      <c r="A9" t="s">
        <v>123</v>
      </c>
      <c r="C9" s="12" t="s">
        <v>124</v>
      </c>
    </row>
    <row r="10" spans="1:5" x14ac:dyDescent="0.25">
      <c r="A10" t="s">
        <v>125</v>
      </c>
      <c r="C10" s="24">
        <v>4.5199999999999997E-2</v>
      </c>
    </row>
    <row r="11" spans="1:5" x14ac:dyDescent="0.25">
      <c r="A11" t="s">
        <v>126</v>
      </c>
      <c r="C11" s="24">
        <v>9.5200000000000007E-2</v>
      </c>
    </row>
    <row r="12" spans="1:5" x14ac:dyDescent="0.25">
      <c r="A12" t="s">
        <v>127</v>
      </c>
      <c r="C12" s="24">
        <v>0.122</v>
      </c>
    </row>
    <row r="13" spans="1:5" x14ac:dyDescent="0.25">
      <c r="A13" t="s">
        <v>128</v>
      </c>
      <c r="C13" s="24">
        <v>8.9599999999999999E-2</v>
      </c>
      <c r="D13" s="15" t="s">
        <v>176</v>
      </c>
      <c r="E13" s="15"/>
    </row>
    <row r="19" spans="1:3" ht="26.25" x14ac:dyDescent="0.4">
      <c r="A19" s="43" t="s">
        <v>129</v>
      </c>
      <c r="B19" s="44">
        <f>4.52%+9.5%*(12.2%-4.52%)+8.96%</f>
        <v>0.142096</v>
      </c>
      <c r="C19" s="45">
        <f>B19</f>
        <v>0.142096</v>
      </c>
    </row>
    <row r="21" spans="1:3" x14ac:dyDescent="0.25">
      <c r="A21" s="109" t="s">
        <v>7</v>
      </c>
      <c r="B21" s="109"/>
    </row>
  </sheetData>
  <mergeCells count="2">
    <mergeCell ref="A21:B21"/>
    <mergeCell ref="A2:C2"/>
  </mergeCells>
  <phoneticPr fontId="8" type="noConversion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1"/>
  <sheetViews>
    <sheetView topLeftCell="A12" zoomScale="85" zoomScaleNormal="85" workbookViewId="0">
      <selection activeCell="A33" sqref="A33:B34"/>
    </sheetView>
  </sheetViews>
  <sheetFormatPr baseColWidth="10" defaultRowHeight="15" x14ac:dyDescent="0.25"/>
  <cols>
    <col min="1" max="1" width="39.140625" bestFit="1" customWidth="1"/>
    <col min="2" max="2" width="13.7109375" bestFit="1" customWidth="1"/>
    <col min="3" max="4" width="13.140625" bestFit="1" customWidth="1"/>
    <col min="5" max="6" width="13" bestFit="1" customWidth="1"/>
    <col min="7" max="7" width="13.7109375" bestFit="1" customWidth="1"/>
  </cols>
  <sheetData>
    <row r="2" spans="1:7" ht="15.75" x14ac:dyDescent="0.25">
      <c r="A2" s="112" t="s">
        <v>119</v>
      </c>
      <c r="B2" s="112"/>
      <c r="C2" s="112"/>
      <c r="D2" s="112"/>
      <c r="E2" s="112"/>
      <c r="F2" s="112"/>
      <c r="G2" s="112"/>
    </row>
    <row r="3" spans="1:7" x14ac:dyDescent="0.25">
      <c r="A3" s="14"/>
    </row>
    <row r="4" spans="1:7" x14ac:dyDescent="0.25">
      <c r="A4" s="46" t="s">
        <v>144</v>
      </c>
      <c r="B4" s="67">
        <v>2012</v>
      </c>
      <c r="C4" s="67">
        <v>2013</v>
      </c>
      <c r="D4" s="67">
        <v>2014</v>
      </c>
      <c r="E4" s="67">
        <v>2015</v>
      </c>
      <c r="F4" s="67">
        <v>2016</v>
      </c>
      <c r="G4" s="67">
        <v>2017</v>
      </c>
    </row>
    <row r="5" spans="1:7" x14ac:dyDescent="0.25">
      <c r="A5" s="83" t="s">
        <v>177</v>
      </c>
      <c r="B5" s="21"/>
      <c r="C5" s="21">
        <f>'INGRESOS ANUALES'!B7</f>
        <v>187200</v>
      </c>
      <c r="D5" s="21">
        <f>'INGRESOS ANUALES'!C7</f>
        <v>187200</v>
      </c>
      <c r="E5" s="21">
        <f>'INGRESOS ANUALES'!D7</f>
        <v>187200</v>
      </c>
      <c r="F5" s="21">
        <f>'INGRESOS ANUALES'!E7</f>
        <v>187200</v>
      </c>
      <c r="G5" s="21">
        <f>'INGRESOS ANUALES'!F7</f>
        <v>187200</v>
      </c>
    </row>
    <row r="6" spans="1:7" x14ac:dyDescent="0.25">
      <c r="A6" s="54" t="s">
        <v>99</v>
      </c>
      <c r="B6" s="63"/>
      <c r="C6" s="92">
        <f>C5</f>
        <v>187200</v>
      </c>
      <c r="D6" s="92">
        <f t="shared" ref="D6:G6" si="0">D5</f>
        <v>187200</v>
      </c>
      <c r="E6" s="92">
        <f t="shared" si="0"/>
        <v>187200</v>
      </c>
      <c r="F6" s="92">
        <f t="shared" si="0"/>
        <v>187200</v>
      </c>
      <c r="G6" s="92">
        <f t="shared" si="0"/>
        <v>187200</v>
      </c>
    </row>
    <row r="7" spans="1:7" x14ac:dyDescent="0.25">
      <c r="A7" s="84" t="s">
        <v>98</v>
      </c>
      <c r="B7" s="21"/>
      <c r="C7" s="23">
        <f>SUM(C8:C14)</f>
        <v>136140</v>
      </c>
      <c r="D7" s="23">
        <f>SUM(D8:D14)</f>
        <v>136140</v>
      </c>
      <c r="E7" s="23">
        <f>SUM(E8:E14)</f>
        <v>136140</v>
      </c>
      <c r="F7" s="23">
        <f>SUM(F8:F14)</f>
        <v>136140</v>
      </c>
      <c r="G7" s="23">
        <f>SUM(G8:G14)</f>
        <v>136140</v>
      </c>
    </row>
    <row r="8" spans="1:7" x14ac:dyDescent="0.25">
      <c r="A8" s="83" t="s">
        <v>101</v>
      </c>
      <c r="B8" s="21"/>
      <c r="C8" s="21">
        <f>'GASTO ORG. Y ADM.'!$E$11</f>
        <v>66600</v>
      </c>
      <c r="D8" s="21">
        <f>'GASTO ORG. Y ADM.'!$E$11</f>
        <v>66600</v>
      </c>
      <c r="E8" s="21">
        <f>'GASTO ORG. Y ADM.'!$E$11</f>
        <v>66600</v>
      </c>
      <c r="F8" s="21">
        <f>'GASTO ORG. Y ADM.'!$E$11</f>
        <v>66600</v>
      </c>
      <c r="G8" s="21">
        <f>'GASTO ORG. Y ADM.'!$E$11</f>
        <v>66600</v>
      </c>
    </row>
    <row r="9" spans="1:7" x14ac:dyDescent="0.25">
      <c r="A9" s="83" t="s">
        <v>100</v>
      </c>
      <c r="B9" s="21"/>
      <c r="C9" s="21">
        <f>'COST. FIJOS'!$C$8</f>
        <v>8040</v>
      </c>
      <c r="D9" s="21">
        <f>'COST. FIJOS'!$C$8</f>
        <v>8040</v>
      </c>
      <c r="E9" s="21">
        <f>'COST. FIJOS'!$C$8</f>
        <v>8040</v>
      </c>
      <c r="F9" s="21">
        <f>'COST. FIJOS'!$C$8</f>
        <v>8040</v>
      </c>
      <c r="G9" s="21">
        <f>'COST. FIJOS'!$C$8</f>
        <v>8040</v>
      </c>
    </row>
    <row r="10" spans="1:7" x14ac:dyDescent="0.25">
      <c r="A10" s="83" t="s">
        <v>178</v>
      </c>
      <c r="B10" s="21"/>
      <c r="C10" s="21">
        <f>'INV. PROYECTO'!$B$6*12</f>
        <v>45600</v>
      </c>
      <c r="D10" s="21">
        <f>'INV. PROYECTO'!$B$6*12</f>
        <v>45600</v>
      </c>
      <c r="E10" s="21">
        <f>'INV. PROYECTO'!$B$6*12</f>
        <v>45600</v>
      </c>
      <c r="F10" s="21">
        <f>'INV. PROYECTO'!$B$6*12</f>
        <v>45600</v>
      </c>
      <c r="G10" s="21">
        <f>'INV. PROYECTO'!$B$6*12</f>
        <v>45600</v>
      </c>
    </row>
    <row r="11" spans="1:7" x14ac:dyDescent="0.25">
      <c r="A11" s="83" t="s">
        <v>179</v>
      </c>
      <c r="B11" s="21"/>
      <c r="C11" s="21">
        <f>'INV. PROYECTO'!$B$7*12</f>
        <v>7800</v>
      </c>
      <c r="D11" s="21">
        <f>'INV. PROYECTO'!$B$7*12</f>
        <v>7800</v>
      </c>
      <c r="E11" s="21">
        <f>'INV. PROYECTO'!$B$7*12</f>
        <v>7800</v>
      </c>
      <c r="F11" s="21">
        <f>'INV. PROYECTO'!$B$7*12</f>
        <v>7800</v>
      </c>
      <c r="G11" s="21">
        <f>'INV. PROYECTO'!$B$7*12</f>
        <v>7800</v>
      </c>
    </row>
    <row r="12" spans="1:7" x14ac:dyDescent="0.25">
      <c r="A12" s="83" t="s">
        <v>102</v>
      </c>
      <c r="B12" s="21"/>
      <c r="C12" s="21">
        <f>'COST. FIJOS'!$C$10</f>
        <v>5100</v>
      </c>
      <c r="D12" s="21">
        <f>'COST. FIJOS'!$C$10</f>
        <v>5100</v>
      </c>
      <c r="E12" s="21">
        <f>'COST. FIJOS'!$C$10</f>
        <v>5100</v>
      </c>
      <c r="F12" s="21">
        <f>'COST. FIJOS'!$C$10</f>
        <v>5100</v>
      </c>
      <c r="G12" s="21">
        <f>'COST. FIJOS'!$C$10</f>
        <v>5100</v>
      </c>
    </row>
    <row r="13" spans="1:7" x14ac:dyDescent="0.25">
      <c r="A13" s="83" t="s">
        <v>194</v>
      </c>
      <c r="B13" s="21"/>
      <c r="C13" s="21">
        <f>'COST. FIJOS'!$C$5</f>
        <v>2400</v>
      </c>
      <c r="D13" s="21">
        <f>'COST. FIJOS'!$C$5</f>
        <v>2400</v>
      </c>
      <c r="E13" s="21">
        <f>'COST. FIJOS'!$C$5</f>
        <v>2400</v>
      </c>
      <c r="F13" s="21">
        <f>'COST. FIJOS'!$C$5</f>
        <v>2400</v>
      </c>
      <c r="G13" s="21">
        <f>'COST. FIJOS'!$C$5</f>
        <v>2400</v>
      </c>
    </row>
    <row r="14" spans="1:7" x14ac:dyDescent="0.25">
      <c r="A14" s="83" t="s">
        <v>103</v>
      </c>
      <c r="B14" s="21"/>
      <c r="C14" s="21">
        <f>'COST. FIJOS'!$C$11</f>
        <v>600</v>
      </c>
      <c r="D14" s="21">
        <f>'COST. FIJOS'!$C$11</f>
        <v>600</v>
      </c>
      <c r="E14" s="21">
        <f>'COST. FIJOS'!$C$11</f>
        <v>600</v>
      </c>
      <c r="F14" s="21">
        <f>'COST. FIJOS'!$C$11</f>
        <v>600</v>
      </c>
      <c r="G14" s="21">
        <f>'COST. FIJOS'!$C$11</f>
        <v>600</v>
      </c>
    </row>
    <row r="15" spans="1:7" x14ac:dyDescent="0.25">
      <c r="A15" s="84" t="s">
        <v>104</v>
      </c>
      <c r="B15" s="21"/>
      <c r="C15" s="23">
        <f>SUM(C16:C18)</f>
        <v>24595.326333333331</v>
      </c>
      <c r="D15" s="23">
        <f t="shared" ref="D15:G15" si="1">SUM(D16:D18)</f>
        <v>24595.326333333331</v>
      </c>
      <c r="E15" s="23">
        <f t="shared" si="1"/>
        <v>24595.326333333331</v>
      </c>
      <c r="F15" s="23">
        <f t="shared" si="1"/>
        <v>24061.992999999999</v>
      </c>
      <c r="G15" s="23">
        <f t="shared" si="1"/>
        <v>24061.992999999999</v>
      </c>
    </row>
    <row r="16" spans="1:7" x14ac:dyDescent="0.25">
      <c r="A16" s="83" t="s">
        <v>105</v>
      </c>
      <c r="B16" s="21"/>
      <c r="C16" s="21">
        <f>'VALOR DE DESECHO'!$D$5</f>
        <v>23950</v>
      </c>
      <c r="D16" s="21">
        <f>'VALOR DE DESECHO'!$D$5</f>
        <v>23950</v>
      </c>
      <c r="E16" s="21">
        <f>'VALOR DE DESECHO'!$D$5</f>
        <v>23950</v>
      </c>
      <c r="F16" s="21">
        <f>'VALOR DE DESECHO'!$D$5</f>
        <v>23950</v>
      </c>
      <c r="G16" s="21">
        <f>'VALOR DE DESECHO'!$D$5</f>
        <v>23950</v>
      </c>
    </row>
    <row r="17" spans="1:7" x14ac:dyDescent="0.25">
      <c r="A17" s="83" t="s">
        <v>106</v>
      </c>
      <c r="B17" s="21"/>
      <c r="C17" s="21">
        <f>'VALOR DE DESECHO'!$D$6</f>
        <v>111.99300000000001</v>
      </c>
      <c r="D17" s="21">
        <f>'VALOR DE DESECHO'!$D$6</f>
        <v>111.99300000000001</v>
      </c>
      <c r="E17" s="21">
        <f>'VALOR DE DESECHO'!$D$6</f>
        <v>111.99300000000001</v>
      </c>
      <c r="F17" s="21">
        <f>'VALOR DE DESECHO'!$D$6</f>
        <v>111.99300000000001</v>
      </c>
      <c r="G17" s="21">
        <f>'VALOR DE DESECHO'!$D$6</f>
        <v>111.99300000000001</v>
      </c>
    </row>
    <row r="18" spans="1:7" x14ac:dyDescent="0.25">
      <c r="A18" s="83" t="s">
        <v>107</v>
      </c>
      <c r="B18" s="21"/>
      <c r="C18" s="22">
        <f>'VALOR DE DESECHO'!$D$7</f>
        <v>533.33333333333337</v>
      </c>
      <c r="D18" s="22">
        <f>'VALOR DE DESECHO'!$D$7</f>
        <v>533.33333333333337</v>
      </c>
      <c r="E18" s="22">
        <f>'VALOR DE DESECHO'!$D$7</f>
        <v>533.33333333333337</v>
      </c>
      <c r="F18" s="22">
        <v>0</v>
      </c>
      <c r="G18" s="22">
        <v>0</v>
      </c>
    </row>
    <row r="19" spans="1:7" x14ac:dyDescent="0.25">
      <c r="A19" s="54" t="s">
        <v>108</v>
      </c>
      <c r="B19" s="63"/>
      <c r="C19" s="64">
        <f>C6-C7-C15</f>
        <v>26464.673666666669</v>
      </c>
      <c r="D19" s="64">
        <f>D6-D7-D15</f>
        <v>26464.673666666669</v>
      </c>
      <c r="E19" s="64">
        <f>E6-E7-E15</f>
        <v>26464.673666666669</v>
      </c>
      <c r="F19" s="64">
        <f>F6-F7-F15</f>
        <v>26998.007000000001</v>
      </c>
      <c r="G19" s="64">
        <f>G6-G7-G15</f>
        <v>26998.007000000001</v>
      </c>
    </row>
    <row r="20" spans="1:7" x14ac:dyDescent="0.25">
      <c r="A20" s="84" t="s">
        <v>109</v>
      </c>
      <c r="B20" s="21"/>
      <c r="C20" s="23">
        <f>C21</f>
        <v>11000.23468</v>
      </c>
      <c r="D20" s="23">
        <f t="shared" ref="D20:G20" si="2">D21</f>
        <v>9180.3952646035614</v>
      </c>
      <c r="E20" s="23">
        <f t="shared" si="2"/>
        <v>7187.6711047444624</v>
      </c>
      <c r="F20" s="23">
        <f t="shared" si="2"/>
        <v>5005.6381496987478</v>
      </c>
      <c r="G20" s="23">
        <f t="shared" si="2"/>
        <v>2616.3120639236899</v>
      </c>
    </row>
    <row r="21" spans="1:7" x14ac:dyDescent="0.25">
      <c r="A21" s="83" t="s">
        <v>110</v>
      </c>
      <c r="B21" s="21"/>
      <c r="C21" s="22">
        <f>'AMORT. PREST. BANC.'!J13</f>
        <v>11000.23468</v>
      </c>
      <c r="D21" s="22">
        <f>'AMORT. PREST. BANC.'!J14</f>
        <v>9180.3952646035614</v>
      </c>
      <c r="E21" s="22">
        <f>'AMORT. PREST. BANC.'!J15</f>
        <v>7187.6711047444624</v>
      </c>
      <c r="F21" s="22">
        <f>'AMORT. PREST. BANC.'!J16</f>
        <v>5005.6381496987478</v>
      </c>
      <c r="G21" s="22">
        <f>'AMORT. PREST. BANC.'!J17</f>
        <v>2616.3120639236899</v>
      </c>
    </row>
    <row r="22" spans="1:7" x14ac:dyDescent="0.25">
      <c r="A22" s="54" t="s">
        <v>111</v>
      </c>
      <c r="B22" s="63"/>
      <c r="C22" s="64">
        <f>C19-C20</f>
        <v>15464.43898666667</v>
      </c>
      <c r="D22" s="64">
        <f t="shared" ref="D22:G22" si="3">D19-D20</f>
        <v>17284.278402063108</v>
      </c>
      <c r="E22" s="64">
        <f t="shared" si="3"/>
        <v>19277.002561922207</v>
      </c>
      <c r="F22" s="64">
        <f t="shared" si="3"/>
        <v>21992.368850301253</v>
      </c>
      <c r="G22" s="64">
        <f t="shared" si="3"/>
        <v>24381.69493607631</v>
      </c>
    </row>
    <row r="23" spans="1:7" x14ac:dyDescent="0.25">
      <c r="A23" s="83" t="s">
        <v>191</v>
      </c>
      <c r="B23" s="21"/>
      <c r="C23" s="22">
        <f>C22*0.24</f>
        <v>3711.4653568000008</v>
      </c>
      <c r="D23" s="22">
        <f t="shared" ref="D23:G23" si="4">D22*0.24</f>
        <v>4148.2268164951456</v>
      </c>
      <c r="E23" s="22">
        <f t="shared" si="4"/>
        <v>4626.4806148613297</v>
      </c>
      <c r="F23" s="22">
        <f t="shared" si="4"/>
        <v>5278.1685240723009</v>
      </c>
      <c r="G23" s="22">
        <f t="shared" si="4"/>
        <v>5851.6067846583146</v>
      </c>
    </row>
    <row r="24" spans="1:7" x14ac:dyDescent="0.25">
      <c r="A24" s="54" t="s">
        <v>112</v>
      </c>
      <c r="B24" s="63"/>
      <c r="C24" s="64">
        <f>C22-C23</f>
        <v>11752.973629866668</v>
      </c>
      <c r="D24" s="64">
        <f t="shared" ref="D24:G24" si="5">D22-D23</f>
        <v>13136.051585567962</v>
      </c>
      <c r="E24" s="64">
        <f t="shared" si="5"/>
        <v>14650.521947060877</v>
      </c>
      <c r="F24" s="64">
        <f t="shared" si="5"/>
        <v>16714.200326228951</v>
      </c>
      <c r="G24" s="64">
        <f t="shared" si="5"/>
        <v>18530.088151417996</v>
      </c>
    </row>
    <row r="25" spans="1:7" x14ac:dyDescent="0.25">
      <c r="A25" s="83" t="s">
        <v>113</v>
      </c>
      <c r="B25" s="21"/>
      <c r="C25" s="21">
        <f>C15</f>
        <v>24595.326333333331</v>
      </c>
      <c r="D25" s="21">
        <f t="shared" ref="D25:G25" si="6">D15</f>
        <v>24595.326333333331</v>
      </c>
      <c r="E25" s="21">
        <f t="shared" si="6"/>
        <v>24595.326333333331</v>
      </c>
      <c r="F25" s="21">
        <f t="shared" si="6"/>
        <v>24061.992999999999</v>
      </c>
      <c r="G25" s="21">
        <f t="shared" si="6"/>
        <v>24061.992999999999</v>
      </c>
    </row>
    <row r="26" spans="1:7" x14ac:dyDescent="0.25">
      <c r="A26" s="83" t="s">
        <v>114</v>
      </c>
      <c r="B26" s="21"/>
      <c r="C26" s="21">
        <f>'AMORT. PREST. BANC.'!K13</f>
        <v>19156.204372594089</v>
      </c>
      <c r="D26" s="21">
        <f>'AMORT. PREST. BANC.'!K14</f>
        <v>20976.043787990529</v>
      </c>
      <c r="E26" s="21">
        <f>'AMORT. PREST. BANC.'!K15</f>
        <v>22968.767947849628</v>
      </c>
      <c r="F26" s="21">
        <f>'AMORT. PREST. BANC.'!K16</f>
        <v>25150.800902895342</v>
      </c>
      <c r="G26" s="21">
        <f>'AMORT. PREST. BANC.'!K17</f>
        <v>27540.126988670399</v>
      </c>
    </row>
    <row r="27" spans="1:7" x14ac:dyDescent="0.25">
      <c r="A27" s="83" t="s">
        <v>150</v>
      </c>
      <c r="B27" s="21">
        <f>-'INV. INICIAL'!B7</f>
        <v>-134244.93</v>
      </c>
      <c r="C27" s="21"/>
      <c r="D27" s="21"/>
      <c r="E27" s="21"/>
      <c r="F27" s="21"/>
      <c r="G27" s="21"/>
    </row>
    <row r="28" spans="1:7" x14ac:dyDescent="0.25">
      <c r="A28" s="83" t="s">
        <v>115</v>
      </c>
      <c r="B28" s="21">
        <f>SUM('CAPITAL DE TRABAJO'!B26:D26)</f>
        <v>-16170</v>
      </c>
      <c r="C28" s="21"/>
      <c r="D28" s="21"/>
      <c r="E28" s="21"/>
      <c r="F28" s="21"/>
      <c r="G28" s="21">
        <f>-B28</f>
        <v>16170</v>
      </c>
    </row>
    <row r="29" spans="1:7" x14ac:dyDescent="0.25">
      <c r="A29" s="83" t="s">
        <v>116</v>
      </c>
      <c r="B29" s="21">
        <f>'AMORT. PREST. BANC.'!K6</f>
        <v>115791.944</v>
      </c>
      <c r="C29" s="21"/>
      <c r="D29" s="21"/>
      <c r="E29" s="21"/>
      <c r="F29" s="21"/>
      <c r="G29" s="21"/>
    </row>
    <row r="30" spans="1:7" x14ac:dyDescent="0.25">
      <c r="A30" s="83" t="s">
        <v>117</v>
      </c>
      <c r="C30" s="21"/>
      <c r="D30" s="21"/>
      <c r="E30" s="21"/>
      <c r="F30" s="21"/>
      <c r="G30" s="21">
        <f>'VALOR DE DESECHO'!G8</f>
        <v>559.96500000000003</v>
      </c>
    </row>
    <row r="31" spans="1:7" x14ac:dyDescent="0.25">
      <c r="A31" s="54" t="s">
        <v>118</v>
      </c>
      <c r="B31" s="64">
        <f>B27+B28+B29</f>
        <v>-34622.98599999999</v>
      </c>
      <c r="C31" s="64">
        <f>C24+C25-C26+C27+C28+C29+C30</f>
        <v>17192.09559060591</v>
      </c>
      <c r="D31" s="64">
        <f t="shared" ref="D31:F31" si="7">D24+D25-D26+D27+D28+D29+D30</f>
        <v>16755.334130910764</v>
      </c>
      <c r="E31" s="64">
        <f t="shared" si="7"/>
        <v>16277.080332544581</v>
      </c>
      <c r="F31" s="64">
        <f t="shared" si="7"/>
        <v>15625.392423333611</v>
      </c>
      <c r="G31" s="64">
        <f t="shared" ref="G31" si="8">G24+G25-G26+G27+G28+G29+G30</f>
        <v>31781.919162747596</v>
      </c>
    </row>
    <row r="33" spans="1:4" x14ac:dyDescent="0.25">
      <c r="A33" s="40" t="s">
        <v>120</v>
      </c>
      <c r="B33" s="65">
        <f>NPV('TASA DE DESCUENTO'!C19,C31:G31)+B31</f>
        <v>29741.099576270957</v>
      </c>
    </row>
    <row r="34" spans="1:4" x14ac:dyDescent="0.25">
      <c r="A34" s="40" t="s">
        <v>121</v>
      </c>
      <c r="B34" s="62">
        <f>IRR(B31:G31)</f>
        <v>0.43350382366670326</v>
      </c>
    </row>
    <row r="36" spans="1:4" x14ac:dyDescent="0.25">
      <c r="A36" s="109" t="s">
        <v>7</v>
      </c>
      <c r="B36" s="109"/>
    </row>
    <row r="39" spans="1:4" x14ac:dyDescent="0.25">
      <c r="D39" s="25"/>
    </row>
    <row r="41" spans="1:4" x14ac:dyDescent="0.25">
      <c r="D41" s="25"/>
    </row>
  </sheetData>
  <mergeCells count="2">
    <mergeCell ref="A2:G2"/>
    <mergeCell ref="A36:B36"/>
  </mergeCells>
  <phoneticPr fontId="8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A4" sqref="A4:E11"/>
    </sheetView>
  </sheetViews>
  <sheetFormatPr baseColWidth="10" defaultRowHeight="15" x14ac:dyDescent="0.25"/>
  <cols>
    <col min="1" max="1" width="9" bestFit="1" customWidth="1"/>
    <col min="2" max="2" width="13.7109375" bestFit="1" customWidth="1"/>
    <col min="3" max="3" width="13" bestFit="1" customWidth="1"/>
    <col min="4" max="4" width="13.85546875" bestFit="1" customWidth="1"/>
    <col min="5" max="5" width="14.85546875" bestFit="1" customWidth="1"/>
  </cols>
  <sheetData>
    <row r="2" spans="1:5" ht="15.75" x14ac:dyDescent="0.25">
      <c r="A2" s="112" t="s">
        <v>142</v>
      </c>
      <c r="B2" s="112"/>
      <c r="C2" s="112"/>
      <c r="D2" s="112"/>
      <c r="E2" s="112"/>
    </row>
    <row r="4" spans="1:5" ht="30" x14ac:dyDescent="0.25">
      <c r="A4" s="38" t="s">
        <v>137</v>
      </c>
      <c r="B4" s="39" t="s">
        <v>138</v>
      </c>
      <c r="C4" s="39" t="s">
        <v>139</v>
      </c>
      <c r="D4" s="39" t="s">
        <v>140</v>
      </c>
      <c r="E4" s="39" t="s">
        <v>141</v>
      </c>
    </row>
    <row r="5" spans="1:5" x14ac:dyDescent="0.25">
      <c r="A5" s="70">
        <v>2013</v>
      </c>
      <c r="B5" s="25">
        <f>-'FLUJO DE CAJA'!B31</f>
        <v>34622.98599999999</v>
      </c>
      <c r="C5" s="25">
        <f>'FLUJO DE CAJA'!C31</f>
        <v>17192.09559060591</v>
      </c>
      <c r="D5" s="25">
        <f>B5*'TASA DE DESCUENTO'!$B$19</f>
        <v>4919.7878186559983</v>
      </c>
      <c r="E5" s="25">
        <f>C5-D5</f>
        <v>12272.307771949912</v>
      </c>
    </row>
    <row r="6" spans="1:5" x14ac:dyDescent="0.25">
      <c r="A6" s="103">
        <v>2014</v>
      </c>
      <c r="B6" s="104">
        <f>B5-E5</f>
        <v>22350.678228050077</v>
      </c>
      <c r="C6" s="104">
        <f>'FLUJO DE CAJA'!D31</f>
        <v>16755.334130910764</v>
      </c>
      <c r="D6" s="104">
        <f>B6*'TASA DE DESCUENTO'!$B$19</f>
        <v>3175.9419734930038</v>
      </c>
      <c r="E6" s="104">
        <f t="shared" ref="E6:E9" si="0">C6-D6</f>
        <v>13579.39215741776</v>
      </c>
    </row>
    <row r="7" spans="1:5" x14ac:dyDescent="0.25">
      <c r="A7" s="70">
        <v>2015</v>
      </c>
      <c r="B7" s="25">
        <f t="shared" ref="B7:B9" si="1">B6-E6</f>
        <v>8771.2860706323172</v>
      </c>
      <c r="C7" s="25">
        <f>'FLUJO DE CAJA'!E31</f>
        <v>16277.080332544581</v>
      </c>
      <c r="D7" s="25">
        <f>B7*'TASA DE DESCUENTO'!$B$19</f>
        <v>1246.3646654925697</v>
      </c>
      <c r="E7" s="25">
        <f t="shared" si="0"/>
        <v>15030.715667052013</v>
      </c>
    </row>
    <row r="8" spans="1:5" x14ac:dyDescent="0.25">
      <c r="A8" s="77">
        <v>2016</v>
      </c>
      <c r="B8" s="91">
        <f t="shared" si="1"/>
        <v>-6259.4295964196954</v>
      </c>
      <c r="C8" s="91">
        <f>'FLUJO DE CAJA'!F31</f>
        <v>15625.392423333611</v>
      </c>
      <c r="D8" s="91">
        <f>B8*'TASA DE DESCUENTO'!$B$19</f>
        <v>-889.43990793285309</v>
      </c>
      <c r="E8" s="91">
        <f t="shared" si="0"/>
        <v>16514.832331266465</v>
      </c>
    </row>
    <row r="9" spans="1:5" x14ac:dyDescent="0.25">
      <c r="A9" s="103">
        <v>2017</v>
      </c>
      <c r="B9" s="104">
        <f t="shared" si="1"/>
        <v>-22774.261927686159</v>
      </c>
      <c r="C9" s="104">
        <f>'FLUJO DE CAJA'!G31</f>
        <v>31781.919162747596</v>
      </c>
      <c r="D9" s="104">
        <f>B9*'TASA DE DESCUENTO'!$B$19</f>
        <v>-3236.1315228764925</v>
      </c>
      <c r="E9" s="104">
        <f t="shared" si="0"/>
        <v>35018.05068562409</v>
      </c>
    </row>
    <row r="11" spans="1:5" x14ac:dyDescent="0.25">
      <c r="A11" s="109" t="s">
        <v>7</v>
      </c>
      <c r="B11" s="109"/>
      <c r="C11" s="109"/>
    </row>
  </sheetData>
  <mergeCells count="2">
    <mergeCell ref="A2:E2"/>
    <mergeCell ref="A11:C11"/>
  </mergeCells>
  <phoneticPr fontId="8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0"/>
  <sheetViews>
    <sheetView topLeftCell="A13" workbookViewId="0">
      <selection activeCell="A4" sqref="A4:G34"/>
    </sheetView>
  </sheetViews>
  <sheetFormatPr baseColWidth="10" defaultRowHeight="15" x14ac:dyDescent="0.25"/>
  <cols>
    <col min="1" max="1" width="37.28515625" bestFit="1" customWidth="1"/>
    <col min="2" max="3" width="13.7109375" bestFit="1" customWidth="1"/>
    <col min="4" max="7" width="13" bestFit="1" customWidth="1"/>
  </cols>
  <sheetData>
    <row r="2" spans="1:7" ht="15.75" x14ac:dyDescent="0.25">
      <c r="A2" s="112" t="s">
        <v>151</v>
      </c>
      <c r="B2" s="112"/>
      <c r="C2" s="112"/>
      <c r="D2" s="112"/>
      <c r="E2" s="112"/>
      <c r="F2" s="112"/>
      <c r="G2" s="112"/>
    </row>
    <row r="3" spans="1:7" x14ac:dyDescent="0.25">
      <c r="A3" s="66"/>
    </row>
    <row r="4" spans="1:7" x14ac:dyDescent="0.25">
      <c r="A4" s="46" t="s">
        <v>144</v>
      </c>
      <c r="B4" s="67">
        <v>2012</v>
      </c>
      <c r="C4" s="67">
        <v>2013</v>
      </c>
      <c r="D4" s="67">
        <v>2014</v>
      </c>
      <c r="E4" s="67">
        <v>2015</v>
      </c>
      <c r="F4" s="67">
        <v>2016</v>
      </c>
      <c r="G4" s="67">
        <v>2017</v>
      </c>
    </row>
    <row r="5" spans="1:7" x14ac:dyDescent="0.25">
      <c r="A5" s="83" t="s">
        <v>177</v>
      </c>
      <c r="B5" s="21"/>
      <c r="C5" s="21">
        <f>'INGRESOS ANUALES'!B7*1.1</f>
        <v>205920.00000000003</v>
      </c>
      <c r="D5" s="21">
        <f>'INGRESOS ANUALES'!C7*1.1</f>
        <v>205920.00000000003</v>
      </c>
      <c r="E5" s="21">
        <f>'INGRESOS ANUALES'!D7*1.1</f>
        <v>205920.00000000003</v>
      </c>
      <c r="F5" s="21">
        <f>'INGRESOS ANUALES'!E7*1.1</f>
        <v>205920.00000000003</v>
      </c>
      <c r="G5" s="21">
        <f>'INGRESOS ANUALES'!F7*1.1</f>
        <v>205920.00000000003</v>
      </c>
    </row>
    <row r="6" spans="1:7" x14ac:dyDescent="0.25">
      <c r="A6" s="54" t="s">
        <v>99</v>
      </c>
      <c r="B6" s="63"/>
      <c r="C6" s="92">
        <f>C5</f>
        <v>205920.00000000003</v>
      </c>
      <c r="D6" s="92">
        <f t="shared" ref="D6:G6" si="0">D5</f>
        <v>205920.00000000003</v>
      </c>
      <c r="E6" s="92">
        <f t="shared" si="0"/>
        <v>205920.00000000003</v>
      </c>
      <c r="F6" s="92">
        <f t="shared" si="0"/>
        <v>205920.00000000003</v>
      </c>
      <c r="G6" s="92">
        <f t="shared" si="0"/>
        <v>205920.00000000003</v>
      </c>
    </row>
    <row r="7" spans="1:7" x14ac:dyDescent="0.25">
      <c r="A7" s="84" t="s">
        <v>98</v>
      </c>
      <c r="B7" s="21"/>
      <c r="C7" s="23">
        <f>SUM(C8:C14)</f>
        <v>133470</v>
      </c>
      <c r="D7" s="23">
        <f>SUM(D8:D14)</f>
        <v>133470</v>
      </c>
      <c r="E7" s="23">
        <f>SUM(E8:E14)</f>
        <v>133470</v>
      </c>
      <c r="F7" s="23">
        <f>SUM(F8:F14)</f>
        <v>133470</v>
      </c>
      <c r="G7" s="23">
        <f>SUM(G8:G14)</f>
        <v>133470</v>
      </c>
    </row>
    <row r="8" spans="1:7" x14ac:dyDescent="0.25">
      <c r="A8" s="83" t="s">
        <v>101</v>
      </c>
      <c r="B8" s="21"/>
      <c r="C8" s="21">
        <f>'GASTO ORG. Y ADM.'!$E$11</f>
        <v>66600</v>
      </c>
      <c r="D8" s="21">
        <f>'GASTO ORG. Y ADM.'!$E$11</f>
        <v>66600</v>
      </c>
      <c r="E8" s="21">
        <f>'GASTO ORG. Y ADM.'!$E$11</f>
        <v>66600</v>
      </c>
      <c r="F8" s="21">
        <f>'GASTO ORG. Y ADM.'!$E$11</f>
        <v>66600</v>
      </c>
      <c r="G8" s="21">
        <f>'GASTO ORG. Y ADM.'!$E$11</f>
        <v>66600</v>
      </c>
    </row>
    <row r="9" spans="1:7" x14ac:dyDescent="0.25">
      <c r="A9" s="83" t="s">
        <v>100</v>
      </c>
      <c r="B9" s="21"/>
      <c r="C9" s="21">
        <f>'COST. FIJOS'!$C$8</f>
        <v>8040</v>
      </c>
      <c r="D9" s="21">
        <f>'COST. FIJOS'!$C$8</f>
        <v>8040</v>
      </c>
      <c r="E9" s="21">
        <f>'COST. FIJOS'!$C$8</f>
        <v>8040</v>
      </c>
      <c r="F9" s="21">
        <f>'COST. FIJOS'!$C$8</f>
        <v>8040</v>
      </c>
      <c r="G9" s="21">
        <f>'COST. FIJOS'!$C$8</f>
        <v>8040</v>
      </c>
    </row>
    <row r="10" spans="1:7" x14ac:dyDescent="0.25">
      <c r="A10" s="83" t="s">
        <v>178</v>
      </c>
      <c r="B10" s="21"/>
      <c r="C10" s="21">
        <f>'INV. PROYECTO'!$B$6*12*0.95</f>
        <v>43320</v>
      </c>
      <c r="D10" s="21">
        <f>'INV. PROYECTO'!$B$6*12*0.95</f>
        <v>43320</v>
      </c>
      <c r="E10" s="21">
        <f>'INV. PROYECTO'!$B$6*12*0.95</f>
        <v>43320</v>
      </c>
      <c r="F10" s="21">
        <f>'INV. PROYECTO'!$B$6*12*0.95</f>
        <v>43320</v>
      </c>
      <c r="G10" s="21">
        <f>'INV. PROYECTO'!$B$6*12*0.95</f>
        <v>43320</v>
      </c>
    </row>
    <row r="11" spans="1:7" x14ac:dyDescent="0.25">
      <c r="A11" s="83" t="s">
        <v>179</v>
      </c>
      <c r="B11" s="21"/>
      <c r="C11" s="21">
        <f>'INV. PROYECTO'!$B$7*12*0.95</f>
        <v>7410</v>
      </c>
      <c r="D11" s="21">
        <f>'INV. PROYECTO'!$B$7*12*0.95</f>
        <v>7410</v>
      </c>
      <c r="E11" s="21">
        <f>'INV. PROYECTO'!$B$7*12*0.95</f>
        <v>7410</v>
      </c>
      <c r="F11" s="21">
        <f>'INV. PROYECTO'!$B$7*12*0.95</f>
        <v>7410</v>
      </c>
      <c r="G11" s="21">
        <f>'INV. PROYECTO'!$B$7*12*0.95</f>
        <v>7410</v>
      </c>
    </row>
    <row r="12" spans="1:7" x14ac:dyDescent="0.25">
      <c r="A12" s="83" t="s">
        <v>102</v>
      </c>
      <c r="B12" s="21"/>
      <c r="C12" s="21">
        <f>'COST. FIJOS'!$C$10</f>
        <v>5100</v>
      </c>
      <c r="D12" s="21">
        <f>'COST. FIJOS'!$C$10</f>
        <v>5100</v>
      </c>
      <c r="E12" s="21">
        <f>'COST. FIJOS'!$C$10</f>
        <v>5100</v>
      </c>
      <c r="F12" s="21">
        <f>'COST. FIJOS'!$C$10</f>
        <v>5100</v>
      </c>
      <c r="G12" s="21">
        <f>'COST. FIJOS'!$C$10</f>
        <v>5100</v>
      </c>
    </row>
    <row r="13" spans="1:7" x14ac:dyDescent="0.25">
      <c r="A13" s="83" t="s">
        <v>194</v>
      </c>
      <c r="B13" s="21"/>
      <c r="C13" s="21">
        <f>'COST. FIJOS'!$C$5</f>
        <v>2400</v>
      </c>
      <c r="D13" s="21">
        <f>'COST. FIJOS'!$C$5</f>
        <v>2400</v>
      </c>
      <c r="E13" s="21">
        <f>'COST. FIJOS'!$C$5</f>
        <v>2400</v>
      </c>
      <c r="F13" s="21">
        <f>'COST. FIJOS'!$C$5</f>
        <v>2400</v>
      </c>
      <c r="G13" s="21">
        <f>'COST. FIJOS'!$C$5</f>
        <v>2400</v>
      </c>
    </row>
    <row r="14" spans="1:7" x14ac:dyDescent="0.25">
      <c r="A14" s="83" t="s">
        <v>103</v>
      </c>
      <c r="B14" s="21"/>
      <c r="C14" s="21">
        <f>'COST. FIJOS'!$C$11</f>
        <v>600</v>
      </c>
      <c r="D14" s="21">
        <f>'COST. FIJOS'!$C$11</f>
        <v>600</v>
      </c>
      <c r="E14" s="21">
        <f>'COST. FIJOS'!$C$11</f>
        <v>600</v>
      </c>
      <c r="F14" s="21">
        <f>'COST. FIJOS'!$C$11</f>
        <v>600</v>
      </c>
      <c r="G14" s="21">
        <f>'COST. FIJOS'!$C$11</f>
        <v>600</v>
      </c>
    </row>
    <row r="15" spans="1:7" x14ac:dyDescent="0.25">
      <c r="A15" s="84" t="s">
        <v>104</v>
      </c>
      <c r="B15" s="21"/>
      <c r="C15" s="23">
        <f>SUM(C16:C18)</f>
        <v>24595.326333333331</v>
      </c>
      <c r="D15" s="23">
        <f t="shared" ref="D15:G15" si="1">SUM(D16:D18)</f>
        <v>24595.326333333331</v>
      </c>
      <c r="E15" s="23">
        <f t="shared" si="1"/>
        <v>24595.326333333331</v>
      </c>
      <c r="F15" s="23">
        <f t="shared" si="1"/>
        <v>24061.992999999999</v>
      </c>
      <c r="G15" s="23">
        <f t="shared" si="1"/>
        <v>24061.992999999999</v>
      </c>
    </row>
    <row r="16" spans="1:7" x14ac:dyDescent="0.25">
      <c r="A16" s="83" t="s">
        <v>105</v>
      </c>
      <c r="B16" s="21"/>
      <c r="C16" s="21">
        <f>'VALOR DE DESECHO'!$D$5</f>
        <v>23950</v>
      </c>
      <c r="D16" s="21">
        <f>'VALOR DE DESECHO'!$D$5</f>
        <v>23950</v>
      </c>
      <c r="E16" s="21">
        <f>'VALOR DE DESECHO'!$D$5</f>
        <v>23950</v>
      </c>
      <c r="F16" s="21">
        <f>'VALOR DE DESECHO'!$D$5</f>
        <v>23950</v>
      </c>
      <c r="G16" s="21">
        <f>'VALOR DE DESECHO'!$D$5</f>
        <v>23950</v>
      </c>
    </row>
    <row r="17" spans="1:7" x14ac:dyDescent="0.25">
      <c r="A17" s="83" t="s">
        <v>106</v>
      </c>
      <c r="B17" s="21"/>
      <c r="C17" s="21">
        <f>'VALOR DE DESECHO'!$D$6</f>
        <v>111.99300000000001</v>
      </c>
      <c r="D17" s="21">
        <f>'VALOR DE DESECHO'!$D$6</f>
        <v>111.99300000000001</v>
      </c>
      <c r="E17" s="21">
        <f>'VALOR DE DESECHO'!$D$6</f>
        <v>111.99300000000001</v>
      </c>
      <c r="F17" s="21">
        <f>'VALOR DE DESECHO'!$D$6</f>
        <v>111.99300000000001</v>
      </c>
      <c r="G17" s="21">
        <f>'VALOR DE DESECHO'!$D$6</f>
        <v>111.99300000000001</v>
      </c>
    </row>
    <row r="18" spans="1:7" x14ac:dyDescent="0.25">
      <c r="A18" s="83" t="s">
        <v>107</v>
      </c>
      <c r="B18" s="21"/>
      <c r="C18" s="22">
        <f>'VALOR DE DESECHO'!$D$7</f>
        <v>533.33333333333337</v>
      </c>
      <c r="D18" s="22">
        <f>'VALOR DE DESECHO'!$D$7</f>
        <v>533.33333333333337</v>
      </c>
      <c r="E18" s="22">
        <f>'VALOR DE DESECHO'!$D$7</f>
        <v>533.33333333333337</v>
      </c>
      <c r="F18" s="22">
        <v>0</v>
      </c>
      <c r="G18" s="22">
        <v>0</v>
      </c>
    </row>
    <row r="19" spans="1:7" x14ac:dyDescent="0.25">
      <c r="A19" s="54" t="s">
        <v>108</v>
      </c>
      <c r="B19" s="63"/>
      <c r="C19" s="64">
        <f>C6-C7-C15</f>
        <v>47854.673666666698</v>
      </c>
      <c r="D19" s="64">
        <f>D6-D7-D15</f>
        <v>47854.673666666698</v>
      </c>
      <c r="E19" s="64">
        <f>E6-E7-E15</f>
        <v>47854.673666666698</v>
      </c>
      <c r="F19" s="64">
        <f>F6-F7-F15</f>
        <v>48388.007000000027</v>
      </c>
      <c r="G19" s="64">
        <f>G6-G7-G15</f>
        <v>48388.007000000027</v>
      </c>
    </row>
    <row r="20" spans="1:7" x14ac:dyDescent="0.25">
      <c r="A20" s="84" t="s">
        <v>109</v>
      </c>
      <c r="B20" s="21"/>
      <c r="C20" s="23">
        <f>C21</f>
        <v>11000.23468</v>
      </c>
      <c r="D20" s="23">
        <f t="shared" ref="D20:G20" si="2">D21</f>
        <v>9180.3952646035614</v>
      </c>
      <c r="E20" s="23">
        <f t="shared" si="2"/>
        <v>7187.6711047444624</v>
      </c>
      <c r="F20" s="23">
        <f t="shared" si="2"/>
        <v>5005.6381496987478</v>
      </c>
      <c r="G20" s="23">
        <f t="shared" si="2"/>
        <v>2616.3120639236899</v>
      </c>
    </row>
    <row r="21" spans="1:7" x14ac:dyDescent="0.25">
      <c r="A21" s="83" t="s">
        <v>110</v>
      </c>
      <c r="B21" s="21"/>
      <c r="C21" s="22">
        <f>'AMORT. PREST. BANC.'!J13</f>
        <v>11000.23468</v>
      </c>
      <c r="D21" s="22">
        <f>'AMORT. PREST. BANC.'!J14</f>
        <v>9180.3952646035614</v>
      </c>
      <c r="E21" s="22">
        <f>'AMORT. PREST. BANC.'!J15</f>
        <v>7187.6711047444624</v>
      </c>
      <c r="F21" s="22">
        <f>'AMORT. PREST. BANC.'!J16</f>
        <v>5005.6381496987478</v>
      </c>
      <c r="G21" s="22">
        <f>'AMORT. PREST. BANC.'!J17</f>
        <v>2616.3120639236899</v>
      </c>
    </row>
    <row r="22" spans="1:7" x14ac:dyDescent="0.25">
      <c r="A22" s="54" t="s">
        <v>111</v>
      </c>
      <c r="B22" s="63"/>
      <c r="C22" s="64">
        <f>C19-C20</f>
        <v>36854.438986666697</v>
      </c>
      <c r="D22" s="64">
        <f t="shared" ref="D22:G22" si="3">D19-D20</f>
        <v>38674.278402063137</v>
      </c>
      <c r="E22" s="64">
        <f t="shared" si="3"/>
        <v>40667.002561922236</v>
      </c>
      <c r="F22" s="64">
        <f t="shared" si="3"/>
        <v>43382.368850301282</v>
      </c>
      <c r="G22" s="64">
        <f t="shared" si="3"/>
        <v>45771.694936076339</v>
      </c>
    </row>
    <row r="23" spans="1:7" x14ac:dyDescent="0.25">
      <c r="A23" s="83" t="s">
        <v>191</v>
      </c>
      <c r="B23" s="21"/>
      <c r="C23" s="22">
        <f>C22*0.24</f>
        <v>8845.0653568000071</v>
      </c>
      <c r="D23" s="22">
        <f t="shared" ref="D23:G23" si="4">D22*0.24</f>
        <v>9281.8268164951533</v>
      </c>
      <c r="E23" s="22">
        <f t="shared" si="4"/>
        <v>9760.0806148613356</v>
      </c>
      <c r="F23" s="22">
        <f t="shared" si="4"/>
        <v>10411.768524072308</v>
      </c>
      <c r="G23" s="22">
        <f t="shared" si="4"/>
        <v>10985.206784658321</v>
      </c>
    </row>
    <row r="24" spans="1:7" x14ac:dyDescent="0.25">
      <c r="A24" s="54" t="s">
        <v>112</v>
      </c>
      <c r="B24" s="63"/>
      <c r="C24" s="64">
        <f>C22-C23</f>
        <v>28009.373629866692</v>
      </c>
      <c r="D24" s="64">
        <f t="shared" ref="D24:G24" si="5">D22-D23</f>
        <v>29392.451585567986</v>
      </c>
      <c r="E24" s="64">
        <f t="shared" si="5"/>
        <v>30906.921947060902</v>
      </c>
      <c r="F24" s="64">
        <f t="shared" si="5"/>
        <v>32970.600326228974</v>
      </c>
      <c r="G24" s="64">
        <f t="shared" si="5"/>
        <v>34786.488151418016</v>
      </c>
    </row>
    <row r="25" spans="1:7" x14ac:dyDescent="0.25">
      <c r="A25" s="83" t="s">
        <v>113</v>
      </c>
      <c r="B25" s="21"/>
      <c r="C25" s="21">
        <f>C15</f>
        <v>24595.326333333331</v>
      </c>
      <c r="D25" s="21">
        <f t="shared" ref="D25:G25" si="6">D15</f>
        <v>24595.326333333331</v>
      </c>
      <c r="E25" s="21">
        <f t="shared" si="6"/>
        <v>24595.326333333331</v>
      </c>
      <c r="F25" s="21">
        <f t="shared" si="6"/>
        <v>24061.992999999999</v>
      </c>
      <c r="G25" s="21">
        <f t="shared" si="6"/>
        <v>24061.992999999999</v>
      </c>
    </row>
    <row r="26" spans="1:7" x14ac:dyDescent="0.25">
      <c r="A26" s="83" t="s">
        <v>114</v>
      </c>
      <c r="B26" s="21"/>
      <c r="C26" s="21">
        <f>'AMORT. PREST. BANC.'!K13</f>
        <v>19156.204372594089</v>
      </c>
      <c r="D26" s="21">
        <f>'AMORT. PREST. BANC.'!K14</f>
        <v>20976.043787990529</v>
      </c>
      <c r="E26" s="21">
        <f>'AMORT. PREST. BANC.'!K15</f>
        <v>22968.767947849628</v>
      </c>
      <c r="F26" s="21">
        <f>'AMORT. PREST. BANC.'!K16</f>
        <v>25150.800902895342</v>
      </c>
      <c r="G26" s="21">
        <f>'AMORT. PREST. BANC.'!K17</f>
        <v>27540.126988670399</v>
      </c>
    </row>
    <row r="27" spans="1:7" x14ac:dyDescent="0.25">
      <c r="A27" s="83" t="s">
        <v>150</v>
      </c>
      <c r="B27" s="21">
        <f>-'INV. INICIAL'!B7</f>
        <v>-134244.93</v>
      </c>
      <c r="C27" s="21"/>
      <c r="D27" s="21"/>
      <c r="E27" s="21"/>
      <c r="F27" s="21"/>
      <c r="G27" s="21"/>
    </row>
    <row r="28" spans="1:7" x14ac:dyDescent="0.25">
      <c r="A28" s="83" t="s">
        <v>115</v>
      </c>
      <c r="B28" s="21">
        <f>SUM('CAPITAL DE TRABAJO'!B26:D26)</f>
        <v>-16170</v>
      </c>
      <c r="C28" s="21"/>
      <c r="D28" s="21"/>
      <c r="E28" s="21"/>
      <c r="F28" s="21"/>
      <c r="G28" s="21">
        <f>-B28</f>
        <v>16170</v>
      </c>
    </row>
    <row r="29" spans="1:7" x14ac:dyDescent="0.25">
      <c r="A29" s="83" t="s">
        <v>116</v>
      </c>
      <c r="B29" s="21">
        <f>'AMORT. PREST. BANC.'!K6</f>
        <v>115791.944</v>
      </c>
      <c r="C29" s="21"/>
      <c r="D29" s="21"/>
      <c r="E29" s="21"/>
      <c r="F29" s="21"/>
      <c r="G29" s="21"/>
    </row>
    <row r="30" spans="1:7" x14ac:dyDescent="0.25">
      <c r="A30" s="83" t="s">
        <v>117</v>
      </c>
      <c r="C30" s="21"/>
      <c r="D30" s="21"/>
      <c r="E30" s="21"/>
      <c r="F30" s="21"/>
      <c r="G30" s="21">
        <f>'VALOR DE DESECHO'!G8</f>
        <v>559.96500000000003</v>
      </c>
    </row>
    <row r="31" spans="1:7" x14ac:dyDescent="0.25">
      <c r="A31" s="54" t="s">
        <v>118</v>
      </c>
      <c r="B31" s="64">
        <f>B27+B28+B29</f>
        <v>-34622.98599999999</v>
      </c>
      <c r="C31" s="64">
        <f>C24+C25-C26+C27+C28+C29+C30</f>
        <v>33448.495590605933</v>
      </c>
      <c r="D31" s="64">
        <f t="shared" ref="D31:G31" si="7">D24+D25-D26+D27+D28+D29+D30</f>
        <v>33011.734130910787</v>
      </c>
      <c r="E31" s="64">
        <f t="shared" si="7"/>
        <v>32533.480332544605</v>
      </c>
      <c r="F31" s="64">
        <f t="shared" si="7"/>
        <v>31881.792423333634</v>
      </c>
      <c r="G31" s="64">
        <f t="shared" si="7"/>
        <v>48038.319162747619</v>
      </c>
    </row>
    <row r="33" spans="1:4" x14ac:dyDescent="0.25">
      <c r="A33" s="40" t="s">
        <v>120</v>
      </c>
      <c r="B33" s="65">
        <f>NPV('TASA DE DESCUENTO'!C19,C31:G31)+B31</f>
        <v>85270.642294298988</v>
      </c>
    </row>
    <row r="34" spans="1:4" x14ac:dyDescent="0.25">
      <c r="A34" s="40" t="s">
        <v>121</v>
      </c>
      <c r="B34" s="62">
        <f>IRR(B31:G31)</f>
        <v>0.93544338839017183</v>
      </c>
    </row>
    <row r="37" spans="1:4" x14ac:dyDescent="0.25">
      <c r="A37" s="46" t="s">
        <v>154</v>
      </c>
      <c r="B37" s="77" t="s">
        <v>120</v>
      </c>
      <c r="C37" s="77" t="s">
        <v>121</v>
      </c>
      <c r="D37" s="25"/>
    </row>
    <row r="38" spans="1:4" x14ac:dyDescent="0.25">
      <c r="A38" s="76" t="s">
        <v>180</v>
      </c>
      <c r="B38" s="122">
        <f>B33</f>
        <v>85270.642294298988</v>
      </c>
      <c r="C38" s="124">
        <f>B34</f>
        <v>0.93544338839017183</v>
      </c>
    </row>
    <row r="39" spans="1:4" x14ac:dyDescent="0.25">
      <c r="A39" s="76" t="s">
        <v>155</v>
      </c>
      <c r="B39" s="123"/>
      <c r="C39" s="124"/>
      <c r="D39" s="25"/>
    </row>
    <row r="40" spans="1:4" x14ac:dyDescent="0.25">
      <c r="A40" s="109" t="s">
        <v>7</v>
      </c>
      <c r="B40" s="109"/>
    </row>
  </sheetData>
  <mergeCells count="4">
    <mergeCell ref="A2:G2"/>
    <mergeCell ref="A40:B40"/>
    <mergeCell ref="B38:B39"/>
    <mergeCell ref="C38:C39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31" workbookViewId="0">
      <selection activeCell="A4" sqref="A4:G34"/>
    </sheetView>
  </sheetViews>
  <sheetFormatPr baseColWidth="10" defaultRowHeight="15" x14ac:dyDescent="0.25"/>
  <cols>
    <col min="1" max="1" width="37.28515625" bestFit="1" customWidth="1"/>
    <col min="2" max="2" width="13.7109375" bestFit="1" customWidth="1"/>
    <col min="3" max="7" width="13" bestFit="1" customWidth="1"/>
  </cols>
  <sheetData>
    <row r="1" spans="1:7" x14ac:dyDescent="0.25">
      <c r="A1" s="7"/>
      <c r="B1" s="7"/>
      <c r="C1" s="7"/>
      <c r="D1" s="7"/>
      <c r="E1" s="7"/>
      <c r="F1" s="7"/>
      <c r="G1" s="7"/>
    </row>
    <row r="2" spans="1:7" ht="15.75" x14ac:dyDescent="0.25">
      <c r="A2" s="112" t="s">
        <v>152</v>
      </c>
      <c r="B2" s="112"/>
      <c r="C2" s="112"/>
      <c r="D2" s="112"/>
      <c r="E2" s="112"/>
      <c r="F2" s="112"/>
      <c r="G2" s="112"/>
    </row>
    <row r="3" spans="1:7" x14ac:dyDescent="0.25">
      <c r="A3" s="94"/>
      <c r="B3" s="7"/>
      <c r="C3" s="7"/>
      <c r="D3" s="7"/>
      <c r="E3" s="7"/>
      <c r="F3" s="7"/>
      <c r="G3" s="7"/>
    </row>
    <row r="4" spans="1:7" x14ac:dyDescent="0.25">
      <c r="A4" s="46" t="s">
        <v>144</v>
      </c>
      <c r="B4" s="67">
        <v>2012</v>
      </c>
      <c r="C4" s="67">
        <v>2013</v>
      </c>
      <c r="D4" s="67">
        <v>2014</v>
      </c>
      <c r="E4" s="67">
        <v>2015</v>
      </c>
      <c r="F4" s="67">
        <v>2016</v>
      </c>
      <c r="G4" s="67">
        <v>2017</v>
      </c>
    </row>
    <row r="5" spans="1:7" x14ac:dyDescent="0.25">
      <c r="A5" s="83" t="s">
        <v>177</v>
      </c>
      <c r="B5" s="21"/>
      <c r="C5" s="21">
        <f>'INGRESOS ANUALES'!B7*1.15</f>
        <v>215279.99999999997</v>
      </c>
      <c r="D5" s="21">
        <f>'INGRESOS ANUALES'!C7*1.15</f>
        <v>215279.99999999997</v>
      </c>
      <c r="E5" s="21">
        <f>'INGRESOS ANUALES'!D7*1.15</f>
        <v>215279.99999999997</v>
      </c>
      <c r="F5" s="21">
        <f>'INGRESOS ANUALES'!E7*1.15</f>
        <v>215279.99999999997</v>
      </c>
      <c r="G5" s="21">
        <f>'INGRESOS ANUALES'!F7*1.15</f>
        <v>215279.99999999997</v>
      </c>
    </row>
    <row r="6" spans="1:7" x14ac:dyDescent="0.25">
      <c r="A6" s="54" t="s">
        <v>99</v>
      </c>
      <c r="B6" s="63"/>
      <c r="C6" s="92">
        <f>C5</f>
        <v>215279.99999999997</v>
      </c>
      <c r="D6" s="92">
        <f t="shared" ref="D6:G6" si="0">D5</f>
        <v>215279.99999999997</v>
      </c>
      <c r="E6" s="92">
        <f t="shared" si="0"/>
        <v>215279.99999999997</v>
      </c>
      <c r="F6" s="92">
        <f t="shared" si="0"/>
        <v>215279.99999999997</v>
      </c>
      <c r="G6" s="92">
        <f t="shared" si="0"/>
        <v>215279.99999999997</v>
      </c>
    </row>
    <row r="7" spans="1:7" x14ac:dyDescent="0.25">
      <c r="A7" s="84" t="s">
        <v>98</v>
      </c>
      <c r="B7" s="21"/>
      <c r="C7" s="23">
        <f>SUM(C8:C14)</f>
        <v>130800</v>
      </c>
      <c r="D7" s="23">
        <f>SUM(D8:D14)</f>
        <v>130800</v>
      </c>
      <c r="E7" s="23">
        <f>SUM(E8:E14)</f>
        <v>130800</v>
      </c>
      <c r="F7" s="23">
        <f>SUM(F8:F14)</f>
        <v>130800</v>
      </c>
      <c r="G7" s="23">
        <f>SUM(G8:G14)</f>
        <v>130800</v>
      </c>
    </row>
    <row r="8" spans="1:7" x14ac:dyDescent="0.25">
      <c r="A8" s="83" t="s">
        <v>101</v>
      </c>
      <c r="B8" s="21"/>
      <c r="C8" s="21">
        <f>'GASTO ORG. Y ADM.'!$E$11</f>
        <v>66600</v>
      </c>
      <c r="D8" s="21">
        <f>'GASTO ORG. Y ADM.'!$E$11</f>
        <v>66600</v>
      </c>
      <c r="E8" s="21">
        <f>'GASTO ORG. Y ADM.'!$E$11</f>
        <v>66600</v>
      </c>
      <c r="F8" s="21">
        <f>'GASTO ORG. Y ADM.'!$E$11</f>
        <v>66600</v>
      </c>
      <c r="G8" s="21">
        <f>'GASTO ORG. Y ADM.'!$E$11</f>
        <v>66600</v>
      </c>
    </row>
    <row r="9" spans="1:7" x14ac:dyDescent="0.25">
      <c r="A9" s="83" t="s">
        <v>100</v>
      </c>
      <c r="B9" s="21"/>
      <c r="C9" s="21">
        <f>'COST. FIJOS'!$C$8</f>
        <v>8040</v>
      </c>
      <c r="D9" s="21">
        <f>'COST. FIJOS'!$C$8</f>
        <v>8040</v>
      </c>
      <c r="E9" s="21">
        <f>'COST. FIJOS'!$C$8</f>
        <v>8040</v>
      </c>
      <c r="F9" s="21">
        <f>'COST. FIJOS'!$C$8</f>
        <v>8040</v>
      </c>
      <c r="G9" s="21">
        <f>'COST. FIJOS'!$C$8</f>
        <v>8040</v>
      </c>
    </row>
    <row r="10" spans="1:7" x14ac:dyDescent="0.25">
      <c r="A10" s="83" t="s">
        <v>178</v>
      </c>
      <c r="B10" s="21"/>
      <c r="C10" s="21">
        <f>'INV. PROYECTO'!$B$6*12*0.9</f>
        <v>41040</v>
      </c>
      <c r="D10" s="21">
        <f>'INV. PROYECTO'!$B$6*12*0.9</f>
        <v>41040</v>
      </c>
      <c r="E10" s="21">
        <f>'INV. PROYECTO'!$B$6*12*0.9</f>
        <v>41040</v>
      </c>
      <c r="F10" s="21">
        <f>'INV. PROYECTO'!$B$6*12*0.9</f>
        <v>41040</v>
      </c>
      <c r="G10" s="21">
        <f>'INV. PROYECTO'!$B$6*12*0.9</f>
        <v>41040</v>
      </c>
    </row>
    <row r="11" spans="1:7" x14ac:dyDescent="0.25">
      <c r="A11" s="83" t="s">
        <v>179</v>
      </c>
      <c r="B11" s="21"/>
      <c r="C11" s="21">
        <f>'INV. PROYECTO'!$B$7*12*0.9</f>
        <v>7020</v>
      </c>
      <c r="D11" s="21">
        <f>'INV. PROYECTO'!$B$7*12*0.9</f>
        <v>7020</v>
      </c>
      <c r="E11" s="21">
        <f>'INV. PROYECTO'!$B$7*12*0.9</f>
        <v>7020</v>
      </c>
      <c r="F11" s="21">
        <f>'INV. PROYECTO'!$B$7*12*0.9</f>
        <v>7020</v>
      </c>
      <c r="G11" s="21">
        <f>'INV. PROYECTO'!$B$7*12*0.9</f>
        <v>7020</v>
      </c>
    </row>
    <row r="12" spans="1:7" x14ac:dyDescent="0.25">
      <c r="A12" s="83" t="s">
        <v>102</v>
      </c>
      <c r="B12" s="21"/>
      <c r="C12" s="21">
        <f>'COST. FIJOS'!$C$10</f>
        <v>5100</v>
      </c>
      <c r="D12" s="21">
        <f>'COST. FIJOS'!$C$10</f>
        <v>5100</v>
      </c>
      <c r="E12" s="21">
        <f>'COST. FIJOS'!$C$10</f>
        <v>5100</v>
      </c>
      <c r="F12" s="21">
        <f>'COST. FIJOS'!$C$10</f>
        <v>5100</v>
      </c>
      <c r="G12" s="21">
        <f>'COST. FIJOS'!$C$10</f>
        <v>5100</v>
      </c>
    </row>
    <row r="13" spans="1:7" x14ac:dyDescent="0.25">
      <c r="A13" s="83" t="s">
        <v>194</v>
      </c>
      <c r="B13" s="21"/>
      <c r="C13" s="21">
        <f>'COST. FIJOS'!$C$5</f>
        <v>2400</v>
      </c>
      <c r="D13" s="21">
        <f>'COST. FIJOS'!$C$5</f>
        <v>2400</v>
      </c>
      <c r="E13" s="21">
        <f>'COST. FIJOS'!$C$5</f>
        <v>2400</v>
      </c>
      <c r="F13" s="21">
        <f>'COST. FIJOS'!$C$5</f>
        <v>2400</v>
      </c>
      <c r="G13" s="21">
        <f>'COST. FIJOS'!$C$5</f>
        <v>2400</v>
      </c>
    </row>
    <row r="14" spans="1:7" x14ac:dyDescent="0.25">
      <c r="A14" s="83" t="s">
        <v>103</v>
      </c>
      <c r="B14" s="21"/>
      <c r="C14" s="21">
        <f>'COST. FIJOS'!$C$11</f>
        <v>600</v>
      </c>
      <c r="D14" s="21">
        <f>'COST. FIJOS'!$C$11</f>
        <v>600</v>
      </c>
      <c r="E14" s="21">
        <f>'COST. FIJOS'!$C$11</f>
        <v>600</v>
      </c>
      <c r="F14" s="21">
        <f>'COST. FIJOS'!$C$11</f>
        <v>600</v>
      </c>
      <c r="G14" s="21">
        <f>'COST. FIJOS'!$C$11</f>
        <v>600</v>
      </c>
    </row>
    <row r="15" spans="1:7" x14ac:dyDescent="0.25">
      <c r="A15" s="84" t="s">
        <v>104</v>
      </c>
      <c r="B15" s="21"/>
      <c r="C15" s="23">
        <f>SUM(C16:C18)</f>
        <v>24595.326333333331</v>
      </c>
      <c r="D15" s="23">
        <f t="shared" ref="D15:G15" si="1">SUM(D16:D18)</f>
        <v>24595.326333333331</v>
      </c>
      <c r="E15" s="23">
        <f t="shared" si="1"/>
        <v>24595.326333333331</v>
      </c>
      <c r="F15" s="23">
        <f t="shared" si="1"/>
        <v>24061.992999999999</v>
      </c>
      <c r="G15" s="23">
        <f t="shared" si="1"/>
        <v>24061.992999999999</v>
      </c>
    </row>
    <row r="16" spans="1:7" x14ac:dyDescent="0.25">
      <c r="A16" s="83" t="s">
        <v>105</v>
      </c>
      <c r="B16" s="21"/>
      <c r="C16" s="21">
        <f>'VALOR DE DESECHO'!$D$5</f>
        <v>23950</v>
      </c>
      <c r="D16" s="21">
        <f>'VALOR DE DESECHO'!$D$5</f>
        <v>23950</v>
      </c>
      <c r="E16" s="21">
        <f>'VALOR DE DESECHO'!$D$5</f>
        <v>23950</v>
      </c>
      <c r="F16" s="21">
        <f>'VALOR DE DESECHO'!$D$5</f>
        <v>23950</v>
      </c>
      <c r="G16" s="21">
        <f>'VALOR DE DESECHO'!$D$5</f>
        <v>23950</v>
      </c>
    </row>
    <row r="17" spans="1:7" x14ac:dyDescent="0.25">
      <c r="A17" s="83" t="s">
        <v>106</v>
      </c>
      <c r="B17" s="21"/>
      <c r="C17" s="21">
        <f>'VALOR DE DESECHO'!$D$6</f>
        <v>111.99300000000001</v>
      </c>
      <c r="D17" s="21">
        <f>'VALOR DE DESECHO'!$D$6</f>
        <v>111.99300000000001</v>
      </c>
      <c r="E17" s="21">
        <f>'VALOR DE DESECHO'!$D$6</f>
        <v>111.99300000000001</v>
      </c>
      <c r="F17" s="21">
        <f>'VALOR DE DESECHO'!$D$6</f>
        <v>111.99300000000001</v>
      </c>
      <c r="G17" s="21">
        <f>'VALOR DE DESECHO'!$D$6</f>
        <v>111.99300000000001</v>
      </c>
    </row>
    <row r="18" spans="1:7" x14ac:dyDescent="0.25">
      <c r="A18" s="83" t="s">
        <v>107</v>
      </c>
      <c r="B18" s="21"/>
      <c r="C18" s="22">
        <f>'VALOR DE DESECHO'!$D$7</f>
        <v>533.33333333333337</v>
      </c>
      <c r="D18" s="22">
        <f>'VALOR DE DESECHO'!$D$7</f>
        <v>533.33333333333337</v>
      </c>
      <c r="E18" s="22">
        <f>'VALOR DE DESECHO'!$D$7</f>
        <v>533.33333333333337</v>
      </c>
      <c r="F18" s="22">
        <v>0</v>
      </c>
      <c r="G18" s="22">
        <v>0</v>
      </c>
    </row>
    <row r="19" spans="1:7" x14ac:dyDescent="0.25">
      <c r="A19" s="54" t="s">
        <v>108</v>
      </c>
      <c r="B19" s="63"/>
      <c r="C19" s="64">
        <f>C6-C7-C15</f>
        <v>59884.67366666664</v>
      </c>
      <c r="D19" s="64">
        <f>D6-D7-D15</f>
        <v>59884.67366666664</v>
      </c>
      <c r="E19" s="64">
        <f>E6-E7-E15</f>
        <v>59884.67366666664</v>
      </c>
      <c r="F19" s="64">
        <f>F6-F7-F15</f>
        <v>60418.006999999969</v>
      </c>
      <c r="G19" s="64">
        <f>G6-G7-G15</f>
        <v>60418.006999999969</v>
      </c>
    </row>
    <row r="20" spans="1:7" x14ac:dyDescent="0.25">
      <c r="A20" s="84" t="s">
        <v>109</v>
      </c>
      <c r="B20" s="21"/>
      <c r="C20" s="23">
        <f>C21</f>
        <v>11000.23468</v>
      </c>
      <c r="D20" s="23">
        <f t="shared" ref="D20:G20" si="2">D21</f>
        <v>9180.3952646035614</v>
      </c>
      <c r="E20" s="23">
        <f t="shared" si="2"/>
        <v>7187.6711047444624</v>
      </c>
      <c r="F20" s="23">
        <f t="shared" si="2"/>
        <v>5005.6381496987478</v>
      </c>
      <c r="G20" s="23">
        <f t="shared" si="2"/>
        <v>2616.3120639236899</v>
      </c>
    </row>
    <row r="21" spans="1:7" x14ac:dyDescent="0.25">
      <c r="A21" s="83" t="s">
        <v>110</v>
      </c>
      <c r="B21" s="21"/>
      <c r="C21" s="22">
        <f>'AMORT. PREST. BANC.'!J13</f>
        <v>11000.23468</v>
      </c>
      <c r="D21" s="22">
        <f>'AMORT. PREST. BANC.'!J14</f>
        <v>9180.3952646035614</v>
      </c>
      <c r="E21" s="22">
        <f>'AMORT. PREST. BANC.'!J15</f>
        <v>7187.6711047444624</v>
      </c>
      <c r="F21" s="22">
        <f>'AMORT. PREST. BANC.'!J16</f>
        <v>5005.6381496987478</v>
      </c>
      <c r="G21" s="22">
        <f>'AMORT. PREST. BANC.'!J17</f>
        <v>2616.3120639236899</v>
      </c>
    </row>
    <row r="22" spans="1:7" x14ac:dyDescent="0.25">
      <c r="A22" s="54" t="s">
        <v>111</v>
      </c>
      <c r="B22" s="63"/>
      <c r="C22" s="64">
        <f>C19-C20</f>
        <v>48884.438986666639</v>
      </c>
      <c r="D22" s="64">
        <f t="shared" ref="D22:G22" si="3">D19-D20</f>
        <v>50704.278402063079</v>
      </c>
      <c r="E22" s="64">
        <f t="shared" si="3"/>
        <v>52697.002561922178</v>
      </c>
      <c r="F22" s="64">
        <f t="shared" si="3"/>
        <v>55412.368850301224</v>
      </c>
      <c r="G22" s="64">
        <f t="shared" si="3"/>
        <v>57801.694936076281</v>
      </c>
    </row>
    <row r="23" spans="1:7" x14ac:dyDescent="0.25">
      <c r="A23" s="83" t="s">
        <v>191</v>
      </c>
      <c r="B23" s="21"/>
      <c r="C23" s="22">
        <f>C22*0.24</f>
        <v>11732.265356799993</v>
      </c>
      <c r="D23" s="22">
        <f t="shared" ref="D23:G23" si="4">D22*0.24</f>
        <v>12169.026816495138</v>
      </c>
      <c r="E23" s="22">
        <f t="shared" si="4"/>
        <v>12647.280614861322</v>
      </c>
      <c r="F23" s="22">
        <f t="shared" si="4"/>
        <v>13298.968524072294</v>
      </c>
      <c r="G23" s="22">
        <f t="shared" si="4"/>
        <v>13872.406784658308</v>
      </c>
    </row>
    <row r="24" spans="1:7" x14ac:dyDescent="0.25">
      <c r="A24" s="54" t="s">
        <v>112</v>
      </c>
      <c r="B24" s="63"/>
      <c r="C24" s="64">
        <f>C22-C23</f>
        <v>37152.173629866644</v>
      </c>
      <c r="D24" s="64">
        <f t="shared" ref="D24:G24" si="5">D22-D23</f>
        <v>38535.251585567938</v>
      </c>
      <c r="E24" s="64">
        <f t="shared" si="5"/>
        <v>40049.721947060854</v>
      </c>
      <c r="F24" s="64">
        <f t="shared" si="5"/>
        <v>42113.400326228933</v>
      </c>
      <c r="G24" s="64">
        <f t="shared" si="5"/>
        <v>43929.288151417975</v>
      </c>
    </row>
    <row r="25" spans="1:7" x14ac:dyDescent="0.25">
      <c r="A25" s="83" t="s">
        <v>113</v>
      </c>
      <c r="B25" s="21"/>
      <c r="C25" s="21">
        <f>C15</f>
        <v>24595.326333333331</v>
      </c>
      <c r="D25" s="21">
        <f t="shared" ref="D25:G25" si="6">D15</f>
        <v>24595.326333333331</v>
      </c>
      <c r="E25" s="21">
        <f t="shared" si="6"/>
        <v>24595.326333333331</v>
      </c>
      <c r="F25" s="21">
        <f t="shared" si="6"/>
        <v>24061.992999999999</v>
      </c>
      <c r="G25" s="21">
        <f t="shared" si="6"/>
        <v>24061.992999999999</v>
      </c>
    </row>
    <row r="26" spans="1:7" x14ac:dyDescent="0.25">
      <c r="A26" s="83" t="s">
        <v>114</v>
      </c>
      <c r="B26" s="21"/>
      <c r="C26" s="21">
        <f>'AMORT. PREST. BANC.'!K13</f>
        <v>19156.204372594089</v>
      </c>
      <c r="D26" s="21">
        <f>'AMORT. PREST. BANC.'!K14</f>
        <v>20976.043787990529</v>
      </c>
      <c r="E26" s="21">
        <f>'AMORT. PREST. BANC.'!K15</f>
        <v>22968.767947849628</v>
      </c>
      <c r="F26" s="21">
        <f>'AMORT. PREST. BANC.'!K16</f>
        <v>25150.800902895342</v>
      </c>
      <c r="G26" s="21">
        <f>'AMORT. PREST. BANC.'!K17</f>
        <v>27540.126988670399</v>
      </c>
    </row>
    <row r="27" spans="1:7" x14ac:dyDescent="0.25">
      <c r="A27" s="83" t="s">
        <v>150</v>
      </c>
      <c r="B27" s="21">
        <f>-'INV. INICIAL'!B7</f>
        <v>-134244.93</v>
      </c>
      <c r="C27" s="21"/>
      <c r="D27" s="21"/>
      <c r="E27" s="21"/>
      <c r="F27" s="21"/>
      <c r="G27" s="21"/>
    </row>
    <row r="28" spans="1:7" x14ac:dyDescent="0.25">
      <c r="A28" s="83" t="s">
        <v>115</v>
      </c>
      <c r="B28" s="21">
        <f>SUM('CAPITAL DE TRABAJO'!B26:D26)</f>
        <v>-16170</v>
      </c>
      <c r="C28" s="21"/>
      <c r="D28" s="21"/>
      <c r="E28" s="21"/>
      <c r="F28" s="21"/>
      <c r="G28" s="21">
        <f>-B28</f>
        <v>16170</v>
      </c>
    </row>
    <row r="29" spans="1:7" x14ac:dyDescent="0.25">
      <c r="A29" s="83" t="s">
        <v>116</v>
      </c>
      <c r="B29" s="21">
        <f>'AMORT. PREST. BANC.'!K6</f>
        <v>115791.944</v>
      </c>
      <c r="C29" s="21"/>
      <c r="D29" s="21"/>
      <c r="E29" s="21"/>
      <c r="F29" s="21"/>
      <c r="G29" s="21"/>
    </row>
    <row r="30" spans="1:7" x14ac:dyDescent="0.25">
      <c r="A30" s="83" t="s">
        <v>117</v>
      </c>
      <c r="C30" s="21"/>
      <c r="D30" s="21"/>
      <c r="E30" s="21"/>
      <c r="F30" s="21"/>
      <c r="G30" s="21">
        <f>'VALOR DE DESECHO'!G8</f>
        <v>559.96500000000003</v>
      </c>
    </row>
    <row r="31" spans="1:7" x14ac:dyDescent="0.25">
      <c r="A31" s="54" t="s">
        <v>118</v>
      </c>
      <c r="B31" s="64">
        <f>B27+B28+B29</f>
        <v>-34622.98599999999</v>
      </c>
      <c r="C31" s="64">
        <f>C24+C25-C26+C27+C28+C29+C30</f>
        <v>42591.295590605885</v>
      </c>
      <c r="D31" s="64">
        <f t="shared" ref="D31:G31" si="7">D24+D25-D26+D27+D28+D29+D30</f>
        <v>42154.534130910739</v>
      </c>
      <c r="E31" s="64">
        <f t="shared" si="7"/>
        <v>41676.280332544557</v>
      </c>
      <c r="F31" s="64">
        <f t="shared" si="7"/>
        <v>41024.592423333597</v>
      </c>
      <c r="G31" s="64">
        <f t="shared" si="7"/>
        <v>57181.119162747578</v>
      </c>
    </row>
    <row r="33" spans="1:7" x14ac:dyDescent="0.25">
      <c r="A33" s="40" t="s">
        <v>120</v>
      </c>
      <c r="B33" s="65">
        <f>NPV('TASA DE DESCUENTO'!C19,C31:G31)+B31</f>
        <v>116501.14247652776</v>
      </c>
    </row>
    <row r="34" spans="1:7" x14ac:dyDescent="0.25">
      <c r="A34" s="40" t="s">
        <v>121</v>
      </c>
      <c r="B34" s="62">
        <f>IRR(B31:G31)</f>
        <v>1.2080138959485391</v>
      </c>
    </row>
    <row r="35" spans="1:7" x14ac:dyDescent="0.25">
      <c r="A35" s="6"/>
      <c r="B35" s="97"/>
      <c r="C35" s="7"/>
      <c r="D35" s="7"/>
      <c r="E35" s="7"/>
      <c r="F35" s="7"/>
      <c r="G35" s="7"/>
    </row>
    <row r="36" spans="1:7" x14ac:dyDescent="0.25">
      <c r="A36" s="9"/>
      <c r="B36" s="9"/>
      <c r="C36" s="9"/>
      <c r="D36" s="9"/>
      <c r="E36" s="9"/>
      <c r="F36" s="9"/>
      <c r="G36" s="9"/>
    </row>
    <row r="37" spans="1:7" x14ac:dyDescent="0.25">
      <c r="A37" s="4"/>
      <c r="B37" s="4"/>
      <c r="C37" s="9"/>
      <c r="D37" s="9"/>
      <c r="E37" s="9"/>
      <c r="F37" s="9"/>
      <c r="G37" s="9"/>
    </row>
    <row r="39" spans="1:7" x14ac:dyDescent="0.25">
      <c r="A39" s="46" t="s">
        <v>156</v>
      </c>
      <c r="B39" s="77" t="s">
        <v>120</v>
      </c>
      <c r="C39" s="77" t="s">
        <v>121</v>
      </c>
    </row>
    <row r="40" spans="1:7" x14ac:dyDescent="0.25">
      <c r="A40" s="76" t="s">
        <v>181</v>
      </c>
      <c r="B40" s="122">
        <f>B33</f>
        <v>116501.14247652776</v>
      </c>
      <c r="C40" s="124">
        <f>B34</f>
        <v>1.2080138959485391</v>
      </c>
      <c r="D40" s="25"/>
    </row>
    <row r="41" spans="1:7" x14ac:dyDescent="0.25">
      <c r="A41" s="76" t="s">
        <v>182</v>
      </c>
      <c r="B41" s="123"/>
      <c r="C41" s="124"/>
      <c r="D41" s="74"/>
      <c r="E41" s="74"/>
      <c r="F41" s="74"/>
      <c r="G41" s="74"/>
    </row>
    <row r="42" spans="1:7" x14ac:dyDescent="0.25">
      <c r="A42" s="109" t="s">
        <v>7</v>
      </c>
      <c r="B42" s="109"/>
      <c r="C42" s="74"/>
      <c r="D42" s="74"/>
      <c r="E42" s="74"/>
      <c r="F42" s="74"/>
      <c r="G42" s="74"/>
    </row>
    <row r="43" spans="1:7" x14ac:dyDescent="0.25">
      <c r="B43" s="74"/>
      <c r="C43" s="74"/>
      <c r="D43" s="74"/>
      <c r="E43" s="74"/>
      <c r="F43" s="74"/>
      <c r="G43" s="74"/>
    </row>
    <row r="44" spans="1:7" x14ac:dyDescent="0.25">
      <c r="B44" s="74"/>
      <c r="C44" s="74"/>
      <c r="D44" s="74"/>
      <c r="E44" s="74"/>
      <c r="F44" s="74"/>
      <c r="G44" s="74"/>
    </row>
    <row r="45" spans="1:7" x14ac:dyDescent="0.25">
      <c r="B45" s="74"/>
      <c r="C45" s="74"/>
      <c r="D45" s="74"/>
      <c r="E45" s="74"/>
      <c r="F45" s="74"/>
      <c r="G45" s="74"/>
    </row>
    <row r="46" spans="1:7" x14ac:dyDescent="0.25">
      <c r="B46" s="74"/>
      <c r="C46" s="74"/>
      <c r="D46" s="74"/>
      <c r="E46" s="74"/>
      <c r="F46" s="74"/>
      <c r="G46" s="74"/>
    </row>
    <row r="47" spans="1:7" x14ac:dyDescent="0.25">
      <c r="B47" s="75"/>
      <c r="C47" s="74"/>
      <c r="D47" s="74"/>
      <c r="E47" s="74"/>
      <c r="F47" s="74"/>
      <c r="G47" s="74"/>
    </row>
    <row r="48" spans="1:7" x14ac:dyDescent="0.25">
      <c r="B48" s="74"/>
      <c r="C48" s="74"/>
      <c r="D48" s="74"/>
      <c r="E48" s="74"/>
      <c r="F48" s="74"/>
      <c r="G48" s="74"/>
    </row>
    <row r="49" spans="2:7" x14ac:dyDescent="0.25">
      <c r="B49" s="74"/>
      <c r="C49" s="74"/>
      <c r="D49" s="74"/>
      <c r="E49" s="74"/>
      <c r="F49" s="74"/>
      <c r="G49" s="74"/>
    </row>
    <row r="50" spans="2:7" x14ac:dyDescent="0.25">
      <c r="B50" s="74"/>
      <c r="C50" s="74"/>
      <c r="D50" s="74"/>
      <c r="E50" s="74"/>
      <c r="F50" s="74"/>
      <c r="G50" s="74"/>
    </row>
    <row r="51" spans="2:7" x14ac:dyDescent="0.25">
      <c r="B51" s="74"/>
      <c r="C51" s="74"/>
      <c r="D51" s="74"/>
      <c r="E51" s="74"/>
      <c r="F51" s="74"/>
      <c r="G51" s="74"/>
    </row>
    <row r="52" spans="2:7" x14ac:dyDescent="0.25">
      <c r="B52" s="74"/>
      <c r="C52" s="74"/>
      <c r="D52" s="74"/>
      <c r="E52" s="74"/>
      <c r="F52" s="74"/>
      <c r="G52" s="74"/>
    </row>
    <row r="53" spans="2:7" x14ac:dyDescent="0.25">
      <c r="B53" s="74"/>
      <c r="C53" s="74"/>
      <c r="D53" s="74"/>
      <c r="E53" s="74"/>
      <c r="F53" s="74"/>
      <c r="G53" s="74"/>
    </row>
    <row r="54" spans="2:7" x14ac:dyDescent="0.25">
      <c r="B54" s="74"/>
      <c r="C54" s="74"/>
      <c r="D54" s="74"/>
      <c r="E54" s="74"/>
      <c r="F54" s="74"/>
      <c r="G54" s="74"/>
    </row>
    <row r="55" spans="2:7" x14ac:dyDescent="0.25">
      <c r="B55" s="74"/>
      <c r="C55" s="74"/>
      <c r="D55" s="74"/>
      <c r="E55" s="74"/>
      <c r="F55" s="74"/>
      <c r="G55" s="74"/>
    </row>
    <row r="56" spans="2:7" x14ac:dyDescent="0.25">
      <c r="B56" s="74"/>
      <c r="C56" s="74"/>
      <c r="D56" s="74"/>
      <c r="E56" s="74"/>
      <c r="F56" s="74"/>
      <c r="G56" s="74"/>
    </row>
    <row r="57" spans="2:7" x14ac:dyDescent="0.25">
      <c r="B57" s="74"/>
      <c r="C57" s="74"/>
      <c r="D57" s="74"/>
      <c r="E57" s="74"/>
      <c r="F57" s="74"/>
      <c r="G57" s="74"/>
    </row>
    <row r="58" spans="2:7" x14ac:dyDescent="0.25">
      <c r="B58" s="74"/>
      <c r="C58" s="74"/>
      <c r="D58" s="74"/>
      <c r="E58" s="74"/>
      <c r="F58" s="74"/>
      <c r="G58" s="74"/>
    </row>
    <row r="59" spans="2:7" x14ac:dyDescent="0.25">
      <c r="B59" s="74"/>
      <c r="C59" s="74"/>
      <c r="D59" s="74"/>
      <c r="E59" s="74"/>
      <c r="F59" s="74"/>
      <c r="G59" s="74"/>
    </row>
    <row r="60" spans="2:7" x14ac:dyDescent="0.25">
      <c r="B60" s="74"/>
      <c r="C60" s="74"/>
      <c r="D60" s="74"/>
      <c r="E60" s="74"/>
      <c r="F60" s="74"/>
      <c r="G60" s="74"/>
    </row>
  </sheetData>
  <mergeCells count="4">
    <mergeCell ref="A42:B42"/>
    <mergeCell ref="A2:G2"/>
    <mergeCell ref="B40:B41"/>
    <mergeCell ref="C40:C4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2"/>
  <sheetViews>
    <sheetView topLeftCell="A5" workbookViewId="0">
      <selection activeCell="C31" sqref="C31"/>
    </sheetView>
  </sheetViews>
  <sheetFormatPr baseColWidth="10" defaultRowHeight="15" x14ac:dyDescent="0.25"/>
  <cols>
    <col min="1" max="1" width="37.28515625" bestFit="1" customWidth="1"/>
    <col min="2" max="2" width="13.7109375" bestFit="1" customWidth="1"/>
    <col min="3" max="12" width="13" bestFit="1" customWidth="1"/>
  </cols>
  <sheetData>
    <row r="2" spans="1:12" ht="15.75" x14ac:dyDescent="0.25">
      <c r="A2" s="112" t="s">
        <v>153</v>
      </c>
      <c r="B2" s="112"/>
      <c r="C2" s="112"/>
      <c r="D2" s="112"/>
      <c r="E2" s="112"/>
      <c r="F2" s="112"/>
      <c r="G2" s="112"/>
      <c r="H2" s="106"/>
      <c r="I2" s="106"/>
      <c r="J2" s="106"/>
      <c r="K2" s="106"/>
      <c r="L2" s="106"/>
    </row>
    <row r="3" spans="1:12" x14ac:dyDescent="0.25">
      <c r="A3" s="66"/>
    </row>
    <row r="4" spans="1:12" x14ac:dyDescent="0.25">
      <c r="A4" s="46" t="s">
        <v>144</v>
      </c>
      <c r="B4" s="67">
        <v>2012</v>
      </c>
      <c r="C4" s="67">
        <v>2013</v>
      </c>
      <c r="D4" s="67">
        <v>2014</v>
      </c>
      <c r="E4" s="67">
        <v>2015</v>
      </c>
      <c r="F4" s="67">
        <v>2016</v>
      </c>
      <c r="G4" s="67">
        <v>2017</v>
      </c>
      <c r="H4" s="95"/>
      <c r="I4" s="95"/>
      <c r="J4" s="95"/>
      <c r="K4" s="95"/>
      <c r="L4" s="95"/>
    </row>
    <row r="5" spans="1:12" x14ac:dyDescent="0.25">
      <c r="A5" s="83" t="s">
        <v>177</v>
      </c>
      <c r="B5" s="21"/>
      <c r="C5" s="21">
        <f>'INGRESOS ANUALES'!B7*0.9</f>
        <v>168480</v>
      </c>
      <c r="D5" s="21">
        <f>'INGRESOS ANUALES'!C7*0.9</f>
        <v>168480</v>
      </c>
      <c r="E5" s="21">
        <f>'INGRESOS ANUALES'!D7*0.9</f>
        <v>168480</v>
      </c>
      <c r="F5" s="21">
        <f>'INGRESOS ANUALES'!E7*0.9</f>
        <v>168480</v>
      </c>
      <c r="G5" s="21">
        <f>'INGRESOS ANUALES'!F7*0.9</f>
        <v>168480</v>
      </c>
      <c r="H5" s="93"/>
      <c r="I5" s="93"/>
      <c r="J5" s="93"/>
      <c r="K5" s="93"/>
      <c r="L5" s="93"/>
    </row>
    <row r="6" spans="1:12" x14ac:dyDescent="0.25">
      <c r="A6" s="54" t="s">
        <v>99</v>
      </c>
      <c r="B6" s="63"/>
      <c r="C6" s="92">
        <f>C5</f>
        <v>168480</v>
      </c>
      <c r="D6" s="92">
        <f t="shared" ref="D6:G6" si="0">D5</f>
        <v>168480</v>
      </c>
      <c r="E6" s="92">
        <f t="shared" si="0"/>
        <v>168480</v>
      </c>
      <c r="F6" s="92">
        <f t="shared" si="0"/>
        <v>168480</v>
      </c>
      <c r="G6" s="92">
        <f t="shared" si="0"/>
        <v>168480</v>
      </c>
      <c r="H6" s="93"/>
      <c r="I6" s="93"/>
      <c r="J6" s="93"/>
      <c r="K6" s="93"/>
      <c r="L6" s="93"/>
    </row>
    <row r="7" spans="1:12" x14ac:dyDescent="0.25">
      <c r="A7" s="84" t="s">
        <v>98</v>
      </c>
      <c r="B7" s="21"/>
      <c r="C7" s="23">
        <f>SUM(C8:C14)</f>
        <v>138810</v>
      </c>
      <c r="D7" s="23">
        <f>SUM(D8:D14)</f>
        <v>138810</v>
      </c>
      <c r="E7" s="23">
        <f>SUM(E8:E14)</f>
        <v>138810</v>
      </c>
      <c r="F7" s="23">
        <f>SUM(F8:F14)</f>
        <v>138810</v>
      </c>
      <c r="G7" s="23">
        <f>SUM(G8:G14)</f>
        <v>138810</v>
      </c>
      <c r="H7" s="93"/>
      <c r="I7" s="93"/>
      <c r="J7" s="93"/>
      <c r="K7" s="93"/>
      <c r="L7" s="93"/>
    </row>
    <row r="8" spans="1:12" x14ac:dyDescent="0.25">
      <c r="A8" s="83" t="s">
        <v>101</v>
      </c>
      <c r="B8" s="21"/>
      <c r="C8" s="21">
        <f>'GASTO ORG. Y ADM.'!$E$11</f>
        <v>66600</v>
      </c>
      <c r="D8" s="21">
        <f>'GASTO ORG. Y ADM.'!$E$11</f>
        <v>66600</v>
      </c>
      <c r="E8" s="21">
        <f>'GASTO ORG. Y ADM.'!$E$11</f>
        <v>66600</v>
      </c>
      <c r="F8" s="21">
        <f>'GASTO ORG. Y ADM.'!$E$11</f>
        <v>66600</v>
      </c>
      <c r="G8" s="21">
        <f>'GASTO ORG. Y ADM.'!$E$11</f>
        <v>66600</v>
      </c>
      <c r="H8" s="96"/>
      <c r="I8" s="96"/>
      <c r="J8" s="96"/>
      <c r="K8" s="96"/>
      <c r="L8" s="96"/>
    </row>
    <row r="9" spans="1:12" x14ac:dyDescent="0.25">
      <c r="A9" s="83" t="s">
        <v>100</v>
      </c>
      <c r="B9" s="21"/>
      <c r="C9" s="21">
        <f>'COST. FIJOS'!$C$8</f>
        <v>8040</v>
      </c>
      <c r="D9" s="21">
        <f>'COST. FIJOS'!$C$8</f>
        <v>8040</v>
      </c>
      <c r="E9" s="21">
        <f>'COST. FIJOS'!$C$8</f>
        <v>8040</v>
      </c>
      <c r="F9" s="21">
        <f>'COST. FIJOS'!$C$8</f>
        <v>8040</v>
      </c>
      <c r="G9" s="21">
        <f>'COST. FIJOS'!$C$8</f>
        <v>8040</v>
      </c>
      <c r="H9" s="93"/>
      <c r="I9" s="93"/>
      <c r="J9" s="93"/>
      <c r="K9" s="93"/>
      <c r="L9" s="93"/>
    </row>
    <row r="10" spans="1:12" x14ac:dyDescent="0.25">
      <c r="A10" s="83" t="s">
        <v>178</v>
      </c>
      <c r="B10" s="21"/>
      <c r="C10" s="21">
        <f>'INV. PROYECTO'!$B$6*12*1.05</f>
        <v>47880</v>
      </c>
      <c r="D10" s="21">
        <f>'INV. PROYECTO'!$B$6*12*1.05</f>
        <v>47880</v>
      </c>
      <c r="E10" s="21">
        <f>'INV. PROYECTO'!$B$6*12*1.05</f>
        <v>47880</v>
      </c>
      <c r="F10" s="21">
        <f>'INV. PROYECTO'!$B$6*12*1.05</f>
        <v>47880</v>
      </c>
      <c r="G10" s="21">
        <f>'INV. PROYECTO'!$B$6*12*1.05</f>
        <v>47880</v>
      </c>
      <c r="H10" s="93"/>
      <c r="I10" s="93"/>
      <c r="J10" s="93"/>
      <c r="K10" s="93"/>
      <c r="L10" s="93"/>
    </row>
    <row r="11" spans="1:12" x14ac:dyDescent="0.25">
      <c r="A11" s="83" t="s">
        <v>179</v>
      </c>
      <c r="B11" s="21"/>
      <c r="C11" s="21">
        <f>'INV. PROYECTO'!$B$7*12*1.05</f>
        <v>8190</v>
      </c>
      <c r="D11" s="21">
        <f>'INV. PROYECTO'!$B$7*12*1.05</f>
        <v>8190</v>
      </c>
      <c r="E11" s="21">
        <f>'INV. PROYECTO'!$B$7*12*1.05</f>
        <v>8190</v>
      </c>
      <c r="F11" s="21">
        <f>'INV. PROYECTO'!$B$7*12*1.05</f>
        <v>8190</v>
      </c>
      <c r="G11" s="21">
        <f>'INV. PROYECTO'!$B$7*12*1.05</f>
        <v>8190</v>
      </c>
      <c r="H11" s="93"/>
      <c r="I11" s="93"/>
      <c r="J11" s="93"/>
      <c r="K11" s="93"/>
      <c r="L11" s="93"/>
    </row>
    <row r="12" spans="1:12" x14ac:dyDescent="0.25">
      <c r="A12" s="83" t="s">
        <v>102</v>
      </c>
      <c r="B12" s="21"/>
      <c r="C12" s="21">
        <f>'COST. FIJOS'!$C$10</f>
        <v>5100</v>
      </c>
      <c r="D12" s="21">
        <f>'COST. FIJOS'!$C$10</f>
        <v>5100</v>
      </c>
      <c r="E12" s="21">
        <f>'COST. FIJOS'!$C$10</f>
        <v>5100</v>
      </c>
      <c r="F12" s="21">
        <f>'COST. FIJOS'!$C$10</f>
        <v>5100</v>
      </c>
      <c r="G12" s="21">
        <f>'COST. FIJOS'!$C$10</f>
        <v>5100</v>
      </c>
      <c r="H12" s="93"/>
      <c r="I12" s="93"/>
      <c r="J12" s="93"/>
      <c r="K12" s="93"/>
      <c r="L12" s="93"/>
    </row>
    <row r="13" spans="1:12" x14ac:dyDescent="0.25">
      <c r="A13" s="83" t="s">
        <v>194</v>
      </c>
      <c r="B13" s="21"/>
      <c r="C13" s="21">
        <f>'COST. FIJOS'!$C$5</f>
        <v>2400</v>
      </c>
      <c r="D13" s="21">
        <f>'COST. FIJOS'!$C$5</f>
        <v>2400</v>
      </c>
      <c r="E13" s="21">
        <f>'COST. FIJOS'!$C$5</f>
        <v>2400</v>
      </c>
      <c r="F13" s="21">
        <f>'COST. FIJOS'!$C$5</f>
        <v>2400</v>
      </c>
      <c r="G13" s="21">
        <f>'COST. FIJOS'!$C$5</f>
        <v>2400</v>
      </c>
      <c r="H13" s="93"/>
      <c r="I13" s="93"/>
      <c r="J13" s="93"/>
      <c r="K13" s="93"/>
      <c r="L13" s="93"/>
    </row>
    <row r="14" spans="1:12" x14ac:dyDescent="0.25">
      <c r="A14" s="83" t="s">
        <v>103</v>
      </c>
      <c r="B14" s="21"/>
      <c r="C14" s="21">
        <f>'COST. FIJOS'!$C$11</f>
        <v>600</v>
      </c>
      <c r="D14" s="21">
        <f>'COST. FIJOS'!$C$11</f>
        <v>600</v>
      </c>
      <c r="E14" s="21">
        <f>'COST. FIJOS'!$C$11</f>
        <v>600</v>
      </c>
      <c r="F14" s="21">
        <f>'COST. FIJOS'!$C$11</f>
        <v>600</v>
      </c>
      <c r="G14" s="21">
        <f>'COST. FIJOS'!$C$11</f>
        <v>600</v>
      </c>
      <c r="H14" s="93"/>
      <c r="I14" s="93"/>
      <c r="J14" s="93"/>
      <c r="K14" s="93"/>
      <c r="L14" s="93"/>
    </row>
    <row r="15" spans="1:12" x14ac:dyDescent="0.25">
      <c r="A15" s="84" t="s">
        <v>104</v>
      </c>
      <c r="B15" s="21"/>
      <c r="C15" s="23">
        <f>SUM(C16:C18)</f>
        <v>24595.326333333331</v>
      </c>
      <c r="D15" s="23">
        <f t="shared" ref="D15:G15" si="1">SUM(D16:D18)</f>
        <v>24595.326333333331</v>
      </c>
      <c r="E15" s="23">
        <f t="shared" si="1"/>
        <v>24595.326333333331</v>
      </c>
      <c r="F15" s="23">
        <f t="shared" si="1"/>
        <v>24061.992999999999</v>
      </c>
      <c r="G15" s="23">
        <f t="shared" si="1"/>
        <v>24061.992999999999</v>
      </c>
      <c r="H15" s="96"/>
      <c r="I15" s="96"/>
      <c r="J15" s="96"/>
      <c r="K15" s="96"/>
      <c r="L15" s="96"/>
    </row>
    <row r="16" spans="1:12" x14ac:dyDescent="0.25">
      <c r="A16" s="83" t="s">
        <v>105</v>
      </c>
      <c r="B16" s="21"/>
      <c r="C16" s="21">
        <f>'VALOR DE DESECHO'!$D$5</f>
        <v>23950</v>
      </c>
      <c r="D16" s="21">
        <f>'VALOR DE DESECHO'!$D$5</f>
        <v>23950</v>
      </c>
      <c r="E16" s="21">
        <f>'VALOR DE DESECHO'!$D$5</f>
        <v>23950</v>
      </c>
      <c r="F16" s="21">
        <f>'VALOR DE DESECHO'!$D$5</f>
        <v>23950</v>
      </c>
      <c r="G16" s="21">
        <f>'VALOR DE DESECHO'!$D$5</f>
        <v>23950</v>
      </c>
      <c r="H16" s="93"/>
      <c r="I16" s="93"/>
      <c r="J16" s="93"/>
      <c r="K16" s="93"/>
      <c r="L16" s="93"/>
    </row>
    <row r="17" spans="1:12" x14ac:dyDescent="0.25">
      <c r="A17" s="83" t="s">
        <v>106</v>
      </c>
      <c r="B17" s="21"/>
      <c r="C17" s="21">
        <f>'VALOR DE DESECHO'!$D$6</f>
        <v>111.99300000000001</v>
      </c>
      <c r="D17" s="21">
        <f>'VALOR DE DESECHO'!$D$6</f>
        <v>111.99300000000001</v>
      </c>
      <c r="E17" s="21">
        <f>'VALOR DE DESECHO'!$D$6</f>
        <v>111.99300000000001</v>
      </c>
      <c r="F17" s="21">
        <f>'VALOR DE DESECHO'!$D$6</f>
        <v>111.99300000000001</v>
      </c>
      <c r="G17" s="21">
        <f>'VALOR DE DESECHO'!$D$6</f>
        <v>111.99300000000001</v>
      </c>
      <c r="H17" s="93"/>
      <c r="I17" s="93"/>
      <c r="J17" s="93"/>
      <c r="K17" s="93"/>
      <c r="L17" s="93"/>
    </row>
    <row r="18" spans="1:12" x14ac:dyDescent="0.25">
      <c r="A18" s="83" t="s">
        <v>107</v>
      </c>
      <c r="B18" s="21"/>
      <c r="C18" s="22">
        <f>'VALOR DE DESECHO'!$D$7</f>
        <v>533.33333333333337</v>
      </c>
      <c r="D18" s="22">
        <f>'VALOR DE DESECHO'!$D$7</f>
        <v>533.33333333333337</v>
      </c>
      <c r="E18" s="22">
        <f>'VALOR DE DESECHO'!$D$7</f>
        <v>533.33333333333337</v>
      </c>
      <c r="F18" s="22">
        <v>0</v>
      </c>
      <c r="G18" s="22">
        <v>0</v>
      </c>
      <c r="H18" s="93"/>
      <c r="I18" s="93"/>
      <c r="J18" s="93"/>
      <c r="K18" s="93"/>
      <c r="L18" s="93"/>
    </row>
    <row r="19" spans="1:12" x14ac:dyDescent="0.25">
      <c r="A19" s="54" t="s">
        <v>108</v>
      </c>
      <c r="B19" s="63"/>
      <c r="C19" s="64">
        <f>C6-C7-C15</f>
        <v>5074.6736666666693</v>
      </c>
      <c r="D19" s="64">
        <f>D6-D7-D15</f>
        <v>5074.6736666666693</v>
      </c>
      <c r="E19" s="64">
        <f>E6-E7-E15</f>
        <v>5074.6736666666693</v>
      </c>
      <c r="F19" s="64">
        <f>F6-F7-F15</f>
        <v>5608.0070000000014</v>
      </c>
      <c r="G19" s="64">
        <f>G6-G7-G15</f>
        <v>5608.0070000000014</v>
      </c>
      <c r="H19" s="93"/>
      <c r="I19" s="93"/>
      <c r="J19" s="93"/>
      <c r="K19" s="93"/>
      <c r="L19" s="93"/>
    </row>
    <row r="20" spans="1:12" x14ac:dyDescent="0.25">
      <c r="A20" s="84" t="s">
        <v>109</v>
      </c>
      <c r="B20" s="21"/>
      <c r="C20" s="23">
        <f>C21</f>
        <v>11000.23468</v>
      </c>
      <c r="D20" s="23">
        <f t="shared" ref="D20:G20" si="2">D21</f>
        <v>9180.3952646035614</v>
      </c>
      <c r="E20" s="23">
        <f t="shared" si="2"/>
        <v>7187.6711047444624</v>
      </c>
      <c r="F20" s="23">
        <f t="shared" si="2"/>
        <v>5005.6381496987478</v>
      </c>
      <c r="G20" s="23">
        <f t="shared" si="2"/>
        <v>2616.3120639236899</v>
      </c>
      <c r="H20" s="96"/>
      <c r="I20" s="96"/>
      <c r="J20" s="96"/>
      <c r="K20" s="96"/>
      <c r="L20" s="96"/>
    </row>
    <row r="21" spans="1:12" x14ac:dyDescent="0.25">
      <c r="A21" s="83" t="s">
        <v>110</v>
      </c>
      <c r="B21" s="21"/>
      <c r="C21" s="22">
        <f>'AMORT. PREST. BANC.'!J13</f>
        <v>11000.23468</v>
      </c>
      <c r="D21" s="22">
        <f>'AMORT. PREST. BANC.'!J14</f>
        <v>9180.3952646035614</v>
      </c>
      <c r="E21" s="22">
        <f>'AMORT. PREST. BANC.'!J15</f>
        <v>7187.6711047444624</v>
      </c>
      <c r="F21" s="22">
        <f>'AMORT. PREST. BANC.'!J16</f>
        <v>5005.6381496987478</v>
      </c>
      <c r="G21" s="22">
        <f>'AMORT. PREST. BANC.'!J17</f>
        <v>2616.3120639236899</v>
      </c>
      <c r="H21" s="96"/>
      <c r="I21" s="96"/>
      <c r="J21" s="96"/>
      <c r="K21" s="96"/>
      <c r="L21" s="96"/>
    </row>
    <row r="22" spans="1:12" x14ac:dyDescent="0.25">
      <c r="A22" s="54" t="s">
        <v>111</v>
      </c>
      <c r="B22" s="63"/>
      <c r="C22" s="64">
        <f>C19-C20</f>
        <v>-5925.5610133333303</v>
      </c>
      <c r="D22" s="64">
        <f t="shared" ref="D22:G22" si="3">D19-D20</f>
        <v>-4105.7215979368921</v>
      </c>
      <c r="E22" s="64">
        <f t="shared" si="3"/>
        <v>-2112.997438077793</v>
      </c>
      <c r="F22" s="64">
        <f t="shared" si="3"/>
        <v>602.36885030125359</v>
      </c>
      <c r="G22" s="64">
        <f t="shared" si="3"/>
        <v>2991.6949360763115</v>
      </c>
      <c r="H22" s="93"/>
      <c r="I22" s="93"/>
      <c r="J22" s="93"/>
      <c r="K22" s="93"/>
      <c r="L22" s="93"/>
    </row>
    <row r="23" spans="1:12" x14ac:dyDescent="0.25">
      <c r="A23" s="83" t="s">
        <v>191</v>
      </c>
      <c r="B23" s="21"/>
      <c r="C23" s="22">
        <f>C22*0.24</f>
        <v>-1422.1346431999991</v>
      </c>
      <c r="D23" s="22">
        <f t="shared" ref="D23:G23" si="4">D22*0.24</f>
        <v>-985.37318350485407</v>
      </c>
      <c r="E23" s="22">
        <f t="shared" si="4"/>
        <v>-507.11938513867034</v>
      </c>
      <c r="F23" s="22">
        <f t="shared" si="4"/>
        <v>144.56852407230085</v>
      </c>
      <c r="G23" s="22">
        <f t="shared" si="4"/>
        <v>718.0067846583147</v>
      </c>
      <c r="H23" s="96"/>
      <c r="I23" s="96"/>
      <c r="J23" s="96"/>
      <c r="K23" s="96"/>
      <c r="L23" s="96"/>
    </row>
    <row r="24" spans="1:12" x14ac:dyDescent="0.25">
      <c r="A24" s="54" t="s">
        <v>112</v>
      </c>
      <c r="B24" s="63"/>
      <c r="C24" s="64">
        <f>C22-C23</f>
        <v>-4503.4263701333311</v>
      </c>
      <c r="D24" s="64">
        <f t="shared" ref="D24:G24" si="5">D22-D23</f>
        <v>-3120.3484144320382</v>
      </c>
      <c r="E24" s="64">
        <f t="shared" si="5"/>
        <v>-1605.8780529391227</v>
      </c>
      <c r="F24" s="64">
        <f t="shared" si="5"/>
        <v>457.80032622895271</v>
      </c>
      <c r="G24" s="64">
        <f t="shared" si="5"/>
        <v>2273.6881514179968</v>
      </c>
      <c r="H24" s="93"/>
      <c r="I24" s="93"/>
      <c r="J24" s="93"/>
      <c r="K24" s="93"/>
      <c r="L24" s="93"/>
    </row>
    <row r="25" spans="1:12" x14ac:dyDescent="0.25">
      <c r="A25" s="83" t="s">
        <v>113</v>
      </c>
      <c r="B25" s="21"/>
      <c r="C25" s="21">
        <f>C15</f>
        <v>24595.326333333331</v>
      </c>
      <c r="D25" s="21">
        <f t="shared" ref="D25:G25" si="6">D15</f>
        <v>24595.326333333331</v>
      </c>
      <c r="E25" s="21">
        <f t="shared" si="6"/>
        <v>24595.326333333331</v>
      </c>
      <c r="F25" s="21">
        <f t="shared" si="6"/>
        <v>24061.992999999999</v>
      </c>
      <c r="G25" s="21">
        <f t="shared" si="6"/>
        <v>24061.992999999999</v>
      </c>
      <c r="H25" s="96"/>
      <c r="I25" s="96"/>
      <c r="J25" s="96"/>
      <c r="K25" s="96"/>
      <c r="L25" s="96"/>
    </row>
    <row r="26" spans="1:12" x14ac:dyDescent="0.25">
      <c r="A26" s="83" t="s">
        <v>114</v>
      </c>
      <c r="B26" s="21"/>
      <c r="C26" s="21">
        <f>'AMORT. PREST. BANC.'!K13</f>
        <v>19156.204372594089</v>
      </c>
      <c r="D26" s="21">
        <f>'AMORT. PREST. BANC.'!K14</f>
        <v>20976.043787990529</v>
      </c>
      <c r="E26" s="21">
        <f>'AMORT. PREST. BANC.'!K15</f>
        <v>22968.767947849628</v>
      </c>
      <c r="F26" s="21">
        <f>'AMORT. PREST. BANC.'!K16</f>
        <v>25150.800902895342</v>
      </c>
      <c r="G26" s="21">
        <f>'AMORT. PREST. BANC.'!K17</f>
        <v>27540.126988670399</v>
      </c>
      <c r="H26" s="93"/>
      <c r="I26" s="93"/>
      <c r="J26" s="93"/>
      <c r="K26" s="93"/>
      <c r="L26" s="93"/>
    </row>
    <row r="27" spans="1:12" x14ac:dyDescent="0.25">
      <c r="A27" s="83" t="s">
        <v>150</v>
      </c>
      <c r="B27" s="21">
        <f>-'INV. INICIAL'!B7</f>
        <v>-134244.93</v>
      </c>
      <c r="C27" s="21"/>
      <c r="D27" s="21"/>
      <c r="E27" s="21"/>
      <c r="F27" s="21"/>
      <c r="G27" s="21"/>
      <c r="H27" s="93"/>
      <c r="I27" s="93"/>
      <c r="J27" s="93"/>
      <c r="K27" s="93"/>
      <c r="L27" s="93"/>
    </row>
    <row r="28" spans="1:12" x14ac:dyDescent="0.25">
      <c r="A28" s="83" t="s">
        <v>115</v>
      </c>
      <c r="B28" s="21">
        <f>SUM('CAPITAL DE TRABAJO'!B26:D26)</f>
        <v>-16170</v>
      </c>
      <c r="C28" s="21"/>
      <c r="D28" s="21"/>
      <c r="E28" s="21"/>
      <c r="F28" s="21"/>
      <c r="G28" s="21">
        <f>-B28</f>
        <v>16170</v>
      </c>
      <c r="H28" s="93"/>
      <c r="I28" s="93"/>
      <c r="J28" s="93"/>
      <c r="K28" s="93"/>
      <c r="L28" s="93"/>
    </row>
    <row r="29" spans="1:12" x14ac:dyDescent="0.25">
      <c r="A29" s="83" t="s">
        <v>116</v>
      </c>
      <c r="B29" s="21">
        <f>'AMORT. PREST. BANC.'!K6</f>
        <v>115791.944</v>
      </c>
      <c r="C29" s="21"/>
      <c r="D29" s="21"/>
      <c r="E29" s="21"/>
      <c r="F29" s="21"/>
      <c r="G29" s="21"/>
      <c r="H29" s="93"/>
      <c r="I29" s="93"/>
      <c r="J29" s="93"/>
      <c r="K29" s="93"/>
      <c r="L29" s="93"/>
    </row>
    <row r="30" spans="1:12" x14ac:dyDescent="0.25">
      <c r="A30" s="83" t="s">
        <v>117</v>
      </c>
      <c r="C30" s="21"/>
      <c r="D30" s="21"/>
      <c r="E30" s="21"/>
      <c r="F30" s="21"/>
      <c r="G30" s="21">
        <f>'VALOR DE DESECHO'!G8</f>
        <v>559.96500000000003</v>
      </c>
      <c r="H30" s="93"/>
      <c r="I30" s="93"/>
      <c r="J30" s="93"/>
      <c r="K30" s="93"/>
      <c r="L30" s="93"/>
    </row>
    <row r="31" spans="1:12" x14ac:dyDescent="0.25">
      <c r="A31" s="54" t="s">
        <v>118</v>
      </c>
      <c r="B31" s="64">
        <f>B27+B28+B29</f>
        <v>-34622.98599999999</v>
      </c>
      <c r="C31" s="64">
        <f>C24+C25-C26+C27+C28+C29+C30</f>
        <v>935.69559060590836</v>
      </c>
      <c r="D31" s="64">
        <f t="shared" ref="D31:G31" si="7">D24+D25-D26+D27+D28+D29+D30</f>
        <v>498.93413091076218</v>
      </c>
      <c r="E31" s="64">
        <f t="shared" si="7"/>
        <v>20.680332544579869</v>
      </c>
      <c r="F31" s="64">
        <f t="shared" si="7"/>
        <v>-631.00757666639038</v>
      </c>
      <c r="G31" s="64">
        <f t="shared" si="7"/>
        <v>15525.519162747594</v>
      </c>
      <c r="H31" s="93"/>
      <c r="I31" s="93"/>
      <c r="J31" s="93"/>
      <c r="K31" s="93"/>
      <c r="L31" s="93"/>
    </row>
    <row r="32" spans="1:12" x14ac:dyDescent="0.25">
      <c r="H32" s="96"/>
      <c r="I32" s="96"/>
      <c r="J32" s="96"/>
      <c r="K32" s="96"/>
      <c r="L32" s="96"/>
    </row>
    <row r="33" spans="1:12" x14ac:dyDescent="0.25">
      <c r="A33" s="40" t="s">
        <v>120</v>
      </c>
      <c r="B33" s="65">
        <f>NPV('TASA DE DESCUENTO'!C19,C31:G31)+B31</f>
        <v>-25788.443141756994</v>
      </c>
      <c r="H33" s="7"/>
      <c r="I33" s="7"/>
      <c r="J33" s="7"/>
      <c r="K33" s="7"/>
      <c r="L33" s="7"/>
    </row>
    <row r="34" spans="1:12" x14ac:dyDescent="0.25">
      <c r="A34" s="40" t="s">
        <v>121</v>
      </c>
      <c r="B34" s="62">
        <f>IRR(B31:G31)</f>
        <v>-0.14507338177717655</v>
      </c>
      <c r="H34" s="7"/>
      <c r="I34" s="7"/>
      <c r="J34" s="7"/>
      <c r="K34" s="7"/>
      <c r="L34" s="7"/>
    </row>
    <row r="35" spans="1:12" x14ac:dyDescent="0.25">
      <c r="A35" s="6"/>
      <c r="B35" s="9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</row>
    <row r="37" spans="1:12" x14ac:dyDescent="0.25">
      <c r="A37" s="98"/>
      <c r="B37" s="98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2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1:12" x14ac:dyDescent="0.25">
      <c r="A39" s="46" t="s">
        <v>157</v>
      </c>
      <c r="B39" s="77" t="s">
        <v>120</v>
      </c>
      <c r="C39" s="77" t="s">
        <v>121</v>
      </c>
    </row>
    <row r="40" spans="1:12" x14ac:dyDescent="0.25">
      <c r="A40" s="76" t="s">
        <v>183</v>
      </c>
      <c r="B40" s="122">
        <f>B33</f>
        <v>-25788.443141756994</v>
      </c>
      <c r="C40" s="124">
        <f>B34</f>
        <v>-0.14507338177717655</v>
      </c>
      <c r="D40" s="25"/>
    </row>
    <row r="41" spans="1:12" x14ac:dyDescent="0.25">
      <c r="A41" s="76" t="s">
        <v>184</v>
      </c>
      <c r="B41" s="123"/>
      <c r="C41" s="124"/>
    </row>
    <row r="42" spans="1:12" x14ac:dyDescent="0.25">
      <c r="A42" s="109" t="s">
        <v>7</v>
      </c>
      <c r="B42" s="109"/>
    </row>
  </sheetData>
  <mergeCells count="4">
    <mergeCell ref="A42:B42"/>
    <mergeCell ref="B40:B41"/>
    <mergeCell ref="A2:G2"/>
    <mergeCell ref="C40:C4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"/>
  <sheetViews>
    <sheetView workbookViewId="0">
      <selection activeCell="C6" sqref="C6"/>
    </sheetView>
  </sheetViews>
  <sheetFormatPr baseColWidth="10" defaultRowHeight="15" x14ac:dyDescent="0.25"/>
  <cols>
    <col min="1" max="1" width="23.85546875" bestFit="1" customWidth="1"/>
    <col min="2" max="2" width="15" bestFit="1" customWidth="1"/>
    <col min="3" max="4" width="15.42578125" bestFit="1" customWidth="1"/>
  </cols>
  <sheetData>
    <row r="2" spans="1:4" x14ac:dyDescent="0.25">
      <c r="A2" s="110" t="s">
        <v>28</v>
      </c>
      <c r="B2" s="111"/>
      <c r="C2" s="111"/>
      <c r="D2" s="111"/>
    </row>
    <row r="3" spans="1:4" x14ac:dyDescent="0.25">
      <c r="A3" s="34" t="s">
        <v>29</v>
      </c>
      <c r="B3" s="34" t="s">
        <v>143</v>
      </c>
      <c r="C3" s="34" t="s">
        <v>31</v>
      </c>
      <c r="D3" s="34" t="s">
        <v>193</v>
      </c>
    </row>
    <row r="4" spans="1:4" x14ac:dyDescent="0.25">
      <c r="A4" s="1" t="s">
        <v>165</v>
      </c>
      <c r="B4" s="10">
        <v>1</v>
      </c>
      <c r="C4" s="27">
        <v>0</v>
      </c>
      <c r="D4" s="27">
        <f t="shared" ref="D4:D7" si="0">B4*C4</f>
        <v>0</v>
      </c>
    </row>
    <row r="5" spans="1:4" x14ac:dyDescent="0.25">
      <c r="A5" s="1" t="s">
        <v>166</v>
      </c>
      <c r="B5" s="10">
        <v>12</v>
      </c>
      <c r="C5" s="27">
        <v>400</v>
      </c>
      <c r="D5" s="27">
        <f t="shared" si="0"/>
        <v>4800</v>
      </c>
    </row>
    <row r="6" spans="1:4" x14ac:dyDescent="0.25">
      <c r="A6" s="1" t="s">
        <v>167</v>
      </c>
      <c r="B6" s="10">
        <v>10000</v>
      </c>
      <c r="C6" s="27">
        <v>0.02</v>
      </c>
      <c r="D6" s="27">
        <f t="shared" si="0"/>
        <v>200</v>
      </c>
    </row>
    <row r="7" spans="1:4" x14ac:dyDescent="0.25">
      <c r="A7" s="1" t="s">
        <v>168</v>
      </c>
      <c r="B7" s="10">
        <v>1000</v>
      </c>
      <c r="C7" s="27">
        <v>0.1</v>
      </c>
      <c r="D7" s="27">
        <f t="shared" si="0"/>
        <v>100</v>
      </c>
    </row>
    <row r="8" spans="1:4" x14ac:dyDescent="0.25">
      <c r="A8" s="108" t="s">
        <v>30</v>
      </c>
      <c r="B8" s="108"/>
      <c r="C8" s="108"/>
      <c r="D8" s="47">
        <f>SUM(D4:D7)</f>
        <v>5100</v>
      </c>
    </row>
    <row r="10" spans="1:4" x14ac:dyDescent="0.25">
      <c r="A10" s="109" t="s">
        <v>7</v>
      </c>
      <c r="B10" s="109"/>
    </row>
  </sheetData>
  <mergeCells count="3">
    <mergeCell ref="A8:C8"/>
    <mergeCell ref="A10:B10"/>
    <mergeCell ref="A2:D2"/>
  </mergeCells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1"/>
  <sheetViews>
    <sheetView topLeftCell="A5" zoomScale="90" zoomScaleNormal="90" workbookViewId="0">
      <selection activeCell="A5" sqref="A5:B31"/>
    </sheetView>
  </sheetViews>
  <sheetFormatPr baseColWidth="10" defaultRowHeight="15" x14ac:dyDescent="0.25"/>
  <cols>
    <col min="1" max="1" width="44" bestFit="1" customWidth="1"/>
  </cols>
  <sheetData>
    <row r="3" spans="1:2" ht="15.75" x14ac:dyDescent="0.25">
      <c r="A3" s="112" t="s">
        <v>8</v>
      </c>
      <c r="B3" s="112"/>
    </row>
    <row r="4" spans="1:2" ht="15.75" x14ac:dyDescent="0.25">
      <c r="A4" s="5"/>
    </row>
    <row r="5" spans="1:2" x14ac:dyDescent="0.25">
      <c r="A5" s="35" t="s">
        <v>187</v>
      </c>
      <c r="B5" s="8"/>
    </row>
    <row r="6" spans="1:2" x14ac:dyDescent="0.25">
      <c r="A6" s="1" t="s">
        <v>145</v>
      </c>
      <c r="B6" s="2">
        <v>3800</v>
      </c>
    </row>
    <row r="7" spans="1:2" x14ac:dyDescent="0.25">
      <c r="A7" s="1" t="s">
        <v>186</v>
      </c>
      <c r="B7" s="2">
        <v>650</v>
      </c>
    </row>
    <row r="8" spans="1:2" x14ac:dyDescent="0.25">
      <c r="A8" s="48" t="s">
        <v>188</v>
      </c>
      <c r="B8" s="49">
        <f>SUM(B6:B7)</f>
        <v>4450</v>
      </c>
    </row>
    <row r="9" spans="1:2" ht="15.75" x14ac:dyDescent="0.25">
      <c r="A9" s="5"/>
    </row>
    <row r="10" spans="1:2" x14ac:dyDescent="0.25">
      <c r="A10" s="35" t="s">
        <v>9</v>
      </c>
      <c r="B10" s="8"/>
    </row>
    <row r="11" spans="1:2" x14ac:dyDescent="0.25">
      <c r="A11" s="1" t="s">
        <v>10</v>
      </c>
      <c r="B11" s="2">
        <v>150</v>
      </c>
    </row>
    <row r="12" spans="1:2" x14ac:dyDescent="0.25">
      <c r="A12" s="1" t="s">
        <v>11</v>
      </c>
      <c r="B12" s="2">
        <v>20</v>
      </c>
    </row>
    <row r="13" spans="1:2" x14ac:dyDescent="0.25">
      <c r="A13" s="1" t="s">
        <v>12</v>
      </c>
      <c r="B13" s="11">
        <v>500</v>
      </c>
    </row>
    <row r="14" spans="1:2" x14ac:dyDescent="0.25">
      <c r="A14" s="1" t="s">
        <v>13</v>
      </c>
      <c r="B14" s="2">
        <v>30</v>
      </c>
    </row>
    <row r="15" spans="1:2" x14ac:dyDescent="0.25">
      <c r="A15" s="1" t="s">
        <v>14</v>
      </c>
      <c r="B15" s="2">
        <f>PUBLICIDAD!D8/12</f>
        <v>425</v>
      </c>
    </row>
    <row r="16" spans="1:2" x14ac:dyDescent="0.25">
      <c r="A16" s="1" t="s">
        <v>170</v>
      </c>
      <c r="B16" s="2">
        <v>400</v>
      </c>
    </row>
    <row r="17" spans="1:2" x14ac:dyDescent="0.25">
      <c r="A17" s="1" t="s">
        <v>174</v>
      </c>
      <c r="B17" s="2">
        <v>50</v>
      </c>
    </row>
    <row r="18" spans="1:2" x14ac:dyDescent="0.25">
      <c r="A18" s="48" t="s">
        <v>15</v>
      </c>
      <c r="B18" s="49">
        <f>SUM(B11:B17)</f>
        <v>1575</v>
      </c>
    </row>
    <row r="19" spans="1:2" x14ac:dyDescent="0.25">
      <c r="B19" s="8"/>
    </row>
    <row r="20" spans="1:2" x14ac:dyDescent="0.25">
      <c r="A20" s="35" t="s">
        <v>16</v>
      </c>
      <c r="B20" s="8"/>
    </row>
    <row r="21" spans="1:2" x14ac:dyDescent="0.25">
      <c r="A21" s="1" t="str">
        <f>'GASTO ORG. Y ADM.'!B3</f>
        <v>Gerente General</v>
      </c>
      <c r="B21" s="2">
        <f>'GASTO ORG. Y ADM.'!D3</f>
        <v>700</v>
      </c>
    </row>
    <row r="22" spans="1:2" x14ac:dyDescent="0.25">
      <c r="A22" s="1" t="str">
        <f>'GASTO ORG. Y ADM.'!B4</f>
        <v>Contador</v>
      </c>
      <c r="B22" s="2">
        <f>'GASTO ORG. Y ADM.'!D4</f>
        <v>600</v>
      </c>
    </row>
    <row r="23" spans="1:2" x14ac:dyDescent="0.25">
      <c r="A23" s="1" t="str">
        <f>'GASTO ORG. Y ADM.'!B5</f>
        <v>Jefe de Rutas</v>
      </c>
      <c r="B23" s="2">
        <f>'GASTO ORG. Y ADM.'!D5</f>
        <v>500</v>
      </c>
    </row>
    <row r="24" spans="1:2" x14ac:dyDescent="0.25">
      <c r="A24" s="1" t="str">
        <f>'GASTO ORG. Y ADM.'!B6</f>
        <v>Recepcionista del Call Center</v>
      </c>
      <c r="B24" s="2">
        <f>'GASTO ORG. Y ADM.'!D6</f>
        <v>300</v>
      </c>
    </row>
    <row r="25" spans="1:2" x14ac:dyDescent="0.25">
      <c r="A25" s="1" t="str">
        <f>'GASTO ORG. Y ADM.'!B7</f>
        <v>Secretaria</v>
      </c>
      <c r="B25" s="2">
        <f>'GASTO ORG. Y ADM.'!D7</f>
        <v>300</v>
      </c>
    </row>
    <row r="26" spans="1:2" x14ac:dyDescent="0.25">
      <c r="A26" s="1" t="str">
        <f>'GASTO ORG. Y ADM.'!B8</f>
        <v>Mensajero</v>
      </c>
      <c r="B26" s="2">
        <f>'GASTO ORG. Y ADM.'!D8</f>
        <v>300</v>
      </c>
    </row>
    <row r="27" spans="1:2" x14ac:dyDescent="0.25">
      <c r="A27" s="1" t="str">
        <f>'GASTO ORG. Y ADM.'!B9</f>
        <v>Chofer</v>
      </c>
      <c r="B27" s="2">
        <f>'GASTO ORG. Y ADM.'!D9</f>
        <v>2250</v>
      </c>
    </row>
    <row r="28" spans="1:2" x14ac:dyDescent="0.25">
      <c r="A28" s="1" t="str">
        <f>'GASTO ORG. Y ADM.'!B10</f>
        <v>Ayudante de Ruta</v>
      </c>
      <c r="B28" s="2">
        <f>'GASTO ORG. Y ADM.'!D10</f>
        <v>600</v>
      </c>
    </row>
    <row r="29" spans="1:2" x14ac:dyDescent="0.25">
      <c r="A29" s="48" t="s">
        <v>17</v>
      </c>
      <c r="B29" s="49">
        <f>SUM(B21:B28)</f>
        <v>5550</v>
      </c>
    </row>
    <row r="30" spans="1:2" x14ac:dyDescent="0.25">
      <c r="A30" s="6"/>
      <c r="B30" s="7"/>
    </row>
    <row r="31" spans="1:2" x14ac:dyDescent="0.25">
      <c r="A31" s="4" t="s">
        <v>7</v>
      </c>
      <c r="B31" s="4"/>
    </row>
  </sheetData>
  <mergeCells count="1">
    <mergeCell ref="A3:B3"/>
  </mergeCells>
  <phoneticPr fontId="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8"/>
  <sheetViews>
    <sheetView workbookViewId="0">
      <selection activeCell="A2" sqref="A2:B8"/>
    </sheetView>
  </sheetViews>
  <sheetFormatPr baseColWidth="10" defaultRowHeight="15" x14ac:dyDescent="0.25"/>
  <cols>
    <col min="1" max="1" width="26.140625" bestFit="1" customWidth="1"/>
    <col min="2" max="2" width="11.5703125" bestFit="1" customWidth="1"/>
  </cols>
  <sheetData>
    <row r="2" spans="1:2" x14ac:dyDescent="0.25">
      <c r="A2" s="36" t="s">
        <v>18</v>
      </c>
    </row>
    <row r="3" spans="1:2" x14ac:dyDescent="0.25">
      <c r="A3" s="1" t="s">
        <v>171</v>
      </c>
      <c r="B3" s="2">
        <v>119750</v>
      </c>
    </row>
    <row r="4" spans="1:2" x14ac:dyDescent="0.25">
      <c r="A4" s="1" t="s">
        <v>20</v>
      </c>
      <c r="B4" s="2">
        <f>75+480+60+104.93+400</f>
        <v>1119.93</v>
      </c>
    </row>
    <row r="5" spans="1:2" x14ac:dyDescent="0.25">
      <c r="A5" s="1" t="s">
        <v>21</v>
      </c>
      <c r="B5" s="2">
        <f>1500+100</f>
        <v>1600</v>
      </c>
    </row>
    <row r="6" spans="1:2" x14ac:dyDescent="0.25">
      <c r="A6" s="99" t="s">
        <v>169</v>
      </c>
      <c r="B6" s="11">
        <v>200</v>
      </c>
    </row>
    <row r="7" spans="1:2" x14ac:dyDescent="0.25">
      <c r="A7" s="48" t="s">
        <v>22</v>
      </c>
      <c r="B7" s="49">
        <f>SUM(B3:B6)</f>
        <v>122669.93</v>
      </c>
    </row>
    <row r="8" spans="1:2" x14ac:dyDescent="0.25">
      <c r="A8" s="4" t="s">
        <v>7</v>
      </c>
    </row>
  </sheetData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"/>
  <sheetViews>
    <sheetView tabSelected="1" workbookViewId="0">
      <selection activeCell="H22" sqref="H22"/>
    </sheetView>
  </sheetViews>
  <sheetFormatPr baseColWidth="10" defaultRowHeight="15" x14ac:dyDescent="0.25"/>
  <cols>
    <col min="1" max="1" width="21.5703125" bestFit="1" customWidth="1"/>
    <col min="2" max="2" width="11.5703125" bestFit="1" customWidth="1"/>
    <col min="4" max="4" width="17.85546875" bestFit="1" customWidth="1"/>
    <col min="5" max="5" width="13" bestFit="1" customWidth="1"/>
  </cols>
  <sheetData>
    <row r="2" spans="1:5" x14ac:dyDescent="0.25">
      <c r="A2" s="101" t="s">
        <v>23</v>
      </c>
      <c r="D2" s="114" t="s">
        <v>130</v>
      </c>
      <c r="E2" s="114"/>
    </row>
    <row r="3" spans="1:5" x14ac:dyDescent="0.25">
      <c r="A3" s="102" t="s">
        <v>189</v>
      </c>
      <c r="B3" s="2">
        <f>'INV. PROYECTO'!B8</f>
        <v>4450</v>
      </c>
      <c r="D3" s="85"/>
      <c r="E3" s="85"/>
    </row>
    <row r="4" spans="1:5" x14ac:dyDescent="0.25">
      <c r="A4" s="1" t="s">
        <v>24</v>
      </c>
      <c r="B4" s="2">
        <f>'INV. PROYECTO'!B18</f>
        <v>1575</v>
      </c>
      <c r="D4" t="s">
        <v>132</v>
      </c>
      <c r="E4" s="21">
        <f>B7</f>
        <v>134244.93</v>
      </c>
    </row>
    <row r="5" spans="1:5" x14ac:dyDescent="0.25">
      <c r="A5" s="1" t="s">
        <v>25</v>
      </c>
      <c r="B5" s="2">
        <f>'INV. PROYECTO'!B29</f>
        <v>5550</v>
      </c>
      <c r="D5" t="s">
        <v>131</v>
      </c>
      <c r="E5" s="21">
        <f>-'CAPITAL DE TRABAJO'!B26</f>
        <v>10495</v>
      </c>
    </row>
    <row r="6" spans="1:5" x14ac:dyDescent="0.25">
      <c r="A6" s="1" t="s">
        <v>26</v>
      </c>
      <c r="B6" s="2">
        <f>'INV. ACTIVOS FIJOS'!B7</f>
        <v>122669.93</v>
      </c>
      <c r="D6" s="50" t="s">
        <v>27</v>
      </c>
      <c r="E6" s="51">
        <f>SUM(E4:E5)</f>
        <v>144739.93</v>
      </c>
    </row>
    <row r="7" spans="1:5" x14ac:dyDescent="0.25">
      <c r="A7" s="48" t="s">
        <v>27</v>
      </c>
      <c r="B7" s="49">
        <f>SUM(B3:B6)</f>
        <v>134244.93</v>
      </c>
      <c r="D7" s="109" t="s">
        <v>7</v>
      </c>
      <c r="E7" s="109"/>
    </row>
    <row r="8" spans="1:5" x14ac:dyDescent="0.25">
      <c r="A8" s="113" t="s">
        <v>7</v>
      </c>
      <c r="B8" s="113"/>
    </row>
  </sheetData>
  <mergeCells count="3">
    <mergeCell ref="A8:B8"/>
    <mergeCell ref="D2:E2"/>
    <mergeCell ref="D7:E7"/>
  </mergeCells>
  <phoneticPr fontId="8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workbookViewId="0">
      <selection activeCell="A14" sqref="A14"/>
    </sheetView>
  </sheetViews>
  <sheetFormatPr baseColWidth="10" defaultRowHeight="15" x14ac:dyDescent="0.25"/>
  <cols>
    <col min="1" max="1" width="28.85546875" bestFit="1" customWidth="1"/>
    <col min="2" max="2" width="17" bestFit="1" customWidth="1"/>
    <col min="4" max="4" width="28.85546875" bestFit="1" customWidth="1"/>
    <col min="5" max="5" width="17" bestFit="1" customWidth="1"/>
  </cols>
  <sheetData>
    <row r="2" spans="1:7" ht="15.75" x14ac:dyDescent="0.25">
      <c r="A2" s="112" t="s">
        <v>135</v>
      </c>
      <c r="B2" s="112"/>
      <c r="D2" s="112" t="s">
        <v>136</v>
      </c>
      <c r="E2" s="112"/>
    </row>
    <row r="4" spans="1:7" x14ac:dyDescent="0.25">
      <c r="B4" s="37" t="s">
        <v>32</v>
      </c>
      <c r="E4" s="37" t="s">
        <v>32</v>
      </c>
    </row>
    <row r="5" spans="1:7" x14ac:dyDescent="0.25">
      <c r="A5" s="52" t="s">
        <v>34</v>
      </c>
      <c r="B5" s="11">
        <f>'INV. INICIAL'!B7*0.2</f>
        <v>26848.986000000001</v>
      </c>
      <c r="D5" s="52" t="s">
        <v>34</v>
      </c>
      <c r="E5" s="11">
        <f>'INV. INICIAL'!E6*0.2</f>
        <v>28947.986000000001</v>
      </c>
    </row>
    <row r="6" spans="1:7" x14ac:dyDescent="0.25">
      <c r="A6" s="52" t="s">
        <v>172</v>
      </c>
      <c r="B6" s="11">
        <f>B5/2</f>
        <v>13424.493</v>
      </c>
      <c r="D6" s="52" t="s">
        <v>172</v>
      </c>
      <c r="E6" s="11">
        <f>E5/2</f>
        <v>14473.993</v>
      </c>
    </row>
    <row r="8" spans="1:7" x14ac:dyDescent="0.25">
      <c r="B8" s="37" t="s">
        <v>33</v>
      </c>
      <c r="E8" s="37" t="s">
        <v>33</v>
      </c>
    </row>
    <row r="9" spans="1:7" x14ac:dyDescent="0.25">
      <c r="A9" s="52" t="s">
        <v>173</v>
      </c>
      <c r="B9" s="11">
        <f>'INV. INICIAL'!B7*0.8</f>
        <v>107395.944</v>
      </c>
      <c r="D9" s="52" t="s">
        <v>173</v>
      </c>
      <c r="E9" s="11">
        <f>'INV. INICIAL'!E6*0.8</f>
        <v>115791.944</v>
      </c>
    </row>
    <row r="10" spans="1:7" x14ac:dyDescent="0.25">
      <c r="A10" s="9"/>
      <c r="B10" s="9"/>
      <c r="D10" s="9"/>
      <c r="E10" s="9"/>
    </row>
    <row r="11" spans="1:7" x14ac:dyDescent="0.25">
      <c r="A11" s="4" t="s">
        <v>7</v>
      </c>
      <c r="B11" s="4"/>
      <c r="D11" s="4" t="s">
        <v>7</v>
      </c>
      <c r="E11" s="4"/>
    </row>
    <row r="15" spans="1:7" x14ac:dyDescent="0.25">
      <c r="G15" s="8"/>
    </row>
    <row r="16" spans="1:7" x14ac:dyDescent="0.25">
      <c r="E16" s="8"/>
    </row>
    <row r="17" spans="7:7" x14ac:dyDescent="0.25">
      <c r="G17" s="8"/>
    </row>
  </sheetData>
  <mergeCells count="2">
    <mergeCell ref="A2:B2"/>
    <mergeCell ref="D2:E2"/>
  </mergeCells>
  <phoneticPr fontId="8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4"/>
  <sheetViews>
    <sheetView workbookViewId="0">
      <selection activeCell="A4" sqref="A4:C14"/>
    </sheetView>
  </sheetViews>
  <sheetFormatPr baseColWidth="10" defaultRowHeight="15" x14ac:dyDescent="0.25"/>
  <cols>
    <col min="1" max="1" width="25.5703125" bestFit="1" customWidth="1"/>
    <col min="2" max="3" width="11.5703125" bestFit="1" customWidth="1"/>
  </cols>
  <sheetData>
    <row r="2" spans="1:3" ht="15.75" x14ac:dyDescent="0.25">
      <c r="A2" s="112" t="s">
        <v>35</v>
      </c>
      <c r="B2" s="112"/>
      <c r="C2" s="112"/>
    </row>
    <row r="4" spans="1:3" x14ac:dyDescent="0.25">
      <c r="B4" s="105" t="s">
        <v>37</v>
      </c>
      <c r="C4" s="105" t="s">
        <v>38</v>
      </c>
    </row>
    <row r="5" spans="1:3" x14ac:dyDescent="0.25">
      <c r="A5" s="1" t="str">
        <f>'INV. ACTIVOS FIJOS'!A6</f>
        <v>Alquiler Local</v>
      </c>
      <c r="B5" s="1">
        <f>'INV. ACTIVOS FIJOS'!B6</f>
        <v>200</v>
      </c>
      <c r="C5" s="1">
        <f t="shared" ref="C5:C11" si="0">B5*12</f>
        <v>2400</v>
      </c>
    </row>
    <row r="6" spans="1:3" x14ac:dyDescent="0.25">
      <c r="A6" s="1" t="str">
        <f>'INV. PROYECTO'!A6</f>
        <v>Movilización (Combustible)</v>
      </c>
      <c r="B6" s="1">
        <f>'INV. PROYECTO'!B6</f>
        <v>3800</v>
      </c>
      <c r="C6" s="1">
        <f t="shared" si="0"/>
        <v>45600</v>
      </c>
    </row>
    <row r="7" spans="1:3" x14ac:dyDescent="0.25">
      <c r="A7" s="1" t="str">
        <f>'INV. PROYECTO'!A7</f>
        <v>Mantenimiento Vehiculo</v>
      </c>
      <c r="B7" s="1">
        <f>'INV. PROYECTO'!B7</f>
        <v>650</v>
      </c>
      <c r="C7" s="1">
        <f t="shared" si="0"/>
        <v>7800</v>
      </c>
    </row>
    <row r="8" spans="1:3" x14ac:dyDescent="0.25">
      <c r="A8" s="1" t="s">
        <v>192</v>
      </c>
      <c r="B8" s="1">
        <f>SUM('INV. PROYECTO'!B11:B13)</f>
        <v>670</v>
      </c>
      <c r="C8" s="1">
        <f t="shared" si="0"/>
        <v>8040</v>
      </c>
    </row>
    <row r="9" spans="1:3" x14ac:dyDescent="0.25">
      <c r="A9" s="1" t="s">
        <v>25</v>
      </c>
      <c r="B9" s="1">
        <f>'GASTO ORG. Y ADM.'!D11</f>
        <v>5550</v>
      </c>
      <c r="C9" s="1">
        <f t="shared" si="0"/>
        <v>66600</v>
      </c>
    </row>
    <row r="10" spans="1:3" x14ac:dyDescent="0.25">
      <c r="A10" s="1" t="s">
        <v>14</v>
      </c>
      <c r="B10" s="1">
        <f>PUBLICIDAD!D8/12</f>
        <v>425</v>
      </c>
      <c r="C10" s="99">
        <f t="shared" si="0"/>
        <v>5100</v>
      </c>
    </row>
    <row r="11" spans="1:3" x14ac:dyDescent="0.25">
      <c r="A11" s="1" t="s">
        <v>174</v>
      </c>
      <c r="B11" s="1">
        <f>'INV. PROYECTO'!B17</f>
        <v>50</v>
      </c>
      <c r="C11" s="99">
        <f t="shared" si="0"/>
        <v>600</v>
      </c>
    </row>
    <row r="12" spans="1:3" x14ac:dyDescent="0.25">
      <c r="A12" s="52" t="s">
        <v>36</v>
      </c>
      <c r="B12" s="53">
        <f>SUM(B5:B9)</f>
        <v>10870</v>
      </c>
      <c r="C12" s="53">
        <f>SUM(C5:C11)</f>
        <v>136140</v>
      </c>
    </row>
    <row r="14" spans="1:3" x14ac:dyDescent="0.25">
      <c r="A14" s="100" t="s">
        <v>7</v>
      </c>
      <c r="B14" s="100"/>
    </row>
  </sheetData>
  <mergeCells count="1">
    <mergeCell ref="A2:C2"/>
  </mergeCells>
  <phoneticPr fontId="8" type="noConversion"/>
  <pageMargins left="0.7" right="0.7" top="0.75" bottom="0.75" header="0.3" footer="0.3"/>
  <ignoredErrors>
    <ignoredError sqref="B8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"/>
  <sheetViews>
    <sheetView workbookViewId="0">
      <selection activeCell="A2" sqref="A2:B9"/>
    </sheetView>
  </sheetViews>
  <sheetFormatPr baseColWidth="10" defaultRowHeight="15" x14ac:dyDescent="0.25"/>
  <cols>
    <col min="1" max="1" width="21.7109375" bestFit="1" customWidth="1"/>
    <col min="2" max="2" width="11.5703125" bestFit="1" customWidth="1"/>
  </cols>
  <sheetData>
    <row r="2" spans="1:2" ht="15.75" x14ac:dyDescent="0.25">
      <c r="A2" s="115" t="s">
        <v>39</v>
      </c>
      <c r="B2" s="115"/>
    </row>
    <row r="3" spans="1:2" hidden="1" x14ac:dyDescent="0.25">
      <c r="A3" s="9"/>
      <c r="B3" s="9"/>
    </row>
    <row r="4" spans="1:2" x14ac:dyDescent="0.25">
      <c r="A4" s="9" t="s">
        <v>40</v>
      </c>
      <c r="B4" s="26">
        <f>'COST. FIJOS'!C12</f>
        <v>136140</v>
      </c>
    </row>
    <row r="5" spans="1:2" x14ac:dyDescent="0.25">
      <c r="A5" s="9" t="s">
        <v>41</v>
      </c>
      <c r="B5" s="26">
        <v>5</v>
      </c>
    </row>
    <row r="6" spans="1:2" x14ac:dyDescent="0.25">
      <c r="A6" s="9" t="s">
        <v>42</v>
      </c>
      <c r="B6" s="26">
        <v>0</v>
      </c>
    </row>
    <row r="7" spans="1:2" x14ac:dyDescent="0.25">
      <c r="A7" s="50" t="s">
        <v>43</v>
      </c>
      <c r="B7" s="56">
        <f>B4/(B5-B6)</f>
        <v>27228</v>
      </c>
    </row>
    <row r="9" spans="1:2" x14ac:dyDescent="0.25">
      <c r="A9" s="109" t="s">
        <v>7</v>
      </c>
      <c r="B9" s="109"/>
    </row>
  </sheetData>
  <mergeCells count="2">
    <mergeCell ref="A2:B2"/>
    <mergeCell ref="A9:B9"/>
  </mergeCells>
  <phoneticPr fontId="8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"/>
  <sheetViews>
    <sheetView workbookViewId="0">
      <selection activeCell="A4" sqref="A4:F9"/>
    </sheetView>
  </sheetViews>
  <sheetFormatPr baseColWidth="10" defaultRowHeight="15" x14ac:dyDescent="0.25"/>
  <cols>
    <col min="1" max="1" width="22" bestFit="1" customWidth="1"/>
    <col min="2" max="6" width="13.140625" bestFit="1" customWidth="1"/>
    <col min="8" max="8" width="37.5703125" bestFit="1" customWidth="1"/>
  </cols>
  <sheetData>
    <row r="2" spans="1:9" ht="15.75" x14ac:dyDescent="0.25">
      <c r="A2" s="112" t="s">
        <v>44</v>
      </c>
      <c r="B2" s="112"/>
      <c r="C2" s="112"/>
      <c r="D2" s="112"/>
      <c r="E2" s="112"/>
      <c r="F2" s="112"/>
    </row>
    <row r="4" spans="1:9" x14ac:dyDescent="0.25">
      <c r="A4" s="38" t="s">
        <v>46</v>
      </c>
      <c r="B4" s="38">
        <v>2013</v>
      </c>
      <c r="C4" s="38">
        <v>2014</v>
      </c>
      <c r="D4" s="71">
        <v>2015</v>
      </c>
      <c r="E4" s="71">
        <v>2016</v>
      </c>
      <c r="F4" s="71">
        <v>2017</v>
      </c>
      <c r="H4" s="116" t="s">
        <v>199</v>
      </c>
      <c r="I4" s="116"/>
    </row>
    <row r="5" spans="1:9" x14ac:dyDescent="0.25">
      <c r="A5" t="s">
        <v>175</v>
      </c>
      <c r="B5" s="13">
        <f>130*24*12</f>
        <v>37440</v>
      </c>
      <c r="C5" s="13">
        <f t="shared" ref="C5:F5" si="0">130*24*12</f>
        <v>37440</v>
      </c>
      <c r="D5" s="13">
        <f t="shared" si="0"/>
        <v>37440</v>
      </c>
      <c r="E5" s="13">
        <f t="shared" si="0"/>
        <v>37440</v>
      </c>
      <c r="F5" s="13">
        <f t="shared" si="0"/>
        <v>37440</v>
      </c>
      <c r="H5" t="s">
        <v>195</v>
      </c>
      <c r="I5">
        <f>65*2</f>
        <v>130</v>
      </c>
    </row>
    <row r="6" spans="1:9" x14ac:dyDescent="0.25">
      <c r="A6" t="s">
        <v>41</v>
      </c>
      <c r="B6" s="8">
        <f>'PUNT. EQUILIBRIO'!B5</f>
        <v>5</v>
      </c>
      <c r="C6" s="8">
        <f>B6</f>
        <v>5</v>
      </c>
      <c r="D6" s="8">
        <f t="shared" ref="D6:F6" si="1">C6</f>
        <v>5</v>
      </c>
      <c r="E6" s="8">
        <f t="shared" si="1"/>
        <v>5</v>
      </c>
      <c r="F6" s="8">
        <f t="shared" si="1"/>
        <v>5</v>
      </c>
      <c r="H6" t="s">
        <v>198</v>
      </c>
      <c r="I6">
        <v>24</v>
      </c>
    </row>
    <row r="7" spans="1:9" x14ac:dyDescent="0.25">
      <c r="A7" s="55" t="s">
        <v>45</v>
      </c>
      <c r="B7" s="57">
        <f>B5*B6</f>
        <v>187200</v>
      </c>
      <c r="C7" s="57">
        <f t="shared" ref="C7:F7" si="2">C5*C6</f>
        <v>187200</v>
      </c>
      <c r="D7" s="57">
        <f t="shared" si="2"/>
        <v>187200</v>
      </c>
      <c r="E7" s="57">
        <f t="shared" si="2"/>
        <v>187200</v>
      </c>
      <c r="F7" s="57">
        <f t="shared" si="2"/>
        <v>187200</v>
      </c>
      <c r="H7" t="s">
        <v>196</v>
      </c>
      <c r="I7">
        <f>I5*I6</f>
        <v>3120</v>
      </c>
    </row>
    <row r="8" spans="1:9" x14ac:dyDescent="0.25">
      <c r="H8" s="55" t="s">
        <v>197</v>
      </c>
      <c r="I8" s="55">
        <f>I7*12</f>
        <v>37440</v>
      </c>
    </row>
    <row r="9" spans="1:9" x14ac:dyDescent="0.25">
      <c r="A9" s="109" t="s">
        <v>7</v>
      </c>
      <c r="B9" s="109"/>
    </row>
  </sheetData>
  <mergeCells count="3">
    <mergeCell ref="A2:F2"/>
    <mergeCell ref="A9:B9"/>
    <mergeCell ref="H4:I4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GASTO ORG. Y ADM.</vt:lpstr>
      <vt:lpstr>PUBLICIDAD</vt:lpstr>
      <vt:lpstr>INV. PROYECTO</vt:lpstr>
      <vt:lpstr>INV. ACTIVOS FIJOS</vt:lpstr>
      <vt:lpstr>INV. INICIAL</vt:lpstr>
      <vt:lpstr>FINANCIAMIENTO</vt:lpstr>
      <vt:lpstr>COST. FIJOS</vt:lpstr>
      <vt:lpstr>PUNT. EQUILIBRIO</vt:lpstr>
      <vt:lpstr>INGRESOS ANUALES</vt:lpstr>
      <vt:lpstr>CAPITAL DE TRABAJO</vt:lpstr>
      <vt:lpstr>VALOR DE DESECHO</vt:lpstr>
      <vt:lpstr>AMORT. PREST. BANC.</vt:lpstr>
      <vt:lpstr>TASA DE DESCUENTO</vt:lpstr>
      <vt:lpstr>FLUJO DE CAJA</vt:lpstr>
      <vt:lpstr>PAYBACK</vt:lpstr>
      <vt:lpstr>ANL. SENS. ESP.</vt:lpstr>
      <vt:lpstr>ANL. SENS. OPT.</vt:lpstr>
      <vt:lpstr>ANL. SENS. PES.</vt:lpstr>
    </vt:vector>
  </TitlesOfParts>
  <Company>MVA Cyber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Lenin Hurtado</cp:lastModifiedBy>
  <cp:lastPrinted>2011-04-10T13:15:44Z</cp:lastPrinted>
  <dcterms:created xsi:type="dcterms:W3CDTF">2011-04-09T23:51:46Z</dcterms:created>
  <dcterms:modified xsi:type="dcterms:W3CDTF">2012-02-26T22:53:49Z</dcterms:modified>
</cp:coreProperties>
</file>