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 tabRatio="781"/>
  </bookViews>
  <sheets>
    <sheet name="Encuesta" sheetId="28" r:id="rId1"/>
    <sheet name="Tabulacion" sheetId="30" r:id="rId2"/>
    <sheet name="Manual" sheetId="29" r:id="rId3"/>
    <sheet name="Resultados Encuesta" sheetId="31" r:id="rId4"/>
    <sheet name="Escolar" sheetId="1" r:id="rId5"/>
    <sheet name="Juvenil" sheetId="2" r:id="rId6"/>
    <sheet name="Viaj,vacac" sheetId="3" r:id="rId7"/>
    <sheet name="Ejectiv" sheetId="4" r:id="rId8"/>
    <sheet name="Tamano" sheetId="6" r:id="rId9"/>
    <sheet name="Localizacion" sheetId="7" r:id="rId10"/>
    <sheet name="Detalle compras" sheetId="15" r:id="rId11"/>
    <sheet name="Costos" sheetId="8" r:id="rId12"/>
    <sheet name="Analisis CVU" sheetId="9" r:id="rId13"/>
    <sheet name="Importaciones" sheetId="12" r:id="rId14"/>
    <sheet name="Estructura de capital" sheetId="17" r:id="rId15"/>
    <sheet name="Valor de desecho" sheetId="18" r:id="rId16"/>
    <sheet name="Contenedor" sheetId="13" r:id="rId17"/>
    <sheet name="Compras" sheetId="14" r:id="rId18"/>
    <sheet name="Capital de trabajo" sheetId="10" r:id="rId19"/>
    <sheet name="Demanda" sheetId="5" r:id="rId20"/>
    <sheet name="Flujo de caja" sheetId="19" r:id="rId21"/>
    <sheet name="Sensibilidad recesion" sheetId="25" r:id="rId22"/>
    <sheet name="Sensibilidad positivo" sheetId="27" r:id="rId23"/>
    <sheet name="Payback" sheetId="20" r:id="rId24"/>
    <sheet name="CAPM" sheetId="21" r:id="rId25"/>
    <sheet name="Analisis general" sheetId="24" r:id="rId26"/>
    <sheet name="Hoja6" sheetId="26" r:id="rId27"/>
  </sheets>
  <externalReferences>
    <externalReference r:id="rId28"/>
    <externalReference r:id="rId29"/>
    <externalReference r:id="rId30"/>
  </externalReferences>
  <definedNames>
    <definedName name="_xlnm._FilterDatabase" localSheetId="1" hidden="1">Tabulacion!$B$1:$AU$402</definedName>
    <definedName name="OLE_LINK1" localSheetId="0">Encuesta!$B$45</definedName>
  </definedNames>
  <calcPr calcId="125725"/>
</workbook>
</file>

<file path=xl/calcChain.xml><?xml version="1.0" encoding="utf-8"?>
<calcChain xmlns="http://schemas.openxmlformats.org/spreadsheetml/2006/main">
  <c r="H137" i="31"/>
  <c r="F137"/>
  <c r="I137" s="1"/>
  <c r="I136"/>
  <c r="I135"/>
  <c r="H135"/>
  <c r="I134"/>
  <c r="H134"/>
  <c r="I133"/>
  <c r="I132"/>
  <c r="I131"/>
  <c r="C126"/>
  <c r="D126" s="1"/>
  <c r="C125"/>
  <c r="D107"/>
  <c r="D106"/>
  <c r="D105"/>
  <c r="D104"/>
  <c r="D108" s="1"/>
  <c r="C88"/>
  <c r="B88"/>
  <c r="K80"/>
  <c r="J80"/>
  <c r="I80"/>
  <c r="H80"/>
  <c r="L80" s="1"/>
  <c r="F80"/>
  <c r="K79"/>
  <c r="J79"/>
  <c r="I79"/>
  <c r="H79"/>
  <c r="L79" s="1"/>
  <c r="F79"/>
  <c r="K78"/>
  <c r="H78"/>
  <c r="D78"/>
  <c r="J78" s="1"/>
  <c r="C78"/>
  <c r="I78" s="1"/>
  <c r="H77"/>
  <c r="E77"/>
  <c r="D77"/>
  <c r="C77"/>
  <c r="F77" s="1"/>
  <c r="F46"/>
  <c r="F45"/>
  <c r="F44"/>
  <c r="E43"/>
  <c r="K77" s="1"/>
  <c r="D43"/>
  <c r="J77" s="1"/>
  <c r="C43"/>
  <c r="F43" s="1"/>
  <c r="C27"/>
  <c r="B27"/>
  <c r="D26"/>
  <c r="D27" s="1"/>
  <c r="D25"/>
  <c r="D24"/>
  <c r="D23"/>
  <c r="B3"/>
  <c r="B4" s="1"/>
  <c r="E420" i="30"/>
  <c r="F418"/>
  <c r="J413"/>
  <c r="AH403"/>
  <c r="AG403"/>
  <c r="AF403"/>
  <c r="AE403"/>
  <c r="AD403"/>
  <c r="AC403"/>
  <c r="AB403"/>
  <c r="AA403"/>
  <c r="Z403"/>
  <c r="Y403"/>
  <c r="X403"/>
  <c r="W403"/>
  <c r="V403"/>
  <c r="U403"/>
  <c r="T403"/>
  <c r="R403"/>
  <c r="Q403"/>
  <c r="P403"/>
  <c r="O403"/>
  <c r="M403"/>
  <c r="L403"/>
  <c r="K403"/>
  <c r="J403"/>
  <c r="I403"/>
  <c r="H403"/>
  <c r="G403"/>
  <c r="F403"/>
  <c r="E403"/>
  <c r="D403"/>
  <c r="C403"/>
  <c r="C405" s="1"/>
  <c r="B403"/>
  <c r="F402"/>
  <c r="E402"/>
  <c r="D402"/>
  <c r="C402"/>
  <c r="B402"/>
  <c r="S401"/>
  <c r="N401"/>
  <c r="S400"/>
  <c r="N400"/>
  <c r="S399"/>
  <c r="N399"/>
  <c r="S398"/>
  <c r="N398"/>
  <c r="S397"/>
  <c r="N397"/>
  <c r="S396"/>
  <c r="N396"/>
  <c r="S395"/>
  <c r="N395"/>
  <c r="S394"/>
  <c r="N394"/>
  <c r="S393"/>
  <c r="N393"/>
  <c r="S392"/>
  <c r="N392"/>
  <c r="S391"/>
  <c r="N391"/>
  <c r="S390"/>
  <c r="N390"/>
  <c r="S389"/>
  <c r="N389"/>
  <c r="S388"/>
  <c r="N388"/>
  <c r="S387"/>
  <c r="N387"/>
  <c r="S386"/>
  <c r="N386"/>
  <c r="S385"/>
  <c r="N385"/>
  <c r="S384"/>
  <c r="N384"/>
  <c r="S383"/>
  <c r="N383"/>
  <c r="S382"/>
  <c r="N382"/>
  <c r="S381"/>
  <c r="N381"/>
  <c r="S380"/>
  <c r="N380"/>
  <c r="S379"/>
  <c r="N379"/>
  <c r="S378"/>
  <c r="N378"/>
  <c r="S377"/>
  <c r="N377"/>
  <c r="S376"/>
  <c r="N376"/>
  <c r="S375"/>
  <c r="N375"/>
  <c r="S374"/>
  <c r="N374"/>
  <c r="S373"/>
  <c r="N373"/>
  <c r="S372"/>
  <c r="N372"/>
  <c r="S371"/>
  <c r="N371"/>
  <c r="S370"/>
  <c r="N370"/>
  <c r="S369"/>
  <c r="N369"/>
  <c r="S368"/>
  <c r="N368"/>
  <c r="S367"/>
  <c r="N367"/>
  <c r="S366"/>
  <c r="N366"/>
  <c r="S365"/>
  <c r="N365"/>
  <c r="S364"/>
  <c r="N364"/>
  <c r="S363"/>
  <c r="N363"/>
  <c r="S362"/>
  <c r="N362"/>
  <c r="S361"/>
  <c r="N361"/>
  <c r="S360"/>
  <c r="N360"/>
  <c r="S359"/>
  <c r="N359"/>
  <c r="S358"/>
  <c r="N358"/>
  <c r="S357"/>
  <c r="N357"/>
  <c r="S356"/>
  <c r="N356"/>
  <c r="S355"/>
  <c r="N355"/>
  <c r="S354"/>
  <c r="N354"/>
  <c r="S353"/>
  <c r="N353"/>
  <c r="S352"/>
  <c r="N352"/>
  <c r="S351"/>
  <c r="N351"/>
  <c r="S350"/>
  <c r="N350"/>
  <c r="S349"/>
  <c r="N349"/>
  <c r="S348"/>
  <c r="N348"/>
  <c r="S347"/>
  <c r="N347"/>
  <c r="S346"/>
  <c r="N346"/>
  <c r="S345"/>
  <c r="N345"/>
  <c r="S344"/>
  <c r="N344"/>
  <c r="S343"/>
  <c r="N343"/>
  <c r="S342"/>
  <c r="N342"/>
  <c r="S341"/>
  <c r="N341"/>
  <c r="S340"/>
  <c r="N340"/>
  <c r="S339"/>
  <c r="N339"/>
  <c r="S338"/>
  <c r="N338"/>
  <c r="S337"/>
  <c r="N337"/>
  <c r="S336"/>
  <c r="N336"/>
  <c r="S335"/>
  <c r="N335"/>
  <c r="S334"/>
  <c r="N334"/>
  <c r="S333"/>
  <c r="N333"/>
  <c r="S332"/>
  <c r="N332"/>
  <c r="S331"/>
  <c r="N331"/>
  <c r="S330"/>
  <c r="N330"/>
  <c r="S329"/>
  <c r="N329"/>
  <c r="S328"/>
  <c r="N328"/>
  <c r="S327"/>
  <c r="N327"/>
  <c r="S326"/>
  <c r="N326"/>
  <c r="S325"/>
  <c r="N325"/>
  <c r="S324"/>
  <c r="N324"/>
  <c r="S323"/>
  <c r="N323"/>
  <c r="S322"/>
  <c r="N322"/>
  <c r="S321"/>
  <c r="N321"/>
  <c r="S320"/>
  <c r="N320"/>
  <c r="S319"/>
  <c r="N319"/>
  <c r="S318"/>
  <c r="N318"/>
  <c r="S317"/>
  <c r="N317"/>
  <c r="S316"/>
  <c r="N316"/>
  <c r="S315"/>
  <c r="N315"/>
  <c r="S314"/>
  <c r="N314"/>
  <c r="S313"/>
  <c r="N313"/>
  <c r="S312"/>
  <c r="N312"/>
  <c r="S311"/>
  <c r="N311"/>
  <c r="S310"/>
  <c r="N310"/>
  <c r="S309"/>
  <c r="N309"/>
  <c r="S308"/>
  <c r="N308"/>
  <c r="S307"/>
  <c r="N307"/>
  <c r="S306"/>
  <c r="N306"/>
  <c r="S305"/>
  <c r="N305"/>
  <c r="S304"/>
  <c r="N304"/>
  <c r="S303"/>
  <c r="N303"/>
  <c r="S302"/>
  <c r="N302"/>
  <c r="S301"/>
  <c r="N301"/>
  <c r="S300"/>
  <c r="N300"/>
  <c r="S299"/>
  <c r="N299"/>
  <c r="S298"/>
  <c r="N298"/>
  <c r="S297"/>
  <c r="N297"/>
  <c r="S296"/>
  <c r="N296"/>
  <c r="S295"/>
  <c r="N295"/>
  <c r="S294"/>
  <c r="N294"/>
  <c r="S293"/>
  <c r="N293"/>
  <c r="S292"/>
  <c r="N292"/>
  <c r="S291"/>
  <c r="N291"/>
  <c r="S290"/>
  <c r="N290"/>
  <c r="S289"/>
  <c r="N289"/>
  <c r="S288"/>
  <c r="N288"/>
  <c r="S287"/>
  <c r="N287"/>
  <c r="S286"/>
  <c r="N286"/>
  <c r="S285"/>
  <c r="N285"/>
  <c r="S284"/>
  <c r="N284"/>
  <c r="S283"/>
  <c r="N283"/>
  <c r="S282"/>
  <c r="N282"/>
  <c r="S281"/>
  <c r="N281"/>
  <c r="S280"/>
  <c r="N280"/>
  <c r="S279"/>
  <c r="N279"/>
  <c r="S278"/>
  <c r="N278"/>
  <c r="S277"/>
  <c r="N277"/>
  <c r="S276"/>
  <c r="N276"/>
  <c r="S275"/>
  <c r="N275"/>
  <c r="S274"/>
  <c r="N274"/>
  <c r="S273"/>
  <c r="N273"/>
  <c r="S272"/>
  <c r="N272"/>
  <c r="S271"/>
  <c r="N271"/>
  <c r="S270"/>
  <c r="N270"/>
  <c r="S269"/>
  <c r="N269"/>
  <c r="S268"/>
  <c r="N268"/>
  <c r="S267"/>
  <c r="N267"/>
  <c r="S266"/>
  <c r="N266"/>
  <c r="S265"/>
  <c r="N265"/>
  <c r="S264"/>
  <c r="N264"/>
  <c r="S263"/>
  <c r="N263"/>
  <c r="S262"/>
  <c r="N262"/>
  <c r="S261"/>
  <c r="N261"/>
  <c r="S260"/>
  <c r="N260"/>
  <c r="S259"/>
  <c r="N259"/>
  <c r="S258"/>
  <c r="N258"/>
  <c r="S257"/>
  <c r="N257"/>
  <c r="S256"/>
  <c r="N256"/>
  <c r="S255"/>
  <c r="N255"/>
  <c r="S254"/>
  <c r="N254"/>
  <c r="S253"/>
  <c r="N253"/>
  <c r="S252"/>
  <c r="N252"/>
  <c r="S251"/>
  <c r="N251"/>
  <c r="S250"/>
  <c r="N250"/>
  <c r="S249"/>
  <c r="N249"/>
  <c r="S248"/>
  <c r="N248"/>
  <c r="S247"/>
  <c r="N247"/>
  <c r="S246"/>
  <c r="N246"/>
  <c r="S245"/>
  <c r="N245"/>
  <c r="S244"/>
  <c r="N244"/>
  <c r="S243"/>
  <c r="N243"/>
  <c r="S242"/>
  <c r="N242"/>
  <c r="S241"/>
  <c r="N241"/>
  <c r="S240"/>
  <c r="N240"/>
  <c r="S239"/>
  <c r="N239"/>
  <c r="S238"/>
  <c r="N238"/>
  <c r="S237"/>
  <c r="N237"/>
  <c r="S236"/>
  <c r="N236"/>
  <c r="S235"/>
  <c r="N235"/>
  <c r="S234"/>
  <c r="N234"/>
  <c r="S233"/>
  <c r="N233"/>
  <c r="S232"/>
  <c r="N232"/>
  <c r="S231"/>
  <c r="N231"/>
  <c r="S230"/>
  <c r="N230"/>
  <c r="S229"/>
  <c r="N229"/>
  <c r="S228"/>
  <c r="N228"/>
  <c r="S227"/>
  <c r="N227"/>
  <c r="S226"/>
  <c r="N226"/>
  <c r="S225"/>
  <c r="N225"/>
  <c r="S224"/>
  <c r="N224"/>
  <c r="S223"/>
  <c r="N223"/>
  <c r="S222"/>
  <c r="N222"/>
  <c r="S221"/>
  <c r="N221"/>
  <c r="S220"/>
  <c r="N220"/>
  <c r="S219"/>
  <c r="N219"/>
  <c r="S218"/>
  <c r="N218"/>
  <c r="S217"/>
  <c r="N217"/>
  <c r="S216"/>
  <c r="N216"/>
  <c r="S215"/>
  <c r="N215"/>
  <c r="S214"/>
  <c r="N214"/>
  <c r="S213"/>
  <c r="N213"/>
  <c r="S212"/>
  <c r="N212"/>
  <c r="S211"/>
  <c r="N211"/>
  <c r="S210"/>
  <c r="N210"/>
  <c r="S209"/>
  <c r="N209"/>
  <c r="S208"/>
  <c r="N208"/>
  <c r="S207"/>
  <c r="N207"/>
  <c r="S206"/>
  <c r="N206"/>
  <c r="S205"/>
  <c r="N205"/>
  <c r="S204"/>
  <c r="N204"/>
  <c r="S203"/>
  <c r="N203"/>
  <c r="S202"/>
  <c r="N202"/>
  <c r="S201"/>
  <c r="N201"/>
  <c r="S200"/>
  <c r="N200"/>
  <c r="S199"/>
  <c r="N199"/>
  <c r="S198"/>
  <c r="N198"/>
  <c r="S197"/>
  <c r="N197"/>
  <c r="S196"/>
  <c r="N196"/>
  <c r="S195"/>
  <c r="N195"/>
  <c r="S194"/>
  <c r="N194"/>
  <c r="S193"/>
  <c r="N193"/>
  <c r="S192"/>
  <c r="N192"/>
  <c r="S191"/>
  <c r="N191"/>
  <c r="S190"/>
  <c r="N190"/>
  <c r="S189"/>
  <c r="N189"/>
  <c r="S188"/>
  <c r="N188"/>
  <c r="S187"/>
  <c r="N187"/>
  <c r="S186"/>
  <c r="N186"/>
  <c r="S185"/>
  <c r="N185"/>
  <c r="S184"/>
  <c r="N184"/>
  <c r="S183"/>
  <c r="N183"/>
  <c r="S182"/>
  <c r="N182"/>
  <c r="S181"/>
  <c r="N181"/>
  <c r="S180"/>
  <c r="N180"/>
  <c r="S179"/>
  <c r="N179"/>
  <c r="S178"/>
  <c r="N178"/>
  <c r="S177"/>
  <c r="N177"/>
  <c r="S176"/>
  <c r="N176"/>
  <c r="S175"/>
  <c r="N175"/>
  <c r="S174"/>
  <c r="N174"/>
  <c r="S173"/>
  <c r="N173"/>
  <c r="S172"/>
  <c r="N172"/>
  <c r="S171"/>
  <c r="N171"/>
  <c r="S170"/>
  <c r="N170"/>
  <c r="S169"/>
  <c r="N169"/>
  <c r="S168"/>
  <c r="N168"/>
  <c r="S167"/>
  <c r="N167"/>
  <c r="S166"/>
  <c r="N166"/>
  <c r="S165"/>
  <c r="N165"/>
  <c r="S164"/>
  <c r="N164"/>
  <c r="S163"/>
  <c r="N163"/>
  <c r="S162"/>
  <c r="N162"/>
  <c r="S161"/>
  <c r="N161"/>
  <c r="S160"/>
  <c r="N160"/>
  <c r="S159"/>
  <c r="N159"/>
  <c r="S158"/>
  <c r="N158"/>
  <c r="S157"/>
  <c r="N157"/>
  <c r="S156"/>
  <c r="N156"/>
  <c r="S155"/>
  <c r="N155"/>
  <c r="S154"/>
  <c r="N154"/>
  <c r="S153"/>
  <c r="N153"/>
  <c r="S152"/>
  <c r="N152"/>
  <c r="S151"/>
  <c r="N151"/>
  <c r="S150"/>
  <c r="N150"/>
  <c r="S149"/>
  <c r="N149"/>
  <c r="S148"/>
  <c r="N148"/>
  <c r="S147"/>
  <c r="N147"/>
  <c r="S146"/>
  <c r="N146"/>
  <c r="S145"/>
  <c r="N145"/>
  <c r="S144"/>
  <c r="N144"/>
  <c r="S143"/>
  <c r="N143"/>
  <c r="S142"/>
  <c r="N142"/>
  <c r="S141"/>
  <c r="N141"/>
  <c r="S140"/>
  <c r="N140"/>
  <c r="S139"/>
  <c r="N139"/>
  <c r="S138"/>
  <c r="N138"/>
  <c r="S137"/>
  <c r="N137"/>
  <c r="S136"/>
  <c r="N136"/>
  <c r="S135"/>
  <c r="N135"/>
  <c r="S134"/>
  <c r="N134"/>
  <c r="S133"/>
  <c r="N133"/>
  <c r="S132"/>
  <c r="N132"/>
  <c r="S131"/>
  <c r="N131"/>
  <c r="S130"/>
  <c r="N130"/>
  <c r="S129"/>
  <c r="N129"/>
  <c r="S128"/>
  <c r="N128"/>
  <c r="S127"/>
  <c r="N127"/>
  <c r="S126"/>
  <c r="N126"/>
  <c r="S125"/>
  <c r="N125"/>
  <c r="S124"/>
  <c r="N124"/>
  <c r="S123"/>
  <c r="N123"/>
  <c r="S122"/>
  <c r="N122"/>
  <c r="S121"/>
  <c r="N121"/>
  <c r="S120"/>
  <c r="N120"/>
  <c r="S119"/>
  <c r="N119"/>
  <c r="S118"/>
  <c r="N118"/>
  <c r="S117"/>
  <c r="N117"/>
  <c r="S116"/>
  <c r="N116"/>
  <c r="S115"/>
  <c r="N115"/>
  <c r="S114"/>
  <c r="N114"/>
  <c r="S113"/>
  <c r="N113"/>
  <c r="S112"/>
  <c r="N112"/>
  <c r="S111"/>
  <c r="N111"/>
  <c r="S110"/>
  <c r="N110"/>
  <c r="S109"/>
  <c r="N109"/>
  <c r="S108"/>
  <c r="N108"/>
  <c r="S107"/>
  <c r="N107"/>
  <c r="S106"/>
  <c r="N106"/>
  <c r="S105"/>
  <c r="N105"/>
  <c r="S104"/>
  <c r="N104"/>
  <c r="S103"/>
  <c r="N103"/>
  <c r="S102"/>
  <c r="N102"/>
  <c r="S101"/>
  <c r="N101"/>
  <c r="S100"/>
  <c r="N100"/>
  <c r="S99"/>
  <c r="N99"/>
  <c r="S98"/>
  <c r="N98"/>
  <c r="S97"/>
  <c r="N97"/>
  <c r="S96"/>
  <c r="N96"/>
  <c r="S95"/>
  <c r="N95"/>
  <c r="S94"/>
  <c r="N94"/>
  <c r="S93"/>
  <c r="N93"/>
  <c r="S92"/>
  <c r="N92"/>
  <c r="S91"/>
  <c r="N91"/>
  <c r="S90"/>
  <c r="N90"/>
  <c r="S89"/>
  <c r="N89"/>
  <c r="S88"/>
  <c r="N88"/>
  <c r="S87"/>
  <c r="N87"/>
  <c r="S86"/>
  <c r="N86"/>
  <c r="S85"/>
  <c r="N85"/>
  <c r="S84"/>
  <c r="N84"/>
  <c r="S83"/>
  <c r="N83"/>
  <c r="S82"/>
  <c r="N82"/>
  <c r="S81"/>
  <c r="N81"/>
  <c r="S80"/>
  <c r="N80"/>
  <c r="S79"/>
  <c r="N79"/>
  <c r="S78"/>
  <c r="N78"/>
  <c r="S77"/>
  <c r="N77"/>
  <c r="S76"/>
  <c r="N76"/>
  <c r="S75"/>
  <c r="N75"/>
  <c r="S74"/>
  <c r="N74"/>
  <c r="S73"/>
  <c r="N73"/>
  <c r="S72"/>
  <c r="N72"/>
  <c r="S71"/>
  <c r="N71"/>
  <c r="S70"/>
  <c r="N70"/>
  <c r="S69"/>
  <c r="N69"/>
  <c r="S68"/>
  <c r="N68"/>
  <c r="S67"/>
  <c r="N67"/>
  <c r="S66"/>
  <c r="N66"/>
  <c r="S65"/>
  <c r="N65"/>
  <c r="S64"/>
  <c r="N64"/>
  <c r="S63"/>
  <c r="N63"/>
  <c r="S62"/>
  <c r="N62"/>
  <c r="S61"/>
  <c r="N61"/>
  <c r="S60"/>
  <c r="N60"/>
  <c r="S59"/>
  <c r="N59"/>
  <c r="S58"/>
  <c r="N58"/>
  <c r="S57"/>
  <c r="N57"/>
  <c r="S56"/>
  <c r="N56"/>
  <c r="S55"/>
  <c r="N55"/>
  <c r="S54"/>
  <c r="N54"/>
  <c r="S53"/>
  <c r="N53"/>
  <c r="S52"/>
  <c r="N52"/>
  <c r="S51"/>
  <c r="N51"/>
  <c r="S50"/>
  <c r="N50"/>
  <c r="S49"/>
  <c r="N49"/>
  <c r="S48"/>
  <c r="N48"/>
  <c r="S47"/>
  <c r="N47"/>
  <c r="S46"/>
  <c r="N46"/>
  <c r="S45"/>
  <c r="N45"/>
  <c r="S44"/>
  <c r="N44"/>
  <c r="S43"/>
  <c r="N43"/>
  <c r="S42"/>
  <c r="N42"/>
  <c r="S41"/>
  <c r="N41"/>
  <c r="S40"/>
  <c r="N40"/>
  <c r="S39"/>
  <c r="N39"/>
  <c r="S38"/>
  <c r="N38"/>
  <c r="S37"/>
  <c r="N37"/>
  <c r="S36"/>
  <c r="N36"/>
  <c r="S35"/>
  <c r="N35"/>
  <c r="S34"/>
  <c r="N34"/>
  <c r="S33"/>
  <c r="N33"/>
  <c r="S32"/>
  <c r="N32"/>
  <c r="S31"/>
  <c r="N31"/>
  <c r="S30"/>
  <c r="N30"/>
  <c r="S29"/>
  <c r="N29"/>
  <c r="S28"/>
  <c r="N28"/>
  <c r="S27"/>
  <c r="N27"/>
  <c r="S26"/>
  <c r="N26"/>
  <c r="S25"/>
  <c r="N25"/>
  <c r="S24"/>
  <c r="N24"/>
  <c r="S23"/>
  <c r="N23"/>
  <c r="S22"/>
  <c r="N22"/>
  <c r="S21"/>
  <c r="N21"/>
  <c r="S20"/>
  <c r="N20"/>
  <c r="S19"/>
  <c r="N19"/>
  <c r="S18"/>
  <c r="N18"/>
  <c r="S17"/>
  <c r="N17"/>
  <c r="S16"/>
  <c r="N16"/>
  <c r="S15"/>
  <c r="N15"/>
  <c r="S14"/>
  <c r="N14"/>
  <c r="S13"/>
  <c r="N13"/>
  <c r="S12"/>
  <c r="N12"/>
  <c r="S11"/>
  <c r="N11"/>
  <c r="S10"/>
  <c r="N10"/>
  <c r="S9"/>
  <c r="N9"/>
  <c r="S8"/>
  <c r="N8"/>
  <c r="S7"/>
  <c r="N7"/>
  <c r="S6"/>
  <c r="N6"/>
  <c r="S5"/>
  <c r="N5"/>
  <c r="S4"/>
  <c r="S403" s="1"/>
  <c r="N4"/>
  <c r="N403" s="1"/>
  <c r="E410" s="1"/>
  <c r="S3"/>
  <c r="N3"/>
  <c r="S2"/>
  <c r="N2"/>
  <c r="L78" i="31" l="1"/>
  <c r="B5"/>
  <c r="I77"/>
  <c r="L77" s="1"/>
  <c r="F78"/>
  <c r="C7" i="3" l="1"/>
  <c r="C8"/>
  <c r="C9"/>
  <c r="C10"/>
  <c r="C6"/>
  <c r="B51" i="14"/>
  <c r="B50"/>
  <c r="B49"/>
  <c r="B48"/>
  <c r="B47"/>
  <c r="B46"/>
  <c r="B45"/>
  <c r="C66" i="10" l="1"/>
  <c r="C65"/>
  <c r="C83"/>
  <c r="D14"/>
  <c r="E14"/>
  <c r="E15"/>
  <c r="F14"/>
  <c r="F15"/>
  <c r="F16"/>
  <c r="G14"/>
  <c r="G15"/>
  <c r="C13"/>
  <c r="O50"/>
  <c r="C18" i="3"/>
  <c r="C19"/>
  <c r="C20"/>
  <c r="C21"/>
  <c r="C22"/>
  <c r="B6" i="1"/>
  <c r="C6"/>
  <c r="B7"/>
  <c r="C7"/>
  <c r="B8"/>
  <c r="C8"/>
  <c r="B9"/>
  <c r="C9"/>
  <c r="B7" i="3"/>
  <c r="B8"/>
  <c r="B9"/>
  <c r="B10"/>
  <c r="H61" i="27"/>
  <c r="G61"/>
  <c r="H50"/>
  <c r="G50"/>
  <c r="D49"/>
  <c r="E49" s="1"/>
  <c r="F49" s="1"/>
  <c r="G49" s="1"/>
  <c r="H49" s="1"/>
  <c r="C12"/>
  <c r="C3"/>
  <c r="H61" i="25"/>
  <c r="G61"/>
  <c r="H50"/>
  <c r="G50"/>
  <c r="D49"/>
  <c r="E49" s="1"/>
  <c r="F49" s="1"/>
  <c r="G49" s="1"/>
  <c r="H49" s="1"/>
  <c r="C12"/>
  <c r="C3"/>
  <c r="C7" i="24"/>
  <c r="I24" i="21" l="1"/>
  <c r="H24"/>
  <c r="C18"/>
  <c r="I23" s="1"/>
  <c r="L31" i="8"/>
  <c r="I25" i="21" l="1"/>
  <c r="D27" i="13" l="1"/>
  <c r="C27"/>
  <c r="F25" i="8"/>
  <c r="E42" s="1"/>
  <c r="F42" s="1"/>
  <c r="G42" s="1"/>
  <c r="H42" s="1"/>
  <c r="I42" s="1"/>
  <c r="D40"/>
  <c r="D42"/>
  <c r="J14" l="1"/>
  <c r="E14"/>
  <c r="C63" i="10"/>
  <c r="C64"/>
  <c r="C67"/>
  <c r="C68"/>
  <c r="C69"/>
  <c r="C70"/>
  <c r="C71"/>
  <c r="C72"/>
  <c r="C73"/>
  <c r="C74"/>
  <c r="C75"/>
  <c r="C76"/>
  <c r="C77"/>
  <c r="C78"/>
  <c r="C79"/>
  <c r="C80"/>
  <c r="C81"/>
  <c r="C82"/>
  <c r="C84"/>
  <c r="C85"/>
  <c r="C86"/>
  <c r="C62"/>
  <c r="B46" i="15"/>
  <c r="B47"/>
  <c r="B48"/>
  <c r="B49"/>
  <c r="B50"/>
  <c r="B51"/>
  <c r="B45"/>
  <c r="B37"/>
  <c r="B38"/>
  <c r="B39"/>
  <c r="B40"/>
  <c r="B41"/>
  <c r="B42"/>
  <c r="B36"/>
  <c r="E28" i="17"/>
  <c r="B31" s="1"/>
  <c r="C22"/>
  <c r="B29" l="1"/>
  <c r="B32"/>
  <c r="G61" i="19" s="1"/>
  <c r="B30" i="17"/>
  <c r="B33"/>
  <c r="H61" i="19" s="1"/>
  <c r="C29" i="17"/>
  <c r="G27" i="18"/>
  <c r="G28"/>
  <c r="E20"/>
  <c r="D20"/>
  <c r="C20"/>
  <c r="F20" s="1"/>
  <c r="C23"/>
  <c r="D24" s="1"/>
  <c r="E11"/>
  <c r="G11" s="1"/>
  <c r="H11" s="1"/>
  <c r="E10"/>
  <c r="G10" s="1"/>
  <c r="H10" s="1"/>
  <c r="E3"/>
  <c r="G3" s="1"/>
  <c r="H3" s="1"/>
  <c r="C5"/>
  <c r="E5" s="1"/>
  <c r="G5" s="1"/>
  <c r="C4"/>
  <c r="E4" s="1"/>
  <c r="C12" i="19"/>
  <c r="D62" i="10"/>
  <c r="B62"/>
  <c r="C60" i="5"/>
  <c r="C59"/>
  <c r="C58"/>
  <c r="C57"/>
  <c r="C56"/>
  <c r="C55"/>
  <c r="C54"/>
  <c r="C42"/>
  <c r="C41"/>
  <c r="C40"/>
  <c r="C39"/>
  <c r="C38"/>
  <c r="C37"/>
  <c r="C36"/>
  <c r="C3" i="19"/>
  <c r="B3" i="17"/>
  <c r="C58" i="19" l="1"/>
  <c r="D3" i="20" s="1"/>
  <c r="F3" s="1"/>
  <c r="C58" i="27"/>
  <c r="C58" i="25"/>
  <c r="G20" i="18"/>
  <c r="C21"/>
  <c r="F21" s="1"/>
  <c r="E12"/>
  <c r="C22"/>
  <c r="H20"/>
  <c r="D21"/>
  <c r="D23"/>
  <c r="E23"/>
  <c r="E26"/>
  <c r="F25"/>
  <c r="D25"/>
  <c r="E24"/>
  <c r="F23"/>
  <c r="F26"/>
  <c r="D26"/>
  <c r="E25"/>
  <c r="F24"/>
  <c r="G4"/>
  <c r="H4" s="1"/>
  <c r="H5"/>
  <c r="D16" i="10"/>
  <c r="D17"/>
  <c r="E17"/>
  <c r="C15"/>
  <c r="C16"/>
  <c r="C17"/>
  <c r="B99"/>
  <c r="B100"/>
  <c r="B101"/>
  <c r="B102"/>
  <c r="B103"/>
  <c r="B104"/>
  <c r="B98"/>
  <c r="G94"/>
  <c r="G17" s="1"/>
  <c r="H94"/>
  <c r="H17" s="1"/>
  <c r="I94"/>
  <c r="I17" s="1"/>
  <c r="J94"/>
  <c r="J17" s="1"/>
  <c r="K94"/>
  <c r="K17" s="1"/>
  <c r="L94"/>
  <c r="L17" s="1"/>
  <c r="M94"/>
  <c r="M17" s="1"/>
  <c r="N94"/>
  <c r="N17" s="1"/>
  <c r="F94"/>
  <c r="F17" s="1"/>
  <c r="F93"/>
  <c r="G93"/>
  <c r="G16" s="1"/>
  <c r="H93"/>
  <c r="H16" s="1"/>
  <c r="I93"/>
  <c r="I16" s="1"/>
  <c r="J93"/>
  <c r="J16" s="1"/>
  <c r="K93"/>
  <c r="K16" s="1"/>
  <c r="L93"/>
  <c r="L16" s="1"/>
  <c r="M93"/>
  <c r="M16" s="1"/>
  <c r="N93"/>
  <c r="N16" s="1"/>
  <c r="E93"/>
  <c r="E16" s="1"/>
  <c r="E92"/>
  <c r="F92"/>
  <c r="G92"/>
  <c r="H92"/>
  <c r="H15" s="1"/>
  <c r="I92"/>
  <c r="I15" s="1"/>
  <c r="J92"/>
  <c r="J15" s="1"/>
  <c r="K92"/>
  <c r="K15" s="1"/>
  <c r="L92"/>
  <c r="L15" s="1"/>
  <c r="M92"/>
  <c r="M15" s="1"/>
  <c r="N92"/>
  <c r="N15" s="1"/>
  <c r="D92"/>
  <c r="D15" s="1"/>
  <c r="D91"/>
  <c r="E91"/>
  <c r="F91"/>
  <c r="G91"/>
  <c r="H91"/>
  <c r="H14" s="1"/>
  <c r="I91"/>
  <c r="I14" s="1"/>
  <c r="J91"/>
  <c r="J14" s="1"/>
  <c r="K91"/>
  <c r="K14" s="1"/>
  <c r="L91"/>
  <c r="L14" s="1"/>
  <c r="M91"/>
  <c r="M14" s="1"/>
  <c r="N91"/>
  <c r="N14" s="1"/>
  <c r="C91"/>
  <c r="C14" s="1"/>
  <c r="C18"/>
  <c r="E95"/>
  <c r="I95"/>
  <c r="M95"/>
  <c r="C95"/>
  <c r="D117" i="12"/>
  <c r="C102"/>
  <c r="C103" s="1"/>
  <c r="J76"/>
  <c r="C79" s="1"/>
  <c r="C112" s="1"/>
  <c r="H76"/>
  <c r="E72"/>
  <c r="E71"/>
  <c r="E70"/>
  <c r="E69"/>
  <c r="E68"/>
  <c r="E67"/>
  <c r="E73" s="1"/>
  <c r="C110" s="1"/>
  <c r="C61"/>
  <c r="D35"/>
  <c r="D20" i="13"/>
  <c r="C20"/>
  <c r="D15"/>
  <c r="D14"/>
  <c r="F14" s="1"/>
  <c r="H14" s="1"/>
  <c r="J14" s="1"/>
  <c r="D13"/>
  <c r="J10"/>
  <c r="H10"/>
  <c r="J9"/>
  <c r="H9"/>
  <c r="J8"/>
  <c r="E15" s="1"/>
  <c r="H8"/>
  <c r="E9" i="12"/>
  <c r="E8"/>
  <c r="E7"/>
  <c r="E6"/>
  <c r="E5"/>
  <c r="E4"/>
  <c r="E21" i="18" l="1"/>
  <c r="D19" i="13"/>
  <c r="F19" s="1"/>
  <c r="H19" s="1"/>
  <c r="J19" s="1"/>
  <c r="D26"/>
  <c r="H21" i="18"/>
  <c r="G21"/>
  <c r="E13" i="13"/>
  <c r="H12" i="18"/>
  <c r="E22"/>
  <c r="E29" s="1"/>
  <c r="G22"/>
  <c r="G29" s="1"/>
  <c r="D22"/>
  <c r="D29" s="1"/>
  <c r="F22"/>
  <c r="F29" s="1"/>
  <c r="H22"/>
  <c r="H29" s="1"/>
  <c r="D76" i="12"/>
  <c r="D60"/>
  <c r="B31" i="5" s="1"/>
  <c r="K95" i="10"/>
  <c r="G95"/>
  <c r="N95"/>
  <c r="L95"/>
  <c r="J95"/>
  <c r="H95"/>
  <c r="F95"/>
  <c r="D95"/>
  <c r="D18"/>
  <c r="F18"/>
  <c r="H18"/>
  <c r="J18"/>
  <c r="E18"/>
  <c r="G18"/>
  <c r="I18"/>
  <c r="K18"/>
  <c r="M18"/>
  <c r="L18"/>
  <c r="N18"/>
  <c r="D55" i="12"/>
  <c r="B25" i="5" s="1"/>
  <c r="C104" i="12"/>
  <c r="C109" s="1"/>
  <c r="C81"/>
  <c r="C82" s="1"/>
  <c r="D36"/>
  <c r="D37" s="1"/>
  <c r="F15" i="13"/>
  <c r="H15" s="1"/>
  <c r="D16"/>
  <c r="F16" s="1"/>
  <c r="H16" s="1"/>
  <c r="D17"/>
  <c r="F17" s="1"/>
  <c r="H17" s="1"/>
  <c r="D18"/>
  <c r="F18" s="1"/>
  <c r="H18" s="1"/>
  <c r="E10" i="12"/>
  <c r="C47" s="1"/>
  <c r="H51" i="19" l="1"/>
  <c r="H57" s="1"/>
  <c r="H51" i="27"/>
  <c r="H57" s="1"/>
  <c r="H51" i="25"/>
  <c r="H57" s="1"/>
  <c r="F51" i="19"/>
  <c r="F57" s="1"/>
  <c r="F51" i="27"/>
  <c r="F57" s="1"/>
  <c r="F51" i="25"/>
  <c r="F57" s="1"/>
  <c r="D51" i="19"/>
  <c r="D57" s="1"/>
  <c r="D51" i="27"/>
  <c r="D57" s="1"/>
  <c r="D51" i="25"/>
  <c r="D57" s="1"/>
  <c r="G51" i="19"/>
  <c r="G57" s="1"/>
  <c r="G51" i="27"/>
  <c r="G57" s="1"/>
  <c r="G51" i="25"/>
  <c r="G57" s="1"/>
  <c r="E51" i="19"/>
  <c r="E57" s="1"/>
  <c r="E51" i="27"/>
  <c r="E57" s="1"/>
  <c r="E51" i="25"/>
  <c r="E57" s="1"/>
  <c r="H63" i="19"/>
  <c r="H63" i="27"/>
  <c r="H63" i="25"/>
  <c r="E76" i="12"/>
  <c r="E26" i="13"/>
  <c r="F26" s="1"/>
  <c r="F13"/>
  <c r="O18" i="10"/>
  <c r="J18" i="13"/>
  <c r="D59" i="12"/>
  <c r="B30" i="5" s="1"/>
  <c r="J16" i="13"/>
  <c r="D57" i="12"/>
  <c r="B29" i="5" s="1"/>
  <c r="C31"/>
  <c r="B31" i="15"/>
  <c r="B31" i="14"/>
  <c r="J15" i="13"/>
  <c r="D56" i="12"/>
  <c r="B26" i="5" s="1"/>
  <c r="J17" i="13"/>
  <c r="D58" i="12"/>
  <c r="C86"/>
  <c r="C84"/>
  <c r="C46"/>
  <c r="H26" i="13" l="1"/>
  <c r="J26"/>
  <c r="J27" s="1"/>
  <c r="J13"/>
  <c r="H13"/>
  <c r="D54" i="12" s="1"/>
  <c r="B27" i="5" s="1"/>
  <c r="B27" i="14" s="1"/>
  <c r="J20" i="13"/>
  <c r="C12" i="12" s="1"/>
  <c r="C40" s="1"/>
  <c r="C42" s="1"/>
  <c r="C48" s="1"/>
  <c r="B26" i="15"/>
  <c r="B26" i="14"/>
  <c r="C26" i="5"/>
  <c r="C29"/>
  <c r="D29" s="1"/>
  <c r="E29" s="1"/>
  <c r="F29" s="1"/>
  <c r="C30"/>
  <c r="D30" s="1"/>
  <c r="E30" s="1"/>
  <c r="F30" s="1"/>
  <c r="B30" i="15"/>
  <c r="B30" i="14"/>
  <c r="C30" s="1"/>
  <c r="D30" s="1"/>
  <c r="E30" s="1"/>
  <c r="F30" s="1"/>
  <c r="C31" i="15"/>
  <c r="C31" i="14"/>
  <c r="D31" i="5"/>
  <c r="B28"/>
  <c r="C50" i="12"/>
  <c r="C14"/>
  <c r="C15" s="1"/>
  <c r="C87"/>
  <c r="D61" l="1"/>
  <c r="B27" i="15"/>
  <c r="C27" i="5"/>
  <c r="B28" i="15"/>
  <c r="B28" i="14"/>
  <c r="B25" i="15"/>
  <c r="B25" i="14"/>
  <c r="C25" i="5"/>
  <c r="C30" i="15"/>
  <c r="D30" s="1"/>
  <c r="E30" s="1"/>
  <c r="F30" s="1"/>
  <c r="D31" i="14"/>
  <c r="D31" i="15"/>
  <c r="E31" i="5"/>
  <c r="C26" i="14"/>
  <c r="C26" i="15"/>
  <c r="D26" i="5"/>
  <c r="C28"/>
  <c r="B32"/>
  <c r="C19" i="12"/>
  <c r="C17"/>
  <c r="C89"/>
  <c r="C91" s="1"/>
  <c r="C108" s="1"/>
  <c r="C111" s="1"/>
  <c r="C27" i="15" l="1"/>
  <c r="C27" i="14"/>
  <c r="D27" i="5"/>
  <c r="C113" i="12"/>
  <c r="E117" s="1"/>
  <c r="F117" s="1"/>
  <c r="H117" s="1"/>
  <c r="F32" i="10"/>
  <c r="J32" s="1"/>
  <c r="N32" s="1"/>
  <c r="C28" i="14"/>
  <c r="C28" i="15"/>
  <c r="E31"/>
  <c r="E31" i="14"/>
  <c r="F31" i="5"/>
  <c r="D26" i="15"/>
  <c r="D26" i="14"/>
  <c r="E26" i="5"/>
  <c r="C25" i="15"/>
  <c r="C25" i="14"/>
  <c r="D25" i="5"/>
  <c r="D28"/>
  <c r="C32"/>
  <c r="C20" i="12"/>
  <c r="C22" s="1"/>
  <c r="D27" i="15" l="1"/>
  <c r="D27" i="14"/>
  <c r="E27" i="5"/>
  <c r="D28" i="15"/>
  <c r="D28" i="14"/>
  <c r="E26"/>
  <c r="E26" i="15"/>
  <c r="F26" i="5"/>
  <c r="F31" i="14"/>
  <c r="F31" i="15"/>
  <c r="C24" i="12"/>
  <c r="C45" s="1"/>
  <c r="C49" s="1"/>
  <c r="D25" i="14"/>
  <c r="D25" i="15"/>
  <c r="E25" i="5"/>
  <c r="E28"/>
  <c r="D32"/>
  <c r="D81" i="10"/>
  <c r="D82"/>
  <c r="D83"/>
  <c r="D84"/>
  <c r="D85"/>
  <c r="D86"/>
  <c r="D80"/>
  <c r="D63"/>
  <c r="D64"/>
  <c r="D65"/>
  <c r="D66"/>
  <c r="D67"/>
  <c r="D68"/>
  <c r="P59"/>
  <c r="A59"/>
  <c r="P58"/>
  <c r="A58"/>
  <c r="P57"/>
  <c r="A57"/>
  <c r="P56"/>
  <c r="A56"/>
  <c r="P55"/>
  <c r="A55"/>
  <c r="P54"/>
  <c r="A54"/>
  <c r="P53"/>
  <c r="A53"/>
  <c r="E23" i="8"/>
  <c r="D24"/>
  <c r="D41" s="1"/>
  <c r="E24"/>
  <c r="D22"/>
  <c r="D39" s="1"/>
  <c r="E22"/>
  <c r="D21"/>
  <c r="D38" s="1"/>
  <c r="O8"/>
  <c r="O9"/>
  <c r="O10"/>
  <c r="O11"/>
  <c r="O12"/>
  <c r="F24" s="1"/>
  <c r="E41" s="1"/>
  <c r="F41" s="1"/>
  <c r="G41" s="1"/>
  <c r="H41" s="1"/>
  <c r="I41" s="1"/>
  <c r="O7"/>
  <c r="F22" s="1"/>
  <c r="E39" s="1"/>
  <c r="F39" s="1"/>
  <c r="G39" s="1"/>
  <c r="H39" s="1"/>
  <c r="I39" s="1"/>
  <c r="J17"/>
  <c r="I16"/>
  <c r="F16"/>
  <c r="G16" s="1"/>
  <c r="E15"/>
  <c r="E17" s="1"/>
  <c r="I14"/>
  <c r="G14"/>
  <c r="K14" s="1"/>
  <c r="F14"/>
  <c r="I13"/>
  <c r="F13"/>
  <c r="G13" s="1"/>
  <c r="I12"/>
  <c r="F12"/>
  <c r="G12" s="1"/>
  <c r="I11"/>
  <c r="F11"/>
  <c r="G11" s="1"/>
  <c r="I10"/>
  <c r="F10"/>
  <c r="G10" s="1"/>
  <c r="I9"/>
  <c r="F9"/>
  <c r="G9" s="1"/>
  <c r="I8"/>
  <c r="F8"/>
  <c r="G8" s="1"/>
  <c r="I7"/>
  <c r="F7"/>
  <c r="G7" s="1"/>
  <c r="V24" i="7"/>
  <c r="Q24"/>
  <c r="L24"/>
  <c r="V23"/>
  <c r="Q23"/>
  <c r="L23"/>
  <c r="V22"/>
  <c r="Q22"/>
  <c r="L22"/>
  <c r="L14"/>
  <c r="L13"/>
  <c r="L12"/>
  <c r="B7"/>
  <c r="E7" s="1"/>
  <c r="F7" s="1"/>
  <c r="B6"/>
  <c r="E6" s="1"/>
  <c r="F6" s="1"/>
  <c r="B5"/>
  <c r="E5" s="1"/>
  <c r="F5" s="1"/>
  <c r="B49" i="6"/>
  <c r="G47"/>
  <c r="F47"/>
  <c r="E47"/>
  <c r="D47"/>
  <c r="C47"/>
  <c r="G46"/>
  <c r="F46"/>
  <c r="E46"/>
  <c r="D46"/>
  <c r="C46"/>
  <c r="G45"/>
  <c r="F45"/>
  <c r="E45"/>
  <c r="D45"/>
  <c r="C45"/>
  <c r="B37"/>
  <c r="G35"/>
  <c r="F35"/>
  <c r="E35"/>
  <c r="D35"/>
  <c r="C35"/>
  <c r="G34"/>
  <c r="F34"/>
  <c r="E34"/>
  <c r="D34"/>
  <c r="C34"/>
  <c r="G33"/>
  <c r="F33"/>
  <c r="E33"/>
  <c r="D33"/>
  <c r="C33"/>
  <c r="J29"/>
  <c r="B25"/>
  <c r="G23"/>
  <c r="F23"/>
  <c r="E23"/>
  <c r="D23"/>
  <c r="C23"/>
  <c r="G22"/>
  <c r="F22"/>
  <c r="E22"/>
  <c r="D22"/>
  <c r="C22"/>
  <c r="G21"/>
  <c r="F21"/>
  <c r="E21"/>
  <c r="D21"/>
  <c r="C21"/>
  <c r="P19"/>
  <c r="M19"/>
  <c r="J19"/>
  <c r="J6"/>
  <c r="K6" s="1"/>
  <c r="K5"/>
  <c r="B37" i="4"/>
  <c r="B36"/>
  <c r="B10"/>
  <c r="C9" s="1"/>
  <c r="D9" s="1"/>
  <c r="B14" s="1"/>
  <c r="C8"/>
  <c r="G6"/>
  <c r="F6"/>
  <c r="B18" i="3"/>
  <c r="B19" s="1"/>
  <c r="B5" i="5"/>
  <c r="D19" i="2"/>
  <c r="C19"/>
  <c r="B19"/>
  <c r="D7"/>
  <c r="D20" s="1"/>
  <c r="C7"/>
  <c r="C8" s="1"/>
  <c r="B7"/>
  <c r="B20" s="1"/>
  <c r="E6"/>
  <c r="C17" i="1"/>
  <c r="B17"/>
  <c r="D17" s="1"/>
  <c r="E17" s="1"/>
  <c r="B18"/>
  <c r="D5"/>
  <c r="O45" i="10" l="1"/>
  <c r="N45" s="1"/>
  <c r="B3" i="5"/>
  <c r="O43" i="10" s="1"/>
  <c r="H32"/>
  <c r="C32"/>
  <c r="D48" i="6"/>
  <c r="F48"/>
  <c r="L15" i="7"/>
  <c r="Q25"/>
  <c r="E27" i="14"/>
  <c r="F27" i="5"/>
  <c r="E27" i="15"/>
  <c r="E9" i="4"/>
  <c r="C10"/>
  <c r="K8" i="8"/>
  <c r="K10"/>
  <c r="F9" i="4"/>
  <c r="B16" i="5"/>
  <c r="B19" i="1"/>
  <c r="E19" i="2"/>
  <c r="F19" s="1"/>
  <c r="D8" i="4"/>
  <c r="D10" s="1"/>
  <c r="E25" i="15"/>
  <c r="E25" i="14"/>
  <c r="F25" i="5"/>
  <c r="C24" i="6"/>
  <c r="E24"/>
  <c r="G24"/>
  <c r="K11" i="8"/>
  <c r="K12"/>
  <c r="F23"/>
  <c r="E40" s="1"/>
  <c r="E28" i="14"/>
  <c r="E28" i="15"/>
  <c r="C51" i="12"/>
  <c r="F26" i="15"/>
  <c r="F26" i="14"/>
  <c r="K9" i="8"/>
  <c r="K13"/>
  <c r="C45" i="10"/>
  <c r="C7" s="1"/>
  <c r="G45"/>
  <c r="G7" s="1"/>
  <c r="F28" i="5"/>
  <c r="E32"/>
  <c r="E45" i="10"/>
  <c r="E7" s="1"/>
  <c r="K45"/>
  <c r="K7" s="1"/>
  <c r="I45"/>
  <c r="I7" s="1"/>
  <c r="M45"/>
  <c r="M7" s="1"/>
  <c r="D45"/>
  <c r="D7" s="1"/>
  <c r="F45"/>
  <c r="F7" s="1"/>
  <c r="H45"/>
  <c r="H7" s="1"/>
  <c r="J45"/>
  <c r="J7" s="1"/>
  <c r="L45"/>
  <c r="L7" s="1"/>
  <c r="C5" i="6"/>
  <c r="F15" i="8"/>
  <c r="G15" s="1"/>
  <c r="K16"/>
  <c r="F17"/>
  <c r="I15"/>
  <c r="I17" s="1"/>
  <c r="N6" s="1"/>
  <c r="K7"/>
  <c r="F8" i="7"/>
  <c r="H5" s="1"/>
  <c r="R23"/>
  <c r="J30" s="1"/>
  <c r="M14"/>
  <c r="L31" s="1"/>
  <c r="M13"/>
  <c r="L30" s="1"/>
  <c r="M12"/>
  <c r="R24"/>
  <c r="K30" s="1"/>
  <c r="L25"/>
  <c r="M24" s="1"/>
  <c r="K29" s="1"/>
  <c r="V25"/>
  <c r="W22" s="1"/>
  <c r="I31" s="1"/>
  <c r="R22"/>
  <c r="I30" s="1"/>
  <c r="D24" i="6"/>
  <c r="D25" s="1"/>
  <c r="F24"/>
  <c r="F25" s="1"/>
  <c r="C48"/>
  <c r="C49" s="1"/>
  <c r="E48"/>
  <c r="E49" s="1"/>
  <c r="G48"/>
  <c r="G49" s="1"/>
  <c r="C25"/>
  <c r="E25"/>
  <c r="G25"/>
  <c r="D49"/>
  <c r="F49"/>
  <c r="J7"/>
  <c r="C36"/>
  <c r="C37" s="1"/>
  <c r="E36"/>
  <c r="E37" s="1"/>
  <c r="G36"/>
  <c r="G37" s="1"/>
  <c r="D36"/>
  <c r="D37" s="1"/>
  <c r="F36"/>
  <c r="F37" s="1"/>
  <c r="C31" i="4"/>
  <c r="B19"/>
  <c r="C26" s="1"/>
  <c r="D26" s="1"/>
  <c r="E26" s="1"/>
  <c r="B13"/>
  <c r="E8"/>
  <c r="F8"/>
  <c r="F10" s="1"/>
  <c r="D5" i="5"/>
  <c r="B20" i="3"/>
  <c r="C6" i="5"/>
  <c r="C5"/>
  <c r="B6"/>
  <c r="O46" i="10" s="1"/>
  <c r="C21" i="2"/>
  <c r="C9"/>
  <c r="B8"/>
  <c r="D8"/>
  <c r="C20"/>
  <c r="E20" s="1"/>
  <c r="F20" s="1"/>
  <c r="E7"/>
  <c r="C19" i="1"/>
  <c r="D19"/>
  <c r="E19" s="1"/>
  <c r="D7"/>
  <c r="C18"/>
  <c r="D18" s="1"/>
  <c r="E18" s="1"/>
  <c r="D6"/>
  <c r="E7" i="25" l="1"/>
  <c r="E16" i="27"/>
  <c r="E16" i="25"/>
  <c r="E15" i="27"/>
  <c r="E15" i="25"/>
  <c r="F7"/>
  <c r="F16" i="27"/>
  <c r="F16" i="25"/>
  <c r="E6" i="27"/>
  <c r="E6" i="25"/>
  <c r="N25" i="10"/>
  <c r="N7"/>
  <c r="D100"/>
  <c r="E100"/>
  <c r="F100"/>
  <c r="G100"/>
  <c r="H100"/>
  <c r="I100"/>
  <c r="J100"/>
  <c r="K100"/>
  <c r="L100"/>
  <c r="M100"/>
  <c r="N100"/>
  <c r="C100"/>
  <c r="E7" i="19"/>
  <c r="E7" i="27"/>
  <c r="F7" i="19"/>
  <c r="F7" i="27"/>
  <c r="E6" i="19"/>
  <c r="E15"/>
  <c r="E16"/>
  <c r="F16"/>
  <c r="E40" i="27"/>
  <c r="E31"/>
  <c r="E40" i="25"/>
  <c r="E31"/>
  <c r="F40" i="8"/>
  <c r="B14" i="5"/>
  <c r="C3" i="6"/>
  <c r="E46" i="10"/>
  <c r="E6" s="1"/>
  <c r="N46"/>
  <c r="N6" s="1"/>
  <c r="B4" i="5"/>
  <c r="O44" i="10" s="1"/>
  <c r="J46"/>
  <c r="J6" s="1"/>
  <c r="F46"/>
  <c r="F6" s="1"/>
  <c r="M46"/>
  <c r="M6" s="1"/>
  <c r="K46"/>
  <c r="K6" s="1"/>
  <c r="G46"/>
  <c r="G6" s="1"/>
  <c r="C3" i="5"/>
  <c r="D3"/>
  <c r="C4"/>
  <c r="L46" i="10"/>
  <c r="L6" s="1"/>
  <c r="H46"/>
  <c r="H6" s="1"/>
  <c r="D46"/>
  <c r="D6" s="1"/>
  <c r="I46"/>
  <c r="I6" s="1"/>
  <c r="C46"/>
  <c r="C6" s="1"/>
  <c r="J25"/>
  <c r="F25"/>
  <c r="M25"/>
  <c r="E25"/>
  <c r="L25"/>
  <c r="H25"/>
  <c r="D25"/>
  <c r="I25"/>
  <c r="K25"/>
  <c r="G25"/>
  <c r="O32"/>
  <c r="F27" i="14"/>
  <c r="F27" i="15"/>
  <c r="H6" i="7"/>
  <c r="C19" s="1"/>
  <c r="C6" i="6"/>
  <c r="B17" i="5"/>
  <c r="B50" i="6"/>
  <c r="M22" i="7"/>
  <c r="I29" s="1"/>
  <c r="F28" i="15"/>
  <c r="F28" i="14"/>
  <c r="F25"/>
  <c r="F25" i="15"/>
  <c r="C4" i="6"/>
  <c r="B15" i="5"/>
  <c r="B16" i="14"/>
  <c r="B5" s="1"/>
  <c r="B16" i="15"/>
  <c r="D6" i="6"/>
  <c r="E31" i="19"/>
  <c r="E40"/>
  <c r="C17" i="5"/>
  <c r="E5" i="6"/>
  <c r="D16" i="5"/>
  <c r="D5" i="6"/>
  <c r="E39" i="19"/>
  <c r="E30"/>
  <c r="C16" i="5"/>
  <c r="M23" i="7"/>
  <c r="J29" s="1"/>
  <c r="H7"/>
  <c r="C20" s="1"/>
  <c r="E56" i="12"/>
  <c r="F56" s="1"/>
  <c r="H56" s="1"/>
  <c r="E60"/>
  <c r="F60" s="1"/>
  <c r="H60" s="1"/>
  <c r="E57"/>
  <c r="F57" s="1"/>
  <c r="H57" s="1"/>
  <c r="E54"/>
  <c r="F54" s="1"/>
  <c r="H54" s="1"/>
  <c r="E58"/>
  <c r="F58" s="1"/>
  <c r="H58" s="1"/>
  <c r="E55"/>
  <c r="F55" s="1"/>
  <c r="H55" s="1"/>
  <c r="E59"/>
  <c r="F59" s="1"/>
  <c r="H59" s="1"/>
  <c r="B14" i="15"/>
  <c r="B14" i="14"/>
  <c r="B3" s="1"/>
  <c r="F32" i="5"/>
  <c r="O6" i="8"/>
  <c r="F21" s="1"/>
  <c r="E21"/>
  <c r="E27" s="1"/>
  <c r="K15"/>
  <c r="K17" s="1"/>
  <c r="G17"/>
  <c r="L29" i="7"/>
  <c r="M29" s="1"/>
  <c r="M15"/>
  <c r="C18"/>
  <c r="H8"/>
  <c r="W24"/>
  <c r="K31" s="1"/>
  <c r="W23"/>
  <c r="J31" s="1"/>
  <c r="M30" s="1"/>
  <c r="E19" s="1"/>
  <c r="F19" s="1"/>
  <c r="B26" i="6"/>
  <c r="B38"/>
  <c r="K7"/>
  <c r="J8"/>
  <c r="B18" i="4"/>
  <c r="C24" s="1"/>
  <c r="D24" s="1"/>
  <c r="E24" s="1"/>
  <c r="E10"/>
  <c r="C30"/>
  <c r="C37"/>
  <c r="D31"/>
  <c r="E31" s="1"/>
  <c r="G31" s="1"/>
  <c r="B21" i="3"/>
  <c r="D6" i="5"/>
  <c r="E5"/>
  <c r="E8" i="2"/>
  <c r="B21"/>
  <c r="B9"/>
  <c r="C10"/>
  <c r="C23" s="1"/>
  <c r="C22"/>
  <c r="D21"/>
  <c r="D9"/>
  <c r="B20" i="1"/>
  <c r="D8"/>
  <c r="C21"/>
  <c r="C20"/>
  <c r="G7" i="25" l="1"/>
  <c r="G16" i="27"/>
  <c r="G16" i="25"/>
  <c r="F15" i="27"/>
  <c r="F15" i="25"/>
  <c r="F6"/>
  <c r="F6" i="27"/>
  <c r="F4" i="19"/>
  <c r="F13" i="25"/>
  <c r="F4"/>
  <c r="E4" i="19"/>
  <c r="E13" i="25"/>
  <c r="E4"/>
  <c r="E4" i="27"/>
  <c r="E14" i="25"/>
  <c r="E5"/>
  <c r="D99" i="10"/>
  <c r="E99"/>
  <c r="F99"/>
  <c r="G99"/>
  <c r="H99"/>
  <c r="I99"/>
  <c r="J99"/>
  <c r="K99"/>
  <c r="L99"/>
  <c r="M99"/>
  <c r="N99"/>
  <c r="C99"/>
  <c r="D101"/>
  <c r="E101"/>
  <c r="F101"/>
  <c r="G101"/>
  <c r="H101"/>
  <c r="I101"/>
  <c r="J101"/>
  <c r="K101"/>
  <c r="L101"/>
  <c r="M101"/>
  <c r="N101"/>
  <c r="C101"/>
  <c r="D98"/>
  <c r="E98"/>
  <c r="F98"/>
  <c r="G98"/>
  <c r="H98"/>
  <c r="I98"/>
  <c r="J98"/>
  <c r="K98"/>
  <c r="L98"/>
  <c r="M98"/>
  <c r="N98"/>
  <c r="C98"/>
  <c r="G7" i="19"/>
  <c r="G7" i="27"/>
  <c r="E5" i="19"/>
  <c r="E14"/>
  <c r="F6"/>
  <c r="F15"/>
  <c r="G16"/>
  <c r="E13"/>
  <c r="F13"/>
  <c r="F40" i="27"/>
  <c r="F31"/>
  <c r="F40" i="25"/>
  <c r="F31"/>
  <c r="F39" i="19"/>
  <c r="F30"/>
  <c r="E14" i="27"/>
  <c r="E38" s="1"/>
  <c r="E5"/>
  <c r="E29" s="1"/>
  <c r="E38" i="25"/>
  <c r="E29"/>
  <c r="F13" i="27"/>
  <c r="F37" s="1"/>
  <c r="F4"/>
  <c r="F28" s="1"/>
  <c r="F37" i="25"/>
  <c r="F28"/>
  <c r="E13" i="27"/>
  <c r="E37" s="1"/>
  <c r="E28"/>
  <c r="E37" i="25"/>
  <c r="E28"/>
  <c r="F30"/>
  <c r="F39"/>
  <c r="F30" i="27"/>
  <c r="F39"/>
  <c r="E30" i="25"/>
  <c r="E39"/>
  <c r="E30" i="27"/>
  <c r="E39"/>
  <c r="F27" i="8"/>
  <c r="E38"/>
  <c r="G40"/>
  <c r="E29" i="19"/>
  <c r="C15" i="5"/>
  <c r="C15" i="15" s="1"/>
  <c r="C4" s="1"/>
  <c r="D4" i="6"/>
  <c r="E38" i="19"/>
  <c r="E37"/>
  <c r="C14" i="5"/>
  <c r="C14" i="15" s="1"/>
  <c r="D3" i="6"/>
  <c r="E28" i="19"/>
  <c r="F28"/>
  <c r="D14" i="5"/>
  <c r="D14" i="15" s="1"/>
  <c r="E3" i="6"/>
  <c r="F37" i="19"/>
  <c r="B8" i="5"/>
  <c r="O48" i="10" s="1"/>
  <c r="H31" i="4"/>
  <c r="D24" i="10"/>
  <c r="L24"/>
  <c r="K24"/>
  <c r="F24"/>
  <c r="N24"/>
  <c r="N43"/>
  <c r="C43"/>
  <c r="C4" s="1"/>
  <c r="I43"/>
  <c r="D43"/>
  <c r="D4" s="1"/>
  <c r="H43"/>
  <c r="L43"/>
  <c r="G43"/>
  <c r="K43"/>
  <c r="E43"/>
  <c r="E4" s="1"/>
  <c r="M43"/>
  <c r="F43"/>
  <c r="J43"/>
  <c r="F5" i="5"/>
  <c r="I24" i="10"/>
  <c r="H24"/>
  <c r="G24"/>
  <c r="M24"/>
  <c r="J24"/>
  <c r="N44"/>
  <c r="G44"/>
  <c r="K44"/>
  <c r="E44"/>
  <c r="E5" s="1"/>
  <c r="M44"/>
  <c r="F44"/>
  <c r="J44"/>
  <c r="C44"/>
  <c r="C5" s="1"/>
  <c r="I44"/>
  <c r="D44"/>
  <c r="D5" s="1"/>
  <c r="H44"/>
  <c r="L44"/>
  <c r="E24"/>
  <c r="O24" s="1"/>
  <c r="O25"/>
  <c r="F5" i="6"/>
  <c r="E16" i="5"/>
  <c r="E6" i="6"/>
  <c r="F31" i="19"/>
  <c r="F40"/>
  <c r="D17" i="5"/>
  <c r="B5" i="15"/>
  <c r="B17"/>
  <c r="B17" i="14"/>
  <c r="B6" s="1"/>
  <c r="G5" i="6"/>
  <c r="F16" i="5"/>
  <c r="M31" i="7"/>
  <c r="E20" s="1"/>
  <c r="F20" s="1"/>
  <c r="E19" i="9"/>
  <c r="I4" s="1"/>
  <c r="D49" i="19"/>
  <c r="E49" s="1"/>
  <c r="F49" s="1"/>
  <c r="G49" s="1"/>
  <c r="H49" s="1"/>
  <c r="O7" i="10"/>
  <c r="O6"/>
  <c r="B3" i="15"/>
  <c r="C16"/>
  <c r="C5" s="1"/>
  <c r="C16" i="14"/>
  <c r="C5" s="1"/>
  <c r="C15"/>
  <c r="C4" s="1"/>
  <c r="D14"/>
  <c r="D3" s="1"/>
  <c r="C14"/>
  <c r="C3" s="1"/>
  <c r="D16" i="15"/>
  <c r="D5" s="1"/>
  <c r="D16" i="14"/>
  <c r="D5" s="1"/>
  <c r="C17" i="15"/>
  <c r="C6" s="1"/>
  <c r="C17" i="14"/>
  <c r="C6" s="1"/>
  <c r="B15" i="15"/>
  <c r="B15" i="14"/>
  <c r="B4" s="1"/>
  <c r="C4" i="9"/>
  <c r="E33" i="10"/>
  <c r="G33"/>
  <c r="I33"/>
  <c r="K33"/>
  <c r="M33"/>
  <c r="C33"/>
  <c r="D33"/>
  <c r="F33"/>
  <c r="H33"/>
  <c r="J33"/>
  <c r="L33"/>
  <c r="N33"/>
  <c r="M32" i="7"/>
  <c r="E18"/>
  <c r="F18" s="1"/>
  <c r="K8" i="6"/>
  <c r="J9"/>
  <c r="K9" s="1"/>
  <c r="D37" i="4"/>
  <c r="E37" s="1"/>
  <c r="G37" s="1"/>
  <c r="C36"/>
  <c r="D30"/>
  <c r="E30" s="1"/>
  <c r="G30" s="1"/>
  <c r="B22" i="3"/>
  <c r="F6" i="5" s="1"/>
  <c r="E6"/>
  <c r="D22" i="2"/>
  <c r="D10"/>
  <c r="D23" s="1"/>
  <c r="B22"/>
  <c r="E22" s="1"/>
  <c r="F22" s="1"/>
  <c r="E9"/>
  <c r="B10"/>
  <c r="E21"/>
  <c r="F21" s="1"/>
  <c r="B21" i="1"/>
  <c r="D21" s="1"/>
  <c r="E21" s="1"/>
  <c r="D9"/>
  <c r="D20"/>
  <c r="E20" s="1"/>
  <c r="G15" i="27" l="1"/>
  <c r="G15" i="25"/>
  <c r="G6"/>
  <c r="G6" i="27"/>
  <c r="H15"/>
  <c r="H15" i="25"/>
  <c r="H6"/>
  <c r="H6" i="27"/>
  <c r="D16" i="19"/>
  <c r="D16" i="25"/>
  <c r="D15" i="19"/>
  <c r="D15" i="25"/>
  <c r="H7"/>
  <c r="H16" i="27"/>
  <c r="H16" i="25"/>
  <c r="D6" i="19"/>
  <c r="D6" i="25"/>
  <c r="D7" i="19"/>
  <c r="D7" i="25"/>
  <c r="H7" i="19"/>
  <c r="H7" i="27"/>
  <c r="G6" i="19"/>
  <c r="G15"/>
  <c r="H6"/>
  <c r="H15"/>
  <c r="H16"/>
  <c r="G40" i="27"/>
  <c r="G31"/>
  <c r="G40" i="25"/>
  <c r="G31"/>
  <c r="G39" i="19"/>
  <c r="G30"/>
  <c r="H40" i="27"/>
  <c r="H31"/>
  <c r="H40" i="25"/>
  <c r="H31"/>
  <c r="H39" i="19"/>
  <c r="H30"/>
  <c r="G30" i="25"/>
  <c r="G39"/>
  <c r="G30" i="27"/>
  <c r="G39"/>
  <c r="D30" i="19"/>
  <c r="D6" i="27"/>
  <c r="D31" i="19"/>
  <c r="D7" i="27"/>
  <c r="D31" s="1"/>
  <c r="D31" i="25"/>
  <c r="D40" i="19"/>
  <c r="D16" i="27"/>
  <c r="D40" s="1"/>
  <c r="D40" i="25"/>
  <c r="D39" i="19"/>
  <c r="D15" i="27"/>
  <c r="F38" i="8"/>
  <c r="E43"/>
  <c r="H40"/>
  <c r="I12" i="9"/>
  <c r="D4" i="5"/>
  <c r="E3"/>
  <c r="F3"/>
  <c r="E4"/>
  <c r="L5" i="10"/>
  <c r="L23"/>
  <c r="D23"/>
  <c r="F5"/>
  <c r="F23"/>
  <c r="E23"/>
  <c r="G23"/>
  <c r="G5"/>
  <c r="J22"/>
  <c r="J4"/>
  <c r="M22"/>
  <c r="M4"/>
  <c r="K22"/>
  <c r="K4"/>
  <c r="L22"/>
  <c r="L4"/>
  <c r="D22"/>
  <c r="C8" i="6"/>
  <c r="B19" i="5"/>
  <c r="H30" i="4"/>
  <c r="B7" i="5"/>
  <c r="O47" i="10" s="1"/>
  <c r="H23"/>
  <c r="H5"/>
  <c r="I5"/>
  <c r="I23"/>
  <c r="J23"/>
  <c r="J5"/>
  <c r="M5"/>
  <c r="M23"/>
  <c r="K5"/>
  <c r="K23"/>
  <c r="N5"/>
  <c r="N23"/>
  <c r="F22"/>
  <c r="F4"/>
  <c r="E22"/>
  <c r="G4"/>
  <c r="G22"/>
  <c r="H4"/>
  <c r="H22"/>
  <c r="I4"/>
  <c r="I22"/>
  <c r="N4"/>
  <c r="N22"/>
  <c r="I31" i="4"/>
  <c r="C8" i="5"/>
  <c r="F4" i="9"/>
  <c r="L12"/>
  <c r="O33" i="10"/>
  <c r="H5" i="6"/>
  <c r="F6"/>
  <c r="G31" i="19"/>
  <c r="G40"/>
  <c r="E17" i="5"/>
  <c r="B4" i="15"/>
  <c r="C3"/>
  <c r="F16"/>
  <c r="F5" s="1"/>
  <c r="F16" i="14"/>
  <c r="F5" s="1"/>
  <c r="B6" i="15"/>
  <c r="G6" i="6"/>
  <c r="H31" i="19"/>
  <c r="H40"/>
  <c r="F17" i="5"/>
  <c r="H37" i="4"/>
  <c r="F12" i="9"/>
  <c r="C12"/>
  <c r="D3" i="15"/>
  <c r="D17"/>
  <c r="D6" s="1"/>
  <c r="D17" i="14"/>
  <c r="D6" s="1"/>
  <c r="E16" i="15"/>
  <c r="E5" s="1"/>
  <c r="E16" i="14"/>
  <c r="E5" s="1"/>
  <c r="D36" i="4"/>
  <c r="E36" s="1"/>
  <c r="G36" s="1"/>
  <c r="H36" s="1"/>
  <c r="I36" s="1"/>
  <c r="J36" s="1"/>
  <c r="K36" s="1"/>
  <c r="E10" i="2"/>
  <c r="B23"/>
  <c r="E23" s="1"/>
  <c r="F23" s="1"/>
  <c r="E18" i="25" l="1"/>
  <c r="E42" s="1"/>
  <c r="E9"/>
  <c r="E33" s="1"/>
  <c r="E9" i="19"/>
  <c r="E18"/>
  <c r="E18" i="27"/>
  <c r="E42" s="1"/>
  <c r="E9"/>
  <c r="E33" s="1"/>
  <c r="H4" i="19"/>
  <c r="H13" i="25"/>
  <c r="H4"/>
  <c r="G4" i="19"/>
  <c r="G13" i="25"/>
  <c r="G4"/>
  <c r="G14"/>
  <c r="G5"/>
  <c r="F14"/>
  <c r="F5"/>
  <c r="D103" i="10"/>
  <c r="E103"/>
  <c r="F103"/>
  <c r="G103"/>
  <c r="H103"/>
  <c r="I103"/>
  <c r="J103"/>
  <c r="K103"/>
  <c r="L103"/>
  <c r="M103"/>
  <c r="N103"/>
  <c r="C103"/>
  <c r="F5" i="19"/>
  <c r="F14"/>
  <c r="G5"/>
  <c r="G14"/>
  <c r="H13"/>
  <c r="G13"/>
  <c r="G14" i="27"/>
  <c r="G38" s="1"/>
  <c r="G5"/>
  <c r="G29" s="1"/>
  <c r="G38" i="25"/>
  <c r="G29"/>
  <c r="F14" i="27"/>
  <c r="F5"/>
  <c r="H13"/>
  <c r="H37" s="1"/>
  <c r="H4"/>
  <c r="H28" s="1"/>
  <c r="H37" i="25"/>
  <c r="H28"/>
  <c r="G13" i="27"/>
  <c r="G4"/>
  <c r="H30" i="25"/>
  <c r="H39"/>
  <c r="H30" i="27"/>
  <c r="H39"/>
  <c r="D39" i="25"/>
  <c r="D39" i="27"/>
  <c r="D30" i="25"/>
  <c r="D30" i="27"/>
  <c r="G38" i="8"/>
  <c r="F43"/>
  <c r="I40"/>
  <c r="F4" i="6"/>
  <c r="G38" i="19"/>
  <c r="G29"/>
  <c r="E15" i="5"/>
  <c r="E15" i="14" s="1"/>
  <c r="E4" s="1"/>
  <c r="F3" i="6"/>
  <c r="G28" i="19"/>
  <c r="G37"/>
  <c r="E14" i="5"/>
  <c r="E14" i="14" s="1"/>
  <c r="E3" s="1"/>
  <c r="G3" i="6"/>
  <c r="H37" i="19"/>
  <c r="H28"/>
  <c r="F14" i="5"/>
  <c r="F14" i="14" s="1"/>
  <c r="F3" s="1"/>
  <c r="E4" i="6"/>
  <c r="F38" i="19"/>
  <c r="F29"/>
  <c r="D15" i="5"/>
  <c r="D15" i="14" s="1"/>
  <c r="D4" s="1"/>
  <c r="F4" i="5"/>
  <c r="E33" i="19"/>
  <c r="C19" i="5"/>
  <c r="D8" i="6"/>
  <c r="E42" i="19"/>
  <c r="B18" i="5"/>
  <c r="C7" i="6"/>
  <c r="B19" i="14"/>
  <c r="B8" s="1"/>
  <c r="B19" i="15"/>
  <c r="B8" s="1"/>
  <c r="N48" i="10"/>
  <c r="C48"/>
  <c r="C9" s="1"/>
  <c r="K48"/>
  <c r="M48"/>
  <c r="F48"/>
  <c r="J48"/>
  <c r="E48"/>
  <c r="E9" s="1"/>
  <c r="I48"/>
  <c r="G48"/>
  <c r="D48"/>
  <c r="D9" s="1"/>
  <c r="H48"/>
  <c r="L48"/>
  <c r="O4"/>
  <c r="D4" i="25" s="1"/>
  <c r="O22" i="10"/>
  <c r="O5"/>
  <c r="D5" i="25" s="1"/>
  <c r="O23" i="10"/>
  <c r="J31" i="4"/>
  <c r="D8" i="5"/>
  <c r="C7"/>
  <c r="I30" i="4"/>
  <c r="H6" i="6"/>
  <c r="I37" i="4"/>
  <c r="C9" i="5"/>
  <c r="H3" i="6"/>
  <c r="E17" i="15"/>
  <c r="E6" s="1"/>
  <c r="E17" i="14"/>
  <c r="E6" s="1"/>
  <c r="B9" i="5"/>
  <c r="O49" i="10" s="1"/>
  <c r="F17" i="14"/>
  <c r="F6" s="1"/>
  <c r="F17" i="15"/>
  <c r="F6" s="1"/>
  <c r="E15"/>
  <c r="E4" s="1"/>
  <c r="F14"/>
  <c r="E14"/>
  <c r="D15"/>
  <c r="E17" i="25" l="1"/>
  <c r="E41" s="1"/>
  <c r="E17" i="19"/>
  <c r="E17" i="27"/>
  <c r="E41" s="1"/>
  <c r="E8" i="25"/>
  <c r="E32" s="1"/>
  <c r="E8" i="19"/>
  <c r="E8" i="27"/>
  <c r="E32" s="1"/>
  <c r="F18" i="25"/>
  <c r="F42" s="1"/>
  <c r="F9"/>
  <c r="F33" s="1"/>
  <c r="F9" i="19"/>
  <c r="F18"/>
  <c r="F18" i="27"/>
  <c r="F42" s="1"/>
  <c r="F9"/>
  <c r="F33" s="1"/>
  <c r="E19" i="25"/>
  <c r="E10"/>
  <c r="E10" i="19"/>
  <c r="E10" i="27"/>
  <c r="E19" i="19"/>
  <c r="E19" i="27"/>
  <c r="D13" i="19"/>
  <c r="D13" i="25"/>
  <c r="D14" i="19"/>
  <c r="D14" i="25"/>
  <c r="H14"/>
  <c r="H5"/>
  <c r="D102" i="10"/>
  <c r="E102"/>
  <c r="F102"/>
  <c r="G102"/>
  <c r="H102"/>
  <c r="I102"/>
  <c r="J102"/>
  <c r="K102"/>
  <c r="L102"/>
  <c r="M102"/>
  <c r="N102"/>
  <c r="C102"/>
  <c r="D5" i="19"/>
  <c r="D4"/>
  <c r="H5"/>
  <c r="H14"/>
  <c r="H14" i="27"/>
  <c r="H5"/>
  <c r="F29" i="25"/>
  <c r="F38"/>
  <c r="F29" i="27"/>
  <c r="F38"/>
  <c r="D38" i="19"/>
  <c r="D14" i="27"/>
  <c r="D38" s="1"/>
  <c r="D38" i="25"/>
  <c r="D29" i="19"/>
  <c r="D5" i="27"/>
  <c r="D29" s="1"/>
  <c r="D29" i="25"/>
  <c r="G28"/>
  <c r="G37"/>
  <c r="G28" i="27"/>
  <c r="G37"/>
  <c r="D37" i="19"/>
  <c r="D13" i="27"/>
  <c r="D28" i="19"/>
  <c r="D4" i="27"/>
  <c r="H38" i="8"/>
  <c r="G43"/>
  <c r="H29" i="19"/>
  <c r="F15" i="5"/>
  <c r="F15" i="14" s="1"/>
  <c r="F4" s="1"/>
  <c r="G4" i="6"/>
  <c r="H4" s="1"/>
  <c r="H38" i="19"/>
  <c r="D7" i="6"/>
  <c r="E32" i="19"/>
  <c r="E41"/>
  <c r="C18" i="5"/>
  <c r="K31" i="4"/>
  <c r="F8" i="5" s="1"/>
  <c r="E8"/>
  <c r="L9" i="10"/>
  <c r="L27"/>
  <c r="D27"/>
  <c r="I9"/>
  <c r="I27"/>
  <c r="J27"/>
  <c r="J9"/>
  <c r="M27"/>
  <c r="M9"/>
  <c r="N47"/>
  <c r="K47"/>
  <c r="I47"/>
  <c r="F47"/>
  <c r="J47"/>
  <c r="G47"/>
  <c r="C47"/>
  <c r="C8" s="1"/>
  <c r="E47"/>
  <c r="E8" s="1"/>
  <c r="M47"/>
  <c r="D47"/>
  <c r="D8" s="1"/>
  <c r="H47"/>
  <c r="L47"/>
  <c r="N49"/>
  <c r="G49"/>
  <c r="C49"/>
  <c r="C10" s="1"/>
  <c r="E49"/>
  <c r="E10" s="1"/>
  <c r="M49"/>
  <c r="D49"/>
  <c r="D10" s="1"/>
  <c r="H49"/>
  <c r="L49"/>
  <c r="K49"/>
  <c r="I49"/>
  <c r="F49"/>
  <c r="J49"/>
  <c r="D7" i="5"/>
  <c r="J30" i="4"/>
  <c r="F33" i="19"/>
  <c r="D19" i="5"/>
  <c r="E8" i="6"/>
  <c r="F42" i="19"/>
  <c r="H27" i="10"/>
  <c r="H9"/>
  <c r="G27"/>
  <c r="G9"/>
  <c r="E27"/>
  <c r="F27"/>
  <c r="F9"/>
  <c r="K9"/>
  <c r="K27"/>
  <c r="N27"/>
  <c r="N9"/>
  <c r="B18" i="14"/>
  <c r="B29"/>
  <c r="B18" i="15"/>
  <c r="B29"/>
  <c r="C19"/>
  <c r="C8" s="1"/>
  <c r="C19" i="14"/>
  <c r="C8" s="1"/>
  <c r="D4" i="15"/>
  <c r="E3"/>
  <c r="D9" i="6"/>
  <c r="D10" s="1"/>
  <c r="E43" i="19"/>
  <c r="E34"/>
  <c r="C20" i="5"/>
  <c r="C10"/>
  <c r="F15" i="15"/>
  <c r="F4" s="1"/>
  <c r="F3"/>
  <c r="B20" i="5"/>
  <c r="C9" i="6"/>
  <c r="B10" i="5"/>
  <c r="G9" s="1"/>
  <c r="J37" i="4"/>
  <c r="D9" i="5"/>
  <c r="F17" i="25" l="1"/>
  <c r="F41" s="1"/>
  <c r="F17" i="19"/>
  <c r="F17" i="27"/>
  <c r="F41" s="1"/>
  <c r="F8" i="25"/>
  <c r="F32" s="1"/>
  <c r="F8" i="19"/>
  <c r="F8" i="27"/>
  <c r="F32" s="1"/>
  <c r="G18" i="25"/>
  <c r="G42" s="1"/>
  <c r="G9"/>
  <c r="G33" s="1"/>
  <c r="G9" i="19"/>
  <c r="G18"/>
  <c r="G18" i="27"/>
  <c r="G42" s="1"/>
  <c r="G9"/>
  <c r="G33" s="1"/>
  <c r="H18" i="25"/>
  <c r="H42" s="1"/>
  <c r="H9"/>
  <c r="H33" s="1"/>
  <c r="H9" i="19"/>
  <c r="H18"/>
  <c r="H18" i="27"/>
  <c r="H42" s="1"/>
  <c r="H9"/>
  <c r="H33" s="1"/>
  <c r="F19" i="25"/>
  <c r="F10"/>
  <c r="F10" i="19"/>
  <c r="F10" i="27"/>
  <c r="F19" i="19"/>
  <c r="F19" i="27"/>
  <c r="E43"/>
  <c r="E36" s="1"/>
  <c r="E12"/>
  <c r="E23" s="1"/>
  <c r="E34"/>
  <c r="E27" s="1"/>
  <c r="E45" s="1"/>
  <c r="E3"/>
  <c r="E34" i="25"/>
  <c r="E27" s="1"/>
  <c r="E3"/>
  <c r="E43"/>
  <c r="E36" s="1"/>
  <c r="E12"/>
  <c r="E23" s="1"/>
  <c r="D104" i="10"/>
  <c r="E104"/>
  <c r="F104"/>
  <c r="G104"/>
  <c r="H104"/>
  <c r="I104"/>
  <c r="J104"/>
  <c r="K104"/>
  <c r="L104"/>
  <c r="M104"/>
  <c r="N104"/>
  <c r="C104"/>
  <c r="H29" i="25"/>
  <c r="H38"/>
  <c r="H29" i="27"/>
  <c r="H38"/>
  <c r="D28" i="25"/>
  <c r="D28" i="27"/>
  <c r="D37" i="25"/>
  <c r="D37" i="27"/>
  <c r="I38" i="8"/>
  <c r="I43" s="1"/>
  <c r="H43"/>
  <c r="B7" i="15"/>
  <c r="B7" i="14"/>
  <c r="C29" i="15"/>
  <c r="B32"/>
  <c r="C29" i="14"/>
  <c r="B32"/>
  <c r="D19"/>
  <c r="D8" s="1"/>
  <c r="D19" i="15"/>
  <c r="D8" s="1"/>
  <c r="K30" i="4"/>
  <c r="F7" i="5" s="1"/>
  <c r="E7"/>
  <c r="J10" i="10"/>
  <c r="J28"/>
  <c r="I28"/>
  <c r="I10"/>
  <c r="L28"/>
  <c r="L10"/>
  <c r="D28"/>
  <c r="E28"/>
  <c r="G28"/>
  <c r="G10"/>
  <c r="L8"/>
  <c r="L11" s="1"/>
  <c r="L20" s="1"/>
  <c r="L34" s="1"/>
  <c r="L105"/>
  <c r="L26"/>
  <c r="L50"/>
  <c r="D105"/>
  <c r="D26"/>
  <c r="D50"/>
  <c r="E26"/>
  <c r="E11"/>
  <c r="E20" s="1"/>
  <c r="E34" s="1"/>
  <c r="E105"/>
  <c r="E50"/>
  <c r="G105"/>
  <c r="G8"/>
  <c r="G11" s="1"/>
  <c r="G20" s="1"/>
  <c r="G34" s="1"/>
  <c r="G26"/>
  <c r="G50"/>
  <c r="F26"/>
  <c r="F8"/>
  <c r="F50"/>
  <c r="K26"/>
  <c r="K8"/>
  <c r="K50"/>
  <c r="G8" i="6"/>
  <c r="H42" i="19"/>
  <c r="H33"/>
  <c r="F19" i="5"/>
  <c r="O9" i="10"/>
  <c r="E7" i="6"/>
  <c r="F41" i="19"/>
  <c r="F32"/>
  <c r="D18" i="5"/>
  <c r="F10" i="10"/>
  <c r="F28"/>
  <c r="F21" s="1"/>
  <c r="F13" s="1"/>
  <c r="K10"/>
  <c r="K28"/>
  <c r="H10"/>
  <c r="H28"/>
  <c r="M28"/>
  <c r="M10"/>
  <c r="N10"/>
  <c r="O10" s="1"/>
  <c r="N28"/>
  <c r="H8"/>
  <c r="H11" s="1"/>
  <c r="H20" s="1"/>
  <c r="H34" s="1"/>
  <c r="H26"/>
  <c r="H21" s="1"/>
  <c r="H13" s="1"/>
  <c r="H50"/>
  <c r="M8"/>
  <c r="M11" s="1"/>
  <c r="M20" s="1"/>
  <c r="M34" s="1"/>
  <c r="M105"/>
  <c r="M26"/>
  <c r="M50"/>
  <c r="C105"/>
  <c r="C50"/>
  <c r="J105"/>
  <c r="J8"/>
  <c r="J11" s="1"/>
  <c r="J20" s="1"/>
  <c r="J34" s="1"/>
  <c r="J26"/>
  <c r="J21" s="1"/>
  <c r="J13" s="1"/>
  <c r="J50"/>
  <c r="I105"/>
  <c r="I26"/>
  <c r="I21" s="1"/>
  <c r="I13" s="1"/>
  <c r="I8"/>
  <c r="I11" s="1"/>
  <c r="I20" s="1"/>
  <c r="I34" s="1"/>
  <c r="I50"/>
  <c r="N105"/>
  <c r="N106" s="1"/>
  <c r="N26"/>
  <c r="N21" s="1"/>
  <c r="N13" s="1"/>
  <c r="N8"/>
  <c r="N11" s="1"/>
  <c r="N20" s="1"/>
  <c r="N34" s="1"/>
  <c r="N50"/>
  <c r="G33" i="19"/>
  <c r="E19" i="5"/>
  <c r="F8" i="6"/>
  <c r="G42" i="19"/>
  <c r="C18" i="14"/>
  <c r="C18" i="15"/>
  <c r="H8" i="6"/>
  <c r="O27" i="10"/>
  <c r="D18" i="25" s="1"/>
  <c r="E12" i="19"/>
  <c r="E23" s="1"/>
  <c r="E36"/>
  <c r="E3"/>
  <c r="E22" s="1"/>
  <c r="E27"/>
  <c r="E9" i="6"/>
  <c r="F34" i="19"/>
  <c r="F43"/>
  <c r="D20" i="5"/>
  <c r="D10"/>
  <c r="E10" i="6" s="1"/>
  <c r="C10"/>
  <c r="K37" i="4"/>
  <c r="F9" i="5" s="1"/>
  <c r="E9"/>
  <c r="G27"/>
  <c r="G31"/>
  <c r="G26"/>
  <c r="G29"/>
  <c r="G30"/>
  <c r="G28"/>
  <c r="G25"/>
  <c r="G5"/>
  <c r="G7"/>
  <c r="G8"/>
  <c r="G18"/>
  <c r="G6"/>
  <c r="G16"/>
  <c r="G19"/>
  <c r="G14"/>
  <c r="G4"/>
  <c r="G3"/>
  <c r="G15"/>
  <c r="G17"/>
  <c r="G20"/>
  <c r="B20" i="14"/>
  <c r="B9" s="1"/>
  <c r="B20" i="15"/>
  <c r="B21" i="5"/>
  <c r="C20" i="15"/>
  <c r="C20" i="14"/>
  <c r="C9" s="1"/>
  <c r="C21" i="5"/>
  <c r="D9" i="19" l="1"/>
  <c r="D9" i="25"/>
  <c r="G17"/>
  <c r="G41" s="1"/>
  <c r="G17" i="19"/>
  <c r="G17" i="27"/>
  <c r="G41" s="1"/>
  <c r="G8" i="25"/>
  <c r="G32" s="1"/>
  <c r="G8" i="19"/>
  <c r="G8" i="27"/>
  <c r="G32" s="1"/>
  <c r="H17" i="25"/>
  <c r="H41" s="1"/>
  <c r="H17" i="19"/>
  <c r="H17" i="27"/>
  <c r="H41" s="1"/>
  <c r="H8" i="25"/>
  <c r="H32" s="1"/>
  <c r="H8" i="19"/>
  <c r="H8" i="27"/>
  <c r="H32" s="1"/>
  <c r="G19" i="25"/>
  <c r="G10"/>
  <c r="G10" i="19"/>
  <c r="G10" i="27"/>
  <c r="G19" i="19"/>
  <c r="G19" i="27"/>
  <c r="H19" i="25"/>
  <c r="H10"/>
  <c r="H10" i="19"/>
  <c r="H10" i="27"/>
  <c r="H19" i="19"/>
  <c r="H19" i="27"/>
  <c r="D10" i="19"/>
  <c r="D10" i="25"/>
  <c r="E22"/>
  <c r="E21"/>
  <c r="E21" i="27"/>
  <c r="E22"/>
  <c r="E25" s="1"/>
  <c r="F43"/>
  <c r="F36" s="1"/>
  <c r="F12"/>
  <c r="F23" s="1"/>
  <c r="F34"/>
  <c r="F27" s="1"/>
  <c r="F45" s="1"/>
  <c r="F3"/>
  <c r="F34" i="25"/>
  <c r="F27" s="1"/>
  <c r="F3"/>
  <c r="F43"/>
  <c r="F36" s="1"/>
  <c r="F12"/>
  <c r="F23" s="1"/>
  <c r="E45"/>
  <c r="E47" i="27"/>
  <c r="D18" i="19"/>
  <c r="D42" s="1"/>
  <c r="D18" i="27"/>
  <c r="D42" s="1"/>
  <c r="D42" i="25"/>
  <c r="K105" i="10"/>
  <c r="D34" i="19"/>
  <c r="D10" i="27"/>
  <c r="D34" s="1"/>
  <c r="D34" i="25"/>
  <c r="D33" i="19"/>
  <c r="D9" i="27"/>
  <c r="D33" s="1"/>
  <c r="D33" i="25"/>
  <c r="E19" i="15"/>
  <c r="E8" s="1"/>
  <c r="E19" i="14"/>
  <c r="E8" s="1"/>
  <c r="C106" i="10"/>
  <c r="C111" s="1"/>
  <c r="C31" s="1"/>
  <c r="F109"/>
  <c r="E108"/>
  <c r="G110"/>
  <c r="D107"/>
  <c r="D18" i="15"/>
  <c r="D18" i="14"/>
  <c r="G106" i="10"/>
  <c r="K110"/>
  <c r="J109"/>
  <c r="H107"/>
  <c r="I108"/>
  <c r="G108"/>
  <c r="F107"/>
  <c r="H109"/>
  <c r="E106"/>
  <c r="I110"/>
  <c r="O26"/>
  <c r="D17" i="25" s="1"/>
  <c r="D21" i="10"/>
  <c r="D13" s="1"/>
  <c r="G7" i="6"/>
  <c r="H41" i="19"/>
  <c r="H32"/>
  <c r="F18" i="5"/>
  <c r="C7" i="14"/>
  <c r="D29"/>
  <c r="C32"/>
  <c r="C7" i="15"/>
  <c r="C32"/>
  <c r="D29"/>
  <c r="M21" i="10"/>
  <c r="M13" s="1"/>
  <c r="H105"/>
  <c r="K11"/>
  <c r="K20" s="1"/>
  <c r="K34" s="1"/>
  <c r="K21"/>
  <c r="K13" s="1"/>
  <c r="F11"/>
  <c r="F20" s="1"/>
  <c r="F34" s="1"/>
  <c r="F105"/>
  <c r="G21"/>
  <c r="G13" s="1"/>
  <c r="E21"/>
  <c r="E13" s="1"/>
  <c r="D11"/>
  <c r="D20" s="1"/>
  <c r="D34" s="1"/>
  <c r="L21"/>
  <c r="L13" s="1"/>
  <c r="O28"/>
  <c r="D19" i="25" s="1"/>
  <c r="L109" i="10"/>
  <c r="I106"/>
  <c r="M110"/>
  <c r="K108"/>
  <c r="J107"/>
  <c r="N110"/>
  <c r="M109"/>
  <c r="K107"/>
  <c r="L108"/>
  <c r="J106"/>
  <c r="O8"/>
  <c r="C11"/>
  <c r="M106"/>
  <c r="N107"/>
  <c r="F19" i="15"/>
  <c r="F8" s="1"/>
  <c r="F19" i="14"/>
  <c r="F8" s="1"/>
  <c r="M108" i="10"/>
  <c r="N109"/>
  <c r="L107"/>
  <c r="K106"/>
  <c r="H110"/>
  <c r="G109"/>
  <c r="E107"/>
  <c r="F108"/>
  <c r="D106"/>
  <c r="D111" s="1"/>
  <c r="D31" s="1"/>
  <c r="D30" s="1"/>
  <c r="N108"/>
  <c r="M107"/>
  <c r="L106"/>
  <c r="F7" i="6"/>
  <c r="G41" i="19"/>
  <c r="E18" i="5"/>
  <c r="G32" i="19"/>
  <c r="E21"/>
  <c r="E25" s="1"/>
  <c r="E45"/>
  <c r="E47" s="1"/>
  <c r="F12"/>
  <c r="F23" s="1"/>
  <c r="F36"/>
  <c r="F3"/>
  <c r="F22" s="1"/>
  <c r="F27"/>
  <c r="C9" i="15"/>
  <c r="C10" s="1"/>
  <c r="C21"/>
  <c r="B9"/>
  <c r="B21"/>
  <c r="F9" i="6"/>
  <c r="G43" i="19"/>
  <c r="G34"/>
  <c r="E20" i="5"/>
  <c r="E10"/>
  <c r="G9" i="6"/>
  <c r="H34" i="19"/>
  <c r="H43"/>
  <c r="F20" i="5"/>
  <c r="F10"/>
  <c r="D20" i="15"/>
  <c r="D20" i="14"/>
  <c r="D9" s="1"/>
  <c r="D21" i="5"/>
  <c r="F22" i="25" l="1"/>
  <c r="F21"/>
  <c r="F22" i="27"/>
  <c r="F21"/>
  <c r="E25" i="25"/>
  <c r="E47"/>
  <c r="H43" i="27"/>
  <c r="H36" s="1"/>
  <c r="H12"/>
  <c r="H23" s="1"/>
  <c r="H34"/>
  <c r="H27" s="1"/>
  <c r="H45" s="1"/>
  <c r="H3"/>
  <c r="H34" i="25"/>
  <c r="H27" s="1"/>
  <c r="H3"/>
  <c r="H43"/>
  <c r="H36" s="1"/>
  <c r="H12"/>
  <c r="H23" s="1"/>
  <c r="G43" i="27"/>
  <c r="G36" s="1"/>
  <c r="G12"/>
  <c r="G23" s="1"/>
  <c r="G34"/>
  <c r="G27" s="1"/>
  <c r="G45" s="1"/>
  <c r="G3"/>
  <c r="G34" i="25"/>
  <c r="G27" s="1"/>
  <c r="G3"/>
  <c r="G43"/>
  <c r="G36" s="1"/>
  <c r="G12"/>
  <c r="G23" s="1"/>
  <c r="F45"/>
  <c r="D8" i="19"/>
  <c r="D8" i="25"/>
  <c r="D19" i="19"/>
  <c r="D43" s="1"/>
  <c r="D19" i="27"/>
  <c r="D43" s="1"/>
  <c r="D43" i="25"/>
  <c r="D17" i="19"/>
  <c r="D17" i="27"/>
  <c r="D8"/>
  <c r="N111" i="10"/>
  <c r="N31" s="1"/>
  <c r="N30" s="1"/>
  <c r="N36" s="1"/>
  <c r="E111"/>
  <c r="E31" s="1"/>
  <c r="E30" s="1"/>
  <c r="E36" s="1"/>
  <c r="D36"/>
  <c r="D7" i="15"/>
  <c r="O11" i="10"/>
  <c r="C20"/>
  <c r="C34" s="1"/>
  <c r="D41" i="19"/>
  <c r="D12"/>
  <c r="D23" s="1"/>
  <c r="E18" i="14"/>
  <c r="E18" i="15"/>
  <c r="D32" i="19"/>
  <c r="D27" s="1"/>
  <c r="D3"/>
  <c r="J110" i="10"/>
  <c r="G107"/>
  <c r="H108"/>
  <c r="F106"/>
  <c r="F111" s="1"/>
  <c r="F31" s="1"/>
  <c r="F30" s="1"/>
  <c r="F36" s="1"/>
  <c r="I109"/>
  <c r="J108"/>
  <c r="J111" s="1"/>
  <c r="J31" s="1"/>
  <c r="J30" s="1"/>
  <c r="J36" s="1"/>
  <c r="H106"/>
  <c r="H111" s="1"/>
  <c r="H31" s="1"/>
  <c r="H30" s="1"/>
  <c r="H36" s="1"/>
  <c r="L110"/>
  <c r="L111" s="1"/>
  <c r="L31" s="1"/>
  <c r="L30" s="1"/>
  <c r="L36" s="1"/>
  <c r="K109"/>
  <c r="I107"/>
  <c r="D32" i="15"/>
  <c r="E29"/>
  <c r="E29" i="14"/>
  <c r="D32"/>
  <c r="F18"/>
  <c r="F18" i="15"/>
  <c r="C30" i="10"/>
  <c r="K111"/>
  <c r="K31" s="1"/>
  <c r="K30" s="1"/>
  <c r="K36" s="1"/>
  <c r="I111"/>
  <c r="I31" s="1"/>
  <c r="I30" s="1"/>
  <c r="I36" s="1"/>
  <c r="G111"/>
  <c r="G31" s="1"/>
  <c r="G30" s="1"/>
  <c r="G36" s="1"/>
  <c r="G10" i="6"/>
  <c r="H7"/>
  <c r="M111" i="10"/>
  <c r="M31" s="1"/>
  <c r="M30" s="1"/>
  <c r="M36" s="1"/>
  <c r="O21"/>
  <c r="D7" i="14"/>
  <c r="F21" i="19"/>
  <c r="F25" s="1"/>
  <c r="G3"/>
  <c r="G22" s="1"/>
  <c r="G27"/>
  <c r="H3"/>
  <c r="H22" s="1"/>
  <c r="H27"/>
  <c r="H12"/>
  <c r="H23" s="1"/>
  <c r="H36"/>
  <c r="G12"/>
  <c r="G23" s="1"/>
  <c r="G36"/>
  <c r="F45"/>
  <c r="D9" i="15"/>
  <c r="D10" s="1"/>
  <c r="D21"/>
  <c r="E20" i="14"/>
  <c r="E9" s="1"/>
  <c r="E20" i="15"/>
  <c r="E21" i="5"/>
  <c r="B10" i="15"/>
  <c r="G9" s="1"/>
  <c r="F20"/>
  <c r="F20" i="14"/>
  <c r="F9" s="1"/>
  <c r="F21" i="5"/>
  <c r="F10" i="6"/>
  <c r="H10" s="1"/>
  <c r="H9"/>
  <c r="G22" i="25" l="1"/>
  <c r="G21"/>
  <c r="G21" i="27"/>
  <c r="G22"/>
  <c r="G25" s="1"/>
  <c r="H22" i="25"/>
  <c r="H21"/>
  <c r="H22" i="27"/>
  <c r="H21"/>
  <c r="F47"/>
  <c r="F25"/>
  <c r="F25" i="25"/>
  <c r="F47"/>
  <c r="G45"/>
  <c r="G47" i="27"/>
  <c r="G52" s="1"/>
  <c r="G53" s="1"/>
  <c r="G54" s="1"/>
  <c r="H45" i="25"/>
  <c r="D41"/>
  <c r="D36" s="1"/>
  <c r="D12"/>
  <c r="D23" s="1"/>
  <c r="D41" i="27"/>
  <c r="D36" s="1"/>
  <c r="D12"/>
  <c r="D23" s="1"/>
  <c r="D36" i="19"/>
  <c r="D45" s="1"/>
  <c r="D32" i="25"/>
  <c r="D27" s="1"/>
  <c r="D45" s="1"/>
  <c r="D3"/>
  <c r="D32" i="27"/>
  <c r="D27" s="1"/>
  <c r="D45" s="1"/>
  <c r="D3"/>
  <c r="F29" i="15"/>
  <c r="F32" s="1"/>
  <c r="E32"/>
  <c r="D22" i="19"/>
  <c r="D21"/>
  <c r="O20" i="10"/>
  <c r="C36"/>
  <c r="F29" i="14"/>
  <c r="F32" s="1"/>
  <c r="E32"/>
  <c r="O31" i="10"/>
  <c r="F7" i="15"/>
  <c r="E7"/>
  <c r="O30" i="10"/>
  <c r="F7" i="14"/>
  <c r="E7"/>
  <c r="G21" i="19"/>
  <c r="G25" s="1"/>
  <c r="H21"/>
  <c r="H25" s="1"/>
  <c r="I9" i="6"/>
  <c r="L11" i="9" s="1"/>
  <c r="L15" s="1"/>
  <c r="F47" i="19"/>
  <c r="E29" i="17"/>
  <c r="D29"/>
  <c r="H45" i="19"/>
  <c r="G45"/>
  <c r="F9" i="15"/>
  <c r="F21"/>
  <c r="E9"/>
  <c r="E10" s="1"/>
  <c r="E21"/>
  <c r="I4" i="6"/>
  <c r="F3" i="9" s="1"/>
  <c r="F7" s="1"/>
  <c r="I8" i="6"/>
  <c r="I11" i="9" s="1"/>
  <c r="I15" s="1"/>
  <c r="I5" i="6"/>
  <c r="I3" i="9" s="1"/>
  <c r="I7" s="1"/>
  <c r="I7" i="6"/>
  <c r="F11" i="9" s="1"/>
  <c r="F15" s="1"/>
  <c r="I6" i="6"/>
  <c r="C11" i="9" s="1"/>
  <c r="C15" s="1"/>
  <c r="I3" i="6"/>
  <c r="C3" i="9" s="1"/>
  <c r="C7" s="1"/>
  <c r="G3" i="15"/>
  <c r="G31"/>
  <c r="G27"/>
  <c r="G30"/>
  <c r="G26"/>
  <c r="G25"/>
  <c r="G28"/>
  <c r="G16"/>
  <c r="G18"/>
  <c r="G29"/>
  <c r="G14"/>
  <c r="G19"/>
  <c r="G17"/>
  <c r="G7"/>
  <c r="G8"/>
  <c r="G15"/>
  <c r="G5"/>
  <c r="G6"/>
  <c r="G4"/>
  <c r="G20"/>
  <c r="G55" i="27" l="1"/>
  <c r="G56"/>
  <c r="G64" s="1"/>
  <c r="H47"/>
  <c r="H52" s="1"/>
  <c r="H53" s="1"/>
  <c r="H54" s="1"/>
  <c r="H25"/>
  <c r="H47" i="25"/>
  <c r="H52" s="1"/>
  <c r="H53" s="1"/>
  <c r="H54" s="1"/>
  <c r="H25"/>
  <c r="G25"/>
  <c r="G47"/>
  <c r="G52" s="1"/>
  <c r="G53" s="1"/>
  <c r="G54" s="1"/>
  <c r="G55" s="1"/>
  <c r="G56" s="1"/>
  <c r="G64" s="1"/>
  <c r="D22" i="27"/>
  <c r="D21"/>
  <c r="D22" i="25"/>
  <c r="D21"/>
  <c r="H47" i="19"/>
  <c r="F10" i="15"/>
  <c r="C37" i="10"/>
  <c r="O36"/>
  <c r="D25" i="19"/>
  <c r="D47"/>
  <c r="G47"/>
  <c r="E30" i="17"/>
  <c r="C30"/>
  <c r="D30" s="1"/>
  <c r="H55" i="25" l="1"/>
  <c r="H56"/>
  <c r="H55" i="27"/>
  <c r="H56"/>
  <c r="D47" i="25"/>
  <c r="D25"/>
  <c r="D47" i="27"/>
  <c r="D25"/>
  <c r="D37" i="10"/>
  <c r="E37" s="1"/>
  <c r="F37" s="1"/>
  <c r="G37" s="1"/>
  <c r="H37" s="1"/>
  <c r="I37" s="1"/>
  <c r="J37" s="1"/>
  <c r="K37" s="1"/>
  <c r="L37" s="1"/>
  <c r="M37" s="1"/>
  <c r="N37" s="1"/>
  <c r="E31" i="17"/>
  <c r="C31"/>
  <c r="D31" s="1"/>
  <c r="C39" i="10" l="1"/>
  <c r="O37"/>
  <c r="C32" i="17"/>
  <c r="E32"/>
  <c r="B10" i="14"/>
  <c r="G7" s="1"/>
  <c r="B21"/>
  <c r="B2" i="17" l="1"/>
  <c r="B4" s="1"/>
  <c r="H62" i="27"/>
  <c r="H64" s="1"/>
  <c r="C62"/>
  <c r="H62" i="25"/>
  <c r="H64" s="1"/>
  <c r="C62"/>
  <c r="H62" i="19"/>
  <c r="C62"/>
  <c r="C7" i="17"/>
  <c r="C6"/>
  <c r="D32"/>
  <c r="G50" i="19"/>
  <c r="G52" s="1"/>
  <c r="G53" s="1"/>
  <c r="G54" s="1"/>
  <c r="C33" i="17"/>
  <c r="E33"/>
  <c r="G9" i="14"/>
  <c r="G20"/>
  <c r="G16"/>
  <c r="G25"/>
  <c r="G4"/>
  <c r="G19"/>
  <c r="G26"/>
  <c r="G6"/>
  <c r="G14"/>
  <c r="G28"/>
  <c r="G29"/>
  <c r="G27"/>
  <c r="G31"/>
  <c r="G18"/>
  <c r="G3"/>
  <c r="G17"/>
  <c r="G30"/>
  <c r="G8"/>
  <c r="G5"/>
  <c r="G15"/>
  <c r="E21"/>
  <c r="D21"/>
  <c r="E10"/>
  <c r="F21"/>
  <c r="D10"/>
  <c r="C10"/>
  <c r="C21"/>
  <c r="F10"/>
  <c r="G55" i="19" l="1"/>
  <c r="G56" s="1"/>
  <c r="G64" s="1"/>
  <c r="E6" i="20" s="1"/>
  <c r="C60" i="27"/>
  <c r="C64" s="1"/>
  <c r="C60" i="25"/>
  <c r="C64" s="1"/>
  <c r="E11" i="17"/>
  <c r="C60" i="19"/>
  <c r="C64" s="1"/>
  <c r="D33" i="17"/>
  <c r="H50" i="19"/>
  <c r="H52" s="1"/>
  <c r="H53" s="1"/>
  <c r="H54" s="1"/>
  <c r="H55" l="1"/>
  <c r="H56" s="1"/>
  <c r="H64" s="1"/>
  <c r="E7" i="20" s="1"/>
  <c r="B14" i="17"/>
  <c r="C12"/>
  <c r="B13"/>
  <c r="B12"/>
  <c r="D61" i="27" l="1"/>
  <c r="D61" i="25"/>
  <c r="E61" i="27"/>
  <c r="E61" i="25"/>
  <c r="D50" i="19"/>
  <c r="D52" s="1"/>
  <c r="D53" s="1"/>
  <c r="D54" s="1"/>
  <c r="D50" i="27"/>
  <c r="D52" s="1"/>
  <c r="D53" s="1"/>
  <c r="D54" s="1"/>
  <c r="D50" i="25"/>
  <c r="D52" s="1"/>
  <c r="D53" s="1"/>
  <c r="D54" s="1"/>
  <c r="F61" i="19"/>
  <c r="F61" i="27"/>
  <c r="F61" i="25"/>
  <c r="D12" i="17"/>
  <c r="D61" i="19"/>
  <c r="E61"/>
  <c r="E12" i="17"/>
  <c r="D55" i="25" l="1"/>
  <c r="D56"/>
  <c r="D64" s="1"/>
  <c r="D55" i="27"/>
  <c r="D56"/>
  <c r="D64" s="1"/>
  <c r="D55" i="19"/>
  <c r="D56" s="1"/>
  <c r="D64" s="1"/>
  <c r="E3" i="20" s="1"/>
  <c r="G3" s="1"/>
  <c r="D4" s="1"/>
  <c r="F4" s="1"/>
  <c r="C13" i="17"/>
  <c r="E13"/>
  <c r="E50" i="27" l="1"/>
  <c r="E52" s="1"/>
  <c r="E53" s="1"/>
  <c r="E54" s="1"/>
  <c r="E50" i="25"/>
  <c r="E52" s="1"/>
  <c r="E53" s="1"/>
  <c r="E54" s="1"/>
  <c r="E14" i="17"/>
  <c r="C14"/>
  <c r="E50" i="19"/>
  <c r="E52" s="1"/>
  <c r="E53" s="1"/>
  <c r="E54" s="1"/>
  <c r="D13" i="17"/>
  <c r="E55" i="19" l="1"/>
  <c r="E56" s="1"/>
  <c r="E64" s="1"/>
  <c r="E4" i="20" s="1"/>
  <c r="G4" s="1"/>
  <c r="D5" s="1"/>
  <c r="F5" s="1"/>
  <c r="F50" i="27"/>
  <c r="F52" s="1"/>
  <c r="F53" s="1"/>
  <c r="F54" s="1"/>
  <c r="F50" i="25"/>
  <c r="F52" s="1"/>
  <c r="F53" s="1"/>
  <c r="F54" s="1"/>
  <c r="E55"/>
  <c r="E56"/>
  <c r="E64" s="1"/>
  <c r="E55" i="27"/>
  <c r="E56"/>
  <c r="E64" s="1"/>
  <c r="F50" i="19"/>
  <c r="F52" s="1"/>
  <c r="F53" s="1"/>
  <c r="F54" s="1"/>
  <c r="D14" i="17"/>
  <c r="F55" i="19" l="1"/>
  <c r="F56" s="1"/>
  <c r="F64" s="1"/>
  <c r="F55" i="25"/>
  <c r="F56"/>
  <c r="F64" s="1"/>
  <c r="C65" s="1"/>
  <c r="F55" i="27"/>
  <c r="F56"/>
  <c r="F64" s="1"/>
  <c r="C65" s="1"/>
  <c r="D6" i="24" s="1"/>
  <c r="E6" s="1"/>
  <c r="E5" i="20" l="1"/>
  <c r="G5" s="1"/>
  <c r="D6" s="1"/>
  <c r="F6" s="1"/>
  <c r="G6" s="1"/>
  <c r="D7" s="1"/>
  <c r="F7" s="1"/>
  <c r="G7" s="1"/>
  <c r="C66" i="19"/>
  <c r="C65"/>
  <c r="D5" i="24" s="1"/>
  <c r="C66" i="25"/>
  <c r="C66" i="27"/>
  <c r="E5" i="24"/>
  <c r="D4" l="1"/>
  <c r="E4" l="1"/>
  <c r="E7" s="1"/>
  <c r="F4"/>
  <c r="G4" s="1"/>
  <c r="H4" s="1"/>
  <c r="F5" l="1"/>
  <c r="G5" s="1"/>
  <c r="H5" s="1"/>
  <c r="F6"/>
  <c r="G6" s="1"/>
  <c r="H6" s="1"/>
  <c r="H7"/>
  <c r="H8" s="1"/>
</calcChain>
</file>

<file path=xl/comments1.xml><?xml version="1.0" encoding="utf-8"?>
<comments xmlns="http://schemas.openxmlformats.org/spreadsheetml/2006/main">
  <authors>
    <author>Usuario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Este precio es para cualquier volumen de ventas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<sst xmlns="http://schemas.openxmlformats.org/spreadsheetml/2006/main" count="1476" uniqueCount="547">
  <si>
    <t>Institución</t>
  </si>
  <si>
    <t>Año</t>
  </si>
  <si>
    <t>Fiscal</t>
  </si>
  <si>
    <t>Particular</t>
  </si>
  <si>
    <t>Total</t>
  </si>
  <si>
    <t>Año 1</t>
  </si>
  <si>
    <t>Año 2</t>
  </si>
  <si>
    <t>Año 3</t>
  </si>
  <si>
    <t>Año 4</t>
  </si>
  <si>
    <t>Año 5</t>
  </si>
  <si>
    <t>*Se estima un crecimiento del 2,4% en la poblacion de estudiantes, ya que según estudios realizados la escolaridad es del 100%</t>
  </si>
  <si>
    <t>Demanda</t>
  </si>
  <si>
    <t>Cobertura</t>
  </si>
  <si>
    <t>Secundaria</t>
  </si>
  <si>
    <t>Universitaria</t>
  </si>
  <si>
    <t>Privada</t>
  </si>
  <si>
    <t>*Se estima un crecimiento del 2,4% para los estudiantes de colegios fiscales o privados, mientras que para los universitarios de un 1,2%</t>
  </si>
  <si>
    <t>VIAJERA</t>
  </si>
  <si>
    <t>*Se estima una tasa de crecimiento del 0,0787</t>
  </si>
  <si>
    <t>VACACIONAL</t>
  </si>
  <si>
    <t>**Se cubrirá un 2% de la demanda</t>
  </si>
  <si>
    <t xml:space="preserve">Se sabe según el ultimo censo economico (archivo guayaquil pdf) del INEC de el 2009 que en guayaquil existe un total de 2059504 personas ocupadas, de los cuales 56,2% fueron hombres y el 43,8% mujeres. </t>
  </si>
  <si>
    <t xml:space="preserve">según el boletin de precios al consumidor, productor y mercado laboral de octubre del 2011 el 40,3% de las personas ocupadas tienen trabajos formales que sera el segmento de mercado atender. </t>
  </si>
  <si>
    <t>PEA GYE</t>
  </si>
  <si>
    <t>TASA DESEMPLEO</t>
  </si>
  <si>
    <t>POBLACION EMPLEADA</t>
  </si>
  <si>
    <t>POBLACION DESEMPLEADA</t>
  </si>
  <si>
    <t>Del segmento resultante de:</t>
  </si>
  <si>
    <t>PROPORCION</t>
  </si>
  <si>
    <t>POB. EMPLEADA</t>
  </si>
  <si>
    <t>POB. DESEMPLEADA</t>
  </si>
  <si>
    <t>HOMBRES</t>
  </si>
  <si>
    <t>MUJERES</t>
  </si>
  <si>
    <t>TOTAL</t>
  </si>
  <si>
    <t>PARA CALCULAR LA PROPORCION DE HOMBRES Y MUJERES PARA ESTIMAR LA PEA, SE TOMARON LOS DATOS DEL ARCHIVO GUAYAQUIL.PDF  Y LUEGO SE MULTIPLICO TODO</t>
  </si>
  <si>
    <t>hombres</t>
  </si>
  <si>
    <t>linea ejecutiva</t>
  </si>
  <si>
    <t>mujeres</t>
  </si>
  <si>
    <t>linea femenina</t>
  </si>
  <si>
    <t xml:space="preserve">De esto se separara a la cantidad de hombres y mujeres para la tambien estimacion de la demanda de la linea femina, </t>
  </si>
  <si>
    <t>Estimando que se atienda un 2% de la demanda de ambos sexos se tendria que para cada linea la demanda anual sera:</t>
  </si>
  <si>
    <t>anual</t>
  </si>
  <si>
    <t>mensual</t>
  </si>
  <si>
    <t>diario</t>
  </si>
  <si>
    <t>EJECUTIVA</t>
  </si>
  <si>
    <t>FEMENINA</t>
  </si>
  <si>
    <t>LINEA EJECUTIVA</t>
  </si>
  <si>
    <t>PEA</t>
  </si>
  <si>
    <t>POBLACION CON TRABAJO FORMAL</t>
  </si>
  <si>
    <t>DEMANDA</t>
  </si>
  <si>
    <t>Hombres</t>
  </si>
  <si>
    <t>Linea ejecutiva</t>
  </si>
  <si>
    <t>Mujeres</t>
  </si>
  <si>
    <t>Linea femenina</t>
  </si>
  <si>
    <t>LINEA DE ACCESORIOS</t>
  </si>
  <si>
    <t>DEMANDA (0,5%)</t>
  </si>
  <si>
    <t>Linea escolar</t>
  </si>
  <si>
    <t>Linea juvenil</t>
  </si>
  <si>
    <t>Linea viajera</t>
  </si>
  <si>
    <t>Linea de accesorios (hombres)</t>
  </si>
  <si>
    <t>Linea de accesorios (mujeres)</t>
  </si>
  <si>
    <t>%</t>
  </si>
  <si>
    <t>Opción Tecnológica</t>
  </si>
  <si>
    <t>Capacidad de Importción</t>
  </si>
  <si>
    <t>Costo Fijo Anual</t>
  </si>
  <si>
    <t>Costo Variable</t>
  </si>
  <si>
    <t>Inversión</t>
  </si>
  <si>
    <t>A</t>
  </si>
  <si>
    <t>B</t>
  </si>
  <si>
    <t>C</t>
  </si>
  <si>
    <t>Opción A</t>
  </si>
  <si>
    <t>Opción B</t>
  </si>
  <si>
    <t>Opción C</t>
  </si>
  <si>
    <t>Línea</t>
  </si>
  <si>
    <t>Costo Unitario</t>
  </si>
  <si>
    <t>Línea Escolar</t>
  </si>
  <si>
    <t>Línea Viajera</t>
  </si>
  <si>
    <t>Línea Ejecutiva</t>
  </si>
  <si>
    <t>Línea Juvenil</t>
  </si>
  <si>
    <t>Línea Accesorios</t>
  </si>
  <si>
    <t>Costo Promedio</t>
  </si>
  <si>
    <t>Producción</t>
  </si>
  <si>
    <t>Ingresos</t>
  </si>
  <si>
    <t>Costos Fijos</t>
  </si>
  <si>
    <t>Costos Variables</t>
  </si>
  <si>
    <t>Precio Unitario</t>
  </si>
  <si>
    <t>Costo Total</t>
  </si>
  <si>
    <t>Flujo Anual</t>
  </si>
  <si>
    <t>VAN</t>
  </si>
  <si>
    <t>Precio Promedio</t>
  </si>
  <si>
    <t>línea viajera</t>
  </si>
  <si>
    <t>Linea vacacional</t>
  </si>
  <si>
    <t>Linea de accesorios</t>
  </si>
  <si>
    <t>Foi</t>
  </si>
  <si>
    <t>Costos Anuales</t>
  </si>
  <si>
    <t>Localización</t>
  </si>
  <si>
    <t>Alquiler</t>
  </si>
  <si>
    <t>Servicios Basicos</t>
  </si>
  <si>
    <t>Otros</t>
  </si>
  <si>
    <t>Total (Ci)</t>
  </si>
  <si>
    <t>Inverso (1/Ci)</t>
  </si>
  <si>
    <t>FOi</t>
  </si>
  <si>
    <t>Urdesa</t>
  </si>
  <si>
    <t>9 de octubre</t>
  </si>
  <si>
    <t>Bahía</t>
  </si>
  <si>
    <t>Fsi</t>
  </si>
  <si>
    <t>Comparaciones Pareadas</t>
  </si>
  <si>
    <t>Suma de preferencias</t>
  </si>
  <si>
    <t>Índice Wj</t>
  </si>
  <si>
    <t>Factor (j)</t>
  </si>
  <si>
    <t>Espacio Físico</t>
  </si>
  <si>
    <t>Seguridad e Imagen</t>
  </si>
  <si>
    <t>Accesibilidad</t>
  </si>
  <si>
    <t>k</t>
  </si>
  <si>
    <t>1 - k</t>
  </si>
  <si>
    <t>FSi</t>
  </si>
  <si>
    <t>MPLi</t>
  </si>
  <si>
    <t>9 de Octubre</t>
  </si>
  <si>
    <t>Factor</t>
  </si>
  <si>
    <t>Ri1</t>
  </si>
  <si>
    <t>Ri2</t>
  </si>
  <si>
    <t>Ri3</t>
  </si>
  <si>
    <t>Puntaje Relativo Rij</t>
  </si>
  <si>
    <t>SUELDOS Y SALARIOS ANUAL</t>
  </si>
  <si>
    <t>Remuneraciones</t>
  </si>
  <si>
    <t>Beneficios sociales</t>
  </si>
  <si>
    <t>Total Anual</t>
  </si>
  <si>
    <t>Salario neto</t>
  </si>
  <si>
    <t>Aportación Patronal IESS (11.15%)</t>
  </si>
  <si>
    <t>Total de salarios anual</t>
  </si>
  <si>
    <t>13° Sueldo</t>
  </si>
  <si>
    <t>14° Sueldo</t>
  </si>
  <si>
    <t>Gerente Propietario</t>
  </si>
  <si>
    <t>Jefe Administrativo/Financiero</t>
  </si>
  <si>
    <t>Encargado de Compras/Importaciones</t>
  </si>
  <si>
    <t>Contador</t>
  </si>
  <si>
    <t>Asistente contable y financiera</t>
  </si>
  <si>
    <t>Jefe de Ventas y Despachos</t>
  </si>
  <si>
    <t>Encargado de Bodega y Despachos</t>
  </si>
  <si>
    <t>Vendedores al por menor (3)</t>
  </si>
  <si>
    <t>Asistente de ventas y despachos</t>
  </si>
  <si>
    <t>Sueldos y Salarios</t>
  </si>
  <si>
    <t>Mensual</t>
  </si>
  <si>
    <t>Anual</t>
  </si>
  <si>
    <t>Arriendo</t>
  </si>
  <si>
    <t>Teléfono</t>
  </si>
  <si>
    <t>Electricidad</t>
  </si>
  <si>
    <t>Agua</t>
  </si>
  <si>
    <t>Internet</t>
  </si>
  <si>
    <t>Suministros de Oficina</t>
  </si>
  <si>
    <t>Resumen de costos</t>
  </si>
  <si>
    <t>Contenedores</t>
  </si>
  <si>
    <t>Línea Vacacional</t>
  </si>
  <si>
    <t>Precio</t>
  </si>
  <si>
    <t>Cv</t>
  </si>
  <si>
    <t>Q*</t>
  </si>
  <si>
    <t>Costos Fijos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</si>
  <si>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</si>
  <si>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</si>
  <si>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</si>
  <si>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</si>
  <si>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</si>
  <si>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</si>
  <si>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</si>
  <si>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</si>
  <si>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</si>
  <si>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</si>
  <si>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</si>
  <si>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</si>
  <si>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</si>
  <si>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POR MENOR</t>
  </si>
  <si>
    <t>EGRESOS</t>
  </si>
  <si>
    <t xml:space="preserve">   Costos Fijos</t>
  </si>
  <si>
    <t xml:space="preserve">   Costos Variables</t>
  </si>
  <si>
    <t>SALDO MENSUAL</t>
  </si>
  <si>
    <t>SALDO ACUMULADO</t>
  </si>
  <si>
    <t>Peso demanda</t>
  </si>
  <si>
    <t xml:space="preserve">Linea de accesorios </t>
  </si>
  <si>
    <t>COSTOS FIJOS</t>
  </si>
  <si>
    <t>COSTOS VARIABLES</t>
  </si>
  <si>
    <t>INGRESOS POR MAYOR</t>
  </si>
  <si>
    <t>TOTAL INGRESOS</t>
  </si>
  <si>
    <t>Costos de mercaderia</t>
  </si>
  <si>
    <t>Precios por menor</t>
  </si>
  <si>
    <t>Precios por mayor</t>
  </si>
  <si>
    <t>COMPRAS INTERNAS</t>
  </si>
  <si>
    <t>IMPORTACIONES</t>
  </si>
  <si>
    <t>Cantidad</t>
  </si>
  <si>
    <t>Valor Unitario</t>
  </si>
  <si>
    <t>CONTECON S.A</t>
  </si>
  <si>
    <t>Recepcion/ Despacho de contenedores</t>
  </si>
  <si>
    <t>Porteo de Contenedores</t>
  </si>
  <si>
    <t>Operacion aforo / Inspeccion Contenedores</t>
  </si>
  <si>
    <t>Pesaje Contenedores</t>
  </si>
  <si>
    <t>Almacenaje contenedores</t>
  </si>
  <si>
    <t>Provision y colocacion de sellos</t>
  </si>
  <si>
    <t>FOB USD</t>
  </si>
  <si>
    <t>LIQUIDACION CONTENEDOR</t>
  </si>
  <si>
    <t>Flete</t>
  </si>
  <si>
    <t>Seguro (2% del FOB + FLETE)</t>
  </si>
  <si>
    <t>CIF (1+2+3)</t>
  </si>
  <si>
    <t>Ad-Valorem (20% del CIF)</t>
  </si>
  <si>
    <r>
      <t xml:space="preserve">FODINFA </t>
    </r>
    <r>
      <rPr>
        <sz val="8"/>
        <color theme="1"/>
        <rFont val="Calibri"/>
        <family val="2"/>
        <scheme val="minor"/>
      </rPr>
      <t>(Fondo de Desarrollo para la Infancia) (Impuesto que administra el INFA = 0,5% del CIF)</t>
    </r>
  </si>
  <si>
    <t>Subtotal</t>
  </si>
  <si>
    <t>IVA (12%)</t>
  </si>
  <si>
    <t>Emision de Bill of Landing</t>
  </si>
  <si>
    <t>GASTOS ADMINISTRATIVOS</t>
  </si>
  <si>
    <t>Control y supervision por Contenedor</t>
  </si>
  <si>
    <t>Gastos Administrativos</t>
  </si>
  <si>
    <t>Visto Bueno</t>
  </si>
  <si>
    <t>Emision Carta de Salida</t>
  </si>
  <si>
    <t>Servicio de Procesamiento</t>
  </si>
  <si>
    <t>Servicios Complementarios</t>
  </si>
  <si>
    <t>IVA</t>
  </si>
  <si>
    <t>OTROS COSTOS</t>
  </si>
  <si>
    <t>Impuesto a salida de divisas 5%</t>
  </si>
  <si>
    <t>Costo de transferencias inter-bancaria</t>
  </si>
  <si>
    <t>TOTAL COSTOS</t>
  </si>
  <si>
    <t>GASTOS ADUANA</t>
  </si>
  <si>
    <t>(-) COSTO MERCADERIA</t>
  </si>
  <si>
    <t>COSTO IMPORTACION</t>
  </si>
  <si>
    <t xml:space="preserve">PESO % UNID </t>
  </si>
  <si>
    <t xml:space="preserve"># UNID </t>
  </si>
  <si>
    <t>COSTO DE IMPORTACION X LINEA</t>
  </si>
  <si>
    <t>COSTO IMPORTACION X UNID</t>
  </si>
  <si>
    <t>COST. MERCADERIA UNID</t>
  </si>
  <si>
    <t xml:space="preserve">TOTAL COSTO </t>
  </si>
  <si>
    <t>LINEA VIAJERA</t>
  </si>
  <si>
    <t>LINEA ESCOLAR</t>
  </si>
  <si>
    <t>LINEA JUVENIL</t>
  </si>
  <si>
    <t>LINEA VACACIONAL</t>
  </si>
  <si>
    <t>LINEA FEMENINA</t>
  </si>
  <si>
    <t>LINEA ACCESORIOS</t>
  </si>
  <si>
    <t>LONGITUD INTERIOR</t>
  </si>
  <si>
    <t>12.024 m</t>
  </si>
  <si>
    <t>ANCHO INTERIOR</t>
  </si>
  <si>
    <t>2.350 m</t>
  </si>
  <si>
    <t>ALTRA INTERIOR</t>
  </si>
  <si>
    <t>2.697 m</t>
  </si>
  <si>
    <t>ANCHO PUERTA</t>
  </si>
  <si>
    <t>2.340 m</t>
  </si>
  <si>
    <t>ALTURA PUERTA</t>
  </si>
  <si>
    <t>2.597 m</t>
  </si>
  <si>
    <t>24 mochilas</t>
  </si>
  <si>
    <t>CAPACIDAD</t>
  </si>
  <si>
    <t>76 Cu.m</t>
  </si>
  <si>
    <t>PESO DE TARA</t>
  </si>
  <si>
    <t>4020 Kgs</t>
  </si>
  <si>
    <t>PESO MAX. DE CARGA</t>
  </si>
  <si>
    <t>26460 K</t>
  </si>
  <si>
    <t>1 pie = 0,3048 metros</t>
  </si>
  <si>
    <t>% OCUPACION CONTENEDOR</t>
  </si>
  <si>
    <t>METROS CUBICOS</t>
  </si>
  <si>
    <t>Promedio Unitario M3 POR CARTON</t>
  </si>
  <si>
    <t>CARTONES</t>
  </si>
  <si>
    <t>UNID POR CARTON</t>
  </si>
  <si>
    <t>TOTAL UNID</t>
  </si>
  <si>
    <t>PRECIO PROMEDIO</t>
  </si>
  <si>
    <t>2 CONTENEDORES COMPLETOS EN ENERO Y JUNIO</t>
  </si>
  <si>
    <t>3 CONTENEDORES SOLO DE MALETAS EN ABRIL, AGOSTO Y DICIEMBRE</t>
  </si>
  <si>
    <t>flete</t>
  </si>
  <si>
    <t>seguro (2% del FOB + FLETE)</t>
  </si>
  <si>
    <t>FODINFA (Fondo de Desarrollo para la Infancia) (Impuesto que administra el INFA = 0,5% del CIF)</t>
  </si>
  <si>
    <t>1 mes</t>
  </si>
  <si>
    <t>Contado</t>
  </si>
  <si>
    <t>2 meses</t>
  </si>
  <si>
    <t>3 meses</t>
  </si>
  <si>
    <t>por menor</t>
  </si>
  <si>
    <t>por mayor</t>
  </si>
  <si>
    <t>4 meses</t>
  </si>
  <si>
    <t>Contado 30%</t>
  </si>
  <si>
    <t>1 mes  30%</t>
  </si>
  <si>
    <t>2 meses 20%</t>
  </si>
  <si>
    <t>3 meses 20%</t>
  </si>
  <si>
    <t>VENTAS</t>
  </si>
  <si>
    <t>VENTAS POR MAYOR</t>
  </si>
  <si>
    <t>Ventas</t>
  </si>
  <si>
    <t>Compras</t>
  </si>
  <si>
    <t>POR MENOR</t>
  </si>
  <si>
    <t>costo</t>
  </si>
  <si>
    <t>Capital de trabajo</t>
  </si>
  <si>
    <t>Inversion inicial</t>
  </si>
  <si>
    <t>INVERSION INICIAL</t>
  </si>
  <si>
    <t>CAPITAL PROPIO</t>
  </si>
  <si>
    <t>PRESTAMO</t>
  </si>
  <si>
    <t>INTERES</t>
  </si>
  <si>
    <t>ANO 1</t>
  </si>
  <si>
    <t>ANO 2</t>
  </si>
  <si>
    <t>ANO 3</t>
  </si>
  <si>
    <t>ANO 4</t>
  </si>
  <si>
    <t>ANO 5</t>
  </si>
  <si>
    <t>CAPITAL</t>
  </si>
  <si>
    <t>PAGOS</t>
  </si>
  <si>
    <t>SALDO</t>
  </si>
  <si>
    <t>(-) Costos Variables</t>
  </si>
  <si>
    <t>(-) Costos Fijos</t>
  </si>
  <si>
    <t>(-) Gastos por Intereses</t>
  </si>
  <si>
    <t>(-) Depreciación</t>
  </si>
  <si>
    <t>(=) Utilidad Antes Participación a Trabajadores</t>
  </si>
  <si>
    <t>(-) 15% Participación a Trabajadores</t>
  </si>
  <si>
    <t>(=) Utilidad Antes de Impuestos</t>
  </si>
  <si>
    <t>(=) Utilidad Neta</t>
  </si>
  <si>
    <t>(+) Depreciaición</t>
  </si>
  <si>
    <t>(-) Inversión Inicial</t>
  </si>
  <si>
    <t>(-) Reemplazo</t>
  </si>
  <si>
    <t>(+) Préstamo</t>
  </si>
  <si>
    <t>(-) Amortización del Capital</t>
  </si>
  <si>
    <t>(-) Capital de Trabajo (+)</t>
  </si>
  <si>
    <t>(+) Valor de Desecho</t>
  </si>
  <si>
    <t>(=) Flujo de Caja</t>
  </si>
  <si>
    <t>TIR</t>
  </si>
  <si>
    <t>VENTAS POR MENOR</t>
  </si>
  <si>
    <t>Activo</t>
  </si>
  <si>
    <t>Valor de Compra</t>
  </si>
  <si>
    <t>Vida Contable</t>
  </si>
  <si>
    <t>Depreciacion Anual</t>
  </si>
  <si>
    <t>Años depreciandose</t>
  </si>
  <si>
    <t>Depreciacion Acumulada</t>
  </si>
  <si>
    <t>Valor en libros</t>
  </si>
  <si>
    <t>Vehiculo</t>
  </si>
  <si>
    <t>Muebles</t>
  </si>
  <si>
    <t>E.O</t>
  </si>
  <si>
    <t>E.C</t>
  </si>
  <si>
    <t>Valor de Desecho =</t>
  </si>
  <si>
    <t>Depreciacion Acumulada =</t>
  </si>
  <si>
    <r>
      <t>E.C</t>
    </r>
    <r>
      <rPr>
        <b/>
        <sz val="11"/>
        <color theme="1"/>
        <rFont val="Calibri"/>
        <family val="2"/>
      </rPr>
      <t>ₒ</t>
    </r>
  </si>
  <si>
    <t>Depreciacion</t>
  </si>
  <si>
    <t xml:space="preserve">TOTAL VENTAS </t>
  </si>
  <si>
    <t>TOTAL COSTO DE VENTA</t>
  </si>
  <si>
    <t>COSTO DE VENTA POR MENOR</t>
  </si>
  <si>
    <t>COSTO DE VENTA POR MAYOR</t>
  </si>
  <si>
    <t>UTILIDAD BRUTA</t>
  </si>
  <si>
    <t>Linea escolar                   (70%)</t>
  </si>
  <si>
    <t>Linea juvenil                    (60%)</t>
  </si>
  <si>
    <t>Linea vacacional             (65%)</t>
  </si>
  <si>
    <t>Linea viajera                    (65%)</t>
  </si>
  <si>
    <t>Linea ejecutiva               (50%)</t>
  </si>
  <si>
    <t xml:space="preserve">Linea femenina              (65%) </t>
  </si>
  <si>
    <t xml:space="preserve">Linea de accesorios       (60%) </t>
  </si>
  <si>
    <t>Linea escolar                    (80%)</t>
  </si>
  <si>
    <t>Linea juvenil                     (70%)</t>
  </si>
  <si>
    <t>Linea vacacional              (75%)</t>
  </si>
  <si>
    <t>Linea viajera                      (75%)</t>
  </si>
  <si>
    <t>Linea ejecutiva                 (70%)</t>
  </si>
  <si>
    <t>Linea femenina                (75%)</t>
  </si>
  <si>
    <t xml:space="preserve">Linea de accesorios         (70%) </t>
  </si>
  <si>
    <t>CAMIONETA</t>
  </si>
  <si>
    <t>Capital Propio</t>
  </si>
  <si>
    <t xml:space="preserve">Financiado </t>
  </si>
  <si>
    <t>Recuperacion Inversion</t>
  </si>
  <si>
    <t>Rentabilidad Exigida</t>
  </si>
  <si>
    <t>Flujo de Caja</t>
  </si>
  <si>
    <t xml:space="preserve">Saldo de Inversion </t>
  </si>
  <si>
    <t>Periodo (anos)</t>
  </si>
  <si>
    <t>(-) Comision Ventas por Menor (2%)</t>
  </si>
  <si>
    <t>(-) Comision Ventas por Mayor (2% de ventas)</t>
  </si>
  <si>
    <t>Linea Vacacional</t>
  </si>
  <si>
    <t>Compras Internas</t>
  </si>
  <si>
    <t>Compras Importacion</t>
  </si>
  <si>
    <t>Vendedor al por mayor (2)</t>
  </si>
  <si>
    <t>Marketing</t>
  </si>
  <si>
    <t>Alquiler inicial</t>
  </si>
  <si>
    <t>Adecuaciones generales</t>
  </si>
  <si>
    <t>Equipos de oficina</t>
  </si>
  <si>
    <t>Equipo de computacion</t>
  </si>
  <si>
    <t>Constitucion de la empresa</t>
  </si>
  <si>
    <t>Muebles y enseres</t>
  </si>
  <si>
    <t>Mercaderia</t>
  </si>
  <si>
    <t>Sistema de seguridad</t>
  </si>
  <si>
    <t>VALOR DE DESECHO</t>
  </si>
  <si>
    <t>Marca Registrada y Permisos</t>
  </si>
  <si>
    <t>Rf</t>
  </si>
  <si>
    <t>http://finance.yahoo.com/bonds</t>
  </si>
  <si>
    <t>Porcentaje de interés que pagan los bonos del tesoro de Estados Unidos, a 5 años, emitidos por la FED .</t>
  </si>
  <si>
    <t>http://pages.stern.nyu.edu/~adamodar/New_Home_Page/datafile/totalbeta.html</t>
  </si>
  <si>
    <t>Rm</t>
  </si>
  <si>
    <t>Rp</t>
  </si>
  <si>
    <t>http://www.bce.fin.ec/resumen_ticker.php?ticker_value=riesgo_pais</t>
  </si>
  <si>
    <t>Riesgo país tomado de la página web del BCE</t>
  </si>
  <si>
    <t>Re</t>
  </si>
  <si>
    <t>Beta tomado de la industria de vestir y accesorios (industria representativa del concepto de negocio del pryecto)</t>
  </si>
  <si>
    <t>Valor CAPM</t>
  </si>
  <si>
    <t>Valor investigado</t>
  </si>
  <si>
    <t>Nueva</t>
  </si>
  <si>
    <t>Expertos</t>
  </si>
  <si>
    <t>VAN (21,66%)</t>
  </si>
  <si>
    <t>Escenario</t>
  </si>
  <si>
    <t>Probabilidad</t>
  </si>
  <si>
    <t>Valor Actual de los Flujos Netos Proyectados</t>
  </si>
  <si>
    <t>Desviacion</t>
  </si>
  <si>
    <t>Desviacion Cuadrada</t>
  </si>
  <si>
    <t>Producto</t>
  </si>
  <si>
    <t>Pesimista</t>
  </si>
  <si>
    <t>Normal</t>
  </si>
  <si>
    <t>Optimista</t>
  </si>
  <si>
    <t>SUMA</t>
  </si>
  <si>
    <t>(-) Impuesto a la Renta</t>
  </si>
  <si>
    <t>**Se cubrirá un 1% de la demanda</t>
  </si>
  <si>
    <t>http://money.cnn.com/data/markets/sandp/?iid=C_MT_Index</t>
  </si>
  <si>
    <t>Rentabilidad del mercado norteamericano</t>
  </si>
  <si>
    <t>*Se estima cubrir un 4% del mercado</t>
  </si>
  <si>
    <t>Se cubre 2,5% del mercado</t>
  </si>
  <si>
    <t>Hombres       (Línea ejecutiva)</t>
  </si>
  <si>
    <t>Mujeres         (Línea femenina)</t>
  </si>
  <si>
    <t>ESCUELA SUPERIOR POLITÉCNICA DEL LITORAL</t>
  </si>
  <si>
    <t>FACULTAD DE ECONOMÍA Y NEGOCIOS</t>
  </si>
  <si>
    <t>Sexo:</t>
  </si>
  <si>
    <t>Masculino</t>
  </si>
  <si>
    <t>Femenino</t>
  </si>
  <si>
    <t>Rango de Edad:</t>
  </si>
  <si>
    <t>12 - 17 años</t>
  </si>
  <si>
    <t>18 - 24 años</t>
  </si>
  <si>
    <t>25 - 40 años</t>
  </si>
  <si>
    <t>Mayor de 40 años</t>
  </si>
  <si>
    <t>PREGUNTAS</t>
  </si>
  <si>
    <t>Ordene de 1 al 4 (Donde 1 es mas importante y 4 menos importante) ¿Qué aspectos considera usted al elegir una tienda para comprar cualquier producto?</t>
  </si>
  <si>
    <t>Comodidad</t>
  </si>
  <si>
    <t>Seguridad</t>
  </si>
  <si>
    <t>Calidad en Servicio</t>
  </si>
  <si>
    <t>al cliente</t>
  </si>
  <si>
    <t>Marque con una X. Al momento de comprar una maleta o cualquier producto derivado de maleteria normalmente usted acude a:</t>
  </si>
  <si>
    <t>Centro comercial</t>
  </si>
  <si>
    <t>Tienda formal fuera</t>
  </si>
  <si>
    <t xml:space="preserve">Ambulantes / </t>
  </si>
  <si>
    <t>de C. Comerciales</t>
  </si>
  <si>
    <t>Informales</t>
  </si>
  <si>
    <t>Marque con una X. ¿Por qué razon usted compra una maleta o cualquier producto derivado de maleteria?</t>
  </si>
  <si>
    <t>Por necesidad</t>
  </si>
  <si>
    <t>Por preferencia</t>
  </si>
  <si>
    <t>Por estar a la moda</t>
  </si>
  <si>
    <t>Para obsequiar</t>
  </si>
  <si>
    <t>En general, ¿usted realiza compras de maletas o productos relacionados para su uso o para otros?</t>
  </si>
  <si>
    <t>Usuario</t>
  </si>
  <si>
    <t>Comprador</t>
  </si>
  <si>
    <t>Marque con una X. (Puede seleccionar mas de una opcion. ¿Qué producto relacionado con maleteria dispuesto a adquirir?</t>
  </si>
  <si>
    <t>Línea escolar</t>
  </si>
  <si>
    <t>Linea Viajera</t>
  </si>
  <si>
    <t>Linea Femenina</t>
  </si>
  <si>
    <t>Linea Ejecutiva</t>
  </si>
  <si>
    <t>Linea de Accesorios</t>
  </si>
  <si>
    <t>Ordene de 1 al 7 (Donde 1 es mas importante y 7 menos importante) ¿Qué aspectos considera usted al comprar un producto de los antes mecionados?</t>
  </si>
  <si>
    <t>Color</t>
  </si>
  <si>
    <t xml:space="preserve">Tamano </t>
  </si>
  <si>
    <t>Diseno</t>
  </si>
  <si>
    <t>Marca</t>
  </si>
  <si>
    <t>Calidad</t>
  </si>
  <si>
    <t>Material</t>
  </si>
  <si>
    <t>Marque con una X. ¿Cuantas veces al ano compra usted los siguientes productos?</t>
  </si>
  <si>
    <t>Mochilas</t>
  </si>
  <si>
    <t>Maletas</t>
  </si>
  <si>
    <t>Bolsos</t>
  </si>
  <si>
    <t>Carteras</t>
  </si>
  <si>
    <t>Ninguno</t>
  </si>
  <si>
    <t>Entre 1 y 3</t>
  </si>
  <si>
    <t>Entre 4 7 6</t>
  </si>
  <si>
    <t>Más de 6</t>
  </si>
  <si>
    <t>Portafolios</t>
  </si>
  <si>
    <t>Loncheras</t>
  </si>
  <si>
    <t>Accesorios</t>
  </si>
  <si>
    <t>Marque con una X. ¿En qué barrio de la ciudad preferiría acudir para adquirir los productos antes mencionados?</t>
  </si>
  <si>
    <t>Kennedy</t>
  </si>
  <si>
    <t>Alborada</t>
  </si>
  <si>
    <t>Vía a Samborondón</t>
  </si>
  <si>
    <t>Via Samborondon</t>
  </si>
  <si>
    <t>Av. 9 de Octubre</t>
  </si>
  <si>
    <t>Sector Bahía</t>
  </si>
  <si>
    <t>Sector Bahia</t>
  </si>
  <si>
    <t>MUCHAS GRACIAS!!!</t>
  </si>
  <si>
    <t>1.-</t>
  </si>
  <si>
    <t>SEXO</t>
  </si>
  <si>
    <t>MASCULINO</t>
  </si>
  <si>
    <t>FEMENINO</t>
  </si>
  <si>
    <t>2.-</t>
  </si>
  <si>
    <t>RANGO DE EDAD</t>
  </si>
  <si>
    <t>RNGED</t>
  </si>
  <si>
    <t>SI</t>
  </si>
  <si>
    <t>NO</t>
  </si>
  <si>
    <t>12-17 años</t>
  </si>
  <si>
    <t>DOCDIESI</t>
  </si>
  <si>
    <t>DIECIOVEICUA</t>
  </si>
  <si>
    <t>VEINCICUARE</t>
  </si>
  <si>
    <t>MASCUARE</t>
  </si>
  <si>
    <t>ASPECOMPRO</t>
  </si>
  <si>
    <t>COMOD</t>
  </si>
  <si>
    <t>SEGURID</t>
  </si>
  <si>
    <t>ACCESIB</t>
  </si>
  <si>
    <t>Calidad en servicio al cliente</t>
  </si>
  <si>
    <t>CALISEVCLIE</t>
  </si>
  <si>
    <t>CENCOME</t>
  </si>
  <si>
    <t>Tienda formal fuera de C.C.</t>
  </si>
  <si>
    <t>TIENFORM</t>
  </si>
  <si>
    <t>Ambulantes informales</t>
  </si>
  <si>
    <t>AMBULINFOR</t>
  </si>
  <si>
    <t>NECESI</t>
  </si>
  <si>
    <t>PREFER</t>
  </si>
  <si>
    <t>ESTAMOD</t>
  </si>
  <si>
    <t>OBSEQUI</t>
  </si>
  <si>
    <t>COMPUSOOTRO</t>
  </si>
  <si>
    <t>LINESCO</t>
  </si>
  <si>
    <t>LINVACA</t>
  </si>
  <si>
    <t>LINVIAJE</t>
  </si>
  <si>
    <t>LINFEME</t>
  </si>
  <si>
    <t>LINEJEC</t>
  </si>
  <si>
    <t>LINACCE</t>
  </si>
  <si>
    <t>COLOR</t>
  </si>
  <si>
    <t>TAMAÑO</t>
  </si>
  <si>
    <t>DISEÑO</t>
  </si>
  <si>
    <t>MARCA</t>
  </si>
  <si>
    <t>PRECIO</t>
  </si>
  <si>
    <t>CALIDAD</t>
  </si>
  <si>
    <t>MATERIAL</t>
  </si>
  <si>
    <t>MOCHILA</t>
  </si>
  <si>
    <t>MALETAS</t>
  </si>
  <si>
    <t>BOLSOS</t>
  </si>
  <si>
    <t>CARTERAS</t>
  </si>
  <si>
    <t>PORTAFOLIOS</t>
  </si>
  <si>
    <t>LONCHERAS</t>
  </si>
  <si>
    <t>ACCESORIOS</t>
  </si>
  <si>
    <t>KENEDY</t>
  </si>
  <si>
    <t>ALBORADA</t>
  </si>
  <si>
    <t>VIASAMBO</t>
  </si>
  <si>
    <t>AV9OCT</t>
  </si>
  <si>
    <t>URDESA</t>
  </si>
  <si>
    <t>SECBAHIA</t>
  </si>
  <si>
    <t>No.</t>
  </si>
  <si>
    <t>PREFERENCIA</t>
  </si>
  <si>
    <t>RAZON</t>
  </si>
  <si>
    <t>LINJUV</t>
  </si>
  <si>
    <t>KENNEDY</t>
  </si>
  <si>
    <t>12 A 17</t>
  </si>
  <si>
    <t>18 A 24</t>
  </si>
  <si>
    <t>25 A 40</t>
  </si>
  <si>
    <t>MAS DE 40</t>
  </si>
  <si>
    <t>ASPECTOS A ELEGIR EN UNA TIENDA</t>
  </si>
  <si>
    <t>COMODIDAD</t>
  </si>
  <si>
    <t>SEGURIDAD</t>
  </si>
  <si>
    <t>ACCESIBILIDAD</t>
  </si>
  <si>
    <t>CALIDAD S.C.</t>
  </si>
  <si>
    <t>UBICACIÓN</t>
  </si>
  <si>
    <t>CENTRO COMERCIAL</t>
  </si>
  <si>
    <t>TIENDA FORMAL</t>
  </si>
  <si>
    <t>AMBULANTES INFORMALES</t>
  </si>
  <si>
    <t>NECESIDAD</t>
  </si>
  <si>
    <t>MODA</t>
  </si>
  <si>
    <t>OBSEQUIO</t>
  </si>
  <si>
    <t>USUARIOS</t>
  </si>
  <si>
    <t>REVENDEDORES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</si>
</sst>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0.0"/>
    <numFmt numFmtId="166" formatCode="#,##0_ ;\-#,##0\ "/>
    <numFmt numFmtId="167" formatCode="0.0000"/>
    <numFmt numFmtId="168" formatCode="0_);\(0\)"/>
    <numFmt numFmtId="169" formatCode="&quot;$&quot;#,##0.00;[Red]\-&quot;$&quot;#,##0.00"/>
    <numFmt numFmtId="170" formatCode="0.0000000"/>
    <numFmt numFmtId="171" formatCode="0.000%"/>
    <numFmt numFmtId="172" formatCode="0.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entury"/>
      <family val="1"/>
    </font>
    <font>
      <b/>
      <sz val="10"/>
      <color theme="1"/>
      <name val="Century"/>
      <family val="1"/>
    </font>
    <font>
      <sz val="10"/>
      <color theme="1"/>
      <name val="Century"/>
      <family val="1"/>
    </font>
    <font>
      <b/>
      <sz val="8"/>
      <color theme="1"/>
      <name val="Century"/>
      <family val="1"/>
    </font>
    <font>
      <sz val="8"/>
      <color theme="1"/>
      <name val="Century"/>
      <family val="1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.1"/>
      <color rgb="FF20201F"/>
      <name val="Arial"/>
      <family val="2"/>
    </font>
    <font>
      <sz val="9"/>
      <color rgb="FF000000"/>
      <name val="Arial"/>
      <family val="2"/>
    </font>
    <font>
      <b/>
      <sz val="14"/>
      <color rgb="FF222222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0.5"/>
      <color theme="1"/>
      <name val="Arial Narrow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.5"/>
      <color rgb="FF000000"/>
      <name val="Arial Narrow"/>
      <family val="2"/>
    </font>
    <font>
      <sz val="10.5"/>
      <color rgb="FF000000"/>
      <name val="Arial Narrow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800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AFD1EC"/>
      </left>
      <right style="thin">
        <color rgb="FFAFD1EC"/>
      </right>
      <top style="medium">
        <color rgb="FFAFD1EC"/>
      </top>
      <bottom/>
      <diagonal/>
    </border>
    <border>
      <left style="thin">
        <color rgb="FFAFD1EC"/>
      </left>
      <right style="thin">
        <color rgb="FFAFD1EC"/>
      </right>
      <top style="medium">
        <color rgb="FFAFD1EC"/>
      </top>
      <bottom style="thin">
        <color rgb="FFAFD1EC"/>
      </bottom>
      <diagonal/>
    </border>
    <border>
      <left style="thin">
        <color rgb="FFAFD1EC"/>
      </left>
      <right style="medium">
        <color rgb="FFAFD1EC"/>
      </right>
      <top style="medium">
        <color rgb="FFAFD1EC"/>
      </top>
      <bottom style="thin">
        <color rgb="FFAFD1EC"/>
      </bottom>
      <diagonal/>
    </border>
    <border>
      <left style="medium">
        <color rgb="FFAFD1EC"/>
      </left>
      <right style="thin">
        <color rgb="FFAFD1EC"/>
      </right>
      <top/>
      <bottom/>
      <diagonal/>
    </border>
    <border>
      <left style="thin">
        <color rgb="FFAFD1EC"/>
      </left>
      <right style="thin">
        <color rgb="FFAFD1EC"/>
      </right>
      <top style="thin">
        <color rgb="FFAFD1EC"/>
      </top>
      <bottom style="thin">
        <color rgb="FFAFD1EC"/>
      </bottom>
      <diagonal/>
    </border>
    <border>
      <left style="thin">
        <color rgb="FFAFD1EC"/>
      </left>
      <right style="medium">
        <color rgb="FFAFD1EC"/>
      </right>
      <top style="thin">
        <color rgb="FFAFD1EC"/>
      </top>
      <bottom style="thin">
        <color rgb="FFAFD1EC"/>
      </bottom>
      <diagonal/>
    </border>
    <border>
      <left style="medium">
        <color rgb="FFAFD1EC"/>
      </left>
      <right style="thin">
        <color rgb="FFAFD1EC"/>
      </right>
      <top/>
      <bottom style="medium">
        <color rgb="FFAFD1EC"/>
      </bottom>
      <diagonal/>
    </border>
    <border>
      <left style="thin">
        <color rgb="FFAFD1EC"/>
      </left>
      <right style="thin">
        <color rgb="FFAFD1EC"/>
      </right>
      <top style="thin">
        <color rgb="FFAFD1EC"/>
      </top>
      <bottom style="medium">
        <color rgb="FFAFD1EC"/>
      </bottom>
      <diagonal/>
    </border>
    <border>
      <left style="thin">
        <color rgb="FFAFD1EC"/>
      </left>
      <right style="medium">
        <color rgb="FFAFD1EC"/>
      </right>
      <top style="thin">
        <color rgb="FFAFD1EC"/>
      </top>
      <bottom style="medium">
        <color rgb="FFAFD1E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949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/>
    <xf numFmtId="0" fontId="2" fillId="2" borderId="15" xfId="0" applyFont="1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9" xfId="0" applyFill="1" applyBorder="1"/>
    <xf numFmtId="165" fontId="0" fillId="2" borderId="17" xfId="0" applyNumberFormat="1" applyFill="1" applyBorder="1"/>
    <xf numFmtId="165" fontId="0" fillId="2" borderId="43" xfId="0" applyNumberFormat="1" applyFill="1" applyBorder="1"/>
    <xf numFmtId="165" fontId="0" fillId="2" borderId="21" xfId="0" applyNumberFormat="1" applyFill="1" applyBorder="1"/>
    <xf numFmtId="165" fontId="0" fillId="2" borderId="44" xfId="0" applyNumberFormat="1" applyFill="1" applyBorder="1"/>
    <xf numFmtId="165" fontId="0" fillId="2" borderId="24" xfId="0" applyNumberFormat="1" applyFill="1" applyBorder="1"/>
    <xf numFmtId="165" fontId="0" fillId="2" borderId="45" xfId="0" applyNumberFormat="1" applyFill="1" applyBorder="1"/>
    <xf numFmtId="1" fontId="0" fillId="0" borderId="0" xfId="0" applyNumberFormat="1"/>
    <xf numFmtId="1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0" fontId="0" fillId="0" borderId="0" xfId="0" applyAlignment="1">
      <alignment vertical="center" wrapText="1"/>
    </xf>
    <xf numFmtId="0" fontId="2" fillId="2" borderId="39" xfId="0" applyFont="1" applyFill="1" applyBorder="1"/>
    <xf numFmtId="1" fontId="0" fillId="2" borderId="17" xfId="0" applyNumberFormat="1" applyFill="1" applyBorder="1"/>
    <xf numFmtId="0" fontId="2" fillId="2" borderId="23" xfId="0" applyFont="1" applyFill="1" applyBorder="1"/>
    <xf numFmtId="1" fontId="0" fillId="2" borderId="24" xfId="0" applyNumberFormat="1" applyFill="1" applyBorder="1"/>
    <xf numFmtId="1" fontId="0" fillId="2" borderId="21" xfId="0" applyNumberFormat="1" applyFill="1" applyBorder="1"/>
    <xf numFmtId="1" fontId="0" fillId="2" borderId="44" xfId="0" applyNumberFormat="1" applyFill="1" applyBorder="1"/>
    <xf numFmtId="1" fontId="0" fillId="2" borderId="45" xfId="0" applyNumberFormat="1" applyFill="1" applyBorder="1"/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0" fillId="0" borderId="20" xfId="0" applyBorder="1"/>
    <xf numFmtId="1" fontId="0" fillId="0" borderId="17" xfId="0" applyNumberFormat="1" applyBorder="1"/>
    <xf numFmtId="1" fontId="0" fillId="0" borderId="43" xfId="0" applyNumberFormat="1" applyBorder="1"/>
    <xf numFmtId="1" fontId="0" fillId="0" borderId="21" xfId="0" applyNumberFormat="1" applyBorder="1"/>
    <xf numFmtId="1" fontId="0" fillId="0" borderId="44" xfId="0" applyNumberFormat="1" applyBorder="1"/>
    <xf numFmtId="0" fontId="0" fillId="0" borderId="4" xfId="0" applyBorder="1"/>
    <xf numFmtId="1" fontId="0" fillId="0" borderId="5" xfId="0" applyNumberFormat="1" applyBorder="1"/>
    <xf numFmtId="1" fontId="0" fillId="0" borderId="6" xfId="0" applyNumberFormat="1" applyBorder="1"/>
    <xf numFmtId="0" fontId="2" fillId="0" borderId="26" xfId="0" applyFont="1" applyBorder="1"/>
    <xf numFmtId="1" fontId="0" fillId="0" borderId="51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0" fontId="0" fillId="0" borderId="39" xfId="0" applyBorder="1"/>
    <xf numFmtId="0" fontId="2" fillId="0" borderId="53" xfId="0" applyFont="1" applyBorder="1"/>
    <xf numFmtId="9" fontId="0" fillId="0" borderId="44" xfId="2" applyFont="1" applyBorder="1"/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/>
    <xf numFmtId="1" fontId="0" fillId="2" borderId="43" xfId="0" applyNumberFormat="1" applyFill="1" applyBorder="1"/>
    <xf numFmtId="10" fontId="0" fillId="2" borderId="19" xfId="2" applyNumberFormat="1" applyFont="1" applyFill="1" applyBorder="1"/>
    <xf numFmtId="0" fontId="0" fillId="2" borderId="4" xfId="0" applyFill="1" applyBorder="1"/>
    <xf numFmtId="1" fontId="0" fillId="2" borderId="5" xfId="0" applyNumberFormat="1" applyFill="1" applyBorder="1"/>
    <xf numFmtId="1" fontId="0" fillId="2" borderId="6" xfId="0" applyNumberFormat="1" applyFill="1" applyBorder="1"/>
    <xf numFmtId="10" fontId="0" fillId="2" borderId="56" xfId="2" applyNumberFormat="1" applyFont="1" applyFill="1" applyBorder="1"/>
    <xf numFmtId="0" fontId="2" fillId="2" borderId="26" xfId="0" applyFont="1" applyFill="1" applyBorder="1"/>
    <xf numFmtId="1" fontId="2" fillId="2" borderId="51" xfId="0" applyNumberFormat="1" applyFont="1" applyFill="1" applyBorder="1"/>
    <xf numFmtId="1" fontId="2" fillId="2" borderId="11" xfId="0" applyNumberFormat="1" applyFont="1" applyFill="1" applyBorder="1"/>
    <xf numFmtId="168" fontId="2" fillId="2" borderId="57" xfId="0" applyNumberFormat="1" applyFont="1" applyFill="1" applyBorder="1"/>
    <xf numFmtId="1" fontId="2" fillId="2" borderId="0" xfId="0" applyNumberFormat="1" applyFont="1" applyFill="1" applyBorder="1"/>
    <xf numFmtId="0" fontId="2" fillId="0" borderId="5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0" fillId="0" borderId="44" xfId="0" applyBorder="1"/>
    <xf numFmtId="0" fontId="2" fillId="0" borderId="23" xfId="0" applyFont="1" applyBorder="1" applyAlignment="1">
      <alignment horizontal="center"/>
    </xf>
    <xf numFmtId="0" fontId="0" fillId="0" borderId="24" xfId="0" applyBorder="1"/>
    <xf numFmtId="0" fontId="0" fillId="0" borderId="45" xfId="0" applyBorder="1"/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/>
    <xf numFmtId="0" fontId="0" fillId="0" borderId="28" xfId="0" applyBorder="1"/>
    <xf numFmtId="0" fontId="2" fillId="0" borderId="21" xfId="0" applyFont="1" applyBorder="1"/>
    <xf numFmtId="169" fontId="0" fillId="0" borderId="21" xfId="0" applyNumberFormat="1" applyBorder="1"/>
    <xf numFmtId="0" fontId="2" fillId="2" borderId="59" xfId="0" applyFont="1" applyFill="1" applyBorder="1" applyAlignment="1">
      <alignment horizontal="center"/>
    </xf>
    <xf numFmtId="1" fontId="2" fillId="0" borderId="19" xfId="0" applyNumberFormat="1" applyFont="1" applyBorder="1"/>
    <xf numFmtId="1" fontId="2" fillId="0" borderId="60" xfId="0" applyNumberFormat="1" applyFont="1" applyBorder="1"/>
    <xf numFmtId="2" fontId="0" fillId="0" borderId="0" xfId="0" applyNumberFormat="1"/>
    <xf numFmtId="1" fontId="2" fillId="0" borderId="55" xfId="0" applyNumberFormat="1" applyFont="1" applyBorder="1"/>
    <xf numFmtId="1" fontId="0" fillId="0" borderId="35" xfId="0" applyNumberFormat="1" applyBorder="1"/>
    <xf numFmtId="1" fontId="2" fillId="0" borderId="26" xfId="0" applyNumberFormat="1" applyFont="1" applyBorder="1"/>
    <xf numFmtId="0" fontId="2" fillId="0" borderId="0" xfId="0" applyFont="1" applyBorder="1"/>
    <xf numFmtId="1" fontId="0" fillId="0" borderId="0" xfId="0" applyNumberFormat="1" applyBorder="1"/>
    <xf numFmtId="1" fontId="0" fillId="0" borderId="61" xfId="0" applyNumberFormat="1" applyBorder="1"/>
    <xf numFmtId="1" fontId="0" fillId="0" borderId="62" xfId="0" applyNumberFormat="1" applyBorder="1"/>
    <xf numFmtId="1" fontId="0" fillId="0" borderId="32" xfId="0" applyNumberFormat="1" applyBorder="1"/>
    <xf numFmtId="1" fontId="0" fillId="0" borderId="63" xfId="0" applyNumberFormat="1" applyBorder="1"/>
    <xf numFmtId="0" fontId="2" fillId="0" borderId="40" xfId="0" applyFont="1" applyBorder="1"/>
    <xf numFmtId="0" fontId="6" fillId="3" borderId="0" xfId="0" applyFont="1" applyFill="1"/>
    <xf numFmtId="0" fontId="6" fillId="0" borderId="0" xfId="0" applyFont="1"/>
    <xf numFmtId="0" fontId="7" fillId="0" borderId="5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0" xfId="0" applyFont="1" applyBorder="1"/>
    <xf numFmtId="0" fontId="8" fillId="0" borderId="21" xfId="0" applyFont="1" applyBorder="1"/>
    <xf numFmtId="170" fontId="8" fillId="0" borderId="44" xfId="0" applyNumberFormat="1" applyFont="1" applyBorder="1"/>
    <xf numFmtId="170" fontId="8" fillId="0" borderId="67" xfId="0" applyNumberFormat="1" applyFont="1" applyBorder="1"/>
    <xf numFmtId="167" fontId="8" fillId="0" borderId="67" xfId="0" applyNumberFormat="1" applyFont="1" applyBorder="1"/>
    <xf numFmtId="0" fontId="8" fillId="0" borderId="23" xfId="0" applyFont="1" applyBorder="1"/>
    <xf numFmtId="0" fontId="8" fillId="0" borderId="24" xfId="0" applyFont="1" applyBorder="1"/>
    <xf numFmtId="170" fontId="8" fillId="0" borderId="45" xfId="0" applyNumberFormat="1" applyFont="1" applyBorder="1"/>
    <xf numFmtId="170" fontId="8" fillId="0" borderId="68" xfId="0" applyNumberFormat="1" applyFont="1" applyBorder="1"/>
    <xf numFmtId="167" fontId="8" fillId="0" borderId="68" xfId="0" applyNumberFormat="1" applyFont="1" applyBorder="1"/>
    <xf numFmtId="170" fontId="8" fillId="0" borderId="12" xfId="0" applyNumberFormat="1" applyFont="1" applyBorder="1"/>
    <xf numFmtId="170" fontId="8" fillId="0" borderId="0" xfId="0" applyNumberFormat="1" applyFont="1" applyBorder="1"/>
    <xf numFmtId="170" fontId="8" fillId="0" borderId="0" xfId="0" applyNumberFormat="1" applyFont="1"/>
    <xf numFmtId="0" fontId="8" fillId="0" borderId="0" xfId="0" applyFont="1"/>
    <xf numFmtId="0" fontId="7" fillId="0" borderId="21" xfId="0" applyFont="1" applyBorder="1"/>
    <xf numFmtId="0" fontId="7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167" fontId="8" fillId="3" borderId="21" xfId="0" applyNumberFormat="1" applyFont="1" applyFill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67" fontId="8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8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 vertical="center"/>
    </xf>
    <xf numFmtId="167" fontId="8" fillId="0" borderId="21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1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2" fontId="8" fillId="0" borderId="0" xfId="0" applyNumberFormat="1" applyFont="1"/>
    <xf numFmtId="0" fontId="11" fillId="2" borderId="70" xfId="0" applyFont="1" applyFill="1" applyBorder="1" applyAlignment="1">
      <alignment horizontal="center" vertical="center" wrapText="1"/>
    </xf>
    <xf numFmtId="44" fontId="12" fillId="2" borderId="17" xfId="1" applyFont="1" applyFill="1" applyBorder="1" applyAlignment="1">
      <alignment horizontal="center" vertical="center" wrapText="1"/>
    </xf>
    <xf numFmtId="0" fontId="11" fillId="2" borderId="7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4" fontId="11" fillId="2" borderId="34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4" fontId="11" fillId="2" borderId="8" xfId="1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2" borderId="7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4" fontId="11" fillId="2" borderId="34" xfId="0" applyNumberFormat="1" applyFont="1" applyFill="1" applyBorder="1" applyAlignment="1">
      <alignment horizontal="center" vertical="center" wrapText="1"/>
    </xf>
    <xf numFmtId="44" fontId="11" fillId="2" borderId="9" xfId="0" applyNumberFormat="1" applyFont="1" applyFill="1" applyBorder="1" applyAlignment="1">
      <alignment horizontal="center" vertical="center" wrapText="1"/>
    </xf>
    <xf numFmtId="44" fontId="12" fillId="2" borderId="37" xfId="0" applyNumberFormat="1" applyFont="1" applyFill="1" applyBorder="1" applyAlignment="1">
      <alignment horizontal="center" vertical="center" wrapText="1"/>
    </xf>
    <xf numFmtId="0" fontId="11" fillId="2" borderId="78" xfId="0" applyFont="1" applyFill="1" applyBorder="1" applyAlignment="1">
      <alignment horizontal="left" vertical="center"/>
    </xf>
    <xf numFmtId="0" fontId="11" fillId="2" borderId="79" xfId="0" applyFont="1" applyFill="1" applyBorder="1" applyAlignment="1">
      <alignment horizontal="left" vertical="center"/>
    </xf>
    <xf numFmtId="0" fontId="11" fillId="2" borderId="79" xfId="0" applyFont="1" applyFill="1" applyBorder="1" applyAlignment="1">
      <alignment horizontal="center" vertical="center" wrapText="1"/>
    </xf>
    <xf numFmtId="44" fontId="11" fillId="2" borderId="80" xfId="1" applyFont="1" applyFill="1" applyBorder="1" applyAlignment="1">
      <alignment horizontal="center" vertical="center" wrapText="1"/>
    </xf>
    <xf numFmtId="44" fontId="11" fillId="2" borderId="32" xfId="1" applyFont="1" applyFill="1" applyBorder="1" applyAlignment="1">
      <alignment horizontal="center" vertical="center" wrapText="1"/>
    </xf>
    <xf numFmtId="44" fontId="11" fillId="2" borderId="80" xfId="0" applyNumberFormat="1" applyFont="1" applyFill="1" applyBorder="1" applyAlignment="1">
      <alignment horizontal="center" vertical="center" wrapText="1"/>
    </xf>
    <xf numFmtId="44" fontId="11" fillId="2" borderId="63" xfId="0" applyNumberFormat="1" applyFont="1" applyFill="1" applyBorder="1" applyAlignment="1">
      <alignment horizontal="center" vertical="center" wrapText="1"/>
    </xf>
    <xf numFmtId="44" fontId="12" fillId="2" borderId="38" xfId="0" applyNumberFormat="1" applyFont="1" applyFill="1" applyBorder="1" applyAlignment="1">
      <alignment horizontal="center" vertical="center" wrapText="1"/>
    </xf>
    <xf numFmtId="44" fontId="12" fillId="2" borderId="35" xfId="0" applyNumberFormat="1" applyFont="1" applyFill="1" applyBorder="1" applyAlignment="1">
      <alignment horizontal="center" vertical="center" wrapText="1"/>
    </xf>
    <xf numFmtId="44" fontId="12" fillId="2" borderId="84" xfId="0" applyNumberFormat="1" applyFont="1" applyFill="1" applyBorder="1" applyAlignment="1">
      <alignment horizontal="center" vertical="center" wrapText="1"/>
    </xf>
    <xf numFmtId="44" fontId="12" fillId="2" borderId="85" xfId="1" applyFont="1" applyFill="1" applyBorder="1" applyAlignment="1">
      <alignment horizontal="center" vertical="center" wrapText="1"/>
    </xf>
    <xf numFmtId="44" fontId="12" fillId="2" borderId="12" xfId="0" applyNumberFormat="1" applyFont="1" applyFill="1" applyBorder="1" applyAlignment="1">
      <alignment horizontal="center" vertical="center" wrapText="1"/>
    </xf>
    <xf numFmtId="44" fontId="12" fillId="2" borderId="26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vertical="center"/>
    </xf>
    <xf numFmtId="44" fontId="0" fillId="0" borderId="0" xfId="0" applyNumberFormat="1"/>
    <xf numFmtId="44" fontId="0" fillId="0" borderId="0" xfId="1" applyFont="1"/>
    <xf numFmtId="44" fontId="0" fillId="0" borderId="21" xfId="1" applyFont="1" applyBorder="1"/>
    <xf numFmtId="44" fontId="0" fillId="0" borderId="17" xfId="1" applyFont="1" applyBorder="1"/>
    <xf numFmtId="0" fontId="0" fillId="0" borderId="5" xfId="0" applyBorder="1" applyAlignment="1">
      <alignment vertical="center"/>
    </xf>
    <xf numFmtId="0" fontId="2" fillId="0" borderId="46" xfId="0" applyFont="1" applyBorder="1"/>
    <xf numFmtId="0" fontId="2" fillId="0" borderId="47" xfId="0" applyFont="1" applyBorder="1"/>
    <xf numFmtId="44" fontId="0" fillId="0" borderId="43" xfId="1" applyFont="1" applyBorder="1"/>
    <xf numFmtId="44" fontId="0" fillId="0" borderId="44" xfId="1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0" xfId="0" applyFon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4" fontId="0" fillId="2" borderId="21" xfId="1" applyFont="1" applyFill="1" applyBorder="1" applyAlignment="1">
      <alignment vertical="center"/>
    </xf>
    <xf numFmtId="0" fontId="13" fillId="2" borderId="21" xfId="0" applyFont="1" applyFill="1" applyBorder="1"/>
    <xf numFmtId="44" fontId="13" fillId="2" borderId="21" xfId="1" applyFont="1" applyFill="1" applyBorder="1"/>
    <xf numFmtId="0" fontId="2" fillId="0" borderId="21" xfId="0" applyFont="1" applyBorder="1" applyAlignment="1">
      <alignment horizontal="center"/>
    </xf>
    <xf numFmtId="44" fontId="0" fillId="0" borderId="21" xfId="0" applyNumberFormat="1" applyBorder="1"/>
    <xf numFmtId="0" fontId="2" fillId="0" borderId="52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7" xfId="0" applyFont="1" applyFill="1" applyBorder="1" applyAlignment="1">
      <alignment horizontal="center"/>
    </xf>
    <xf numFmtId="0" fontId="2" fillId="0" borderId="88" xfId="0" applyFont="1" applyFill="1" applyBorder="1" applyAlignment="1">
      <alignment horizontal="center"/>
    </xf>
    <xf numFmtId="0" fontId="2" fillId="0" borderId="15" xfId="0" applyFont="1" applyBorder="1"/>
    <xf numFmtId="0" fontId="0" fillId="0" borderId="19" xfId="0" applyBorder="1"/>
    <xf numFmtId="0" fontId="0" fillId="0" borderId="60" xfId="0" applyBorder="1"/>
    <xf numFmtId="0" fontId="0" fillId="0" borderId="49" xfId="0" applyBorder="1"/>
    <xf numFmtId="0" fontId="0" fillId="0" borderId="87" xfId="0" applyBorder="1"/>
    <xf numFmtId="0" fontId="2" fillId="0" borderId="8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" fontId="0" fillId="0" borderId="76" xfId="0" applyNumberFormat="1" applyBorder="1"/>
    <xf numFmtId="1" fontId="0" fillId="0" borderId="28" xfId="0" applyNumberFormat="1" applyBorder="1"/>
    <xf numFmtId="0" fontId="0" fillId="0" borderId="54" xfId="0" applyBorder="1"/>
    <xf numFmtId="1" fontId="0" fillId="0" borderId="93" xfId="0" applyNumberFormat="1" applyBorder="1"/>
    <xf numFmtId="9" fontId="0" fillId="0" borderId="0" xfId="2" applyFont="1"/>
    <xf numFmtId="10" fontId="0" fillId="0" borderId="94" xfId="2" applyNumberFormat="1" applyFont="1" applyBorder="1"/>
    <xf numFmtId="10" fontId="0" fillId="0" borderId="61" xfId="2" applyNumberFormat="1" applyFont="1" applyBorder="1"/>
    <xf numFmtId="10" fontId="0" fillId="0" borderId="21" xfId="2" applyNumberFormat="1" applyFont="1" applyBorder="1"/>
    <xf numFmtId="10" fontId="0" fillId="0" borderId="17" xfId="2" applyNumberFormat="1" applyFont="1" applyBorder="1"/>
    <xf numFmtId="0" fontId="0" fillId="0" borderId="23" xfId="0" applyBorder="1"/>
    <xf numFmtId="1" fontId="0" fillId="0" borderId="45" xfId="0" applyNumberFormat="1" applyBorder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44" fontId="2" fillId="0" borderId="97" xfId="1" applyFont="1" applyBorder="1"/>
    <xf numFmtId="0" fontId="2" fillId="0" borderId="36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5" xfId="0" applyFont="1" applyFill="1" applyBorder="1" applyAlignment="1">
      <alignment horizontal="center"/>
    </xf>
    <xf numFmtId="0" fontId="2" fillId="0" borderId="96" xfId="0" applyFont="1" applyFill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0" fillId="0" borderId="0" xfId="0" applyBorder="1" applyAlignment="1">
      <alignment horizontal="left"/>
    </xf>
    <xf numFmtId="9" fontId="0" fillId="0" borderId="45" xfId="2" applyFont="1" applyBorder="1"/>
    <xf numFmtId="1" fontId="0" fillId="0" borderId="101" xfId="0" applyNumberFormat="1" applyBorder="1"/>
    <xf numFmtId="9" fontId="0" fillId="0" borderId="21" xfId="2" applyFont="1" applyBorder="1"/>
    <xf numFmtId="0" fontId="0" fillId="0" borderId="7" xfId="0" applyBorder="1"/>
    <xf numFmtId="9" fontId="0" fillId="0" borderId="101" xfId="2" applyFont="1" applyBorder="1"/>
    <xf numFmtId="9" fontId="0" fillId="0" borderId="0" xfId="2" applyFont="1" applyBorder="1"/>
    <xf numFmtId="9" fontId="0" fillId="0" borderId="24" xfId="2" applyFont="1" applyBorder="1"/>
    <xf numFmtId="0" fontId="0" fillId="0" borderId="0" xfId="0" applyAlignment="1">
      <alignment horizontal="center"/>
    </xf>
    <xf numFmtId="0" fontId="0" fillId="0" borderId="48" xfId="0" applyBorder="1"/>
    <xf numFmtId="0" fontId="0" fillId="0" borderId="70" xfId="0" applyBorder="1"/>
    <xf numFmtId="0" fontId="0" fillId="0" borderId="13" xfId="0" applyBorder="1"/>
    <xf numFmtId="0" fontId="0" fillId="0" borderId="77" xfId="0" applyBorder="1"/>
    <xf numFmtId="44" fontId="0" fillId="0" borderId="0" xfId="1" applyFont="1" applyBorder="1"/>
    <xf numFmtId="44" fontId="0" fillId="0" borderId="100" xfId="1" applyFont="1" applyBorder="1"/>
    <xf numFmtId="0" fontId="0" fillId="0" borderId="78" xfId="0" applyBorder="1"/>
    <xf numFmtId="0" fontId="0" fillId="0" borderId="79" xfId="0" applyBorder="1"/>
    <xf numFmtId="44" fontId="0" fillId="0" borderId="79" xfId="1" applyFont="1" applyBorder="1"/>
    <xf numFmtId="44" fontId="0" fillId="0" borderId="33" xfId="1" applyFont="1" applyBorder="1"/>
    <xf numFmtId="0" fontId="0" fillId="0" borderId="103" xfId="0" applyBorder="1"/>
    <xf numFmtId="0" fontId="0" fillId="0" borderId="84" xfId="0" applyBorder="1"/>
    <xf numFmtId="44" fontId="0" fillId="0" borderId="84" xfId="1" applyFont="1" applyBorder="1"/>
    <xf numFmtId="44" fontId="0" fillId="0" borderId="98" xfId="1" applyFont="1" applyBorder="1"/>
    <xf numFmtId="0" fontId="0" fillId="2" borderId="58" xfId="0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44" fontId="0" fillId="2" borderId="50" xfId="1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44" fontId="0" fillId="2" borderId="44" xfId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4" fontId="0" fillId="2" borderId="6" xfId="1" applyFont="1" applyFill="1" applyBorder="1" applyAlignment="1">
      <alignment vertical="center"/>
    </xf>
    <xf numFmtId="44" fontId="2" fillId="2" borderId="43" xfId="1" applyFont="1" applyFill="1" applyBorder="1" applyAlignment="1">
      <alignment vertical="center"/>
    </xf>
    <xf numFmtId="0" fontId="0" fillId="2" borderId="77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00" xfId="0" applyFill="1" applyBorder="1" applyAlignment="1">
      <alignment vertical="center"/>
    </xf>
    <xf numFmtId="44" fontId="0" fillId="2" borderId="44" xfId="0" applyNumberForma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44" fontId="0" fillId="2" borderId="100" xfId="1" applyFont="1" applyFill="1" applyBorder="1" applyAlignment="1">
      <alignment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4" fontId="2" fillId="2" borderId="44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4" fontId="2" fillId="2" borderId="100" xfId="1" applyFont="1" applyFill="1" applyBorder="1" applyAlignment="1">
      <alignment vertical="center"/>
    </xf>
    <xf numFmtId="0" fontId="0" fillId="2" borderId="99" xfId="0" applyFill="1" applyBorder="1" applyAlignment="1">
      <alignment horizontal="center" vertical="center"/>
    </xf>
    <xf numFmtId="0" fontId="2" fillId="2" borderId="87" xfId="0" applyFont="1" applyFill="1" applyBorder="1" applyAlignment="1">
      <alignment vertical="center"/>
    </xf>
    <xf numFmtId="44" fontId="2" fillId="2" borderId="88" xfId="0" applyNumberFormat="1" applyFont="1" applyFill="1" applyBorder="1" applyAlignment="1">
      <alignment vertical="center"/>
    </xf>
    <xf numFmtId="0" fontId="0" fillId="0" borderId="64" xfId="0" applyBorder="1"/>
    <xf numFmtId="0" fontId="2" fillId="0" borderId="65" xfId="0" applyFont="1" applyBorder="1"/>
    <xf numFmtId="0" fontId="2" fillId="0" borderId="66" xfId="0" applyFont="1" applyBorder="1"/>
    <xf numFmtId="44" fontId="1" fillId="0" borderId="0" xfId="1" applyFont="1" applyBorder="1"/>
    <xf numFmtId="44" fontId="1" fillId="0" borderId="100" xfId="1" applyFont="1" applyBorder="1"/>
    <xf numFmtId="44" fontId="1" fillId="0" borderId="79" xfId="1" applyFont="1" applyBorder="1"/>
    <xf numFmtId="44" fontId="1" fillId="0" borderId="33" xfId="1" applyFont="1" applyBorder="1"/>
    <xf numFmtId="44" fontId="1" fillId="0" borderId="84" xfId="1" applyFont="1" applyBorder="1"/>
    <xf numFmtId="44" fontId="1" fillId="0" borderId="98" xfId="1" applyFont="1" applyBorder="1"/>
    <xf numFmtId="0" fontId="0" fillId="0" borderId="77" xfId="0" applyFont="1" applyBorder="1"/>
    <xf numFmtId="0" fontId="0" fillId="0" borderId="78" xfId="0" applyFont="1" applyBorder="1"/>
    <xf numFmtId="0" fontId="0" fillId="0" borderId="103" xfId="0" applyFont="1" applyBorder="1"/>
    <xf numFmtId="0" fontId="2" fillId="0" borderId="64" xfId="0" applyFont="1" applyBorder="1"/>
    <xf numFmtId="0" fontId="0" fillId="0" borderId="0" xfId="0" applyFill="1" applyBorder="1" applyAlignment="1">
      <alignment vertical="center" textRotation="90"/>
    </xf>
    <xf numFmtId="0" fontId="0" fillId="2" borderId="2" xfId="0" applyFill="1" applyBorder="1"/>
    <xf numFmtId="44" fontId="0" fillId="2" borderId="3" xfId="1" applyFont="1" applyFill="1" applyBorder="1"/>
    <xf numFmtId="0" fontId="0" fillId="2" borderId="102" xfId="0" applyFill="1" applyBorder="1"/>
    <xf numFmtId="0" fontId="0" fillId="2" borderId="104" xfId="0" applyFill="1" applyBorder="1"/>
    <xf numFmtId="44" fontId="0" fillId="2" borderId="67" xfId="1" applyFont="1" applyFill="1" applyBorder="1"/>
    <xf numFmtId="0" fontId="0" fillId="2" borderId="105" xfId="0" applyFill="1" applyBorder="1"/>
    <xf numFmtId="0" fontId="0" fillId="2" borderId="106" xfId="0" applyFill="1" applyBorder="1"/>
    <xf numFmtId="44" fontId="0" fillId="2" borderId="107" xfId="1" applyFont="1" applyFill="1" applyBorder="1"/>
    <xf numFmtId="44" fontId="0" fillId="2" borderId="43" xfId="1" applyFont="1" applyFill="1" applyBorder="1"/>
    <xf numFmtId="44" fontId="0" fillId="2" borderId="44" xfId="1" applyFont="1" applyFill="1" applyBorder="1"/>
    <xf numFmtId="44" fontId="2" fillId="2" borderId="45" xfId="1" applyFont="1" applyFill="1" applyBorder="1"/>
    <xf numFmtId="0" fontId="0" fillId="0" borderId="58" xfId="0" applyBorder="1"/>
    <xf numFmtId="44" fontId="0" fillId="0" borderId="44" xfId="0" applyNumberFormat="1" applyBorder="1"/>
    <xf numFmtId="0" fontId="16" fillId="4" borderId="113" xfId="0" applyFont="1" applyFill="1" applyBorder="1" applyAlignment="1">
      <alignment horizontal="left" wrapText="1" indent="1"/>
    </xf>
    <xf numFmtId="0" fontId="16" fillId="4" borderId="114" xfId="0" applyFont="1" applyFill="1" applyBorder="1" applyAlignment="1">
      <alignment horizontal="center" wrapText="1"/>
    </xf>
    <xf numFmtId="0" fontId="16" fillId="5" borderId="116" xfId="0" applyFont="1" applyFill="1" applyBorder="1" applyAlignment="1">
      <alignment horizontal="left" wrapText="1" indent="1"/>
    </xf>
    <xf numFmtId="0" fontId="16" fillId="5" borderId="117" xfId="0" applyFont="1" applyFill="1" applyBorder="1" applyAlignment="1">
      <alignment horizontal="center" wrapText="1"/>
    </xf>
    <xf numFmtId="0" fontId="16" fillId="4" borderId="116" xfId="0" applyFont="1" applyFill="1" applyBorder="1" applyAlignment="1">
      <alignment horizontal="left" wrapText="1" indent="1"/>
    </xf>
    <xf numFmtId="0" fontId="16" fillId="4" borderId="117" xfId="0" applyFont="1" applyFill="1" applyBorder="1" applyAlignment="1">
      <alignment horizontal="center" wrapText="1"/>
    </xf>
    <xf numFmtId="0" fontId="16" fillId="5" borderId="119" xfId="0" applyFont="1" applyFill="1" applyBorder="1" applyAlignment="1">
      <alignment horizontal="left" wrapText="1" indent="1"/>
    </xf>
    <xf numFmtId="0" fontId="16" fillId="5" borderId="120" xfId="0" applyFont="1" applyFill="1" applyBorder="1" applyAlignment="1">
      <alignment horizontal="center" wrapText="1"/>
    </xf>
    <xf numFmtId="0" fontId="0" fillId="4" borderId="0" xfId="0" applyFill="1" applyAlignment="1">
      <alignment vertical="top" wrapText="1"/>
    </xf>
    <xf numFmtId="0" fontId="17" fillId="4" borderId="0" xfId="0" applyFont="1" applyFill="1" applyAlignment="1">
      <alignment vertical="top"/>
    </xf>
    <xf numFmtId="9" fontId="0" fillId="2" borderId="21" xfId="2" applyFon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44" fontId="0" fillId="2" borderId="21" xfId="0" applyNumberForma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44" fontId="0" fillId="2" borderId="28" xfId="0" applyNumberFormat="1" applyFill="1" applyBorder="1" applyAlignment="1">
      <alignment horizontal="center"/>
    </xf>
    <xf numFmtId="0" fontId="0" fillId="2" borderId="48" xfId="0" applyFill="1" applyBorder="1"/>
    <xf numFmtId="0" fontId="14" fillId="2" borderId="49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 wrapText="1"/>
    </xf>
    <xf numFmtId="44" fontId="0" fillId="2" borderId="44" xfId="0" applyNumberFormat="1" applyFill="1" applyBorder="1" applyAlignment="1">
      <alignment horizontal="center"/>
    </xf>
    <xf numFmtId="0" fontId="0" fillId="2" borderId="103" xfId="0" applyFill="1" applyBorder="1"/>
    <xf numFmtId="9" fontId="0" fillId="2" borderId="24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0" fontId="0" fillId="2" borderId="84" xfId="0" applyFill="1" applyBorder="1"/>
    <xf numFmtId="0" fontId="0" fillId="2" borderId="98" xfId="0" applyFill="1" applyBorder="1"/>
    <xf numFmtId="0" fontId="0" fillId="0" borderId="21" xfId="0" applyBorder="1" applyAlignment="1">
      <alignment horizontal="left"/>
    </xf>
    <xf numFmtId="0" fontId="0" fillId="2" borderId="50" xfId="0" applyFill="1" applyBorder="1"/>
    <xf numFmtId="44" fontId="0" fillId="2" borderId="44" xfId="0" applyNumberFormat="1" applyFill="1" applyBorder="1"/>
    <xf numFmtId="0" fontId="2" fillId="2" borderId="58" xfId="0" applyFont="1" applyFill="1" applyBorder="1"/>
    <xf numFmtId="44" fontId="2" fillId="2" borderId="12" xfId="0" applyNumberFormat="1" applyFont="1" applyFill="1" applyBorder="1"/>
    <xf numFmtId="44" fontId="0" fillId="2" borderId="6" xfId="1" applyFont="1" applyFill="1" applyBorder="1"/>
    <xf numFmtId="9" fontId="0" fillId="0" borderId="24" xfId="2" applyFon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44" fontId="0" fillId="0" borderId="45" xfId="0" applyNumberFormat="1" applyBorder="1"/>
    <xf numFmtId="0" fontId="14" fillId="0" borderId="23" xfId="0" applyFont="1" applyBorder="1"/>
    <xf numFmtId="9" fontId="14" fillId="0" borderId="24" xfId="2" applyFont="1" applyBorder="1" applyAlignment="1">
      <alignment horizontal="center"/>
    </xf>
    <xf numFmtId="172" fontId="14" fillId="0" borderId="24" xfId="0" applyNumberFormat="1" applyFont="1" applyBorder="1"/>
    <xf numFmtId="0" fontId="14" fillId="0" borderId="24" xfId="0" applyFont="1" applyBorder="1" applyAlignment="1">
      <alignment horizontal="center"/>
    </xf>
    <xf numFmtId="1" fontId="14" fillId="0" borderId="24" xfId="0" applyNumberFormat="1" applyFont="1" applyBorder="1" applyAlignment="1">
      <alignment horizontal="center"/>
    </xf>
    <xf numFmtId="44" fontId="14" fillId="0" borderId="24" xfId="1" applyFont="1" applyBorder="1"/>
    <xf numFmtId="44" fontId="14" fillId="0" borderId="45" xfId="0" applyNumberFormat="1" applyFont="1" applyBorder="1"/>
    <xf numFmtId="0" fontId="18" fillId="0" borderId="58" xfId="0" applyFont="1" applyBorder="1" applyAlignment="1">
      <alignment vertical="center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0" fillId="0" borderId="24" xfId="0" applyBorder="1" applyAlignment="1"/>
    <xf numFmtId="0" fontId="0" fillId="0" borderId="58" xfId="0" applyBorder="1" applyAlignment="1">
      <alignment horizontal="center"/>
    </xf>
    <xf numFmtId="44" fontId="0" fillId="0" borderId="50" xfId="1" applyFont="1" applyBorder="1"/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45" xfId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44" fontId="0" fillId="0" borderId="12" xfId="1" applyFont="1" applyBorder="1"/>
    <xf numFmtId="0" fontId="0" fillId="0" borderId="99" xfId="0" applyBorder="1" applyAlignment="1">
      <alignment horizontal="center"/>
    </xf>
    <xf numFmtId="44" fontId="0" fillId="0" borderId="88" xfId="0" applyNumberFormat="1" applyBorder="1"/>
    <xf numFmtId="44" fontId="0" fillId="0" borderId="88" xfId="1" applyFont="1" applyBorder="1"/>
    <xf numFmtId="0" fontId="14" fillId="0" borderId="87" xfId="0" applyFont="1" applyBorder="1" applyAlignment="1">
      <alignment wrapText="1"/>
    </xf>
    <xf numFmtId="0" fontId="2" fillId="0" borderId="87" xfId="0" applyFont="1" applyBorder="1"/>
    <xf numFmtId="44" fontId="2" fillId="0" borderId="88" xfId="0" applyNumberFormat="1" applyFont="1" applyBorder="1"/>
    <xf numFmtId="0" fontId="0" fillId="0" borderId="77" xfId="0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44" fontId="0" fillId="0" borderId="0" xfId="0" applyNumberFormat="1" applyBorder="1"/>
    <xf numFmtId="0" fontId="18" fillId="0" borderId="49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0" fillId="0" borderId="110" xfId="0" applyBorder="1"/>
    <xf numFmtId="44" fontId="0" fillId="0" borderId="24" xfId="0" applyNumberFormat="1" applyBorder="1" applyAlignment="1">
      <alignment horizontal="center"/>
    </xf>
    <xf numFmtId="44" fontId="0" fillId="0" borderId="24" xfId="1" applyFont="1" applyBorder="1" applyAlignment="1">
      <alignment horizontal="center"/>
    </xf>
    <xf numFmtId="44" fontId="0" fillId="0" borderId="45" xfId="0" applyNumberFormat="1" applyBorder="1" applyAlignment="1">
      <alignment horizontal="center"/>
    </xf>
    <xf numFmtId="168" fontId="2" fillId="2" borderId="12" xfId="0" applyNumberFormat="1" applyFont="1" applyFill="1" applyBorder="1"/>
    <xf numFmtId="0" fontId="19" fillId="0" borderId="20" xfId="0" applyFont="1" applyBorder="1"/>
    <xf numFmtId="0" fontId="19" fillId="0" borderId="23" xfId="0" applyFont="1" applyBorder="1"/>
    <xf numFmtId="44" fontId="0" fillId="0" borderId="76" xfId="1" applyFont="1" applyBorder="1"/>
    <xf numFmtId="44" fontId="2" fillId="0" borderId="89" xfId="1" applyFont="1" applyBorder="1" applyAlignment="1">
      <alignment horizontal="left"/>
    </xf>
    <xf numFmtId="44" fontId="2" fillId="0" borderId="46" xfId="1" applyFont="1" applyBorder="1" applyAlignment="1">
      <alignment horizontal="left"/>
    </xf>
    <xf numFmtId="44" fontId="2" fillId="0" borderId="47" xfId="1" applyFont="1" applyBorder="1" applyAlignment="1">
      <alignment horizontal="left"/>
    </xf>
    <xf numFmtId="44" fontId="0" fillId="0" borderId="21" xfId="0" applyNumberFormat="1" applyBorder="1" applyAlignment="1">
      <alignment horizontal="left"/>
    </xf>
    <xf numFmtId="44" fontId="0" fillId="0" borderId="44" xfId="0" applyNumberFormat="1" applyBorder="1" applyAlignment="1">
      <alignment horizontal="left"/>
    </xf>
    <xf numFmtId="44" fontId="0" fillId="0" borderId="76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60" xfId="0" applyFont="1" applyBorder="1" applyAlignment="1">
      <alignment horizontal="left"/>
    </xf>
    <xf numFmtId="0" fontId="0" fillId="0" borderId="60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44" fontId="0" fillId="0" borderId="51" xfId="0" applyNumberFormat="1" applyBorder="1" applyAlignment="1">
      <alignment horizontal="left"/>
    </xf>
    <xf numFmtId="44" fontId="0" fillId="0" borderId="11" xfId="0" applyNumberFormat="1" applyBorder="1" applyAlignment="1">
      <alignment horizontal="left"/>
    </xf>
    <xf numFmtId="44" fontId="0" fillId="0" borderId="12" xfId="0" applyNumberFormat="1" applyBorder="1" applyAlignment="1">
      <alignment horizontal="left"/>
    </xf>
    <xf numFmtId="0" fontId="0" fillId="0" borderId="54" xfId="0" applyFont="1" applyFill="1" applyBorder="1" applyAlignment="1">
      <alignment horizontal="left"/>
    </xf>
    <xf numFmtId="0" fontId="0" fillId="0" borderId="93" xfId="0" applyBorder="1" applyAlignment="1">
      <alignment horizontal="left"/>
    </xf>
    <xf numFmtId="0" fontId="0" fillId="0" borderId="5" xfId="0" applyBorder="1" applyAlignment="1">
      <alignment horizontal="left"/>
    </xf>
    <xf numFmtId="44" fontId="0" fillId="0" borderId="5" xfId="1" applyFont="1" applyBorder="1" applyAlignment="1">
      <alignment horizontal="left"/>
    </xf>
    <xf numFmtId="44" fontId="0" fillId="0" borderId="6" xfId="1" applyFont="1" applyBorder="1" applyAlignment="1">
      <alignment horizontal="left"/>
    </xf>
    <xf numFmtId="0" fontId="19" fillId="0" borderId="0" xfId="0" applyFont="1" applyBorder="1"/>
    <xf numFmtId="0" fontId="2" fillId="0" borderId="10" xfId="0" applyFont="1" applyBorder="1"/>
    <xf numFmtId="0" fontId="2" fillId="0" borderId="58" xfId="0" applyFont="1" applyBorder="1"/>
    <xf numFmtId="0" fontId="2" fillId="0" borderId="50" xfId="0" applyFont="1" applyBorder="1" applyAlignment="1">
      <alignment horizontal="center"/>
    </xf>
    <xf numFmtId="44" fontId="0" fillId="0" borderId="90" xfId="0" applyNumberFormat="1" applyBorder="1" applyAlignment="1">
      <alignment horizontal="left"/>
    </xf>
    <xf numFmtId="9" fontId="0" fillId="0" borderId="23" xfId="2" applyFont="1" applyBorder="1"/>
    <xf numFmtId="0" fontId="0" fillId="0" borderId="54" xfId="0" applyFont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21" fillId="0" borderId="26" xfId="0" applyFont="1" applyBorder="1"/>
    <xf numFmtId="0" fontId="0" fillId="0" borderId="38" xfId="0" applyBorder="1" applyAlignment="1">
      <alignment horizontal="left"/>
    </xf>
    <xf numFmtId="44" fontId="0" fillId="0" borderId="20" xfId="1" applyFont="1" applyBorder="1" applyAlignment="1">
      <alignment horizontal="center"/>
    </xf>
    <xf numFmtId="44" fontId="2" fillId="0" borderId="33" xfId="1" applyFont="1" applyBorder="1"/>
    <xf numFmtId="44" fontId="0" fillId="0" borderId="90" xfId="1" applyFont="1" applyBorder="1"/>
    <xf numFmtId="44" fontId="0" fillId="0" borderId="28" xfId="1" applyFont="1" applyBorder="1"/>
    <xf numFmtId="44" fontId="0" fillId="0" borderId="93" xfId="1" applyFont="1" applyBorder="1"/>
    <xf numFmtId="44" fontId="0" fillId="0" borderId="5" xfId="1" applyFont="1" applyBorder="1"/>
    <xf numFmtId="44" fontId="0" fillId="0" borderId="6" xfId="1" applyFont="1" applyBorder="1"/>
    <xf numFmtId="44" fontId="21" fillId="0" borderId="51" xfId="1" applyFont="1" applyBorder="1"/>
    <xf numFmtId="0" fontId="11" fillId="2" borderId="0" xfId="0" applyFont="1" applyFill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textRotation="90"/>
    </xf>
    <xf numFmtId="164" fontId="0" fillId="0" borderId="21" xfId="0" applyNumberFormat="1" applyBorder="1"/>
    <xf numFmtId="44" fontId="2" fillId="0" borderId="21" xfId="0" applyNumberFormat="1" applyFont="1" applyBorder="1"/>
    <xf numFmtId="164" fontId="2" fillId="0" borderId="21" xfId="0" applyNumberFormat="1" applyFont="1" applyBorder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44" fontId="0" fillId="2" borderId="17" xfId="1" applyFont="1" applyFill="1" applyBorder="1"/>
    <xf numFmtId="44" fontId="0" fillId="2" borderId="21" xfId="1" applyFont="1" applyFill="1" applyBorder="1"/>
    <xf numFmtId="44" fontId="0" fillId="2" borderId="32" xfId="1" applyFont="1" applyFill="1" applyBorder="1"/>
    <xf numFmtId="44" fontId="0" fillId="2" borderId="63" xfId="1" applyFont="1" applyFill="1" applyBorder="1"/>
    <xf numFmtId="0" fontId="0" fillId="7" borderId="21" xfId="0" applyFill="1" applyBorder="1" applyAlignment="1">
      <alignment horizontal="left"/>
    </xf>
    <xf numFmtId="44" fontId="0" fillId="7" borderId="21" xfId="0" applyNumberFormat="1" applyFill="1" applyBorder="1"/>
    <xf numFmtId="0" fontId="0" fillId="7" borderId="20" xfId="0" applyFill="1" applyBorder="1" applyAlignment="1">
      <alignment horizontal="left"/>
    </xf>
    <xf numFmtId="44" fontId="0" fillId="7" borderId="44" xfId="0" applyNumberFormat="1" applyFill="1" applyBorder="1"/>
    <xf numFmtId="0" fontId="2" fillId="0" borderId="48" xfId="0" applyFont="1" applyBorder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4" fontId="0" fillId="0" borderId="0" xfId="0" applyNumberFormat="1" applyBorder="1" applyAlignment="1">
      <alignment vertical="center"/>
    </xf>
    <xf numFmtId="0" fontId="0" fillId="2" borderId="84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3" borderId="27" xfId="0" applyFill="1" applyBorder="1"/>
    <xf numFmtId="44" fontId="0" fillId="3" borderId="29" xfId="1" applyFont="1" applyFill="1" applyBorder="1"/>
    <xf numFmtId="44" fontId="0" fillId="3" borderId="121" xfId="1" applyFont="1" applyFill="1" applyBorder="1"/>
    <xf numFmtId="44" fontId="0" fillId="0" borderId="21" xfId="1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0" fontId="0" fillId="0" borderId="17" xfId="0" applyBorder="1"/>
    <xf numFmtId="44" fontId="0" fillId="0" borderId="17" xfId="1" applyFont="1" applyBorder="1" applyAlignment="1">
      <alignment vertical="center"/>
    </xf>
    <xf numFmtId="44" fontId="0" fillId="0" borderId="43" xfId="1" applyFont="1" applyBorder="1" applyAlignment="1">
      <alignment vertical="center"/>
    </xf>
    <xf numFmtId="44" fontId="0" fillId="0" borderId="44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2" fillId="0" borderId="84" xfId="0" applyNumberFormat="1" applyFont="1" applyBorder="1" applyAlignment="1">
      <alignment vertical="center"/>
    </xf>
    <xf numFmtId="44" fontId="2" fillId="0" borderId="98" xfId="0" applyNumberFormat="1" applyFont="1" applyBorder="1" applyAlignment="1">
      <alignment vertical="center"/>
    </xf>
    <xf numFmtId="0" fontId="2" fillId="2" borderId="19" xfId="0" applyFont="1" applyFill="1" applyBorder="1"/>
    <xf numFmtId="44" fontId="2" fillId="2" borderId="74" xfId="1" applyFont="1" applyFill="1" applyBorder="1"/>
    <xf numFmtId="44" fontId="2" fillId="2" borderId="17" xfId="1" applyFont="1" applyFill="1" applyBorder="1"/>
    <xf numFmtId="44" fontId="0" fillId="2" borderId="74" xfId="1" applyFont="1" applyFill="1" applyBorder="1"/>
    <xf numFmtId="44" fontId="0" fillId="2" borderId="0" xfId="1" applyFont="1" applyFill="1"/>
    <xf numFmtId="0" fontId="0" fillId="2" borderId="74" xfId="0" applyFill="1" applyBorder="1"/>
    <xf numFmtId="0" fontId="2" fillId="2" borderId="102" xfId="0" applyFont="1" applyFill="1" applyBorder="1"/>
    <xf numFmtId="44" fontId="2" fillId="2" borderId="21" xfId="1" applyFont="1" applyFill="1" applyBorder="1"/>
    <xf numFmtId="44" fontId="1" fillId="2" borderId="21" xfId="1" applyFont="1" applyFill="1" applyBorder="1"/>
    <xf numFmtId="9" fontId="0" fillId="2" borderId="0" xfId="2" applyFont="1" applyFill="1" applyBorder="1"/>
    <xf numFmtId="0" fontId="0" fillId="2" borderId="0" xfId="0" applyFill="1" applyBorder="1"/>
    <xf numFmtId="0" fontId="0" fillId="2" borderId="60" xfId="0" applyFill="1" applyBorder="1"/>
    <xf numFmtId="44" fontId="0" fillId="2" borderId="20" xfId="1" applyFont="1" applyFill="1" applyBorder="1"/>
    <xf numFmtId="0" fontId="20" fillId="2" borderId="60" xfId="0" applyFont="1" applyFill="1" applyBorder="1"/>
    <xf numFmtId="44" fontId="2" fillId="2" borderId="20" xfId="1" applyFont="1" applyFill="1" applyBorder="1"/>
    <xf numFmtId="44" fontId="2" fillId="2" borderId="28" xfId="1" applyFont="1" applyFill="1" applyBorder="1"/>
    <xf numFmtId="44" fontId="0" fillId="2" borderId="28" xfId="1" applyFont="1" applyFill="1" applyBorder="1"/>
    <xf numFmtId="44" fontId="0" fillId="2" borderId="0" xfId="0" applyNumberFormat="1" applyFill="1"/>
    <xf numFmtId="0" fontId="2" fillId="2" borderId="56" xfId="0" applyFont="1" applyFill="1" applyBorder="1"/>
    <xf numFmtId="44" fontId="0" fillId="2" borderId="23" xfId="1" applyFont="1" applyFill="1" applyBorder="1"/>
    <xf numFmtId="44" fontId="0" fillId="2" borderId="91" xfId="1" applyFont="1" applyFill="1" applyBorder="1"/>
    <xf numFmtId="0" fontId="20" fillId="2" borderId="92" xfId="0" applyFont="1" applyFill="1" applyBorder="1"/>
    <xf numFmtId="0" fontId="20" fillId="2" borderId="56" xfId="0" applyFont="1" applyFill="1" applyBorder="1"/>
    <xf numFmtId="0" fontId="23" fillId="8" borderId="52" xfId="0" applyFont="1" applyFill="1" applyBorder="1" applyAlignment="1">
      <alignment horizontal="center"/>
    </xf>
    <xf numFmtId="0" fontId="23" fillId="8" borderId="86" xfId="0" applyFont="1" applyFill="1" applyBorder="1" applyAlignment="1">
      <alignment horizontal="center"/>
    </xf>
    <xf numFmtId="0" fontId="23" fillId="8" borderId="87" xfId="0" applyFont="1" applyFill="1" applyBorder="1" applyAlignment="1">
      <alignment horizontal="center"/>
    </xf>
    <xf numFmtId="0" fontId="25" fillId="0" borderId="0" xfId="0" applyFont="1"/>
    <xf numFmtId="172" fontId="0" fillId="2" borderId="21" xfId="0" applyNumberFormat="1" applyFill="1" applyBorder="1"/>
    <xf numFmtId="0" fontId="0" fillId="2" borderId="21" xfId="0" applyFill="1" applyBorder="1" applyAlignment="1">
      <alignment horizontal="center"/>
    </xf>
    <xf numFmtId="44" fontId="0" fillId="2" borderId="21" xfId="0" applyNumberFormat="1" applyFill="1" applyBorder="1"/>
    <xf numFmtId="9" fontId="0" fillId="2" borderId="17" xfId="2" applyFont="1" applyFill="1" applyBorder="1" applyAlignment="1">
      <alignment horizontal="center"/>
    </xf>
    <xf numFmtId="172" fontId="0" fillId="2" borderId="17" xfId="0" applyNumberFormat="1" applyFill="1" applyBorder="1"/>
    <xf numFmtId="0" fontId="0" fillId="2" borderId="17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44" fontId="0" fillId="2" borderId="17" xfId="0" applyNumberFormat="1" applyFill="1" applyBorder="1"/>
    <xf numFmtId="0" fontId="24" fillId="8" borderId="40" xfId="0" applyFont="1" applyFill="1" applyBorder="1" applyAlignment="1">
      <alignment vertical="center"/>
    </xf>
    <xf numFmtId="0" fontId="24" fillId="8" borderId="46" xfId="0" applyFont="1" applyFill="1" applyBorder="1" applyAlignment="1">
      <alignment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/>
    </xf>
    <xf numFmtId="0" fontId="24" fillId="8" borderId="47" xfId="0" applyFont="1" applyFill="1" applyBorder="1" applyAlignment="1">
      <alignment horizontal="center" vertical="center" wrapText="1"/>
    </xf>
    <xf numFmtId="44" fontId="0" fillId="2" borderId="43" xfId="0" applyNumberFormat="1" applyFill="1" applyBorder="1"/>
    <xf numFmtId="9" fontId="0" fillId="2" borderId="24" xfId="2" applyFont="1" applyFill="1" applyBorder="1" applyAlignment="1">
      <alignment horizontal="center"/>
    </xf>
    <xf numFmtId="172" fontId="0" fillId="2" borderId="24" xfId="0" applyNumberFormat="1" applyFill="1" applyBorder="1"/>
    <xf numFmtId="44" fontId="0" fillId="2" borderId="45" xfId="0" applyNumberFormat="1" applyFill="1" applyBorder="1"/>
    <xf numFmtId="0" fontId="2" fillId="9" borderId="40" xfId="0" applyFont="1" applyFill="1" applyBorder="1"/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2" fillId="8" borderId="40" xfId="0" applyFont="1" applyFill="1" applyBorder="1"/>
    <xf numFmtId="0" fontId="2" fillId="2" borderId="0" xfId="0" applyFont="1" applyFill="1"/>
    <xf numFmtId="0" fontId="0" fillId="2" borderId="5" xfId="0" applyFill="1" applyBorder="1"/>
    <xf numFmtId="0" fontId="0" fillId="2" borderId="39" xfId="0" applyFill="1" applyBorder="1" applyAlignment="1">
      <alignment horizontal="center"/>
    </xf>
    <xf numFmtId="171" fontId="0" fillId="2" borderId="43" xfId="2" applyNumberFormat="1" applyFont="1" applyFill="1" applyBorder="1"/>
    <xf numFmtId="0" fontId="0" fillId="2" borderId="20" xfId="0" applyFill="1" applyBorder="1" applyAlignment="1">
      <alignment horizontal="center"/>
    </xf>
    <xf numFmtId="0" fontId="0" fillId="2" borderId="44" xfId="0" applyFill="1" applyBorder="1"/>
    <xf numFmtId="0" fontId="0" fillId="2" borderId="4" xfId="0" applyFill="1" applyBorder="1" applyAlignment="1">
      <alignment horizontal="center"/>
    </xf>
    <xf numFmtId="0" fontId="0" fillId="2" borderId="6" xfId="0" applyFill="1" applyBorder="1"/>
    <xf numFmtId="0" fontId="2" fillId="2" borderId="10" xfId="0" applyFont="1" applyFill="1" applyBorder="1" applyAlignment="1">
      <alignment horizontal="center"/>
    </xf>
    <xf numFmtId="1" fontId="2" fillId="2" borderId="12" xfId="0" applyNumberFormat="1" applyFont="1" applyFill="1" applyBorder="1"/>
    <xf numFmtId="0" fontId="2" fillId="8" borderId="52" xfId="0" applyFont="1" applyFill="1" applyBorder="1" applyAlignment="1">
      <alignment horizontal="center"/>
    </xf>
    <xf numFmtId="0" fontId="2" fillId="8" borderId="86" xfId="0" applyFont="1" applyFill="1" applyBorder="1" applyAlignment="1">
      <alignment horizontal="center"/>
    </xf>
    <xf numFmtId="0" fontId="2" fillId="8" borderId="87" xfId="0" applyFont="1" applyFill="1" applyBorder="1" applyAlignment="1">
      <alignment horizontal="center"/>
    </xf>
    <xf numFmtId="0" fontId="2" fillId="8" borderId="8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58" xfId="0" applyFill="1" applyBorder="1"/>
    <xf numFmtId="44" fontId="0" fillId="2" borderId="49" xfId="1" applyFont="1" applyFill="1" applyBorder="1"/>
    <xf numFmtId="44" fontId="0" fillId="2" borderId="50" xfId="1" applyFont="1" applyFill="1" applyBorder="1"/>
    <xf numFmtId="44" fontId="0" fillId="2" borderId="5" xfId="1" applyFont="1" applyFill="1" applyBorder="1"/>
    <xf numFmtId="0" fontId="2" fillId="2" borderId="10" xfId="0" applyFont="1" applyFill="1" applyBorder="1"/>
    <xf numFmtId="44" fontId="2" fillId="2" borderId="11" xfId="1" applyFont="1" applyFill="1" applyBorder="1"/>
    <xf numFmtId="44" fontId="2" fillId="2" borderId="12" xfId="1" applyFont="1" applyFill="1" applyBorder="1"/>
    <xf numFmtId="0" fontId="0" fillId="2" borderId="36" xfId="0" applyFill="1" applyBorder="1" applyAlignment="1">
      <alignment horizontal="left"/>
    </xf>
    <xf numFmtId="44" fontId="2" fillId="2" borderId="7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4" fontId="0" fillId="2" borderId="49" xfId="0" applyNumberFormat="1" applyFill="1" applyBorder="1" applyAlignment="1">
      <alignment horizontal="left"/>
    </xf>
    <xf numFmtId="44" fontId="0" fillId="2" borderId="50" xfId="0" applyNumberFormat="1" applyFill="1" applyBorder="1" applyAlignment="1">
      <alignment horizontal="left"/>
    </xf>
    <xf numFmtId="0" fontId="0" fillId="2" borderId="102" xfId="0" applyFont="1" applyFill="1" applyBorder="1" applyAlignment="1">
      <alignment horizontal="left"/>
    </xf>
    <xf numFmtId="44" fontId="0" fillId="2" borderId="21" xfId="0" applyNumberFormat="1" applyFill="1" applyBorder="1" applyAlignment="1">
      <alignment horizontal="left"/>
    </xf>
    <xf numFmtId="44" fontId="0" fillId="2" borderId="44" xfId="0" applyNumberFormat="1" applyFill="1" applyBorder="1" applyAlignment="1">
      <alignment horizontal="left"/>
    </xf>
    <xf numFmtId="0" fontId="0" fillId="2" borderId="105" xfId="0" applyFont="1" applyFill="1" applyBorder="1" applyAlignment="1">
      <alignment horizontal="left"/>
    </xf>
    <xf numFmtId="44" fontId="0" fillId="2" borderId="5" xfId="0" applyNumberFormat="1" applyFill="1" applyBorder="1" applyAlignment="1">
      <alignment horizontal="left"/>
    </xf>
    <xf numFmtId="44" fontId="0" fillId="2" borderId="6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4" fontId="2" fillId="2" borderId="51" xfId="0" applyNumberFormat="1" applyFont="1" applyFill="1" applyBorder="1" applyAlignment="1">
      <alignment horizontal="left"/>
    </xf>
    <xf numFmtId="44" fontId="2" fillId="2" borderId="11" xfId="0" applyNumberFormat="1" applyFont="1" applyFill="1" applyBorder="1" applyAlignment="1">
      <alignment horizontal="left"/>
    </xf>
    <xf numFmtId="44" fontId="2" fillId="2" borderId="12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44" fontId="2" fillId="2" borderId="0" xfId="0" applyNumberFormat="1" applyFont="1" applyFill="1" applyBorder="1" applyAlignment="1">
      <alignment horizontal="left"/>
    </xf>
    <xf numFmtId="0" fontId="2" fillId="2" borderId="99" xfId="0" applyFont="1" applyFill="1" applyBorder="1"/>
    <xf numFmtId="44" fontId="2" fillId="2" borderId="87" xfId="0" applyNumberFormat="1" applyFont="1" applyFill="1" applyBorder="1"/>
    <xf numFmtId="0" fontId="2" fillId="2" borderId="38" xfId="0" applyFont="1" applyFill="1" applyBorder="1"/>
    <xf numFmtId="44" fontId="2" fillId="2" borderId="97" xfId="1" applyFont="1" applyFill="1" applyBorder="1"/>
    <xf numFmtId="44" fontId="2" fillId="2" borderId="32" xfId="1" applyFont="1" applyFill="1" applyBorder="1"/>
    <xf numFmtId="44" fontId="2" fillId="2" borderId="63" xfId="1" applyFont="1" applyFill="1" applyBorder="1"/>
    <xf numFmtId="44" fontId="0" fillId="2" borderId="76" xfId="1" applyFont="1" applyFill="1" applyBorder="1"/>
    <xf numFmtId="0" fontId="0" fillId="2" borderId="56" xfId="0" applyFill="1" applyBorder="1"/>
    <xf numFmtId="44" fontId="2" fillId="2" borderId="89" xfId="1" applyFont="1" applyFill="1" applyBorder="1"/>
    <xf numFmtId="44" fontId="2" fillId="2" borderId="40" xfId="1" applyFont="1" applyFill="1" applyBorder="1"/>
    <xf numFmtId="44" fontId="1" fillId="2" borderId="76" xfId="1" applyFont="1" applyFill="1" applyBorder="1"/>
    <xf numFmtId="44" fontId="1" fillId="2" borderId="17" xfId="1" applyFont="1" applyFill="1" applyBorder="1"/>
    <xf numFmtId="0" fontId="0" fillId="2" borderId="0" xfId="0" applyFont="1" applyFill="1"/>
    <xf numFmtId="44" fontId="1" fillId="2" borderId="43" xfId="1" applyFont="1" applyFill="1" applyBorder="1"/>
    <xf numFmtId="0" fontId="0" fillId="2" borderId="19" xfId="0" applyFill="1" applyBorder="1" applyAlignment="1">
      <alignment horizontal="left"/>
    </xf>
    <xf numFmtId="44" fontId="0" fillId="2" borderId="76" xfId="0" applyNumberFormat="1" applyFill="1" applyBorder="1"/>
    <xf numFmtId="44" fontId="0" fillId="2" borderId="90" xfId="0" applyNumberFormat="1" applyFill="1" applyBorder="1"/>
    <xf numFmtId="0" fontId="0" fillId="2" borderId="56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52" xfId="0" applyFont="1" applyFill="1" applyBorder="1"/>
    <xf numFmtId="44" fontId="0" fillId="2" borderId="71" xfId="0" applyNumberFormat="1" applyFill="1" applyBorder="1"/>
    <xf numFmtId="44" fontId="2" fillId="2" borderId="86" xfId="0" applyNumberFormat="1" applyFont="1" applyFill="1" applyBorder="1"/>
    <xf numFmtId="44" fontId="0" fillId="2" borderId="87" xfId="0" applyNumberFormat="1" applyFill="1" applyBorder="1"/>
    <xf numFmtId="0" fontId="2" fillId="2" borderId="0" xfId="0" applyFont="1" applyFill="1" applyBorder="1"/>
    <xf numFmtId="44" fontId="2" fillId="2" borderId="66" xfId="0" applyNumberFormat="1" applyFont="1" applyFill="1" applyBorder="1"/>
    <xf numFmtId="0" fontId="2" fillId="9" borderId="52" xfId="0" applyFont="1" applyFill="1" applyBorder="1"/>
    <xf numFmtId="44" fontId="11" fillId="2" borderId="44" xfId="1" applyFont="1" applyFill="1" applyBorder="1" applyAlignment="1">
      <alignment horizontal="center" vertical="center"/>
    </xf>
    <xf numFmtId="44" fontId="11" fillId="2" borderId="6" xfId="1" applyFont="1" applyFill="1" applyBorder="1" applyAlignment="1">
      <alignment horizontal="center" vertical="center"/>
    </xf>
    <xf numFmtId="44" fontId="12" fillId="2" borderId="98" xfId="0" applyNumberFormat="1" applyFont="1" applyFill="1" applyBorder="1" applyAlignment="1">
      <alignment horizontal="center" vertical="center"/>
    </xf>
    <xf numFmtId="44" fontId="11" fillId="2" borderId="9" xfId="1" applyFont="1" applyFill="1" applyBorder="1" applyAlignment="1">
      <alignment horizontal="center" vertical="center"/>
    </xf>
    <xf numFmtId="44" fontId="0" fillId="0" borderId="17" xfId="0" applyNumberFormat="1" applyBorder="1"/>
    <xf numFmtId="44" fontId="0" fillId="0" borderId="50" xfId="0" applyNumberFormat="1" applyBorder="1"/>
    <xf numFmtId="44" fontId="0" fillId="0" borderId="6" xfId="0" applyNumberFormat="1" applyBorder="1"/>
    <xf numFmtId="44" fontId="2" fillId="0" borderId="12" xfId="0" applyNumberFormat="1" applyFont="1" applyBorder="1"/>
    <xf numFmtId="9" fontId="0" fillId="2" borderId="49" xfId="0" applyNumberFormat="1" applyFill="1" applyBorder="1"/>
    <xf numFmtId="44" fontId="0" fillId="2" borderId="50" xfId="0" applyNumberFormat="1" applyFill="1" applyBorder="1"/>
    <xf numFmtId="9" fontId="0" fillId="2" borderId="24" xfId="0" applyNumberFormat="1" applyFill="1" applyBorder="1"/>
    <xf numFmtId="0" fontId="2" fillId="8" borderId="46" xfId="0" applyFont="1" applyFill="1" applyBorder="1"/>
    <xf numFmtId="0" fontId="2" fillId="8" borderId="47" xfId="0" applyFont="1" applyFill="1" applyBorder="1"/>
    <xf numFmtId="44" fontId="0" fillId="0" borderId="43" xfId="0" applyNumberFormat="1" applyBorder="1"/>
    <xf numFmtId="44" fontId="0" fillId="0" borderId="24" xfId="0" applyNumberFormat="1" applyBorder="1"/>
    <xf numFmtId="0" fontId="0" fillId="0" borderId="0" xfId="0" applyFill="1"/>
    <xf numFmtId="44" fontId="0" fillId="0" borderId="17" xfId="0" applyNumberFormat="1" applyFill="1" applyBorder="1"/>
    <xf numFmtId="44" fontId="0" fillId="2" borderId="75" xfId="0" applyNumberFormat="1" applyFill="1" applyBorder="1"/>
    <xf numFmtId="0" fontId="0" fillId="2" borderId="75" xfId="0" applyFill="1" applyBorder="1"/>
    <xf numFmtId="0" fontId="0" fillId="2" borderId="76" xfId="0" applyFill="1" applyBorder="1"/>
    <xf numFmtId="0" fontId="23" fillId="9" borderId="40" xfId="0" applyFont="1" applyFill="1" applyBorder="1"/>
    <xf numFmtId="0" fontId="23" fillId="9" borderId="46" xfId="0" applyFont="1" applyFill="1" applyBorder="1"/>
    <xf numFmtId="0" fontId="23" fillId="9" borderId="47" xfId="0" applyFont="1" applyFill="1" applyBorder="1"/>
    <xf numFmtId="44" fontId="0" fillId="2" borderId="24" xfId="0" applyNumberFormat="1" applyFill="1" applyBorder="1"/>
    <xf numFmtId="44" fontId="0" fillId="2" borderId="0" xfId="1" applyFont="1" applyFill="1" applyBorder="1"/>
    <xf numFmtId="0" fontId="2" fillId="2" borderId="79" xfId="0" applyFont="1" applyFill="1" applyBorder="1"/>
    <xf numFmtId="0" fontId="0" fillId="2" borderId="79" xfId="0" applyFill="1" applyBorder="1"/>
    <xf numFmtId="44" fontId="0" fillId="2" borderId="79" xfId="1" applyFont="1" applyFill="1" applyBorder="1"/>
    <xf numFmtId="9" fontId="0" fillId="2" borderId="0" xfId="0" applyNumberFormat="1" applyFill="1" applyBorder="1"/>
    <xf numFmtId="44" fontId="0" fillId="2" borderId="34" xfId="0" applyNumberFormat="1" applyFill="1" applyBorder="1" applyAlignment="1">
      <alignment horizontal="left"/>
    </xf>
    <xf numFmtId="44" fontId="0" fillId="2" borderId="91" xfId="0" applyNumberFormat="1" applyFill="1" applyBorder="1"/>
    <xf numFmtId="0" fontId="19" fillId="0" borderId="39" xfId="0" applyFont="1" applyBorder="1"/>
    <xf numFmtId="9" fontId="0" fillId="0" borderId="43" xfId="2" applyFont="1" applyBorder="1"/>
    <xf numFmtId="164" fontId="0" fillId="2" borderId="21" xfId="0" applyNumberFormat="1" applyFill="1" applyBorder="1"/>
    <xf numFmtId="164" fontId="0" fillId="2" borderId="17" xfId="0" applyNumberFormat="1" applyFill="1" applyBorder="1"/>
    <xf numFmtId="164" fontId="0" fillId="2" borderId="5" xfId="0" applyNumberFormat="1" applyFill="1" applyBorder="1"/>
    <xf numFmtId="0" fontId="24" fillId="8" borderId="4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164" fontId="0" fillId="2" borderId="43" xfId="0" applyNumberFormat="1" applyFill="1" applyBorder="1"/>
    <xf numFmtId="164" fontId="0" fillId="2" borderId="44" xfId="0" applyNumberFormat="1" applyFill="1" applyBorder="1"/>
    <xf numFmtId="0" fontId="2" fillId="0" borderId="20" xfId="0" applyFont="1" applyBorder="1" applyAlignment="1">
      <alignment horizontal="center" wrapText="1"/>
    </xf>
    <xf numFmtId="164" fontId="0" fillId="0" borderId="44" xfId="0" applyNumberFormat="1" applyBorder="1"/>
    <xf numFmtId="0" fontId="2" fillId="2" borderId="2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4" fontId="0" fillId="2" borderId="6" xfId="0" applyNumberFormat="1" applyFill="1" applyBorder="1"/>
    <xf numFmtId="44" fontId="2" fillId="0" borderId="11" xfId="0" applyNumberFormat="1" applyFont="1" applyBorder="1"/>
    <xf numFmtId="164" fontId="2" fillId="0" borderId="12" xfId="0" applyNumberFormat="1" applyFont="1" applyBorder="1"/>
    <xf numFmtId="44" fontId="2" fillId="2" borderId="0" xfId="1" applyFont="1" applyFill="1" applyBorder="1"/>
    <xf numFmtId="44" fontId="0" fillId="2" borderId="102" xfId="1" applyFont="1" applyFill="1" applyBorder="1"/>
    <xf numFmtId="44" fontId="0" fillId="2" borderId="104" xfId="1" applyFont="1" applyFill="1" applyBorder="1"/>
    <xf numFmtId="0" fontId="2" fillId="2" borderId="74" xfId="0" applyFont="1" applyFill="1" applyBorder="1"/>
    <xf numFmtId="0" fontId="2" fillId="2" borderId="22" xfId="0" applyFont="1" applyFill="1" applyBorder="1"/>
    <xf numFmtId="0" fontId="23" fillId="8" borderId="88" xfId="0" applyFont="1" applyFill="1" applyBorder="1" applyAlignment="1">
      <alignment horizontal="center"/>
    </xf>
    <xf numFmtId="44" fontId="2" fillId="2" borderId="43" xfId="1" applyFont="1" applyFill="1" applyBorder="1"/>
    <xf numFmtId="44" fontId="1" fillId="2" borderId="44" xfId="1" applyFont="1" applyFill="1" applyBorder="1"/>
    <xf numFmtId="0" fontId="2" fillId="2" borderId="77" xfId="0" applyFont="1" applyFill="1" applyBorder="1"/>
    <xf numFmtId="44" fontId="2" fillId="2" borderId="100" xfId="1" applyFont="1" applyFill="1" applyBorder="1"/>
    <xf numFmtId="0" fontId="2" fillId="2" borderId="110" xfId="0" applyFont="1" applyFill="1" applyBorder="1"/>
    <xf numFmtId="44" fontId="0" fillId="2" borderId="110" xfId="1" applyFont="1" applyFill="1" applyBorder="1"/>
    <xf numFmtId="44" fontId="2" fillId="2" borderId="24" xfId="1" applyFont="1" applyFill="1" applyBorder="1"/>
    <xf numFmtId="0" fontId="2" fillId="2" borderId="44" xfId="0" applyFont="1" applyFill="1" applyBorder="1"/>
    <xf numFmtId="0" fontId="20" fillId="2" borderId="1" xfId="0" applyFont="1" applyFill="1" applyBorder="1"/>
    <xf numFmtId="44" fontId="0" fillId="2" borderId="1" xfId="1" applyFont="1" applyFill="1" applyBorder="1"/>
    <xf numFmtId="44" fontId="2" fillId="2" borderId="49" xfId="1" applyFont="1" applyFill="1" applyBorder="1"/>
    <xf numFmtId="44" fontId="2" fillId="2" borderId="50" xfId="1" applyFont="1" applyFill="1" applyBorder="1"/>
    <xf numFmtId="44" fontId="2" fillId="2" borderId="67" xfId="1" applyFont="1" applyFill="1" applyBorder="1"/>
    <xf numFmtId="44" fontId="0" fillId="2" borderId="68" xfId="1" applyFont="1" applyFill="1" applyBorder="1"/>
    <xf numFmtId="0" fontId="0" fillId="2" borderId="100" xfId="0" applyFill="1" applyBorder="1"/>
    <xf numFmtId="0" fontId="0" fillId="0" borderId="21" xfId="2" applyNumberFormat="1" applyFont="1" applyBorder="1"/>
    <xf numFmtId="0" fontId="26" fillId="0" borderId="0" xfId="3" applyAlignment="1" applyProtection="1"/>
    <xf numFmtId="10" fontId="2" fillId="0" borderId="21" xfId="2" applyNumberFormat="1" applyFont="1" applyBorder="1"/>
    <xf numFmtId="10" fontId="0" fillId="0" borderId="0" xfId="2" applyNumberFormat="1" applyFont="1"/>
    <xf numFmtId="0" fontId="2" fillId="2" borderId="48" xfId="0" applyFont="1" applyFill="1" applyBorder="1"/>
    <xf numFmtId="0" fontId="0" fillId="2" borderId="70" xfId="0" applyFill="1" applyBorder="1"/>
    <xf numFmtId="10" fontId="0" fillId="2" borderId="13" xfId="0" applyNumberFormat="1" applyFill="1" applyBorder="1"/>
    <xf numFmtId="0" fontId="2" fillId="2" borderId="78" xfId="0" applyFont="1" applyFill="1" applyBorder="1"/>
    <xf numFmtId="10" fontId="0" fillId="2" borderId="33" xfId="0" applyNumberFormat="1" applyFill="1" applyBorder="1"/>
    <xf numFmtId="10" fontId="0" fillId="2" borderId="98" xfId="2" applyNumberFormat="1" applyFont="1" applyFill="1" applyBorder="1"/>
    <xf numFmtId="10" fontId="0" fillId="2" borderId="68" xfId="0" applyNumberFormat="1" applyFill="1" applyBorder="1"/>
    <xf numFmtId="0" fontId="0" fillId="0" borderId="22" xfId="0" applyBorder="1"/>
    <xf numFmtId="9" fontId="0" fillId="0" borderId="22" xfId="0" applyNumberFormat="1" applyBorder="1"/>
    <xf numFmtId="0" fontId="0" fillId="0" borderId="39" xfId="0" applyBorder="1" applyAlignment="1">
      <alignment horizontal="center"/>
    </xf>
    <xf numFmtId="44" fontId="2" fillId="0" borderId="44" xfId="0" applyNumberFormat="1" applyFont="1" applyBorder="1"/>
    <xf numFmtId="0" fontId="24" fillId="9" borderId="40" xfId="0" applyFont="1" applyFill="1" applyBorder="1" applyAlignment="1">
      <alignment horizontal="center" vertical="center" wrapText="1"/>
    </xf>
    <xf numFmtId="0" fontId="24" fillId="9" borderId="46" xfId="0" applyFont="1" applyFill="1" applyBorder="1" applyAlignment="1">
      <alignment horizontal="center" vertical="center" wrapText="1"/>
    </xf>
    <xf numFmtId="0" fontId="24" fillId="9" borderId="4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2" borderId="0" xfId="0" applyFont="1" applyFill="1" applyBorder="1" applyAlignment="1">
      <alignment horizontal="center"/>
    </xf>
    <xf numFmtId="0" fontId="2" fillId="2" borderId="21" xfId="0" applyFont="1" applyFill="1" applyBorder="1"/>
    <xf numFmtId="44" fontId="0" fillId="2" borderId="21" xfId="0" applyNumberForma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9" fontId="0" fillId="2" borderId="21" xfId="0" applyNumberFormat="1" applyFill="1" applyBorder="1" applyAlignment="1">
      <alignment vertical="center"/>
    </xf>
    <xf numFmtId="44" fontId="0" fillId="2" borderId="21" xfId="0" applyNumberFormat="1" applyFill="1" applyBorder="1" applyAlignment="1">
      <alignment vertical="center" wrapText="1"/>
    </xf>
    <xf numFmtId="9" fontId="0" fillId="2" borderId="17" xfId="0" applyNumberFormat="1" applyFill="1" applyBorder="1" applyAlignment="1">
      <alignment vertical="center"/>
    </xf>
    <xf numFmtId="44" fontId="0" fillId="2" borderId="17" xfId="0" applyNumberFormat="1" applyFill="1" applyBorder="1" applyAlignment="1">
      <alignment vertical="center"/>
    </xf>
    <xf numFmtId="44" fontId="0" fillId="2" borderId="17" xfId="0" applyNumberFormat="1" applyFill="1" applyBorder="1" applyAlignment="1">
      <alignment vertical="center" wrapText="1"/>
    </xf>
    <xf numFmtId="0" fontId="0" fillId="2" borderId="39" xfId="0" applyFill="1" applyBorder="1" applyAlignment="1">
      <alignment vertical="center"/>
    </xf>
    <xf numFmtId="44" fontId="0" fillId="2" borderId="43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44" fontId="2" fillId="2" borderId="44" xfId="0" applyNumberFormat="1" applyFont="1" applyFill="1" applyBorder="1" applyAlignment="1">
      <alignment vertical="center"/>
    </xf>
    <xf numFmtId="0" fontId="0" fillId="2" borderId="103" xfId="0" applyFill="1" applyBorder="1" applyAlignment="1">
      <alignment vertical="center"/>
    </xf>
    <xf numFmtId="0" fontId="0" fillId="2" borderId="84" xfId="0" applyFill="1" applyBorder="1" applyAlignment="1">
      <alignment vertical="center"/>
    </xf>
    <xf numFmtId="0" fontId="0" fillId="2" borderId="84" xfId="0" applyFill="1" applyBorder="1" applyAlignment="1">
      <alignment vertical="center" wrapText="1"/>
    </xf>
    <xf numFmtId="44" fontId="2" fillId="2" borderId="45" xfId="1" applyFont="1" applyFill="1" applyBorder="1" applyAlignment="1">
      <alignment vertical="center"/>
    </xf>
    <xf numFmtId="0" fontId="24" fillId="9" borderId="40" xfId="0" applyFont="1" applyFill="1" applyBorder="1" applyAlignment="1">
      <alignment vertical="center"/>
    </xf>
    <xf numFmtId="0" fontId="24" fillId="9" borderId="46" xfId="0" applyFont="1" applyFill="1" applyBorder="1" applyAlignment="1">
      <alignment vertical="center"/>
    </xf>
    <xf numFmtId="0" fontId="24" fillId="9" borderId="46" xfId="0" applyFont="1" applyFill="1" applyBorder="1" applyAlignment="1">
      <alignment vertical="center" wrapText="1"/>
    </xf>
    <xf numFmtId="0" fontId="24" fillId="9" borderId="47" xfId="0" applyFont="1" applyFill="1" applyBorder="1" applyAlignment="1">
      <alignment vertical="center"/>
    </xf>
    <xf numFmtId="44" fontId="0" fillId="2" borderId="17" xfId="1" applyFont="1" applyFill="1" applyBorder="1" applyAlignment="1">
      <alignment vertical="center"/>
    </xf>
    <xf numFmtId="0" fontId="2" fillId="8" borderId="47" xfId="0" applyFont="1" applyFill="1" applyBorder="1" applyAlignment="1">
      <alignment horizontal="center"/>
    </xf>
    <xf numFmtId="9" fontId="0" fillId="0" borderId="21" xfId="2" applyFont="1" applyBorder="1" applyAlignment="1">
      <alignment horizontal="center"/>
    </xf>
    <xf numFmtId="9" fontId="0" fillId="3" borderId="21" xfId="2" applyFont="1" applyFill="1" applyBorder="1"/>
    <xf numFmtId="9" fontId="0" fillId="3" borderId="24" xfId="2" applyFont="1" applyFill="1" applyBorder="1"/>
    <xf numFmtId="44" fontId="0" fillId="0" borderId="62" xfId="1" applyFont="1" applyBorder="1"/>
    <xf numFmtId="44" fontId="2" fillId="0" borderId="66" xfId="1" applyFont="1" applyBorder="1" applyAlignment="1">
      <alignment horizontal="center"/>
    </xf>
    <xf numFmtId="44" fontId="0" fillId="2" borderId="61" xfId="1" applyFont="1" applyFill="1" applyBorder="1"/>
    <xf numFmtId="44" fontId="0" fillId="2" borderId="62" xfId="1" applyFont="1" applyFill="1" applyBorder="1"/>
    <xf numFmtId="44" fontId="2" fillId="2" borderId="51" xfId="1" applyFont="1" applyFill="1" applyBorder="1"/>
    <xf numFmtId="0" fontId="0" fillId="0" borderId="0" xfId="0" applyAlignment="1">
      <alignment horizontal="center"/>
    </xf>
    <xf numFmtId="0" fontId="2" fillId="0" borderId="21" xfId="0" applyFont="1" applyBorder="1" applyAlignment="1">
      <alignment horizontal="center"/>
    </xf>
    <xf numFmtId="1" fontId="0" fillId="2" borderId="16" xfId="0" applyNumberFormat="1" applyFill="1" applyBorder="1"/>
    <xf numFmtId="1" fontId="0" fillId="2" borderId="18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5" xfId="0" applyNumberFormat="1" applyFill="1" applyBorder="1"/>
    <xf numFmtId="1" fontId="2" fillId="8" borderId="4" xfId="0" applyNumberFormat="1" applyFont="1" applyFill="1" applyBorder="1"/>
    <xf numFmtId="1" fontId="2" fillId="8" borderId="5" xfId="0" applyNumberFormat="1" applyFont="1" applyFill="1" applyBorder="1"/>
    <xf numFmtId="1" fontId="2" fillId="8" borderId="14" xfId="0" applyNumberFormat="1" applyFont="1" applyFill="1" applyBorder="1"/>
    <xf numFmtId="1" fontId="2" fillId="8" borderId="15" xfId="0" applyNumberFormat="1" applyFont="1" applyFill="1" applyBorder="1"/>
    <xf numFmtId="1" fontId="0" fillId="10" borderId="1" xfId="0" applyNumberFormat="1" applyFill="1" applyBorder="1"/>
    <xf numFmtId="1" fontId="0" fillId="10" borderId="13" xfId="0" applyNumberFormat="1" applyFill="1" applyBorder="1"/>
    <xf numFmtId="0" fontId="2" fillId="8" borderId="5" xfId="0" applyFont="1" applyFill="1" applyBorder="1" applyAlignment="1">
      <alignment horizontal="center"/>
    </xf>
    <xf numFmtId="1" fontId="0" fillId="2" borderId="35" xfId="0" applyNumberFormat="1" applyFill="1" applyBorder="1"/>
    <xf numFmtId="0" fontId="2" fillId="8" borderId="41" xfId="0" applyFont="1" applyFill="1" applyBorder="1"/>
    <xf numFmtId="0" fontId="2" fillId="8" borderId="42" xfId="0" applyFont="1" applyFill="1" applyBorder="1"/>
    <xf numFmtId="1" fontId="0" fillId="2" borderId="12" xfId="0" applyNumberFormat="1" applyFill="1" applyBorder="1"/>
    <xf numFmtId="0" fontId="27" fillId="8" borderId="40" xfId="0" applyFont="1" applyFill="1" applyBorder="1" applyAlignment="1">
      <alignment vertical="center" wrapText="1"/>
    </xf>
    <xf numFmtId="0" fontId="27" fillId="8" borderId="46" xfId="0" applyFont="1" applyFill="1" applyBorder="1" applyAlignment="1">
      <alignment vertical="center" wrapText="1"/>
    </xf>
    <xf numFmtId="0" fontId="27" fillId="8" borderId="47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7" xfId="0" applyBorder="1" applyAlignment="1">
      <alignment vertical="center"/>
    </xf>
    <xf numFmtId="166" fontId="0" fillId="0" borderId="17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0" fillId="0" borderId="43" xfId="0" applyNumberForma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/>
    </xf>
    <xf numFmtId="166" fontId="0" fillId="0" borderId="24" xfId="0" applyNumberFormat="1" applyBorder="1" applyAlignment="1">
      <alignment vertical="center"/>
    </xf>
    <xf numFmtId="1" fontId="0" fillId="0" borderId="24" xfId="0" applyNumberFormat="1" applyBorder="1" applyAlignment="1">
      <alignment vertical="center"/>
    </xf>
    <xf numFmtId="1" fontId="0" fillId="0" borderId="45" xfId="0" applyNumberFormat="1" applyBorder="1" applyAlignment="1">
      <alignment vertical="center"/>
    </xf>
    <xf numFmtId="0" fontId="2" fillId="8" borderId="46" xfId="0" applyFont="1" applyFill="1" applyBorder="1" applyAlignment="1">
      <alignment vertical="center"/>
    </xf>
    <xf numFmtId="0" fontId="2" fillId="8" borderId="47" xfId="0" applyFont="1" applyFill="1" applyBorder="1" applyAlignment="1">
      <alignment vertical="center"/>
    </xf>
    <xf numFmtId="0" fontId="0" fillId="8" borderId="40" xfId="0" applyFill="1" applyBorder="1" applyAlignment="1">
      <alignment vertical="center" wrapText="1"/>
    </xf>
    <xf numFmtId="0" fontId="2" fillId="2" borderId="3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3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8" borderId="53" xfId="0" applyFont="1" applyFill="1" applyBorder="1"/>
    <xf numFmtId="0" fontId="2" fillId="8" borderId="4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1" fontId="2" fillId="10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10" borderId="53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/>
    </xf>
    <xf numFmtId="0" fontId="2" fillId="8" borderId="7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7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48" xfId="0" applyFill="1" applyBorder="1" applyAlignment="1">
      <alignment horizontal="center"/>
    </xf>
    <xf numFmtId="0" fontId="0" fillId="10" borderId="70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2" borderId="84" xfId="0" applyFill="1" applyBorder="1" applyAlignment="1">
      <alignment horizontal="center"/>
    </xf>
    <xf numFmtId="0" fontId="11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2" fillId="8" borderId="53" xfId="0" applyFont="1" applyFill="1" applyBorder="1" applyAlignment="1">
      <alignment horizontal="left" vertical="center"/>
    </xf>
    <xf numFmtId="0" fontId="2" fillId="8" borderId="41" xfId="0" applyFont="1" applyFill="1" applyBorder="1" applyAlignment="1">
      <alignment horizontal="left" vertical="center"/>
    </xf>
    <xf numFmtId="0" fontId="2" fillId="8" borderId="42" xfId="0" applyFont="1" applyFill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11" fillId="2" borderId="123" xfId="0" applyFont="1" applyFill="1" applyBorder="1" applyAlignment="1">
      <alignment horizontal="left" vertical="center"/>
    </xf>
    <xf numFmtId="0" fontId="11" fillId="2" borderId="122" xfId="0" applyFont="1" applyFill="1" applyBorder="1" applyAlignment="1">
      <alignment horizontal="left" vertical="center"/>
    </xf>
    <xf numFmtId="0" fontId="11" fillId="2" borderId="124" xfId="0" applyFont="1" applyFill="1" applyBorder="1" applyAlignment="1">
      <alignment horizontal="left" vertical="center"/>
    </xf>
    <xf numFmtId="0" fontId="2" fillId="8" borderId="40" xfId="0" applyFont="1" applyFill="1" applyBorder="1" applyAlignment="1">
      <alignment horizontal="center"/>
    </xf>
    <xf numFmtId="0" fontId="2" fillId="8" borderId="47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textRotation="90"/>
    </xf>
    <xf numFmtId="0" fontId="0" fillId="3" borderId="100" xfId="0" applyFill="1" applyBorder="1" applyAlignment="1">
      <alignment horizontal="center" vertical="center" textRotation="90"/>
    </xf>
    <xf numFmtId="0" fontId="0" fillId="3" borderId="9" xfId="0" applyFill="1" applyBorder="1" applyAlignment="1">
      <alignment horizontal="center" vertical="center" textRotation="90"/>
    </xf>
    <xf numFmtId="0" fontId="0" fillId="3" borderId="98" xfId="0" applyFill="1" applyBorder="1" applyAlignment="1">
      <alignment horizontal="center" vertical="center" textRotation="90"/>
    </xf>
    <xf numFmtId="0" fontId="0" fillId="3" borderId="21" xfId="0" applyFill="1" applyBorder="1" applyAlignment="1">
      <alignment horizontal="center" vertical="center" textRotation="90"/>
    </xf>
    <xf numFmtId="0" fontId="2" fillId="0" borderId="5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36" xfId="0" applyFill="1" applyBorder="1" applyAlignment="1">
      <alignment horizontal="center" vertical="center" textRotation="90"/>
    </xf>
    <xf numFmtId="0" fontId="0" fillId="3" borderId="37" xfId="0" applyFill="1" applyBorder="1" applyAlignment="1">
      <alignment horizontal="center" vertical="center" textRotation="90"/>
    </xf>
    <xf numFmtId="0" fontId="0" fillId="3" borderId="26" xfId="0" applyFill="1" applyBorder="1" applyAlignment="1">
      <alignment horizontal="center" vertical="center" textRotation="90"/>
    </xf>
    <xf numFmtId="0" fontId="0" fillId="3" borderId="28" xfId="0" applyFill="1" applyBorder="1" applyAlignment="1">
      <alignment horizontal="center" vertical="center" textRotation="90"/>
    </xf>
    <xf numFmtId="0" fontId="0" fillId="2" borderId="7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8" xfId="0" applyFill="1" applyBorder="1" applyAlignment="1">
      <alignment horizontal="center"/>
    </xf>
    <xf numFmtId="0" fontId="0" fillId="2" borderId="109" xfId="0" applyFill="1" applyBorder="1" applyAlignment="1">
      <alignment horizontal="center"/>
    </xf>
    <xf numFmtId="0" fontId="2" fillId="2" borderId="110" xfId="0" applyFont="1" applyFill="1" applyBorder="1" applyAlignment="1">
      <alignment horizontal="center"/>
    </xf>
    <xf numFmtId="0" fontId="2" fillId="2" borderId="1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84" xfId="0" applyFont="1" applyFill="1" applyBorder="1" applyAlignment="1">
      <alignment horizontal="center"/>
    </xf>
    <xf numFmtId="0" fontId="15" fillId="4" borderId="112" xfId="0" applyFont="1" applyFill="1" applyBorder="1" applyAlignment="1">
      <alignment horizontal="left" wrapText="1" indent="2"/>
    </xf>
    <xf numFmtId="0" fontId="15" fillId="4" borderId="115" xfId="0" applyFont="1" applyFill="1" applyBorder="1" applyAlignment="1">
      <alignment horizontal="left" wrapText="1" indent="2"/>
    </xf>
    <xf numFmtId="0" fontId="15" fillId="4" borderId="118" xfId="0" applyFont="1" applyFill="1" applyBorder="1" applyAlignment="1">
      <alignment horizontal="left" wrapText="1" indent="2"/>
    </xf>
    <xf numFmtId="0" fontId="2" fillId="8" borderId="53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2" borderId="81" xfId="0" applyFont="1" applyFill="1" applyBorder="1" applyAlignment="1">
      <alignment horizontal="left"/>
    </xf>
    <xf numFmtId="0" fontId="0" fillId="2" borderId="82" xfId="0" applyFill="1" applyBorder="1" applyAlignment="1">
      <alignment horizontal="left"/>
    </xf>
    <xf numFmtId="0" fontId="29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30" fillId="0" borderId="0" xfId="4" applyFont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30" fillId="0" borderId="21" xfId="4" applyFont="1" applyBorder="1" applyAlignment="1">
      <alignment vertical="center"/>
    </xf>
    <xf numFmtId="0" fontId="30" fillId="0" borderId="0" xfId="4" applyFont="1" applyBorder="1" applyAlignment="1">
      <alignment horizontal="left" vertical="center" wrapText="1"/>
    </xf>
    <xf numFmtId="0" fontId="30" fillId="0" borderId="0" xfId="4" applyFont="1" applyBorder="1" applyAlignment="1">
      <alignment horizontal="left" vertical="center" wrapText="1"/>
    </xf>
    <xf numFmtId="0" fontId="31" fillId="0" borderId="0" xfId="4" applyFont="1" applyBorder="1" applyAlignment="1">
      <alignment horizontal="left" vertical="center" wrapText="1"/>
    </xf>
    <xf numFmtId="0" fontId="30" fillId="0" borderId="21" xfId="4" applyFont="1" applyBorder="1" applyAlignment="1">
      <alignment horizontal="left" vertical="center" wrapText="1"/>
    </xf>
    <xf numFmtId="0" fontId="30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vertical="center" wrapText="1"/>
    </xf>
    <xf numFmtId="0" fontId="32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vertical="center"/>
    </xf>
    <xf numFmtId="0" fontId="31" fillId="0" borderId="0" xfId="4" applyFont="1" applyBorder="1" applyAlignment="1">
      <alignment horizontal="justify" vertical="center"/>
    </xf>
    <xf numFmtId="0" fontId="31" fillId="0" borderId="0" xfId="4" applyFont="1" applyBorder="1" applyAlignment="1">
      <alignment horizontal="left" vertical="center"/>
    </xf>
    <xf numFmtId="17" fontId="2" fillId="0" borderId="0" xfId="0" applyNumberFormat="1" applyFont="1"/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" fillId="11" borderId="21" xfId="0" applyFont="1" applyFill="1" applyBorder="1" applyAlignment="1">
      <alignment horizontal="center"/>
    </xf>
    <xf numFmtId="17" fontId="2" fillId="12" borderId="21" xfId="0" applyNumberFormat="1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31" fillId="14" borderId="21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/>
    </xf>
    <xf numFmtId="0" fontId="31" fillId="15" borderId="21" xfId="0" applyFont="1" applyFill="1" applyBorder="1" applyAlignment="1">
      <alignment horizontal="center" vertical="center"/>
    </xf>
    <xf numFmtId="0" fontId="23" fillId="15" borderId="21" xfId="0" applyFont="1" applyFill="1" applyBorder="1" applyAlignment="1">
      <alignment horizontal="center"/>
    </xf>
    <xf numFmtId="0" fontId="31" fillId="16" borderId="21" xfId="0" applyFont="1" applyFill="1" applyBorder="1" applyAlignment="1">
      <alignment horizontal="center" vertical="center"/>
    </xf>
    <xf numFmtId="0" fontId="31" fillId="17" borderId="21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/>
    </xf>
    <xf numFmtId="0" fontId="31" fillId="18" borderId="21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5" borderId="21" xfId="0" applyFill="1" applyBorder="1" applyAlignment="1">
      <alignment horizontal="center"/>
    </xf>
    <xf numFmtId="0" fontId="0" fillId="16" borderId="21" xfId="0" applyFill="1" applyBorder="1" applyAlignment="1">
      <alignment horizontal="center"/>
    </xf>
    <xf numFmtId="0" fontId="0" fillId="17" borderId="21" xfId="0" applyFill="1" applyBorder="1" applyAlignment="1">
      <alignment horizontal="center"/>
    </xf>
    <xf numFmtId="0" fontId="0" fillId="18" borderId="2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34" fillId="15" borderId="21" xfId="0" applyFont="1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11" borderId="21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4" fillId="15" borderId="21" xfId="0" applyFont="1" applyFill="1" applyBorder="1" applyAlignment="1">
      <alignment horizontal="center" vertical="center"/>
    </xf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2" fillId="15" borderId="0" xfId="0" applyFont="1" applyFill="1"/>
    <xf numFmtId="0" fontId="2" fillId="16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3" borderId="0" xfId="0" applyFont="1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34" fillId="15" borderId="0" xfId="0" applyFont="1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3" borderId="0" xfId="0" applyFill="1"/>
    <xf numFmtId="0" fontId="0" fillId="11" borderId="0" xfId="0" applyFill="1"/>
    <xf numFmtId="0" fontId="0" fillId="2" borderId="13" xfId="0" applyFill="1" applyBorder="1"/>
    <xf numFmtId="0" fontId="0" fillId="0" borderId="6" xfId="0" applyBorder="1"/>
    <xf numFmtId="0" fontId="2" fillId="0" borderId="12" xfId="0" applyFont="1" applyBorder="1"/>
    <xf numFmtId="0" fontId="2" fillId="0" borderId="49" xfId="0" applyFont="1" applyBorder="1"/>
    <xf numFmtId="0" fontId="2" fillId="0" borderId="50" xfId="0" applyFont="1" applyBorder="1"/>
    <xf numFmtId="17" fontId="0" fillId="0" borderId="20" xfId="0" applyNumberFormat="1" applyBorder="1"/>
    <xf numFmtId="0" fontId="2" fillId="0" borderId="24" xfId="0" applyFont="1" applyBorder="1"/>
    <xf numFmtId="0" fontId="2" fillId="0" borderId="45" xfId="0" applyFont="1" applyBorder="1"/>
    <xf numFmtId="17" fontId="0" fillId="0" borderId="0" xfId="0" applyNumberFormat="1"/>
  </cellXfs>
  <cellStyles count="5">
    <cellStyle name="Currency" xfId="1" builtinId="4"/>
    <cellStyle name="Hyperlink" xfId="3" builtinId="8"/>
    <cellStyle name="Normal" xfId="0" builtinId="0"/>
    <cellStyle name="Normal 2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title>
      <c:tx>
        <c:rich>
          <a:bodyPr/>
          <a:lstStyle/>
          <a:p>
            <a:pPr>
              <a:defRPr/>
            </a:pPr>
            <a:r>
              <a:rPr lang="es-MX"/>
              <a:t>SEXO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"/>
          <c:dPt>
            <c:idx val="1"/>
            <c:explosion val="10"/>
          </c:dPt>
          <c:dLbls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Percent val="1"/>
            <c:showLeaderLines val="1"/>
          </c:dLbls>
          <c:cat>
            <c:strRef>
              <c:f>'Resultados Encuesta'!$A$3:$A$4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'Resultados Encuesta'!$B$3:$B$4</c:f>
              <c:numCache>
                <c:formatCode>General</c:formatCode>
                <c:ptCount val="2"/>
                <c:pt idx="0">
                  <c:v>193</c:v>
                </c:pt>
                <c:pt idx="1">
                  <c:v>207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Preferencia</a:t>
            </a:r>
            <a:r>
              <a:rPr lang="es-MX" baseline="0"/>
              <a:t> Grado 1</a:t>
            </a:r>
            <a:endParaRPr lang="es-MX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Encuesta'!$B$130</c:f>
              <c:strCache>
                <c:ptCount val="1"/>
                <c:pt idx="0">
                  <c:v>1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Encuesta'!$B$131:$B$137</c:f>
              <c:numCache>
                <c:formatCode>General</c:formatCode>
                <c:ptCount val="7"/>
                <c:pt idx="0">
                  <c:v>24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155</c:v>
                </c:pt>
                <c:pt idx="5">
                  <c:v>101</c:v>
                </c:pt>
                <c:pt idx="6">
                  <c:v>14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Preferencia Grado</a:t>
            </a:r>
            <a:r>
              <a:rPr lang="es-MX" baseline="0"/>
              <a:t> </a:t>
            </a:r>
            <a:r>
              <a:rPr lang="es-MX"/>
              <a:t>2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Encuesta'!$C$130</c:f>
              <c:strCache>
                <c:ptCount val="1"/>
                <c:pt idx="0">
                  <c:v>2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Encuesta'!$C$131:$C$137</c:f>
              <c:numCache>
                <c:formatCode>General</c:formatCode>
                <c:ptCount val="7"/>
                <c:pt idx="0">
                  <c:v>38</c:v>
                </c:pt>
                <c:pt idx="1">
                  <c:v>55</c:v>
                </c:pt>
                <c:pt idx="2">
                  <c:v>39</c:v>
                </c:pt>
                <c:pt idx="3">
                  <c:v>42</c:v>
                </c:pt>
                <c:pt idx="4">
                  <c:v>78</c:v>
                </c:pt>
                <c:pt idx="5">
                  <c:v>109</c:v>
                </c:pt>
                <c:pt idx="6">
                  <c:v>42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Preferencia Grado 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Encuesta'!$D$130</c:f>
              <c:strCache>
                <c:ptCount val="1"/>
                <c:pt idx="0">
                  <c:v>3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Encuesta'!$D$131:$D$137</c:f>
              <c:numCache>
                <c:formatCode>General</c:formatCode>
                <c:ptCount val="7"/>
                <c:pt idx="0">
                  <c:v>55</c:v>
                </c:pt>
                <c:pt idx="1">
                  <c:v>101</c:v>
                </c:pt>
                <c:pt idx="2">
                  <c:v>40</c:v>
                </c:pt>
                <c:pt idx="3">
                  <c:v>39</c:v>
                </c:pt>
                <c:pt idx="4">
                  <c:v>42</c:v>
                </c:pt>
                <c:pt idx="5">
                  <c:v>63</c:v>
                </c:pt>
                <c:pt idx="6">
                  <c:v>56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Preferencia Grado 4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Encuesta'!$E$130</c:f>
              <c:strCache>
                <c:ptCount val="1"/>
                <c:pt idx="0">
                  <c:v>4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Encuesta'!$E$131:$E$137</c:f>
              <c:numCache>
                <c:formatCode>General</c:formatCode>
                <c:ptCount val="7"/>
                <c:pt idx="0">
                  <c:v>79</c:v>
                </c:pt>
                <c:pt idx="1">
                  <c:v>58</c:v>
                </c:pt>
                <c:pt idx="2">
                  <c:v>79</c:v>
                </c:pt>
                <c:pt idx="3">
                  <c:v>38</c:v>
                </c:pt>
                <c:pt idx="4">
                  <c:v>50</c:v>
                </c:pt>
                <c:pt idx="5">
                  <c:v>51</c:v>
                </c:pt>
                <c:pt idx="6">
                  <c:v>46</c:v>
                </c:pt>
              </c:numCache>
            </c:numRef>
          </c:val>
        </c:ser>
        <c:ser>
          <c:idx val="1"/>
          <c:order val="1"/>
          <c:tx>
            <c:strRef>
              <c:f>'Resultados Encuesta'!$E$136</c:f>
              <c:strCache>
                <c:ptCount val="1"/>
                <c:pt idx="0">
                  <c:v>51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Encuesta'!$E$137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Preferencia Grado 5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Encuesta'!$F$130</c:f>
              <c:strCache>
                <c:ptCount val="1"/>
                <c:pt idx="0">
                  <c:v>5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Encuesta'!$F$131:$F$137</c:f>
              <c:numCache>
                <c:formatCode>General</c:formatCode>
                <c:ptCount val="7"/>
                <c:pt idx="0">
                  <c:v>51</c:v>
                </c:pt>
                <c:pt idx="1">
                  <c:v>65</c:v>
                </c:pt>
                <c:pt idx="2">
                  <c:v>100</c:v>
                </c:pt>
                <c:pt idx="3">
                  <c:v>57</c:v>
                </c:pt>
                <c:pt idx="4">
                  <c:v>22</c:v>
                </c:pt>
                <c:pt idx="5">
                  <c:v>42</c:v>
                </c:pt>
                <c:pt idx="6">
                  <c:v>64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Prefencia Grado 6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Encuesta'!$G$130</c:f>
              <c:strCache>
                <c:ptCount val="1"/>
                <c:pt idx="0">
                  <c:v>6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Encuesta'!$G$131:$G$137</c:f>
              <c:numCache>
                <c:formatCode>General</c:formatCode>
                <c:ptCount val="7"/>
                <c:pt idx="0">
                  <c:v>72</c:v>
                </c:pt>
                <c:pt idx="1">
                  <c:v>31</c:v>
                </c:pt>
                <c:pt idx="2">
                  <c:v>63</c:v>
                </c:pt>
                <c:pt idx="3">
                  <c:v>89</c:v>
                </c:pt>
                <c:pt idx="4">
                  <c:v>32</c:v>
                </c:pt>
                <c:pt idx="5">
                  <c:v>20</c:v>
                </c:pt>
                <c:pt idx="6">
                  <c:v>94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Preferecia Grado 7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Encuesta'!$H$130</c:f>
              <c:strCache>
                <c:ptCount val="1"/>
                <c:pt idx="0">
                  <c:v>7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Encuesta'!$A$131:$A$137</c:f>
              <c:strCache>
                <c:ptCount val="7"/>
                <c:pt idx="0">
                  <c:v>COLOR</c:v>
                </c:pt>
                <c:pt idx="1">
                  <c:v>TAMAÑO</c:v>
                </c:pt>
                <c:pt idx="2">
                  <c:v>DISEÑO</c:v>
                </c:pt>
                <c:pt idx="3">
                  <c:v>MARCA</c:v>
                </c:pt>
                <c:pt idx="4">
                  <c:v>PRECIO</c:v>
                </c:pt>
                <c:pt idx="5">
                  <c:v>CALIDAD</c:v>
                </c:pt>
                <c:pt idx="6">
                  <c:v>MATERIAL</c:v>
                </c:pt>
              </c:strCache>
            </c:strRef>
          </c:cat>
          <c:val>
            <c:numRef>
              <c:f>'Resultados Encuesta'!$H$131:$H$137</c:f>
              <c:numCache>
                <c:formatCode>General</c:formatCode>
                <c:ptCount val="7"/>
                <c:pt idx="0">
                  <c:v>81</c:v>
                </c:pt>
                <c:pt idx="1">
                  <c:v>51</c:v>
                </c:pt>
                <c:pt idx="2">
                  <c:v>30</c:v>
                </c:pt>
                <c:pt idx="3">
                  <c:v>116</c:v>
                </c:pt>
                <c:pt idx="4">
                  <c:v>21</c:v>
                </c:pt>
                <c:pt idx="5">
                  <c:v>14</c:v>
                </c:pt>
                <c:pt idx="6">
                  <c:v>84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s-MX"/>
              <a:t>RANGO</a:t>
            </a:r>
            <a:r>
              <a:rPr lang="es-MX" baseline="0"/>
              <a:t> DE EDAD</a:t>
            </a:r>
            <a:endParaRPr lang="es-MX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'Resultados Encuesta'!$D$22</c:f>
              <c:strCache>
                <c:ptCount val="1"/>
                <c:pt idx="0">
                  <c:v>TOTAL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'Resultados Encuesta'!$A$23:$A$26</c:f>
              <c:strCache>
                <c:ptCount val="4"/>
                <c:pt idx="0">
                  <c:v>12 A 17</c:v>
                </c:pt>
                <c:pt idx="1">
                  <c:v>18 A 24</c:v>
                </c:pt>
                <c:pt idx="2">
                  <c:v>25 A 40</c:v>
                </c:pt>
                <c:pt idx="3">
                  <c:v>MAS DE 40</c:v>
                </c:pt>
              </c:strCache>
            </c:strRef>
          </c:cat>
          <c:val>
            <c:numRef>
              <c:f>'Resultados Encuesta'!$D$23:$D$26</c:f>
              <c:numCache>
                <c:formatCode>General</c:formatCode>
                <c:ptCount val="4"/>
                <c:pt idx="0">
                  <c:v>82</c:v>
                </c:pt>
                <c:pt idx="1">
                  <c:v>196</c:v>
                </c:pt>
                <c:pt idx="2">
                  <c:v>85</c:v>
                </c:pt>
                <c:pt idx="3">
                  <c:v>37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Rango</a:t>
            </a:r>
            <a:r>
              <a:rPr lang="es-MX" baseline="0"/>
              <a:t> de Edad</a:t>
            </a:r>
            <a:endParaRPr lang="es-MX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'Resultados Encuesta'!$B$22</c:f>
              <c:strCache>
                <c:ptCount val="1"/>
                <c:pt idx="0">
                  <c:v>HOMBRES</c:v>
                </c:pt>
              </c:strCache>
            </c:strRef>
          </c:tx>
          <c:cat>
            <c:strRef>
              <c:f>'Resultados Encuesta'!$A$23:$A$26</c:f>
              <c:strCache>
                <c:ptCount val="4"/>
                <c:pt idx="0">
                  <c:v>12 A 17</c:v>
                </c:pt>
                <c:pt idx="1">
                  <c:v>18 A 24</c:v>
                </c:pt>
                <c:pt idx="2">
                  <c:v>25 A 40</c:v>
                </c:pt>
                <c:pt idx="3">
                  <c:v>MAS DE 40</c:v>
                </c:pt>
              </c:strCache>
            </c:strRef>
          </c:cat>
          <c:val>
            <c:numRef>
              <c:f>'Resultados Encuesta'!$B$23:$B$26</c:f>
              <c:numCache>
                <c:formatCode>General</c:formatCode>
                <c:ptCount val="4"/>
                <c:pt idx="0">
                  <c:v>26</c:v>
                </c:pt>
                <c:pt idx="1">
                  <c:v>96</c:v>
                </c:pt>
                <c:pt idx="2">
                  <c:v>49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strRef>
              <c:f>'Resultados Encuesta'!$C$22</c:f>
              <c:strCache>
                <c:ptCount val="1"/>
                <c:pt idx="0">
                  <c:v>MUJERES</c:v>
                </c:pt>
              </c:strCache>
            </c:strRef>
          </c:tx>
          <c:cat>
            <c:strRef>
              <c:f>'Resultados Encuesta'!$A$23:$A$26</c:f>
              <c:strCache>
                <c:ptCount val="4"/>
                <c:pt idx="0">
                  <c:v>12 A 17</c:v>
                </c:pt>
                <c:pt idx="1">
                  <c:v>18 A 24</c:v>
                </c:pt>
                <c:pt idx="2">
                  <c:v>25 A 40</c:v>
                </c:pt>
                <c:pt idx="3">
                  <c:v>MAS DE 40</c:v>
                </c:pt>
              </c:strCache>
            </c:strRef>
          </c:cat>
          <c:val>
            <c:numRef>
              <c:f>'Resultados Encuesta'!$C$23:$C$26</c:f>
              <c:numCache>
                <c:formatCode>General</c:formatCode>
                <c:ptCount val="4"/>
                <c:pt idx="0">
                  <c:v>56</c:v>
                </c:pt>
                <c:pt idx="1">
                  <c:v>100</c:v>
                </c:pt>
                <c:pt idx="2">
                  <c:v>36</c:v>
                </c:pt>
                <c:pt idx="3">
                  <c:v>15</c:v>
                </c:pt>
              </c:numCache>
            </c:numRef>
          </c:val>
        </c:ser>
        <c:dLbls>
          <c:showVal val="1"/>
        </c:dLbls>
        <c:shape val="box"/>
        <c:axId val="102946688"/>
        <c:axId val="102948224"/>
        <c:axId val="0"/>
      </c:bar3DChart>
      <c:catAx>
        <c:axId val="102946688"/>
        <c:scaling>
          <c:orientation val="minMax"/>
        </c:scaling>
        <c:axPos val="b"/>
        <c:numFmt formatCode="General" sourceLinked="1"/>
        <c:majorTickMark val="none"/>
        <c:tickLblPos val="nextTo"/>
        <c:crossAx val="102948224"/>
        <c:crosses val="autoZero"/>
        <c:auto val="1"/>
        <c:lblAlgn val="ctr"/>
        <c:lblOffset val="100"/>
      </c:catAx>
      <c:valAx>
        <c:axId val="102948224"/>
        <c:scaling>
          <c:orientation val="minMax"/>
        </c:scaling>
        <c:delete val="1"/>
        <c:axPos val="l"/>
        <c:numFmt formatCode="General" sourceLinked="1"/>
        <c:tickLblPos val="none"/>
        <c:crossAx val="1029466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'Resultados Encuesta'!$A$43:$A$46</c:f>
              <c:strCache>
                <c:ptCount val="4"/>
                <c:pt idx="0">
                  <c:v>COMODIDAD</c:v>
                </c:pt>
                <c:pt idx="1">
                  <c:v>SEGURIDAD</c:v>
                </c:pt>
                <c:pt idx="2">
                  <c:v>ACCESIBILIDAD</c:v>
                </c:pt>
                <c:pt idx="3">
                  <c:v>CALIDAD S.C.</c:v>
                </c:pt>
              </c:strCache>
            </c:strRef>
          </c:cat>
          <c:val>
            <c:numRef>
              <c:f>'Resultados Encuesta'!$B$43:$B$46</c:f>
              <c:numCache>
                <c:formatCode>General</c:formatCode>
                <c:ptCount val="4"/>
                <c:pt idx="0">
                  <c:v>78</c:v>
                </c:pt>
                <c:pt idx="1">
                  <c:v>89</c:v>
                </c:pt>
                <c:pt idx="2">
                  <c:v>57</c:v>
                </c:pt>
                <c:pt idx="3">
                  <c:v>177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'Resultados Encuesta'!$A$43:$A$46</c:f>
              <c:strCache>
                <c:ptCount val="4"/>
                <c:pt idx="0">
                  <c:v>COMODIDAD</c:v>
                </c:pt>
                <c:pt idx="1">
                  <c:v>SEGURIDAD</c:v>
                </c:pt>
                <c:pt idx="2">
                  <c:v>ACCESIBILIDAD</c:v>
                </c:pt>
                <c:pt idx="3">
                  <c:v>CALIDAD S.C.</c:v>
                </c:pt>
              </c:strCache>
            </c:strRef>
          </c:cat>
          <c:val>
            <c:numRef>
              <c:f>'Resultados Encuesta'!$C$43:$C$46</c:f>
              <c:numCache>
                <c:formatCode>General</c:formatCode>
                <c:ptCount val="4"/>
                <c:pt idx="0">
                  <c:v>87</c:v>
                </c:pt>
                <c:pt idx="1">
                  <c:v>152</c:v>
                </c:pt>
                <c:pt idx="2">
                  <c:v>63</c:v>
                </c:pt>
                <c:pt idx="3">
                  <c:v>98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'Resultados Encuesta'!$A$43:$A$46</c:f>
              <c:strCache>
                <c:ptCount val="4"/>
                <c:pt idx="0">
                  <c:v>COMODIDAD</c:v>
                </c:pt>
                <c:pt idx="1">
                  <c:v>SEGURIDAD</c:v>
                </c:pt>
                <c:pt idx="2">
                  <c:v>ACCESIBILIDAD</c:v>
                </c:pt>
                <c:pt idx="3">
                  <c:v>CALIDAD S.C.</c:v>
                </c:pt>
              </c:strCache>
            </c:strRef>
          </c:cat>
          <c:val>
            <c:numRef>
              <c:f>'Resultados Encuesta'!$D$43:$D$46</c:f>
              <c:numCache>
                <c:formatCode>General</c:formatCode>
                <c:ptCount val="4"/>
                <c:pt idx="0">
                  <c:v>120</c:v>
                </c:pt>
                <c:pt idx="1">
                  <c:v>91</c:v>
                </c:pt>
                <c:pt idx="2">
                  <c:v>118</c:v>
                </c:pt>
                <c:pt idx="3">
                  <c:v>71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'Resultados Encuesta'!$A$43:$A$46</c:f>
              <c:strCache>
                <c:ptCount val="4"/>
                <c:pt idx="0">
                  <c:v>COMODIDAD</c:v>
                </c:pt>
                <c:pt idx="1">
                  <c:v>SEGURIDAD</c:v>
                </c:pt>
                <c:pt idx="2">
                  <c:v>ACCESIBILIDAD</c:v>
                </c:pt>
                <c:pt idx="3">
                  <c:v>CALIDAD S.C.</c:v>
                </c:pt>
              </c:strCache>
            </c:strRef>
          </c:cat>
          <c:val>
            <c:numRef>
              <c:f>'Resultados Encuesta'!$E$43:$E$46</c:f>
              <c:numCache>
                <c:formatCode>General</c:formatCode>
                <c:ptCount val="4"/>
                <c:pt idx="0">
                  <c:v>115</c:v>
                </c:pt>
                <c:pt idx="1">
                  <c:v>68</c:v>
                </c:pt>
                <c:pt idx="2">
                  <c:v>162</c:v>
                </c:pt>
                <c:pt idx="3">
                  <c:v>54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>
        <c:manualLayout>
          <c:layoutTarget val="inner"/>
          <c:xMode val="edge"/>
          <c:yMode val="edge"/>
          <c:x val="1.9819819819819846E-2"/>
          <c:y val="0.13423008530911679"/>
          <c:w val="0.96036036036035966"/>
          <c:h val="0.75389650735804836"/>
        </c:manualLayout>
      </c:layout>
      <c:bar3DChart>
        <c:barDir val="col"/>
        <c:grouping val="clustered"/>
        <c:ser>
          <c:idx val="0"/>
          <c:order val="0"/>
          <c:tx>
            <c:strRef>
              <c:f>'Resultados Encuesta'!$B$84</c:f>
              <c:strCache>
                <c:ptCount val="1"/>
                <c:pt idx="0">
                  <c:v>HOMBRES</c:v>
                </c:pt>
              </c:strCache>
            </c:strRef>
          </c:tx>
          <c:cat>
            <c:strRef>
              <c:f>'Resultados Encuesta'!$A$85:$A$87</c:f>
              <c:strCache>
                <c:ptCount val="3"/>
                <c:pt idx="0">
                  <c:v>CENTRO COMERCIAL</c:v>
                </c:pt>
                <c:pt idx="1">
                  <c:v>TIENDA FORMAL</c:v>
                </c:pt>
                <c:pt idx="2">
                  <c:v>AMBULANTES INFORMALES</c:v>
                </c:pt>
              </c:strCache>
            </c:strRef>
          </c:cat>
          <c:val>
            <c:numRef>
              <c:f>'Resultados Encuesta'!$B$85:$B$87</c:f>
              <c:numCache>
                <c:formatCode>General</c:formatCode>
                <c:ptCount val="3"/>
                <c:pt idx="0">
                  <c:v>115</c:v>
                </c:pt>
                <c:pt idx="1">
                  <c:v>62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'Resultados Encuesta'!$C$84</c:f>
              <c:strCache>
                <c:ptCount val="1"/>
                <c:pt idx="0">
                  <c:v>MUJERES</c:v>
                </c:pt>
              </c:strCache>
            </c:strRef>
          </c:tx>
          <c:cat>
            <c:strRef>
              <c:f>'Resultados Encuesta'!$A$85:$A$87</c:f>
              <c:strCache>
                <c:ptCount val="3"/>
                <c:pt idx="0">
                  <c:v>CENTRO COMERCIAL</c:v>
                </c:pt>
                <c:pt idx="1">
                  <c:v>TIENDA FORMAL</c:v>
                </c:pt>
                <c:pt idx="2">
                  <c:v>AMBULANTES INFORMALES</c:v>
                </c:pt>
              </c:strCache>
            </c:strRef>
          </c:cat>
          <c:val>
            <c:numRef>
              <c:f>'Resultados Encuesta'!$C$85:$C$87</c:f>
              <c:numCache>
                <c:formatCode>General</c:formatCode>
                <c:ptCount val="3"/>
                <c:pt idx="0">
                  <c:v>115</c:v>
                </c:pt>
                <c:pt idx="1">
                  <c:v>70</c:v>
                </c:pt>
                <c:pt idx="2">
                  <c:v>22</c:v>
                </c:pt>
              </c:numCache>
            </c:numRef>
          </c:val>
        </c:ser>
        <c:dLbls>
          <c:showVal val="1"/>
        </c:dLbls>
        <c:shape val="box"/>
        <c:axId val="104177664"/>
        <c:axId val="104179200"/>
        <c:axId val="0"/>
      </c:bar3DChart>
      <c:catAx>
        <c:axId val="104177664"/>
        <c:scaling>
          <c:orientation val="minMax"/>
        </c:scaling>
        <c:axPos val="b"/>
        <c:numFmt formatCode="General" sourceLinked="1"/>
        <c:majorTickMark val="none"/>
        <c:tickLblPos val="nextTo"/>
        <c:crossAx val="104179200"/>
        <c:crosses val="autoZero"/>
        <c:auto val="1"/>
        <c:lblAlgn val="ctr"/>
        <c:lblOffset val="100"/>
      </c:catAx>
      <c:valAx>
        <c:axId val="1041792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4177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1621366248137963"/>
          <c:y val="0.17405120375485295"/>
          <c:w val="0.21982478541533682"/>
          <c:h val="8.0753038176893666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5356375925535882"/>
          <c:y val="5.511811479266040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Percent val="1"/>
            <c:showLeaderLines val="1"/>
          </c:dLbls>
          <c:cat>
            <c:strRef>
              <c:f>'Resultados Encuesta'!$A$104:$A$107</c:f>
              <c:strCache>
                <c:ptCount val="4"/>
                <c:pt idx="0">
                  <c:v>NECESIDAD</c:v>
                </c:pt>
                <c:pt idx="1">
                  <c:v>PREFERENCIA</c:v>
                </c:pt>
                <c:pt idx="2">
                  <c:v>MODA</c:v>
                </c:pt>
                <c:pt idx="3">
                  <c:v>OBSEQUIO</c:v>
                </c:pt>
              </c:strCache>
            </c:strRef>
          </c:cat>
          <c:val>
            <c:numRef>
              <c:f>'Resultados Encuesta'!$D$104:$D$107</c:f>
              <c:numCache>
                <c:formatCode>General</c:formatCode>
                <c:ptCount val="4"/>
                <c:pt idx="0">
                  <c:v>342</c:v>
                </c:pt>
                <c:pt idx="1">
                  <c:v>37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</xdr:rowOff>
    </xdr:from>
    <xdr:to>
      <xdr:col>1</xdr:col>
      <xdr:colOff>685800</xdr:colOff>
      <xdr:row>3</xdr:row>
      <xdr:rowOff>57150</xdr:rowOff>
    </xdr:to>
    <xdr:pic>
      <xdr:nvPicPr>
        <xdr:cNvPr id="2" name="1 Imagen" descr="logo_espol_sol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525"/>
          <a:ext cx="609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180976</xdr:rowOff>
    </xdr:from>
    <xdr:to>
      <xdr:col>10</xdr:col>
      <xdr:colOff>171450</xdr:colOff>
      <xdr:row>15</xdr:row>
      <xdr:rowOff>161925</xdr:rowOff>
    </xdr:to>
    <xdr:graphicFrame macro="">
      <xdr:nvGraphicFramePr>
        <xdr:cNvPr id="2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19</xdr:row>
      <xdr:rowOff>180975</xdr:rowOff>
    </xdr:from>
    <xdr:to>
      <xdr:col>10</xdr:col>
      <xdr:colOff>590550</xdr:colOff>
      <xdr:row>34</xdr:row>
      <xdr:rowOff>47625</xdr:rowOff>
    </xdr:to>
    <xdr:graphicFrame macro="">
      <xdr:nvGraphicFramePr>
        <xdr:cNvPr id="3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20</xdr:row>
      <xdr:rowOff>0</xdr:rowOff>
    </xdr:from>
    <xdr:to>
      <xdr:col>17</xdr:col>
      <xdr:colOff>0</xdr:colOff>
      <xdr:row>34</xdr:row>
      <xdr:rowOff>76200</xdr:rowOff>
    </xdr:to>
    <xdr:graphicFrame macro="">
      <xdr:nvGraphicFramePr>
        <xdr:cNvPr id="4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42</xdr:row>
      <xdr:rowOff>27214</xdr:rowOff>
    </xdr:from>
    <xdr:to>
      <xdr:col>13</xdr:col>
      <xdr:colOff>1</xdr:colOff>
      <xdr:row>56</xdr:row>
      <xdr:rowOff>108857</xdr:rowOff>
    </xdr:to>
    <xdr:graphicFrame macro="">
      <xdr:nvGraphicFramePr>
        <xdr:cNvPr id="5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27214</xdr:colOff>
      <xdr:row>42</xdr:row>
      <xdr:rowOff>13607</xdr:rowOff>
    </xdr:from>
    <xdr:to>
      <xdr:col>20</xdr:col>
      <xdr:colOff>27214</xdr:colOff>
      <xdr:row>56</xdr:row>
      <xdr:rowOff>95250</xdr:rowOff>
    </xdr:to>
    <xdr:graphicFrame macro="">
      <xdr:nvGraphicFramePr>
        <xdr:cNvPr id="6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58</xdr:row>
      <xdr:rowOff>40822</xdr:rowOff>
    </xdr:from>
    <xdr:to>
      <xdr:col>13</xdr:col>
      <xdr:colOff>0</xdr:colOff>
      <xdr:row>72</xdr:row>
      <xdr:rowOff>122465</xdr:rowOff>
    </xdr:to>
    <xdr:graphicFrame macro="">
      <xdr:nvGraphicFramePr>
        <xdr:cNvPr id="7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748393</xdr:colOff>
      <xdr:row>58</xdr:row>
      <xdr:rowOff>27214</xdr:rowOff>
    </xdr:from>
    <xdr:to>
      <xdr:col>19</xdr:col>
      <xdr:colOff>748393</xdr:colOff>
      <xdr:row>72</xdr:row>
      <xdr:rowOff>108857</xdr:rowOff>
    </xdr:to>
    <xdr:graphicFrame macro="">
      <xdr:nvGraphicFramePr>
        <xdr:cNvPr id="8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517071</xdr:colOff>
      <xdr:row>82</xdr:row>
      <xdr:rowOff>81643</xdr:rowOff>
    </xdr:from>
    <xdr:to>
      <xdr:col>13</xdr:col>
      <xdr:colOff>326571</xdr:colOff>
      <xdr:row>97</xdr:row>
      <xdr:rowOff>68036</xdr:rowOff>
    </xdr:to>
    <xdr:graphicFrame macro="">
      <xdr:nvGraphicFramePr>
        <xdr:cNvPr id="9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190499</xdr:colOff>
      <xdr:row>101</xdr:row>
      <xdr:rowOff>68036</xdr:rowOff>
    </xdr:from>
    <xdr:to>
      <xdr:col>13</xdr:col>
      <xdr:colOff>163285</xdr:colOff>
      <xdr:row>119</xdr:row>
      <xdr:rowOff>95250</xdr:rowOff>
    </xdr:to>
    <xdr:graphicFrame macro="">
      <xdr:nvGraphicFramePr>
        <xdr:cNvPr id="10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340178</xdr:colOff>
      <xdr:row>138</xdr:row>
      <xdr:rowOff>13608</xdr:rowOff>
    </xdr:from>
    <xdr:to>
      <xdr:col>4</xdr:col>
      <xdr:colOff>190499</xdr:colOff>
      <xdr:row>152</xdr:row>
      <xdr:rowOff>95251</xdr:rowOff>
    </xdr:to>
    <xdr:graphicFrame macro="">
      <xdr:nvGraphicFramePr>
        <xdr:cNvPr id="11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27214</xdr:colOff>
      <xdr:row>138</xdr:row>
      <xdr:rowOff>27215</xdr:rowOff>
    </xdr:from>
    <xdr:to>
      <xdr:col>10</xdr:col>
      <xdr:colOff>408214</xdr:colOff>
      <xdr:row>152</xdr:row>
      <xdr:rowOff>108858</xdr:rowOff>
    </xdr:to>
    <xdr:graphicFrame macro="">
      <xdr:nvGraphicFramePr>
        <xdr:cNvPr id="12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138</xdr:row>
      <xdr:rowOff>13607</xdr:rowOff>
    </xdr:from>
    <xdr:to>
      <xdr:col>17</xdr:col>
      <xdr:colOff>190500</xdr:colOff>
      <xdr:row>152</xdr:row>
      <xdr:rowOff>95250</xdr:rowOff>
    </xdr:to>
    <xdr:graphicFrame macro="">
      <xdr:nvGraphicFramePr>
        <xdr:cNvPr id="13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734785</xdr:colOff>
      <xdr:row>156</xdr:row>
      <xdr:rowOff>68035</xdr:rowOff>
    </xdr:from>
    <xdr:to>
      <xdr:col>4</xdr:col>
      <xdr:colOff>585106</xdr:colOff>
      <xdr:row>170</xdr:row>
      <xdr:rowOff>149678</xdr:rowOff>
    </xdr:to>
    <xdr:graphicFrame macro="">
      <xdr:nvGraphicFramePr>
        <xdr:cNvPr id="14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408214</xdr:colOff>
      <xdr:row>156</xdr:row>
      <xdr:rowOff>54429</xdr:rowOff>
    </xdr:from>
    <xdr:to>
      <xdr:col>11</xdr:col>
      <xdr:colOff>27214</xdr:colOff>
      <xdr:row>170</xdr:row>
      <xdr:rowOff>136072</xdr:rowOff>
    </xdr:to>
    <xdr:graphicFrame macro="">
      <xdr:nvGraphicFramePr>
        <xdr:cNvPr id="15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380999</xdr:colOff>
      <xdr:row>156</xdr:row>
      <xdr:rowOff>13607</xdr:rowOff>
    </xdr:from>
    <xdr:to>
      <xdr:col>17</xdr:col>
      <xdr:colOff>380999</xdr:colOff>
      <xdr:row>170</xdr:row>
      <xdr:rowOff>95250</xdr:rowOff>
    </xdr:to>
    <xdr:graphicFrame macro="">
      <xdr:nvGraphicFramePr>
        <xdr:cNvPr id="16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693964</xdr:colOff>
      <xdr:row>172</xdr:row>
      <xdr:rowOff>108858</xdr:rowOff>
    </xdr:from>
    <xdr:to>
      <xdr:col>4</xdr:col>
      <xdr:colOff>544285</xdr:colOff>
      <xdr:row>187</xdr:row>
      <xdr:rowOff>1</xdr:rowOff>
    </xdr:to>
    <xdr:graphicFrame macro="">
      <xdr:nvGraphicFramePr>
        <xdr:cNvPr id="17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123825</xdr:rowOff>
    </xdr:from>
    <xdr:to>
      <xdr:col>1</xdr:col>
      <xdr:colOff>1057275</xdr:colOff>
      <xdr:row>9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514350"/>
          <a:ext cx="2514600" cy="1952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200025</xdr:colOff>
      <xdr:row>2</xdr:row>
      <xdr:rowOff>76200</xdr:rowOff>
    </xdr:from>
    <xdr:to>
      <xdr:col>9</xdr:col>
      <xdr:colOff>19050</xdr:colOff>
      <xdr:row>5</xdr:row>
      <xdr:rowOff>104775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6525" y="466725"/>
          <a:ext cx="2924175" cy="9715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123825</xdr:rowOff>
    </xdr:from>
    <xdr:to>
      <xdr:col>4</xdr:col>
      <xdr:colOff>762000</xdr:colOff>
      <xdr:row>11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962" t="40625" r="42826" b="30990"/>
        <a:stretch>
          <a:fillRect/>
        </a:stretch>
      </xdr:blipFill>
      <xdr:spPr bwMode="auto">
        <a:xfrm>
          <a:off x="533400" y="123825"/>
          <a:ext cx="4581525" cy="207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276225</xdr:colOff>
      <xdr:row>18</xdr:row>
      <xdr:rowOff>142875</xdr:rowOff>
    </xdr:from>
    <xdr:to>
      <xdr:col>4</xdr:col>
      <xdr:colOff>1609725</xdr:colOff>
      <xdr:row>43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792" t="27864" r="26574" b="6641"/>
        <a:stretch>
          <a:fillRect/>
        </a:stretch>
      </xdr:blipFill>
      <xdr:spPr bwMode="auto">
        <a:xfrm>
          <a:off x="276225" y="3571875"/>
          <a:ext cx="6457950" cy="4791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1647825</xdr:colOff>
      <xdr:row>0</xdr:row>
      <xdr:rowOff>0</xdr:rowOff>
    </xdr:from>
    <xdr:to>
      <xdr:col>8</xdr:col>
      <xdr:colOff>114300</xdr:colOff>
      <xdr:row>12</xdr:row>
      <xdr:rowOff>141988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660" t="23437" r="36523" b="20833"/>
        <a:stretch>
          <a:fillRect/>
        </a:stretch>
      </xdr:blipFill>
      <xdr:spPr bwMode="auto">
        <a:xfrm>
          <a:off x="4695825" y="0"/>
          <a:ext cx="3590925" cy="24279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race/Documents/Desktop/SANTIAGO/ANA/Tablas%20CP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ita/Anita%20Mar&#237;a/Tesis/RESUMEN%20GENERAL%20santi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acion%20gener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MAÑO"/>
      <sheetName val="LOCALIZACIÓN"/>
      <sheetName val="COSTOS FIJOS"/>
      <sheetName val="ANÁLISIS CVU"/>
      <sheetName val="CAPITAL DE TRABAJO"/>
      <sheetName val="CAPITAL Y DEUDA"/>
      <sheetName val="Equipos"/>
      <sheetName val="DESECHO"/>
      <sheetName val="CAPM Y CPPC"/>
      <sheetName val="FLUJO DE CAJA"/>
    </sheetNames>
    <sheetDataSet>
      <sheetData sheetId="0">
        <row r="2">
          <cell r="C2">
            <v>8661.5319999999992</v>
          </cell>
        </row>
        <row r="3">
          <cell r="C3">
            <v>14744.687999999998</v>
          </cell>
        </row>
        <row r="4">
          <cell r="C4">
            <v>3103.2660000000005</v>
          </cell>
        </row>
        <row r="5">
          <cell r="C5">
            <v>16303.98</v>
          </cell>
        </row>
        <row r="6">
          <cell r="C6">
            <v>5703.0285940316016</v>
          </cell>
        </row>
        <row r="7">
          <cell r="C7">
            <v>4444.7091177684006</v>
          </cell>
        </row>
        <row r="8">
          <cell r="C8">
            <v>1140.6057188063203</v>
          </cell>
        </row>
        <row r="10">
          <cell r="C10">
            <v>54990.751254160001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colar"/>
      <sheetName val="Juvenil"/>
      <sheetName val="Viaj,vacac"/>
      <sheetName val="Ejectiv"/>
      <sheetName val="Tamano"/>
      <sheetName val="Localizacion"/>
      <sheetName val="Detalle compras"/>
      <sheetName val="Costos"/>
      <sheetName val="Analisis CVU"/>
      <sheetName val="Estructura de capital"/>
      <sheetName val="Valor de desecho"/>
      <sheetName val="Compras"/>
      <sheetName val="Contenedor"/>
      <sheetName val="Importaciones"/>
      <sheetName val="Demanda"/>
      <sheetName val="Capital de trabajo"/>
      <sheetName val="Payback"/>
      <sheetName val="Flujo de caja"/>
      <sheetName val="A. Sensibilidad"/>
      <sheetName val="A. Sensibilidad (2)"/>
      <sheetName val="Analisis"/>
      <sheetName val="CAPM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5">
          <cell r="C65">
            <v>0</v>
          </cell>
        </row>
      </sheetData>
      <sheetData sheetId="19"/>
      <sheetData sheetId="20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nual"/>
      <sheetName val="Tabulacion"/>
      <sheetName val="RESULTADOS"/>
    </sheetNames>
    <sheetDataSet>
      <sheetData sheetId="0" refreshError="1"/>
      <sheetData sheetId="1">
        <row r="2">
          <cell r="B2">
            <v>1</v>
          </cell>
        </row>
        <row r="3">
          <cell r="B3">
            <v>0</v>
          </cell>
        </row>
        <row r="4">
          <cell r="B4">
            <v>1</v>
          </cell>
        </row>
        <row r="5">
          <cell r="B5">
            <v>1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</v>
          </cell>
        </row>
        <row r="14">
          <cell r="B14">
            <v>0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1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1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</v>
          </cell>
        </row>
        <row r="43">
          <cell r="B43">
            <v>1</v>
          </cell>
        </row>
        <row r="44">
          <cell r="B44">
            <v>1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1</v>
          </cell>
        </row>
        <row r="54">
          <cell r="B54">
            <v>1</v>
          </cell>
        </row>
        <row r="55">
          <cell r="B55">
            <v>1</v>
          </cell>
        </row>
        <row r="56">
          <cell r="B56">
            <v>0</v>
          </cell>
        </row>
        <row r="57">
          <cell r="B57">
            <v>1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1</v>
          </cell>
        </row>
        <row r="63">
          <cell r="B63">
            <v>1</v>
          </cell>
        </row>
        <row r="64">
          <cell r="B64">
            <v>0</v>
          </cell>
        </row>
        <row r="65">
          <cell r="B65">
            <v>1</v>
          </cell>
        </row>
        <row r="66">
          <cell r="B66">
            <v>0</v>
          </cell>
        </row>
        <row r="67">
          <cell r="B67">
            <v>1</v>
          </cell>
        </row>
        <row r="68">
          <cell r="B68">
            <v>0</v>
          </cell>
        </row>
        <row r="69">
          <cell r="B69">
            <v>1</v>
          </cell>
        </row>
        <row r="70">
          <cell r="B70">
            <v>1</v>
          </cell>
        </row>
        <row r="71">
          <cell r="B71">
            <v>0</v>
          </cell>
        </row>
        <row r="72">
          <cell r="B72">
            <v>1</v>
          </cell>
        </row>
        <row r="73">
          <cell r="B73">
            <v>1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1</v>
          </cell>
        </row>
        <row r="77">
          <cell r="B77">
            <v>0</v>
          </cell>
        </row>
        <row r="78">
          <cell r="B78">
            <v>1</v>
          </cell>
        </row>
        <row r="79">
          <cell r="B79">
            <v>0</v>
          </cell>
        </row>
        <row r="80">
          <cell r="B80">
            <v>1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1</v>
          </cell>
        </row>
        <row r="87">
          <cell r="B87">
            <v>0</v>
          </cell>
        </row>
        <row r="88">
          <cell r="B88">
            <v>1</v>
          </cell>
        </row>
        <row r="89">
          <cell r="B89">
            <v>1</v>
          </cell>
        </row>
        <row r="90">
          <cell r="B90">
            <v>1</v>
          </cell>
        </row>
        <row r="91">
          <cell r="B91">
            <v>1</v>
          </cell>
        </row>
        <row r="92">
          <cell r="B92">
            <v>0</v>
          </cell>
        </row>
        <row r="93">
          <cell r="B93">
            <v>1</v>
          </cell>
        </row>
        <row r="94">
          <cell r="B94">
            <v>0</v>
          </cell>
        </row>
        <row r="95">
          <cell r="B95">
            <v>1</v>
          </cell>
        </row>
        <row r="96">
          <cell r="B96">
            <v>0</v>
          </cell>
        </row>
        <row r="97">
          <cell r="B97">
            <v>1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1</v>
          </cell>
        </row>
        <row r="103">
          <cell r="B103">
            <v>1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1</v>
          </cell>
        </row>
        <row r="107">
          <cell r="B107">
            <v>1</v>
          </cell>
        </row>
        <row r="108">
          <cell r="B108">
            <v>1</v>
          </cell>
        </row>
        <row r="109">
          <cell r="B109">
            <v>1</v>
          </cell>
        </row>
        <row r="110">
          <cell r="B110">
            <v>1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</v>
          </cell>
        </row>
        <row r="115">
          <cell r="B115">
            <v>1</v>
          </cell>
        </row>
        <row r="116">
          <cell r="B116">
            <v>1</v>
          </cell>
        </row>
        <row r="117">
          <cell r="B117">
            <v>0</v>
          </cell>
        </row>
        <row r="118">
          <cell r="B118">
            <v>1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1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1</v>
          </cell>
        </row>
        <row r="132">
          <cell r="B132">
            <v>0</v>
          </cell>
        </row>
        <row r="133">
          <cell r="B133">
            <v>1</v>
          </cell>
        </row>
        <row r="134">
          <cell r="B134">
            <v>1</v>
          </cell>
        </row>
        <row r="135">
          <cell r="B135">
            <v>1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1</v>
          </cell>
        </row>
        <row r="139">
          <cell r="B139">
            <v>0</v>
          </cell>
        </row>
        <row r="140">
          <cell r="B140">
            <v>1</v>
          </cell>
        </row>
        <row r="141">
          <cell r="B141">
            <v>0</v>
          </cell>
        </row>
        <row r="142">
          <cell r="B142">
            <v>1</v>
          </cell>
        </row>
        <row r="143">
          <cell r="B143">
            <v>1</v>
          </cell>
        </row>
        <row r="144">
          <cell r="B144">
            <v>1</v>
          </cell>
        </row>
        <row r="145">
          <cell r="B145">
            <v>1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0</v>
          </cell>
        </row>
        <row r="150">
          <cell r="B150">
            <v>1</v>
          </cell>
        </row>
        <row r="151">
          <cell r="B151">
            <v>0</v>
          </cell>
        </row>
        <row r="152">
          <cell r="B152">
            <v>1</v>
          </cell>
        </row>
        <row r="153">
          <cell r="B153">
            <v>1</v>
          </cell>
        </row>
        <row r="154">
          <cell r="B154">
            <v>0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1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1</v>
          </cell>
        </row>
        <row r="161">
          <cell r="B161">
            <v>1</v>
          </cell>
        </row>
        <row r="162">
          <cell r="B162">
            <v>1</v>
          </cell>
        </row>
        <row r="163">
          <cell r="B163">
            <v>0</v>
          </cell>
        </row>
        <row r="164">
          <cell r="B164">
            <v>1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1</v>
          </cell>
        </row>
        <row r="168">
          <cell r="B168">
            <v>1</v>
          </cell>
        </row>
        <row r="169">
          <cell r="B169">
            <v>0</v>
          </cell>
        </row>
        <row r="170">
          <cell r="B170">
            <v>1</v>
          </cell>
        </row>
        <row r="171">
          <cell r="B171">
            <v>0</v>
          </cell>
        </row>
        <row r="172">
          <cell r="B172">
            <v>1</v>
          </cell>
        </row>
        <row r="173">
          <cell r="B173">
            <v>0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1</v>
          </cell>
        </row>
        <row r="177">
          <cell r="B177">
            <v>1</v>
          </cell>
        </row>
        <row r="178">
          <cell r="B178">
            <v>0</v>
          </cell>
        </row>
        <row r="179">
          <cell r="B179">
            <v>1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1</v>
          </cell>
        </row>
        <row r="183">
          <cell r="B183">
            <v>1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1</v>
          </cell>
        </row>
        <row r="187">
          <cell r="B187">
            <v>1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1</v>
          </cell>
        </row>
        <row r="191">
          <cell r="B191">
            <v>0</v>
          </cell>
        </row>
        <row r="192">
          <cell r="B192">
            <v>1</v>
          </cell>
        </row>
        <row r="193">
          <cell r="B193">
            <v>1</v>
          </cell>
        </row>
        <row r="194">
          <cell r="B194">
            <v>0</v>
          </cell>
        </row>
        <row r="195">
          <cell r="B195">
            <v>1</v>
          </cell>
        </row>
        <row r="196">
          <cell r="B196">
            <v>1</v>
          </cell>
        </row>
        <row r="197">
          <cell r="B197">
            <v>1</v>
          </cell>
        </row>
        <row r="198">
          <cell r="B198">
            <v>0</v>
          </cell>
        </row>
        <row r="199">
          <cell r="B199">
            <v>1</v>
          </cell>
        </row>
        <row r="200">
          <cell r="B200">
            <v>1</v>
          </cell>
        </row>
        <row r="201">
          <cell r="B201">
            <v>0</v>
          </cell>
        </row>
        <row r="202">
          <cell r="B202">
            <v>1</v>
          </cell>
        </row>
        <row r="203">
          <cell r="B203">
            <v>1</v>
          </cell>
        </row>
        <row r="204">
          <cell r="B204">
            <v>0</v>
          </cell>
        </row>
        <row r="205">
          <cell r="B205">
            <v>1</v>
          </cell>
        </row>
        <row r="206">
          <cell r="B206">
            <v>1</v>
          </cell>
        </row>
        <row r="207">
          <cell r="B207">
            <v>1</v>
          </cell>
        </row>
        <row r="208">
          <cell r="B208">
            <v>0</v>
          </cell>
        </row>
        <row r="209">
          <cell r="B209">
            <v>1</v>
          </cell>
        </row>
        <row r="210">
          <cell r="B210">
            <v>1</v>
          </cell>
        </row>
        <row r="211">
          <cell r="B211">
            <v>1</v>
          </cell>
        </row>
        <row r="212">
          <cell r="B212">
            <v>1</v>
          </cell>
        </row>
        <row r="213">
          <cell r="B213">
            <v>1</v>
          </cell>
        </row>
        <row r="214">
          <cell r="B214">
            <v>0</v>
          </cell>
        </row>
        <row r="215">
          <cell r="B215">
            <v>1</v>
          </cell>
        </row>
        <row r="216">
          <cell r="B216">
            <v>0</v>
          </cell>
        </row>
        <row r="217">
          <cell r="B217">
            <v>1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1</v>
          </cell>
        </row>
        <row r="222">
          <cell r="B222">
            <v>1</v>
          </cell>
        </row>
        <row r="223">
          <cell r="B223">
            <v>1</v>
          </cell>
        </row>
        <row r="224">
          <cell r="B224">
            <v>1</v>
          </cell>
        </row>
        <row r="225">
          <cell r="B225">
            <v>1</v>
          </cell>
        </row>
        <row r="226">
          <cell r="B226">
            <v>0</v>
          </cell>
        </row>
        <row r="227">
          <cell r="B227">
            <v>1</v>
          </cell>
        </row>
        <row r="228">
          <cell r="B228">
            <v>0</v>
          </cell>
        </row>
        <row r="229">
          <cell r="B229">
            <v>1</v>
          </cell>
        </row>
        <row r="230">
          <cell r="B230">
            <v>0</v>
          </cell>
        </row>
        <row r="231">
          <cell r="B231">
            <v>1</v>
          </cell>
        </row>
        <row r="232">
          <cell r="B232">
            <v>0</v>
          </cell>
        </row>
        <row r="233">
          <cell r="B233">
            <v>1</v>
          </cell>
        </row>
        <row r="234">
          <cell r="B234">
            <v>1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1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1</v>
          </cell>
        </row>
        <row r="241">
          <cell r="B241">
            <v>1</v>
          </cell>
        </row>
        <row r="242">
          <cell r="B242">
            <v>1</v>
          </cell>
        </row>
        <row r="243">
          <cell r="B243">
            <v>0</v>
          </cell>
        </row>
        <row r="244">
          <cell r="B244">
            <v>1</v>
          </cell>
        </row>
        <row r="245">
          <cell r="B245">
            <v>1</v>
          </cell>
        </row>
        <row r="246">
          <cell r="B246">
            <v>0</v>
          </cell>
        </row>
        <row r="247">
          <cell r="B247">
            <v>1</v>
          </cell>
        </row>
        <row r="248">
          <cell r="B248">
            <v>0</v>
          </cell>
        </row>
        <row r="249">
          <cell r="B249">
            <v>1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1</v>
          </cell>
        </row>
        <row r="253">
          <cell r="B253">
            <v>1</v>
          </cell>
        </row>
        <row r="254">
          <cell r="B254">
            <v>1</v>
          </cell>
        </row>
        <row r="255">
          <cell r="B255">
            <v>0</v>
          </cell>
        </row>
        <row r="256">
          <cell r="B256">
            <v>1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1</v>
          </cell>
        </row>
        <row r="262">
          <cell r="B262">
            <v>1</v>
          </cell>
        </row>
        <row r="263">
          <cell r="B263">
            <v>0</v>
          </cell>
        </row>
        <row r="264">
          <cell r="B264">
            <v>1</v>
          </cell>
        </row>
        <row r="265">
          <cell r="B265">
            <v>0</v>
          </cell>
        </row>
        <row r="266">
          <cell r="B266">
            <v>1</v>
          </cell>
        </row>
        <row r="267">
          <cell r="B267">
            <v>0</v>
          </cell>
        </row>
        <row r="268">
          <cell r="B268">
            <v>1</v>
          </cell>
        </row>
        <row r="269">
          <cell r="B269">
            <v>1</v>
          </cell>
        </row>
        <row r="270">
          <cell r="B270">
            <v>0</v>
          </cell>
        </row>
        <row r="271">
          <cell r="B271">
            <v>1</v>
          </cell>
        </row>
        <row r="272">
          <cell r="B272">
            <v>1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1</v>
          </cell>
        </row>
        <row r="276">
          <cell r="B276">
            <v>1</v>
          </cell>
        </row>
        <row r="277">
          <cell r="B277">
            <v>1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1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1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1</v>
          </cell>
        </row>
        <row r="291">
          <cell r="B291">
            <v>1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</v>
          </cell>
        </row>
        <row r="295">
          <cell r="B295">
            <v>0</v>
          </cell>
        </row>
        <row r="296">
          <cell r="B296">
            <v>1</v>
          </cell>
        </row>
        <row r="297">
          <cell r="B297">
            <v>0</v>
          </cell>
        </row>
        <row r="298">
          <cell r="B298">
            <v>1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1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1</v>
          </cell>
        </row>
        <row r="305">
          <cell r="B305">
            <v>0</v>
          </cell>
        </row>
        <row r="306">
          <cell r="B306">
            <v>1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1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1</v>
          </cell>
        </row>
        <row r="324">
          <cell r="B324">
            <v>1</v>
          </cell>
        </row>
        <row r="325">
          <cell r="B325">
            <v>1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1</v>
          </cell>
        </row>
        <row r="329">
          <cell r="B329">
            <v>1</v>
          </cell>
        </row>
        <row r="330">
          <cell r="B330">
            <v>1</v>
          </cell>
        </row>
        <row r="331">
          <cell r="B331">
            <v>0</v>
          </cell>
        </row>
        <row r="332">
          <cell r="B332">
            <v>1</v>
          </cell>
        </row>
        <row r="333">
          <cell r="B333">
            <v>0</v>
          </cell>
        </row>
        <row r="334">
          <cell r="B334">
            <v>1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1</v>
          </cell>
        </row>
        <row r="338">
          <cell r="B338">
            <v>0</v>
          </cell>
        </row>
        <row r="339">
          <cell r="B339">
            <v>1</v>
          </cell>
        </row>
        <row r="340">
          <cell r="B340">
            <v>1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1</v>
          </cell>
        </row>
        <row r="346">
          <cell r="B346">
            <v>1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1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1</v>
          </cell>
        </row>
        <row r="355">
          <cell r="B355">
            <v>0</v>
          </cell>
        </row>
        <row r="356">
          <cell r="B356">
            <v>1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1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1</v>
          </cell>
        </row>
        <row r="367">
          <cell r="B367">
            <v>1</v>
          </cell>
        </row>
        <row r="368">
          <cell r="B368">
            <v>1</v>
          </cell>
        </row>
        <row r="369">
          <cell r="B369">
            <v>1</v>
          </cell>
        </row>
        <row r="370">
          <cell r="B370">
            <v>1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1</v>
          </cell>
        </row>
        <row r="375">
          <cell r="B375">
            <v>1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1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1</v>
          </cell>
        </row>
        <row r="385">
          <cell r="B385">
            <v>1</v>
          </cell>
        </row>
        <row r="386">
          <cell r="B386">
            <v>0</v>
          </cell>
        </row>
        <row r="387">
          <cell r="B387">
            <v>1</v>
          </cell>
        </row>
        <row r="388">
          <cell r="B388">
            <v>1</v>
          </cell>
        </row>
        <row r="389">
          <cell r="B389">
            <v>0</v>
          </cell>
        </row>
        <row r="390">
          <cell r="B390">
            <v>1</v>
          </cell>
        </row>
        <row r="391">
          <cell r="B391">
            <v>0</v>
          </cell>
        </row>
        <row r="392">
          <cell r="B392">
            <v>1</v>
          </cell>
        </row>
        <row r="393">
          <cell r="B393">
            <v>0</v>
          </cell>
        </row>
        <row r="394">
          <cell r="B394">
            <v>1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bce.fin.ec/resumen_ticker.php?ticker_value=riesgo_pais" TargetMode="External"/><Relationship Id="rId1" Type="http://schemas.openxmlformats.org/officeDocument/2006/relationships/hyperlink" Target="http://pages.stern.nyu.edu/~adamodar/New_Home_Page/datafile/totalbeta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7"/>
  <sheetViews>
    <sheetView tabSelected="1" topLeftCell="A58" zoomScaleNormal="100" workbookViewId="0">
      <selection activeCell="A13" sqref="A13:IV13"/>
    </sheetView>
  </sheetViews>
  <sheetFormatPr defaultColWidth="11.42578125" defaultRowHeight="13.5"/>
  <cols>
    <col min="1" max="1" width="3.5703125" style="852" customWidth="1"/>
    <col min="2" max="2" width="15" style="850" customWidth="1"/>
    <col min="3" max="3" width="3.5703125" style="850" customWidth="1"/>
    <col min="4" max="4" width="15" style="850" customWidth="1"/>
    <col min="5" max="5" width="3.5703125" style="850" customWidth="1"/>
    <col min="6" max="6" width="15" style="850" customWidth="1"/>
    <col min="7" max="7" width="3.5703125" style="850" customWidth="1"/>
    <col min="8" max="8" width="15" style="850" customWidth="1"/>
    <col min="9" max="9" width="3.5703125" style="850" customWidth="1"/>
    <col min="10" max="10" width="15" style="850" customWidth="1"/>
    <col min="11" max="11" width="3.5703125" style="850" customWidth="1"/>
    <col min="12" max="12" width="15" style="850" customWidth="1"/>
    <col min="13" max="13" width="3.5703125" style="850" customWidth="1"/>
    <col min="14" max="14" width="15" style="850" customWidth="1"/>
    <col min="15" max="15" width="3.5703125" style="850" customWidth="1"/>
    <col min="16" max="16" width="15" style="850" customWidth="1"/>
    <col min="17" max="17" width="11.42578125" style="850"/>
    <col min="18" max="18" width="14.28515625" style="850" customWidth="1"/>
    <col min="19" max="19" width="11.42578125" style="850"/>
    <col min="20" max="20" width="14.28515625" style="850" customWidth="1"/>
    <col min="21" max="256" width="11.42578125" style="850"/>
    <col min="257" max="257" width="3.5703125" style="850" customWidth="1"/>
    <col min="258" max="258" width="15" style="850" customWidth="1"/>
    <col min="259" max="259" width="3.5703125" style="850" customWidth="1"/>
    <col min="260" max="260" width="15" style="850" customWidth="1"/>
    <col min="261" max="261" width="3.5703125" style="850" customWidth="1"/>
    <col min="262" max="262" width="15" style="850" customWidth="1"/>
    <col min="263" max="263" width="3.5703125" style="850" customWidth="1"/>
    <col min="264" max="264" width="15" style="850" customWidth="1"/>
    <col min="265" max="265" width="3.5703125" style="850" customWidth="1"/>
    <col min="266" max="266" width="15" style="850" customWidth="1"/>
    <col min="267" max="267" width="3.5703125" style="850" customWidth="1"/>
    <col min="268" max="268" width="15" style="850" customWidth="1"/>
    <col min="269" max="269" width="3.5703125" style="850" customWidth="1"/>
    <col min="270" max="270" width="15" style="850" customWidth="1"/>
    <col min="271" max="271" width="3.5703125" style="850" customWidth="1"/>
    <col min="272" max="272" width="15" style="850" customWidth="1"/>
    <col min="273" max="273" width="11.42578125" style="850"/>
    <col min="274" max="274" width="14.28515625" style="850" customWidth="1"/>
    <col min="275" max="275" width="11.42578125" style="850"/>
    <col min="276" max="276" width="14.28515625" style="850" customWidth="1"/>
    <col min="277" max="512" width="11.42578125" style="850"/>
    <col min="513" max="513" width="3.5703125" style="850" customWidth="1"/>
    <col min="514" max="514" width="15" style="850" customWidth="1"/>
    <col min="515" max="515" width="3.5703125" style="850" customWidth="1"/>
    <col min="516" max="516" width="15" style="850" customWidth="1"/>
    <col min="517" max="517" width="3.5703125" style="850" customWidth="1"/>
    <col min="518" max="518" width="15" style="850" customWidth="1"/>
    <col min="519" max="519" width="3.5703125" style="850" customWidth="1"/>
    <col min="520" max="520" width="15" style="850" customWidth="1"/>
    <col min="521" max="521" width="3.5703125" style="850" customWidth="1"/>
    <col min="522" max="522" width="15" style="850" customWidth="1"/>
    <col min="523" max="523" width="3.5703125" style="850" customWidth="1"/>
    <col min="524" max="524" width="15" style="850" customWidth="1"/>
    <col min="525" max="525" width="3.5703125" style="850" customWidth="1"/>
    <col min="526" max="526" width="15" style="850" customWidth="1"/>
    <col min="527" max="527" width="3.5703125" style="850" customWidth="1"/>
    <col min="528" max="528" width="15" style="850" customWidth="1"/>
    <col min="529" max="529" width="11.42578125" style="850"/>
    <col min="530" max="530" width="14.28515625" style="850" customWidth="1"/>
    <col min="531" max="531" width="11.42578125" style="850"/>
    <col min="532" max="532" width="14.28515625" style="850" customWidth="1"/>
    <col min="533" max="768" width="11.42578125" style="850"/>
    <col min="769" max="769" width="3.5703125" style="850" customWidth="1"/>
    <col min="770" max="770" width="15" style="850" customWidth="1"/>
    <col min="771" max="771" width="3.5703125" style="850" customWidth="1"/>
    <col min="772" max="772" width="15" style="850" customWidth="1"/>
    <col min="773" max="773" width="3.5703125" style="850" customWidth="1"/>
    <col min="774" max="774" width="15" style="850" customWidth="1"/>
    <col min="775" max="775" width="3.5703125" style="850" customWidth="1"/>
    <col min="776" max="776" width="15" style="850" customWidth="1"/>
    <col min="777" max="777" width="3.5703125" style="850" customWidth="1"/>
    <col min="778" max="778" width="15" style="850" customWidth="1"/>
    <col min="779" max="779" width="3.5703125" style="850" customWidth="1"/>
    <col min="780" max="780" width="15" style="850" customWidth="1"/>
    <col min="781" max="781" width="3.5703125" style="850" customWidth="1"/>
    <col min="782" max="782" width="15" style="850" customWidth="1"/>
    <col min="783" max="783" width="3.5703125" style="850" customWidth="1"/>
    <col min="784" max="784" width="15" style="850" customWidth="1"/>
    <col min="785" max="785" width="11.42578125" style="850"/>
    <col min="786" max="786" width="14.28515625" style="850" customWidth="1"/>
    <col min="787" max="787" width="11.42578125" style="850"/>
    <col min="788" max="788" width="14.28515625" style="850" customWidth="1"/>
    <col min="789" max="1024" width="11.42578125" style="850"/>
    <col min="1025" max="1025" width="3.5703125" style="850" customWidth="1"/>
    <col min="1026" max="1026" width="15" style="850" customWidth="1"/>
    <col min="1027" max="1027" width="3.5703125" style="850" customWidth="1"/>
    <col min="1028" max="1028" width="15" style="850" customWidth="1"/>
    <col min="1029" max="1029" width="3.5703125" style="850" customWidth="1"/>
    <col min="1030" max="1030" width="15" style="850" customWidth="1"/>
    <col min="1031" max="1031" width="3.5703125" style="850" customWidth="1"/>
    <col min="1032" max="1032" width="15" style="850" customWidth="1"/>
    <col min="1033" max="1033" width="3.5703125" style="850" customWidth="1"/>
    <col min="1034" max="1034" width="15" style="850" customWidth="1"/>
    <col min="1035" max="1035" width="3.5703125" style="850" customWidth="1"/>
    <col min="1036" max="1036" width="15" style="850" customWidth="1"/>
    <col min="1037" max="1037" width="3.5703125" style="850" customWidth="1"/>
    <col min="1038" max="1038" width="15" style="850" customWidth="1"/>
    <col min="1039" max="1039" width="3.5703125" style="850" customWidth="1"/>
    <col min="1040" max="1040" width="15" style="850" customWidth="1"/>
    <col min="1041" max="1041" width="11.42578125" style="850"/>
    <col min="1042" max="1042" width="14.28515625" style="850" customWidth="1"/>
    <col min="1043" max="1043" width="11.42578125" style="850"/>
    <col min="1044" max="1044" width="14.28515625" style="850" customWidth="1"/>
    <col min="1045" max="1280" width="11.42578125" style="850"/>
    <col min="1281" max="1281" width="3.5703125" style="850" customWidth="1"/>
    <col min="1282" max="1282" width="15" style="850" customWidth="1"/>
    <col min="1283" max="1283" width="3.5703125" style="850" customWidth="1"/>
    <col min="1284" max="1284" width="15" style="850" customWidth="1"/>
    <col min="1285" max="1285" width="3.5703125" style="850" customWidth="1"/>
    <col min="1286" max="1286" width="15" style="850" customWidth="1"/>
    <col min="1287" max="1287" width="3.5703125" style="850" customWidth="1"/>
    <col min="1288" max="1288" width="15" style="850" customWidth="1"/>
    <col min="1289" max="1289" width="3.5703125" style="850" customWidth="1"/>
    <col min="1290" max="1290" width="15" style="850" customWidth="1"/>
    <col min="1291" max="1291" width="3.5703125" style="850" customWidth="1"/>
    <col min="1292" max="1292" width="15" style="850" customWidth="1"/>
    <col min="1293" max="1293" width="3.5703125" style="850" customWidth="1"/>
    <col min="1294" max="1294" width="15" style="850" customWidth="1"/>
    <col min="1295" max="1295" width="3.5703125" style="850" customWidth="1"/>
    <col min="1296" max="1296" width="15" style="850" customWidth="1"/>
    <col min="1297" max="1297" width="11.42578125" style="850"/>
    <col min="1298" max="1298" width="14.28515625" style="850" customWidth="1"/>
    <col min="1299" max="1299" width="11.42578125" style="850"/>
    <col min="1300" max="1300" width="14.28515625" style="850" customWidth="1"/>
    <col min="1301" max="1536" width="11.42578125" style="850"/>
    <col min="1537" max="1537" width="3.5703125" style="850" customWidth="1"/>
    <col min="1538" max="1538" width="15" style="850" customWidth="1"/>
    <col min="1539" max="1539" width="3.5703125" style="850" customWidth="1"/>
    <col min="1540" max="1540" width="15" style="850" customWidth="1"/>
    <col min="1541" max="1541" width="3.5703125" style="850" customWidth="1"/>
    <col min="1542" max="1542" width="15" style="850" customWidth="1"/>
    <col min="1543" max="1543" width="3.5703125" style="850" customWidth="1"/>
    <col min="1544" max="1544" width="15" style="850" customWidth="1"/>
    <col min="1545" max="1545" width="3.5703125" style="850" customWidth="1"/>
    <col min="1546" max="1546" width="15" style="850" customWidth="1"/>
    <col min="1547" max="1547" width="3.5703125" style="850" customWidth="1"/>
    <col min="1548" max="1548" width="15" style="850" customWidth="1"/>
    <col min="1549" max="1549" width="3.5703125" style="850" customWidth="1"/>
    <col min="1550" max="1550" width="15" style="850" customWidth="1"/>
    <col min="1551" max="1551" width="3.5703125" style="850" customWidth="1"/>
    <col min="1552" max="1552" width="15" style="850" customWidth="1"/>
    <col min="1553" max="1553" width="11.42578125" style="850"/>
    <col min="1554" max="1554" width="14.28515625" style="850" customWidth="1"/>
    <col min="1555" max="1555" width="11.42578125" style="850"/>
    <col min="1556" max="1556" width="14.28515625" style="850" customWidth="1"/>
    <col min="1557" max="1792" width="11.42578125" style="850"/>
    <col min="1793" max="1793" width="3.5703125" style="850" customWidth="1"/>
    <col min="1794" max="1794" width="15" style="850" customWidth="1"/>
    <col min="1795" max="1795" width="3.5703125" style="850" customWidth="1"/>
    <col min="1796" max="1796" width="15" style="850" customWidth="1"/>
    <col min="1797" max="1797" width="3.5703125" style="850" customWidth="1"/>
    <col min="1798" max="1798" width="15" style="850" customWidth="1"/>
    <col min="1799" max="1799" width="3.5703125" style="850" customWidth="1"/>
    <col min="1800" max="1800" width="15" style="850" customWidth="1"/>
    <col min="1801" max="1801" width="3.5703125" style="850" customWidth="1"/>
    <col min="1802" max="1802" width="15" style="850" customWidth="1"/>
    <col min="1803" max="1803" width="3.5703125" style="850" customWidth="1"/>
    <col min="1804" max="1804" width="15" style="850" customWidth="1"/>
    <col min="1805" max="1805" width="3.5703125" style="850" customWidth="1"/>
    <col min="1806" max="1806" width="15" style="850" customWidth="1"/>
    <col min="1807" max="1807" width="3.5703125" style="850" customWidth="1"/>
    <col min="1808" max="1808" width="15" style="850" customWidth="1"/>
    <col min="1809" max="1809" width="11.42578125" style="850"/>
    <col min="1810" max="1810" width="14.28515625" style="850" customWidth="1"/>
    <col min="1811" max="1811" width="11.42578125" style="850"/>
    <col min="1812" max="1812" width="14.28515625" style="850" customWidth="1"/>
    <col min="1813" max="2048" width="11.42578125" style="850"/>
    <col min="2049" max="2049" width="3.5703125" style="850" customWidth="1"/>
    <col min="2050" max="2050" width="15" style="850" customWidth="1"/>
    <col min="2051" max="2051" width="3.5703125" style="850" customWidth="1"/>
    <col min="2052" max="2052" width="15" style="850" customWidth="1"/>
    <col min="2053" max="2053" width="3.5703125" style="850" customWidth="1"/>
    <col min="2054" max="2054" width="15" style="850" customWidth="1"/>
    <col min="2055" max="2055" width="3.5703125" style="850" customWidth="1"/>
    <col min="2056" max="2056" width="15" style="850" customWidth="1"/>
    <col min="2057" max="2057" width="3.5703125" style="850" customWidth="1"/>
    <col min="2058" max="2058" width="15" style="850" customWidth="1"/>
    <col min="2059" max="2059" width="3.5703125" style="850" customWidth="1"/>
    <col min="2060" max="2060" width="15" style="850" customWidth="1"/>
    <col min="2061" max="2061" width="3.5703125" style="850" customWidth="1"/>
    <col min="2062" max="2062" width="15" style="850" customWidth="1"/>
    <col min="2063" max="2063" width="3.5703125" style="850" customWidth="1"/>
    <col min="2064" max="2064" width="15" style="850" customWidth="1"/>
    <col min="2065" max="2065" width="11.42578125" style="850"/>
    <col min="2066" max="2066" width="14.28515625" style="850" customWidth="1"/>
    <col min="2067" max="2067" width="11.42578125" style="850"/>
    <col min="2068" max="2068" width="14.28515625" style="850" customWidth="1"/>
    <col min="2069" max="2304" width="11.42578125" style="850"/>
    <col min="2305" max="2305" width="3.5703125" style="850" customWidth="1"/>
    <col min="2306" max="2306" width="15" style="850" customWidth="1"/>
    <col min="2307" max="2307" width="3.5703125" style="850" customWidth="1"/>
    <col min="2308" max="2308" width="15" style="850" customWidth="1"/>
    <col min="2309" max="2309" width="3.5703125" style="850" customWidth="1"/>
    <col min="2310" max="2310" width="15" style="850" customWidth="1"/>
    <col min="2311" max="2311" width="3.5703125" style="850" customWidth="1"/>
    <col min="2312" max="2312" width="15" style="850" customWidth="1"/>
    <col min="2313" max="2313" width="3.5703125" style="850" customWidth="1"/>
    <col min="2314" max="2314" width="15" style="850" customWidth="1"/>
    <col min="2315" max="2315" width="3.5703125" style="850" customWidth="1"/>
    <col min="2316" max="2316" width="15" style="850" customWidth="1"/>
    <col min="2317" max="2317" width="3.5703125" style="850" customWidth="1"/>
    <col min="2318" max="2318" width="15" style="850" customWidth="1"/>
    <col min="2319" max="2319" width="3.5703125" style="850" customWidth="1"/>
    <col min="2320" max="2320" width="15" style="850" customWidth="1"/>
    <col min="2321" max="2321" width="11.42578125" style="850"/>
    <col min="2322" max="2322" width="14.28515625" style="850" customWidth="1"/>
    <col min="2323" max="2323" width="11.42578125" style="850"/>
    <col min="2324" max="2324" width="14.28515625" style="850" customWidth="1"/>
    <col min="2325" max="2560" width="11.42578125" style="850"/>
    <col min="2561" max="2561" width="3.5703125" style="850" customWidth="1"/>
    <col min="2562" max="2562" width="15" style="850" customWidth="1"/>
    <col min="2563" max="2563" width="3.5703125" style="850" customWidth="1"/>
    <col min="2564" max="2564" width="15" style="850" customWidth="1"/>
    <col min="2565" max="2565" width="3.5703125" style="850" customWidth="1"/>
    <col min="2566" max="2566" width="15" style="850" customWidth="1"/>
    <col min="2567" max="2567" width="3.5703125" style="850" customWidth="1"/>
    <col min="2568" max="2568" width="15" style="850" customWidth="1"/>
    <col min="2569" max="2569" width="3.5703125" style="850" customWidth="1"/>
    <col min="2570" max="2570" width="15" style="850" customWidth="1"/>
    <col min="2571" max="2571" width="3.5703125" style="850" customWidth="1"/>
    <col min="2572" max="2572" width="15" style="850" customWidth="1"/>
    <col min="2573" max="2573" width="3.5703125" style="850" customWidth="1"/>
    <col min="2574" max="2574" width="15" style="850" customWidth="1"/>
    <col min="2575" max="2575" width="3.5703125" style="850" customWidth="1"/>
    <col min="2576" max="2576" width="15" style="850" customWidth="1"/>
    <col min="2577" max="2577" width="11.42578125" style="850"/>
    <col min="2578" max="2578" width="14.28515625" style="850" customWidth="1"/>
    <col min="2579" max="2579" width="11.42578125" style="850"/>
    <col min="2580" max="2580" width="14.28515625" style="850" customWidth="1"/>
    <col min="2581" max="2816" width="11.42578125" style="850"/>
    <col min="2817" max="2817" width="3.5703125" style="850" customWidth="1"/>
    <col min="2818" max="2818" width="15" style="850" customWidth="1"/>
    <col min="2819" max="2819" width="3.5703125" style="850" customWidth="1"/>
    <col min="2820" max="2820" width="15" style="850" customWidth="1"/>
    <col min="2821" max="2821" width="3.5703125" style="850" customWidth="1"/>
    <col min="2822" max="2822" width="15" style="850" customWidth="1"/>
    <col min="2823" max="2823" width="3.5703125" style="850" customWidth="1"/>
    <col min="2824" max="2824" width="15" style="850" customWidth="1"/>
    <col min="2825" max="2825" width="3.5703125" style="850" customWidth="1"/>
    <col min="2826" max="2826" width="15" style="850" customWidth="1"/>
    <col min="2827" max="2827" width="3.5703125" style="850" customWidth="1"/>
    <col min="2828" max="2828" width="15" style="850" customWidth="1"/>
    <col min="2829" max="2829" width="3.5703125" style="850" customWidth="1"/>
    <col min="2830" max="2830" width="15" style="850" customWidth="1"/>
    <col min="2831" max="2831" width="3.5703125" style="850" customWidth="1"/>
    <col min="2832" max="2832" width="15" style="850" customWidth="1"/>
    <col min="2833" max="2833" width="11.42578125" style="850"/>
    <col min="2834" max="2834" width="14.28515625" style="850" customWidth="1"/>
    <col min="2835" max="2835" width="11.42578125" style="850"/>
    <col min="2836" max="2836" width="14.28515625" style="850" customWidth="1"/>
    <col min="2837" max="3072" width="11.42578125" style="850"/>
    <col min="3073" max="3073" width="3.5703125" style="850" customWidth="1"/>
    <col min="3074" max="3074" width="15" style="850" customWidth="1"/>
    <col min="3075" max="3075" width="3.5703125" style="850" customWidth="1"/>
    <col min="3076" max="3076" width="15" style="850" customWidth="1"/>
    <col min="3077" max="3077" width="3.5703125" style="850" customWidth="1"/>
    <col min="3078" max="3078" width="15" style="850" customWidth="1"/>
    <col min="3079" max="3079" width="3.5703125" style="850" customWidth="1"/>
    <col min="3080" max="3080" width="15" style="850" customWidth="1"/>
    <col min="3081" max="3081" width="3.5703125" style="850" customWidth="1"/>
    <col min="3082" max="3082" width="15" style="850" customWidth="1"/>
    <col min="3083" max="3083" width="3.5703125" style="850" customWidth="1"/>
    <col min="3084" max="3084" width="15" style="850" customWidth="1"/>
    <col min="3085" max="3085" width="3.5703125" style="850" customWidth="1"/>
    <col min="3086" max="3086" width="15" style="850" customWidth="1"/>
    <col min="3087" max="3087" width="3.5703125" style="850" customWidth="1"/>
    <col min="3088" max="3088" width="15" style="850" customWidth="1"/>
    <col min="3089" max="3089" width="11.42578125" style="850"/>
    <col min="3090" max="3090" width="14.28515625" style="850" customWidth="1"/>
    <col min="3091" max="3091" width="11.42578125" style="850"/>
    <col min="3092" max="3092" width="14.28515625" style="850" customWidth="1"/>
    <col min="3093" max="3328" width="11.42578125" style="850"/>
    <col min="3329" max="3329" width="3.5703125" style="850" customWidth="1"/>
    <col min="3330" max="3330" width="15" style="850" customWidth="1"/>
    <col min="3331" max="3331" width="3.5703125" style="850" customWidth="1"/>
    <col min="3332" max="3332" width="15" style="850" customWidth="1"/>
    <col min="3333" max="3333" width="3.5703125" style="850" customWidth="1"/>
    <col min="3334" max="3334" width="15" style="850" customWidth="1"/>
    <col min="3335" max="3335" width="3.5703125" style="850" customWidth="1"/>
    <col min="3336" max="3336" width="15" style="850" customWidth="1"/>
    <col min="3337" max="3337" width="3.5703125" style="850" customWidth="1"/>
    <col min="3338" max="3338" width="15" style="850" customWidth="1"/>
    <col min="3339" max="3339" width="3.5703125" style="850" customWidth="1"/>
    <col min="3340" max="3340" width="15" style="850" customWidth="1"/>
    <col min="3341" max="3341" width="3.5703125" style="850" customWidth="1"/>
    <col min="3342" max="3342" width="15" style="850" customWidth="1"/>
    <col min="3343" max="3343" width="3.5703125" style="850" customWidth="1"/>
    <col min="3344" max="3344" width="15" style="850" customWidth="1"/>
    <col min="3345" max="3345" width="11.42578125" style="850"/>
    <col min="3346" max="3346" width="14.28515625" style="850" customWidth="1"/>
    <col min="3347" max="3347" width="11.42578125" style="850"/>
    <col min="3348" max="3348" width="14.28515625" style="850" customWidth="1"/>
    <col min="3349" max="3584" width="11.42578125" style="850"/>
    <col min="3585" max="3585" width="3.5703125" style="850" customWidth="1"/>
    <col min="3586" max="3586" width="15" style="850" customWidth="1"/>
    <col min="3587" max="3587" width="3.5703125" style="850" customWidth="1"/>
    <col min="3588" max="3588" width="15" style="850" customWidth="1"/>
    <col min="3589" max="3589" width="3.5703125" style="850" customWidth="1"/>
    <col min="3590" max="3590" width="15" style="850" customWidth="1"/>
    <col min="3591" max="3591" width="3.5703125" style="850" customWidth="1"/>
    <col min="3592" max="3592" width="15" style="850" customWidth="1"/>
    <col min="3593" max="3593" width="3.5703125" style="850" customWidth="1"/>
    <col min="3594" max="3594" width="15" style="850" customWidth="1"/>
    <col min="3595" max="3595" width="3.5703125" style="850" customWidth="1"/>
    <col min="3596" max="3596" width="15" style="850" customWidth="1"/>
    <col min="3597" max="3597" width="3.5703125" style="850" customWidth="1"/>
    <col min="3598" max="3598" width="15" style="850" customWidth="1"/>
    <col min="3599" max="3599" width="3.5703125" style="850" customWidth="1"/>
    <col min="3600" max="3600" width="15" style="850" customWidth="1"/>
    <col min="3601" max="3601" width="11.42578125" style="850"/>
    <col min="3602" max="3602" width="14.28515625" style="850" customWidth="1"/>
    <col min="3603" max="3603" width="11.42578125" style="850"/>
    <col min="3604" max="3604" width="14.28515625" style="850" customWidth="1"/>
    <col min="3605" max="3840" width="11.42578125" style="850"/>
    <col min="3841" max="3841" width="3.5703125" style="850" customWidth="1"/>
    <col min="3842" max="3842" width="15" style="850" customWidth="1"/>
    <col min="3843" max="3843" width="3.5703125" style="850" customWidth="1"/>
    <col min="3844" max="3844" width="15" style="850" customWidth="1"/>
    <col min="3845" max="3845" width="3.5703125" style="850" customWidth="1"/>
    <col min="3846" max="3846" width="15" style="850" customWidth="1"/>
    <col min="3847" max="3847" width="3.5703125" style="850" customWidth="1"/>
    <col min="3848" max="3848" width="15" style="850" customWidth="1"/>
    <col min="3849" max="3849" width="3.5703125" style="850" customWidth="1"/>
    <col min="3850" max="3850" width="15" style="850" customWidth="1"/>
    <col min="3851" max="3851" width="3.5703125" style="850" customWidth="1"/>
    <col min="3852" max="3852" width="15" style="850" customWidth="1"/>
    <col min="3853" max="3853" width="3.5703125" style="850" customWidth="1"/>
    <col min="3854" max="3854" width="15" style="850" customWidth="1"/>
    <col min="3855" max="3855" width="3.5703125" style="850" customWidth="1"/>
    <col min="3856" max="3856" width="15" style="850" customWidth="1"/>
    <col min="3857" max="3857" width="11.42578125" style="850"/>
    <col min="3858" max="3858" width="14.28515625" style="850" customWidth="1"/>
    <col min="3859" max="3859" width="11.42578125" style="850"/>
    <col min="3860" max="3860" width="14.28515625" style="850" customWidth="1"/>
    <col min="3861" max="4096" width="11.42578125" style="850"/>
    <col min="4097" max="4097" width="3.5703125" style="850" customWidth="1"/>
    <col min="4098" max="4098" width="15" style="850" customWidth="1"/>
    <col min="4099" max="4099" width="3.5703125" style="850" customWidth="1"/>
    <col min="4100" max="4100" width="15" style="850" customWidth="1"/>
    <col min="4101" max="4101" width="3.5703125" style="850" customWidth="1"/>
    <col min="4102" max="4102" width="15" style="850" customWidth="1"/>
    <col min="4103" max="4103" width="3.5703125" style="850" customWidth="1"/>
    <col min="4104" max="4104" width="15" style="850" customWidth="1"/>
    <col min="4105" max="4105" width="3.5703125" style="850" customWidth="1"/>
    <col min="4106" max="4106" width="15" style="850" customWidth="1"/>
    <col min="4107" max="4107" width="3.5703125" style="850" customWidth="1"/>
    <col min="4108" max="4108" width="15" style="850" customWidth="1"/>
    <col min="4109" max="4109" width="3.5703125" style="850" customWidth="1"/>
    <col min="4110" max="4110" width="15" style="850" customWidth="1"/>
    <col min="4111" max="4111" width="3.5703125" style="850" customWidth="1"/>
    <col min="4112" max="4112" width="15" style="850" customWidth="1"/>
    <col min="4113" max="4113" width="11.42578125" style="850"/>
    <col min="4114" max="4114" width="14.28515625" style="850" customWidth="1"/>
    <col min="4115" max="4115" width="11.42578125" style="850"/>
    <col min="4116" max="4116" width="14.28515625" style="850" customWidth="1"/>
    <col min="4117" max="4352" width="11.42578125" style="850"/>
    <col min="4353" max="4353" width="3.5703125" style="850" customWidth="1"/>
    <col min="4354" max="4354" width="15" style="850" customWidth="1"/>
    <col min="4355" max="4355" width="3.5703125" style="850" customWidth="1"/>
    <col min="4356" max="4356" width="15" style="850" customWidth="1"/>
    <col min="4357" max="4357" width="3.5703125" style="850" customWidth="1"/>
    <col min="4358" max="4358" width="15" style="850" customWidth="1"/>
    <col min="4359" max="4359" width="3.5703125" style="850" customWidth="1"/>
    <col min="4360" max="4360" width="15" style="850" customWidth="1"/>
    <col min="4361" max="4361" width="3.5703125" style="850" customWidth="1"/>
    <col min="4362" max="4362" width="15" style="850" customWidth="1"/>
    <col min="4363" max="4363" width="3.5703125" style="850" customWidth="1"/>
    <col min="4364" max="4364" width="15" style="850" customWidth="1"/>
    <col min="4365" max="4365" width="3.5703125" style="850" customWidth="1"/>
    <col min="4366" max="4366" width="15" style="850" customWidth="1"/>
    <col min="4367" max="4367" width="3.5703125" style="850" customWidth="1"/>
    <col min="4368" max="4368" width="15" style="850" customWidth="1"/>
    <col min="4369" max="4369" width="11.42578125" style="850"/>
    <col min="4370" max="4370" width="14.28515625" style="850" customWidth="1"/>
    <col min="4371" max="4371" width="11.42578125" style="850"/>
    <col min="4372" max="4372" width="14.28515625" style="850" customWidth="1"/>
    <col min="4373" max="4608" width="11.42578125" style="850"/>
    <col min="4609" max="4609" width="3.5703125" style="850" customWidth="1"/>
    <col min="4610" max="4610" width="15" style="850" customWidth="1"/>
    <col min="4611" max="4611" width="3.5703125" style="850" customWidth="1"/>
    <col min="4612" max="4612" width="15" style="850" customWidth="1"/>
    <col min="4613" max="4613" width="3.5703125" style="850" customWidth="1"/>
    <col min="4614" max="4614" width="15" style="850" customWidth="1"/>
    <col min="4615" max="4615" width="3.5703125" style="850" customWidth="1"/>
    <col min="4616" max="4616" width="15" style="850" customWidth="1"/>
    <col min="4617" max="4617" width="3.5703125" style="850" customWidth="1"/>
    <col min="4618" max="4618" width="15" style="850" customWidth="1"/>
    <col min="4619" max="4619" width="3.5703125" style="850" customWidth="1"/>
    <col min="4620" max="4620" width="15" style="850" customWidth="1"/>
    <col min="4621" max="4621" width="3.5703125" style="850" customWidth="1"/>
    <col min="4622" max="4622" width="15" style="850" customWidth="1"/>
    <col min="4623" max="4623" width="3.5703125" style="850" customWidth="1"/>
    <col min="4624" max="4624" width="15" style="850" customWidth="1"/>
    <col min="4625" max="4625" width="11.42578125" style="850"/>
    <col min="4626" max="4626" width="14.28515625" style="850" customWidth="1"/>
    <col min="4627" max="4627" width="11.42578125" style="850"/>
    <col min="4628" max="4628" width="14.28515625" style="850" customWidth="1"/>
    <col min="4629" max="4864" width="11.42578125" style="850"/>
    <col min="4865" max="4865" width="3.5703125" style="850" customWidth="1"/>
    <col min="4866" max="4866" width="15" style="850" customWidth="1"/>
    <col min="4867" max="4867" width="3.5703125" style="850" customWidth="1"/>
    <col min="4868" max="4868" width="15" style="850" customWidth="1"/>
    <col min="4869" max="4869" width="3.5703125" style="850" customWidth="1"/>
    <col min="4870" max="4870" width="15" style="850" customWidth="1"/>
    <col min="4871" max="4871" width="3.5703125" style="850" customWidth="1"/>
    <col min="4872" max="4872" width="15" style="850" customWidth="1"/>
    <col min="4873" max="4873" width="3.5703125" style="850" customWidth="1"/>
    <col min="4874" max="4874" width="15" style="850" customWidth="1"/>
    <col min="4875" max="4875" width="3.5703125" style="850" customWidth="1"/>
    <col min="4876" max="4876" width="15" style="850" customWidth="1"/>
    <col min="4877" max="4877" width="3.5703125" style="850" customWidth="1"/>
    <col min="4878" max="4878" width="15" style="850" customWidth="1"/>
    <col min="4879" max="4879" width="3.5703125" style="850" customWidth="1"/>
    <col min="4880" max="4880" width="15" style="850" customWidth="1"/>
    <col min="4881" max="4881" width="11.42578125" style="850"/>
    <col min="4882" max="4882" width="14.28515625" style="850" customWidth="1"/>
    <col min="4883" max="4883" width="11.42578125" style="850"/>
    <col min="4884" max="4884" width="14.28515625" style="850" customWidth="1"/>
    <col min="4885" max="5120" width="11.42578125" style="850"/>
    <col min="5121" max="5121" width="3.5703125" style="850" customWidth="1"/>
    <col min="5122" max="5122" width="15" style="850" customWidth="1"/>
    <col min="5123" max="5123" width="3.5703125" style="850" customWidth="1"/>
    <col min="5124" max="5124" width="15" style="850" customWidth="1"/>
    <col min="5125" max="5125" width="3.5703125" style="850" customWidth="1"/>
    <col min="5126" max="5126" width="15" style="850" customWidth="1"/>
    <col min="5127" max="5127" width="3.5703125" style="850" customWidth="1"/>
    <col min="5128" max="5128" width="15" style="850" customWidth="1"/>
    <col min="5129" max="5129" width="3.5703125" style="850" customWidth="1"/>
    <col min="5130" max="5130" width="15" style="850" customWidth="1"/>
    <col min="5131" max="5131" width="3.5703125" style="850" customWidth="1"/>
    <col min="5132" max="5132" width="15" style="850" customWidth="1"/>
    <col min="5133" max="5133" width="3.5703125" style="850" customWidth="1"/>
    <col min="5134" max="5134" width="15" style="850" customWidth="1"/>
    <col min="5135" max="5135" width="3.5703125" style="850" customWidth="1"/>
    <col min="5136" max="5136" width="15" style="850" customWidth="1"/>
    <col min="5137" max="5137" width="11.42578125" style="850"/>
    <col min="5138" max="5138" width="14.28515625" style="850" customWidth="1"/>
    <col min="5139" max="5139" width="11.42578125" style="850"/>
    <col min="5140" max="5140" width="14.28515625" style="850" customWidth="1"/>
    <col min="5141" max="5376" width="11.42578125" style="850"/>
    <col min="5377" max="5377" width="3.5703125" style="850" customWidth="1"/>
    <col min="5378" max="5378" width="15" style="850" customWidth="1"/>
    <col min="5379" max="5379" width="3.5703125" style="850" customWidth="1"/>
    <col min="5380" max="5380" width="15" style="850" customWidth="1"/>
    <col min="5381" max="5381" width="3.5703125" style="850" customWidth="1"/>
    <col min="5382" max="5382" width="15" style="850" customWidth="1"/>
    <col min="5383" max="5383" width="3.5703125" style="850" customWidth="1"/>
    <col min="5384" max="5384" width="15" style="850" customWidth="1"/>
    <col min="5385" max="5385" width="3.5703125" style="850" customWidth="1"/>
    <col min="5386" max="5386" width="15" style="850" customWidth="1"/>
    <col min="5387" max="5387" width="3.5703125" style="850" customWidth="1"/>
    <col min="5388" max="5388" width="15" style="850" customWidth="1"/>
    <col min="5389" max="5389" width="3.5703125" style="850" customWidth="1"/>
    <col min="5390" max="5390" width="15" style="850" customWidth="1"/>
    <col min="5391" max="5391" width="3.5703125" style="850" customWidth="1"/>
    <col min="5392" max="5392" width="15" style="850" customWidth="1"/>
    <col min="5393" max="5393" width="11.42578125" style="850"/>
    <col min="5394" max="5394" width="14.28515625" style="850" customWidth="1"/>
    <col min="5395" max="5395" width="11.42578125" style="850"/>
    <col min="5396" max="5396" width="14.28515625" style="850" customWidth="1"/>
    <col min="5397" max="5632" width="11.42578125" style="850"/>
    <col min="5633" max="5633" width="3.5703125" style="850" customWidth="1"/>
    <col min="5634" max="5634" width="15" style="850" customWidth="1"/>
    <col min="5635" max="5635" width="3.5703125" style="850" customWidth="1"/>
    <col min="5636" max="5636" width="15" style="850" customWidth="1"/>
    <col min="5637" max="5637" width="3.5703125" style="850" customWidth="1"/>
    <col min="5638" max="5638" width="15" style="850" customWidth="1"/>
    <col min="5639" max="5639" width="3.5703125" style="850" customWidth="1"/>
    <col min="5640" max="5640" width="15" style="850" customWidth="1"/>
    <col min="5641" max="5641" width="3.5703125" style="850" customWidth="1"/>
    <col min="5642" max="5642" width="15" style="850" customWidth="1"/>
    <col min="5643" max="5643" width="3.5703125" style="850" customWidth="1"/>
    <col min="5644" max="5644" width="15" style="850" customWidth="1"/>
    <col min="5645" max="5645" width="3.5703125" style="850" customWidth="1"/>
    <col min="5646" max="5646" width="15" style="850" customWidth="1"/>
    <col min="5647" max="5647" width="3.5703125" style="850" customWidth="1"/>
    <col min="5648" max="5648" width="15" style="850" customWidth="1"/>
    <col min="5649" max="5649" width="11.42578125" style="850"/>
    <col min="5650" max="5650" width="14.28515625" style="850" customWidth="1"/>
    <col min="5651" max="5651" width="11.42578125" style="850"/>
    <col min="5652" max="5652" width="14.28515625" style="850" customWidth="1"/>
    <col min="5653" max="5888" width="11.42578125" style="850"/>
    <col min="5889" max="5889" width="3.5703125" style="850" customWidth="1"/>
    <col min="5890" max="5890" width="15" style="850" customWidth="1"/>
    <col min="5891" max="5891" width="3.5703125" style="850" customWidth="1"/>
    <col min="5892" max="5892" width="15" style="850" customWidth="1"/>
    <col min="5893" max="5893" width="3.5703125" style="850" customWidth="1"/>
    <col min="5894" max="5894" width="15" style="850" customWidth="1"/>
    <col min="5895" max="5895" width="3.5703125" style="850" customWidth="1"/>
    <col min="5896" max="5896" width="15" style="850" customWidth="1"/>
    <col min="5897" max="5897" width="3.5703125" style="850" customWidth="1"/>
    <col min="5898" max="5898" width="15" style="850" customWidth="1"/>
    <col min="5899" max="5899" width="3.5703125" style="850" customWidth="1"/>
    <col min="5900" max="5900" width="15" style="850" customWidth="1"/>
    <col min="5901" max="5901" width="3.5703125" style="850" customWidth="1"/>
    <col min="5902" max="5902" width="15" style="850" customWidth="1"/>
    <col min="5903" max="5903" width="3.5703125" style="850" customWidth="1"/>
    <col min="5904" max="5904" width="15" style="850" customWidth="1"/>
    <col min="5905" max="5905" width="11.42578125" style="850"/>
    <col min="5906" max="5906" width="14.28515625" style="850" customWidth="1"/>
    <col min="5907" max="5907" width="11.42578125" style="850"/>
    <col min="5908" max="5908" width="14.28515625" style="850" customWidth="1"/>
    <col min="5909" max="6144" width="11.42578125" style="850"/>
    <col min="6145" max="6145" width="3.5703125" style="850" customWidth="1"/>
    <col min="6146" max="6146" width="15" style="850" customWidth="1"/>
    <col min="6147" max="6147" width="3.5703125" style="850" customWidth="1"/>
    <col min="6148" max="6148" width="15" style="850" customWidth="1"/>
    <col min="6149" max="6149" width="3.5703125" style="850" customWidth="1"/>
    <col min="6150" max="6150" width="15" style="850" customWidth="1"/>
    <col min="6151" max="6151" width="3.5703125" style="850" customWidth="1"/>
    <col min="6152" max="6152" width="15" style="850" customWidth="1"/>
    <col min="6153" max="6153" width="3.5703125" style="850" customWidth="1"/>
    <col min="6154" max="6154" width="15" style="850" customWidth="1"/>
    <col min="6155" max="6155" width="3.5703125" style="850" customWidth="1"/>
    <col min="6156" max="6156" width="15" style="850" customWidth="1"/>
    <col min="6157" max="6157" width="3.5703125" style="850" customWidth="1"/>
    <col min="6158" max="6158" width="15" style="850" customWidth="1"/>
    <col min="6159" max="6159" width="3.5703125" style="850" customWidth="1"/>
    <col min="6160" max="6160" width="15" style="850" customWidth="1"/>
    <col min="6161" max="6161" width="11.42578125" style="850"/>
    <col min="6162" max="6162" width="14.28515625" style="850" customWidth="1"/>
    <col min="6163" max="6163" width="11.42578125" style="850"/>
    <col min="6164" max="6164" width="14.28515625" style="850" customWidth="1"/>
    <col min="6165" max="6400" width="11.42578125" style="850"/>
    <col min="6401" max="6401" width="3.5703125" style="850" customWidth="1"/>
    <col min="6402" max="6402" width="15" style="850" customWidth="1"/>
    <col min="6403" max="6403" width="3.5703125" style="850" customWidth="1"/>
    <col min="6404" max="6404" width="15" style="850" customWidth="1"/>
    <col min="6405" max="6405" width="3.5703125" style="850" customWidth="1"/>
    <col min="6406" max="6406" width="15" style="850" customWidth="1"/>
    <col min="6407" max="6407" width="3.5703125" style="850" customWidth="1"/>
    <col min="6408" max="6408" width="15" style="850" customWidth="1"/>
    <col min="6409" max="6409" width="3.5703125" style="850" customWidth="1"/>
    <col min="6410" max="6410" width="15" style="850" customWidth="1"/>
    <col min="6411" max="6411" width="3.5703125" style="850" customWidth="1"/>
    <col min="6412" max="6412" width="15" style="850" customWidth="1"/>
    <col min="6413" max="6413" width="3.5703125" style="850" customWidth="1"/>
    <col min="6414" max="6414" width="15" style="850" customWidth="1"/>
    <col min="6415" max="6415" width="3.5703125" style="850" customWidth="1"/>
    <col min="6416" max="6416" width="15" style="850" customWidth="1"/>
    <col min="6417" max="6417" width="11.42578125" style="850"/>
    <col min="6418" max="6418" width="14.28515625" style="850" customWidth="1"/>
    <col min="6419" max="6419" width="11.42578125" style="850"/>
    <col min="6420" max="6420" width="14.28515625" style="850" customWidth="1"/>
    <col min="6421" max="6656" width="11.42578125" style="850"/>
    <col min="6657" max="6657" width="3.5703125" style="850" customWidth="1"/>
    <col min="6658" max="6658" width="15" style="850" customWidth="1"/>
    <col min="6659" max="6659" width="3.5703125" style="850" customWidth="1"/>
    <col min="6660" max="6660" width="15" style="850" customWidth="1"/>
    <col min="6661" max="6661" width="3.5703125" style="850" customWidth="1"/>
    <col min="6662" max="6662" width="15" style="850" customWidth="1"/>
    <col min="6663" max="6663" width="3.5703125" style="850" customWidth="1"/>
    <col min="6664" max="6664" width="15" style="850" customWidth="1"/>
    <col min="6665" max="6665" width="3.5703125" style="850" customWidth="1"/>
    <col min="6666" max="6666" width="15" style="850" customWidth="1"/>
    <col min="6667" max="6667" width="3.5703125" style="850" customWidth="1"/>
    <col min="6668" max="6668" width="15" style="850" customWidth="1"/>
    <col min="6669" max="6669" width="3.5703125" style="850" customWidth="1"/>
    <col min="6670" max="6670" width="15" style="850" customWidth="1"/>
    <col min="6671" max="6671" width="3.5703125" style="850" customWidth="1"/>
    <col min="6672" max="6672" width="15" style="850" customWidth="1"/>
    <col min="6673" max="6673" width="11.42578125" style="850"/>
    <col min="6674" max="6674" width="14.28515625" style="850" customWidth="1"/>
    <col min="6675" max="6675" width="11.42578125" style="850"/>
    <col min="6676" max="6676" width="14.28515625" style="850" customWidth="1"/>
    <col min="6677" max="6912" width="11.42578125" style="850"/>
    <col min="6913" max="6913" width="3.5703125" style="850" customWidth="1"/>
    <col min="6914" max="6914" width="15" style="850" customWidth="1"/>
    <col min="6915" max="6915" width="3.5703125" style="850" customWidth="1"/>
    <col min="6916" max="6916" width="15" style="850" customWidth="1"/>
    <col min="6917" max="6917" width="3.5703125" style="850" customWidth="1"/>
    <col min="6918" max="6918" width="15" style="850" customWidth="1"/>
    <col min="6919" max="6919" width="3.5703125" style="850" customWidth="1"/>
    <col min="6920" max="6920" width="15" style="850" customWidth="1"/>
    <col min="6921" max="6921" width="3.5703125" style="850" customWidth="1"/>
    <col min="6922" max="6922" width="15" style="850" customWidth="1"/>
    <col min="6923" max="6923" width="3.5703125" style="850" customWidth="1"/>
    <col min="6924" max="6924" width="15" style="850" customWidth="1"/>
    <col min="6925" max="6925" width="3.5703125" style="850" customWidth="1"/>
    <col min="6926" max="6926" width="15" style="850" customWidth="1"/>
    <col min="6927" max="6927" width="3.5703125" style="850" customWidth="1"/>
    <col min="6928" max="6928" width="15" style="850" customWidth="1"/>
    <col min="6929" max="6929" width="11.42578125" style="850"/>
    <col min="6930" max="6930" width="14.28515625" style="850" customWidth="1"/>
    <col min="6931" max="6931" width="11.42578125" style="850"/>
    <col min="6932" max="6932" width="14.28515625" style="850" customWidth="1"/>
    <col min="6933" max="7168" width="11.42578125" style="850"/>
    <col min="7169" max="7169" width="3.5703125" style="850" customWidth="1"/>
    <col min="7170" max="7170" width="15" style="850" customWidth="1"/>
    <col min="7171" max="7171" width="3.5703125" style="850" customWidth="1"/>
    <col min="7172" max="7172" width="15" style="850" customWidth="1"/>
    <col min="7173" max="7173" width="3.5703125" style="850" customWidth="1"/>
    <col min="7174" max="7174" width="15" style="850" customWidth="1"/>
    <col min="7175" max="7175" width="3.5703125" style="850" customWidth="1"/>
    <col min="7176" max="7176" width="15" style="850" customWidth="1"/>
    <col min="7177" max="7177" width="3.5703125" style="850" customWidth="1"/>
    <col min="7178" max="7178" width="15" style="850" customWidth="1"/>
    <col min="7179" max="7179" width="3.5703125" style="850" customWidth="1"/>
    <col min="7180" max="7180" width="15" style="850" customWidth="1"/>
    <col min="7181" max="7181" width="3.5703125" style="850" customWidth="1"/>
    <col min="7182" max="7182" width="15" style="850" customWidth="1"/>
    <col min="7183" max="7183" width="3.5703125" style="850" customWidth="1"/>
    <col min="7184" max="7184" width="15" style="850" customWidth="1"/>
    <col min="7185" max="7185" width="11.42578125" style="850"/>
    <col min="7186" max="7186" width="14.28515625" style="850" customWidth="1"/>
    <col min="7187" max="7187" width="11.42578125" style="850"/>
    <col min="7188" max="7188" width="14.28515625" style="850" customWidth="1"/>
    <col min="7189" max="7424" width="11.42578125" style="850"/>
    <col min="7425" max="7425" width="3.5703125" style="850" customWidth="1"/>
    <col min="7426" max="7426" width="15" style="850" customWidth="1"/>
    <col min="7427" max="7427" width="3.5703125" style="850" customWidth="1"/>
    <col min="7428" max="7428" width="15" style="850" customWidth="1"/>
    <col min="7429" max="7429" width="3.5703125" style="850" customWidth="1"/>
    <col min="7430" max="7430" width="15" style="850" customWidth="1"/>
    <col min="7431" max="7431" width="3.5703125" style="850" customWidth="1"/>
    <col min="7432" max="7432" width="15" style="850" customWidth="1"/>
    <col min="7433" max="7433" width="3.5703125" style="850" customWidth="1"/>
    <col min="7434" max="7434" width="15" style="850" customWidth="1"/>
    <col min="7435" max="7435" width="3.5703125" style="850" customWidth="1"/>
    <col min="7436" max="7436" width="15" style="850" customWidth="1"/>
    <col min="7437" max="7437" width="3.5703125" style="850" customWidth="1"/>
    <col min="7438" max="7438" width="15" style="850" customWidth="1"/>
    <col min="7439" max="7439" width="3.5703125" style="850" customWidth="1"/>
    <col min="7440" max="7440" width="15" style="850" customWidth="1"/>
    <col min="7441" max="7441" width="11.42578125" style="850"/>
    <col min="7442" max="7442" width="14.28515625" style="850" customWidth="1"/>
    <col min="7443" max="7443" width="11.42578125" style="850"/>
    <col min="7444" max="7444" width="14.28515625" style="850" customWidth="1"/>
    <col min="7445" max="7680" width="11.42578125" style="850"/>
    <col min="7681" max="7681" width="3.5703125" style="850" customWidth="1"/>
    <col min="7682" max="7682" width="15" style="850" customWidth="1"/>
    <col min="7683" max="7683" width="3.5703125" style="850" customWidth="1"/>
    <col min="7684" max="7684" width="15" style="850" customWidth="1"/>
    <col min="7685" max="7685" width="3.5703125" style="850" customWidth="1"/>
    <col min="7686" max="7686" width="15" style="850" customWidth="1"/>
    <col min="7687" max="7687" width="3.5703125" style="850" customWidth="1"/>
    <col min="7688" max="7688" width="15" style="850" customWidth="1"/>
    <col min="7689" max="7689" width="3.5703125" style="850" customWidth="1"/>
    <col min="7690" max="7690" width="15" style="850" customWidth="1"/>
    <col min="7691" max="7691" width="3.5703125" style="850" customWidth="1"/>
    <col min="7692" max="7692" width="15" style="850" customWidth="1"/>
    <col min="7693" max="7693" width="3.5703125" style="850" customWidth="1"/>
    <col min="7694" max="7694" width="15" style="850" customWidth="1"/>
    <col min="7695" max="7695" width="3.5703125" style="850" customWidth="1"/>
    <col min="7696" max="7696" width="15" style="850" customWidth="1"/>
    <col min="7697" max="7697" width="11.42578125" style="850"/>
    <col min="7698" max="7698" width="14.28515625" style="850" customWidth="1"/>
    <col min="7699" max="7699" width="11.42578125" style="850"/>
    <col min="7700" max="7700" width="14.28515625" style="850" customWidth="1"/>
    <col min="7701" max="7936" width="11.42578125" style="850"/>
    <col min="7937" max="7937" width="3.5703125" style="850" customWidth="1"/>
    <col min="7938" max="7938" width="15" style="850" customWidth="1"/>
    <col min="7939" max="7939" width="3.5703125" style="850" customWidth="1"/>
    <col min="7940" max="7940" width="15" style="850" customWidth="1"/>
    <col min="7941" max="7941" width="3.5703125" style="850" customWidth="1"/>
    <col min="7942" max="7942" width="15" style="850" customWidth="1"/>
    <col min="7943" max="7943" width="3.5703125" style="850" customWidth="1"/>
    <col min="7944" max="7944" width="15" style="850" customWidth="1"/>
    <col min="7945" max="7945" width="3.5703125" style="850" customWidth="1"/>
    <col min="7946" max="7946" width="15" style="850" customWidth="1"/>
    <col min="7947" max="7947" width="3.5703125" style="850" customWidth="1"/>
    <col min="7948" max="7948" width="15" style="850" customWidth="1"/>
    <col min="7949" max="7949" width="3.5703125" style="850" customWidth="1"/>
    <col min="7950" max="7950" width="15" style="850" customWidth="1"/>
    <col min="7951" max="7951" width="3.5703125" style="850" customWidth="1"/>
    <col min="7952" max="7952" width="15" style="850" customWidth="1"/>
    <col min="7953" max="7953" width="11.42578125" style="850"/>
    <col min="7954" max="7954" width="14.28515625" style="850" customWidth="1"/>
    <col min="7955" max="7955" width="11.42578125" style="850"/>
    <col min="7956" max="7956" width="14.28515625" style="850" customWidth="1"/>
    <col min="7957" max="8192" width="11.42578125" style="850"/>
    <col min="8193" max="8193" width="3.5703125" style="850" customWidth="1"/>
    <col min="8194" max="8194" width="15" style="850" customWidth="1"/>
    <col min="8195" max="8195" width="3.5703125" style="850" customWidth="1"/>
    <col min="8196" max="8196" width="15" style="850" customWidth="1"/>
    <col min="8197" max="8197" width="3.5703125" style="850" customWidth="1"/>
    <col min="8198" max="8198" width="15" style="850" customWidth="1"/>
    <col min="8199" max="8199" width="3.5703125" style="850" customWidth="1"/>
    <col min="8200" max="8200" width="15" style="850" customWidth="1"/>
    <col min="8201" max="8201" width="3.5703125" style="850" customWidth="1"/>
    <col min="8202" max="8202" width="15" style="850" customWidth="1"/>
    <col min="8203" max="8203" width="3.5703125" style="850" customWidth="1"/>
    <col min="8204" max="8204" width="15" style="850" customWidth="1"/>
    <col min="8205" max="8205" width="3.5703125" style="850" customWidth="1"/>
    <col min="8206" max="8206" width="15" style="850" customWidth="1"/>
    <col min="8207" max="8207" width="3.5703125" style="850" customWidth="1"/>
    <col min="8208" max="8208" width="15" style="850" customWidth="1"/>
    <col min="8209" max="8209" width="11.42578125" style="850"/>
    <col min="8210" max="8210" width="14.28515625" style="850" customWidth="1"/>
    <col min="8211" max="8211" width="11.42578125" style="850"/>
    <col min="8212" max="8212" width="14.28515625" style="850" customWidth="1"/>
    <col min="8213" max="8448" width="11.42578125" style="850"/>
    <col min="8449" max="8449" width="3.5703125" style="850" customWidth="1"/>
    <col min="8450" max="8450" width="15" style="850" customWidth="1"/>
    <col min="8451" max="8451" width="3.5703125" style="850" customWidth="1"/>
    <col min="8452" max="8452" width="15" style="850" customWidth="1"/>
    <col min="8453" max="8453" width="3.5703125" style="850" customWidth="1"/>
    <col min="8454" max="8454" width="15" style="850" customWidth="1"/>
    <col min="8455" max="8455" width="3.5703125" style="850" customWidth="1"/>
    <col min="8456" max="8456" width="15" style="850" customWidth="1"/>
    <col min="8457" max="8457" width="3.5703125" style="850" customWidth="1"/>
    <col min="8458" max="8458" width="15" style="850" customWidth="1"/>
    <col min="8459" max="8459" width="3.5703125" style="850" customWidth="1"/>
    <col min="8460" max="8460" width="15" style="850" customWidth="1"/>
    <col min="8461" max="8461" width="3.5703125" style="850" customWidth="1"/>
    <col min="8462" max="8462" width="15" style="850" customWidth="1"/>
    <col min="8463" max="8463" width="3.5703125" style="850" customWidth="1"/>
    <col min="8464" max="8464" width="15" style="850" customWidth="1"/>
    <col min="8465" max="8465" width="11.42578125" style="850"/>
    <col min="8466" max="8466" width="14.28515625" style="850" customWidth="1"/>
    <col min="8467" max="8467" width="11.42578125" style="850"/>
    <col min="8468" max="8468" width="14.28515625" style="850" customWidth="1"/>
    <col min="8469" max="8704" width="11.42578125" style="850"/>
    <col min="8705" max="8705" width="3.5703125" style="850" customWidth="1"/>
    <col min="8706" max="8706" width="15" style="850" customWidth="1"/>
    <col min="8707" max="8707" width="3.5703125" style="850" customWidth="1"/>
    <col min="8708" max="8708" width="15" style="850" customWidth="1"/>
    <col min="8709" max="8709" width="3.5703125" style="850" customWidth="1"/>
    <col min="8710" max="8710" width="15" style="850" customWidth="1"/>
    <col min="8711" max="8711" width="3.5703125" style="850" customWidth="1"/>
    <col min="8712" max="8712" width="15" style="850" customWidth="1"/>
    <col min="8713" max="8713" width="3.5703125" style="850" customWidth="1"/>
    <col min="8714" max="8714" width="15" style="850" customWidth="1"/>
    <col min="8715" max="8715" width="3.5703125" style="850" customWidth="1"/>
    <col min="8716" max="8716" width="15" style="850" customWidth="1"/>
    <col min="8717" max="8717" width="3.5703125" style="850" customWidth="1"/>
    <col min="8718" max="8718" width="15" style="850" customWidth="1"/>
    <col min="8719" max="8719" width="3.5703125" style="850" customWidth="1"/>
    <col min="8720" max="8720" width="15" style="850" customWidth="1"/>
    <col min="8721" max="8721" width="11.42578125" style="850"/>
    <col min="8722" max="8722" width="14.28515625" style="850" customWidth="1"/>
    <col min="8723" max="8723" width="11.42578125" style="850"/>
    <col min="8724" max="8724" width="14.28515625" style="850" customWidth="1"/>
    <col min="8725" max="8960" width="11.42578125" style="850"/>
    <col min="8961" max="8961" width="3.5703125" style="850" customWidth="1"/>
    <col min="8962" max="8962" width="15" style="850" customWidth="1"/>
    <col min="8963" max="8963" width="3.5703125" style="850" customWidth="1"/>
    <col min="8964" max="8964" width="15" style="850" customWidth="1"/>
    <col min="8965" max="8965" width="3.5703125" style="850" customWidth="1"/>
    <col min="8966" max="8966" width="15" style="850" customWidth="1"/>
    <col min="8967" max="8967" width="3.5703125" style="850" customWidth="1"/>
    <col min="8968" max="8968" width="15" style="850" customWidth="1"/>
    <col min="8969" max="8969" width="3.5703125" style="850" customWidth="1"/>
    <col min="8970" max="8970" width="15" style="850" customWidth="1"/>
    <col min="8971" max="8971" width="3.5703125" style="850" customWidth="1"/>
    <col min="8972" max="8972" width="15" style="850" customWidth="1"/>
    <col min="8973" max="8973" width="3.5703125" style="850" customWidth="1"/>
    <col min="8974" max="8974" width="15" style="850" customWidth="1"/>
    <col min="8975" max="8975" width="3.5703125" style="850" customWidth="1"/>
    <col min="8976" max="8976" width="15" style="850" customWidth="1"/>
    <col min="8977" max="8977" width="11.42578125" style="850"/>
    <col min="8978" max="8978" width="14.28515625" style="850" customWidth="1"/>
    <col min="8979" max="8979" width="11.42578125" style="850"/>
    <col min="8980" max="8980" width="14.28515625" style="850" customWidth="1"/>
    <col min="8981" max="9216" width="11.42578125" style="850"/>
    <col min="9217" max="9217" width="3.5703125" style="850" customWidth="1"/>
    <col min="9218" max="9218" width="15" style="850" customWidth="1"/>
    <col min="9219" max="9219" width="3.5703125" style="850" customWidth="1"/>
    <col min="9220" max="9220" width="15" style="850" customWidth="1"/>
    <col min="9221" max="9221" width="3.5703125" style="850" customWidth="1"/>
    <col min="9222" max="9222" width="15" style="850" customWidth="1"/>
    <col min="9223" max="9223" width="3.5703125" style="850" customWidth="1"/>
    <col min="9224" max="9224" width="15" style="850" customWidth="1"/>
    <col min="9225" max="9225" width="3.5703125" style="850" customWidth="1"/>
    <col min="9226" max="9226" width="15" style="850" customWidth="1"/>
    <col min="9227" max="9227" width="3.5703125" style="850" customWidth="1"/>
    <col min="9228" max="9228" width="15" style="850" customWidth="1"/>
    <col min="9229" max="9229" width="3.5703125" style="850" customWidth="1"/>
    <col min="9230" max="9230" width="15" style="850" customWidth="1"/>
    <col min="9231" max="9231" width="3.5703125" style="850" customWidth="1"/>
    <col min="9232" max="9232" width="15" style="850" customWidth="1"/>
    <col min="9233" max="9233" width="11.42578125" style="850"/>
    <col min="9234" max="9234" width="14.28515625" style="850" customWidth="1"/>
    <col min="9235" max="9235" width="11.42578125" style="850"/>
    <col min="9236" max="9236" width="14.28515625" style="850" customWidth="1"/>
    <col min="9237" max="9472" width="11.42578125" style="850"/>
    <col min="9473" max="9473" width="3.5703125" style="850" customWidth="1"/>
    <col min="9474" max="9474" width="15" style="850" customWidth="1"/>
    <col min="9475" max="9475" width="3.5703125" style="850" customWidth="1"/>
    <col min="9476" max="9476" width="15" style="850" customWidth="1"/>
    <col min="9477" max="9477" width="3.5703125" style="850" customWidth="1"/>
    <col min="9478" max="9478" width="15" style="850" customWidth="1"/>
    <col min="9479" max="9479" width="3.5703125" style="850" customWidth="1"/>
    <col min="9480" max="9480" width="15" style="850" customWidth="1"/>
    <col min="9481" max="9481" width="3.5703125" style="850" customWidth="1"/>
    <col min="9482" max="9482" width="15" style="850" customWidth="1"/>
    <col min="9483" max="9483" width="3.5703125" style="850" customWidth="1"/>
    <col min="9484" max="9484" width="15" style="850" customWidth="1"/>
    <col min="9485" max="9485" width="3.5703125" style="850" customWidth="1"/>
    <col min="9486" max="9486" width="15" style="850" customWidth="1"/>
    <col min="9487" max="9487" width="3.5703125" style="850" customWidth="1"/>
    <col min="9488" max="9488" width="15" style="850" customWidth="1"/>
    <col min="9489" max="9489" width="11.42578125" style="850"/>
    <col min="9490" max="9490" width="14.28515625" style="850" customWidth="1"/>
    <col min="9491" max="9491" width="11.42578125" style="850"/>
    <col min="9492" max="9492" width="14.28515625" style="850" customWidth="1"/>
    <col min="9493" max="9728" width="11.42578125" style="850"/>
    <col min="9729" max="9729" width="3.5703125" style="850" customWidth="1"/>
    <col min="9730" max="9730" width="15" style="850" customWidth="1"/>
    <col min="9731" max="9731" width="3.5703125" style="850" customWidth="1"/>
    <col min="9732" max="9732" width="15" style="850" customWidth="1"/>
    <col min="9733" max="9733" width="3.5703125" style="850" customWidth="1"/>
    <col min="9734" max="9734" width="15" style="850" customWidth="1"/>
    <col min="9735" max="9735" width="3.5703125" style="850" customWidth="1"/>
    <col min="9736" max="9736" width="15" style="850" customWidth="1"/>
    <col min="9737" max="9737" width="3.5703125" style="850" customWidth="1"/>
    <col min="9738" max="9738" width="15" style="850" customWidth="1"/>
    <col min="9739" max="9739" width="3.5703125" style="850" customWidth="1"/>
    <col min="9740" max="9740" width="15" style="850" customWidth="1"/>
    <col min="9741" max="9741" width="3.5703125" style="850" customWidth="1"/>
    <col min="9742" max="9742" width="15" style="850" customWidth="1"/>
    <col min="9743" max="9743" width="3.5703125" style="850" customWidth="1"/>
    <col min="9744" max="9744" width="15" style="850" customWidth="1"/>
    <col min="9745" max="9745" width="11.42578125" style="850"/>
    <col min="9746" max="9746" width="14.28515625" style="850" customWidth="1"/>
    <col min="9747" max="9747" width="11.42578125" style="850"/>
    <col min="9748" max="9748" width="14.28515625" style="850" customWidth="1"/>
    <col min="9749" max="9984" width="11.42578125" style="850"/>
    <col min="9985" max="9985" width="3.5703125" style="850" customWidth="1"/>
    <col min="9986" max="9986" width="15" style="850" customWidth="1"/>
    <col min="9987" max="9987" width="3.5703125" style="850" customWidth="1"/>
    <col min="9988" max="9988" width="15" style="850" customWidth="1"/>
    <col min="9989" max="9989" width="3.5703125" style="850" customWidth="1"/>
    <col min="9990" max="9990" width="15" style="850" customWidth="1"/>
    <col min="9991" max="9991" width="3.5703125" style="850" customWidth="1"/>
    <col min="9992" max="9992" width="15" style="850" customWidth="1"/>
    <col min="9993" max="9993" width="3.5703125" style="850" customWidth="1"/>
    <col min="9994" max="9994" width="15" style="850" customWidth="1"/>
    <col min="9995" max="9995" width="3.5703125" style="850" customWidth="1"/>
    <col min="9996" max="9996" width="15" style="850" customWidth="1"/>
    <col min="9997" max="9997" width="3.5703125" style="850" customWidth="1"/>
    <col min="9998" max="9998" width="15" style="850" customWidth="1"/>
    <col min="9999" max="9999" width="3.5703125" style="850" customWidth="1"/>
    <col min="10000" max="10000" width="15" style="850" customWidth="1"/>
    <col min="10001" max="10001" width="11.42578125" style="850"/>
    <col min="10002" max="10002" width="14.28515625" style="850" customWidth="1"/>
    <col min="10003" max="10003" width="11.42578125" style="850"/>
    <col min="10004" max="10004" width="14.28515625" style="850" customWidth="1"/>
    <col min="10005" max="10240" width="11.42578125" style="850"/>
    <col min="10241" max="10241" width="3.5703125" style="850" customWidth="1"/>
    <col min="10242" max="10242" width="15" style="850" customWidth="1"/>
    <col min="10243" max="10243" width="3.5703125" style="850" customWidth="1"/>
    <col min="10244" max="10244" width="15" style="850" customWidth="1"/>
    <col min="10245" max="10245" width="3.5703125" style="850" customWidth="1"/>
    <col min="10246" max="10246" width="15" style="850" customWidth="1"/>
    <col min="10247" max="10247" width="3.5703125" style="850" customWidth="1"/>
    <col min="10248" max="10248" width="15" style="850" customWidth="1"/>
    <col min="10249" max="10249" width="3.5703125" style="850" customWidth="1"/>
    <col min="10250" max="10250" width="15" style="850" customWidth="1"/>
    <col min="10251" max="10251" width="3.5703125" style="850" customWidth="1"/>
    <col min="10252" max="10252" width="15" style="850" customWidth="1"/>
    <col min="10253" max="10253" width="3.5703125" style="850" customWidth="1"/>
    <col min="10254" max="10254" width="15" style="850" customWidth="1"/>
    <col min="10255" max="10255" width="3.5703125" style="850" customWidth="1"/>
    <col min="10256" max="10256" width="15" style="850" customWidth="1"/>
    <col min="10257" max="10257" width="11.42578125" style="850"/>
    <col min="10258" max="10258" width="14.28515625" style="850" customWidth="1"/>
    <col min="10259" max="10259" width="11.42578125" style="850"/>
    <col min="10260" max="10260" width="14.28515625" style="850" customWidth="1"/>
    <col min="10261" max="10496" width="11.42578125" style="850"/>
    <col min="10497" max="10497" width="3.5703125" style="850" customWidth="1"/>
    <col min="10498" max="10498" width="15" style="850" customWidth="1"/>
    <col min="10499" max="10499" width="3.5703125" style="850" customWidth="1"/>
    <col min="10500" max="10500" width="15" style="850" customWidth="1"/>
    <col min="10501" max="10501" width="3.5703125" style="850" customWidth="1"/>
    <col min="10502" max="10502" width="15" style="850" customWidth="1"/>
    <col min="10503" max="10503" width="3.5703125" style="850" customWidth="1"/>
    <col min="10504" max="10504" width="15" style="850" customWidth="1"/>
    <col min="10505" max="10505" width="3.5703125" style="850" customWidth="1"/>
    <col min="10506" max="10506" width="15" style="850" customWidth="1"/>
    <col min="10507" max="10507" width="3.5703125" style="850" customWidth="1"/>
    <col min="10508" max="10508" width="15" style="850" customWidth="1"/>
    <col min="10509" max="10509" width="3.5703125" style="850" customWidth="1"/>
    <col min="10510" max="10510" width="15" style="850" customWidth="1"/>
    <col min="10511" max="10511" width="3.5703125" style="850" customWidth="1"/>
    <col min="10512" max="10512" width="15" style="850" customWidth="1"/>
    <col min="10513" max="10513" width="11.42578125" style="850"/>
    <col min="10514" max="10514" width="14.28515625" style="850" customWidth="1"/>
    <col min="10515" max="10515" width="11.42578125" style="850"/>
    <col min="10516" max="10516" width="14.28515625" style="850" customWidth="1"/>
    <col min="10517" max="10752" width="11.42578125" style="850"/>
    <col min="10753" max="10753" width="3.5703125" style="850" customWidth="1"/>
    <col min="10754" max="10754" width="15" style="850" customWidth="1"/>
    <col min="10755" max="10755" width="3.5703125" style="850" customWidth="1"/>
    <col min="10756" max="10756" width="15" style="850" customWidth="1"/>
    <col min="10757" max="10757" width="3.5703125" style="850" customWidth="1"/>
    <col min="10758" max="10758" width="15" style="850" customWidth="1"/>
    <col min="10759" max="10759" width="3.5703125" style="850" customWidth="1"/>
    <col min="10760" max="10760" width="15" style="850" customWidth="1"/>
    <col min="10761" max="10761" width="3.5703125" style="850" customWidth="1"/>
    <col min="10762" max="10762" width="15" style="850" customWidth="1"/>
    <col min="10763" max="10763" width="3.5703125" style="850" customWidth="1"/>
    <col min="10764" max="10764" width="15" style="850" customWidth="1"/>
    <col min="10765" max="10765" width="3.5703125" style="850" customWidth="1"/>
    <col min="10766" max="10766" width="15" style="850" customWidth="1"/>
    <col min="10767" max="10767" width="3.5703125" style="850" customWidth="1"/>
    <col min="10768" max="10768" width="15" style="850" customWidth="1"/>
    <col min="10769" max="10769" width="11.42578125" style="850"/>
    <col min="10770" max="10770" width="14.28515625" style="850" customWidth="1"/>
    <col min="10771" max="10771" width="11.42578125" style="850"/>
    <col min="10772" max="10772" width="14.28515625" style="850" customWidth="1"/>
    <col min="10773" max="11008" width="11.42578125" style="850"/>
    <col min="11009" max="11009" width="3.5703125" style="850" customWidth="1"/>
    <col min="11010" max="11010" width="15" style="850" customWidth="1"/>
    <col min="11011" max="11011" width="3.5703125" style="850" customWidth="1"/>
    <col min="11012" max="11012" width="15" style="850" customWidth="1"/>
    <col min="11013" max="11013" width="3.5703125" style="850" customWidth="1"/>
    <col min="11014" max="11014" width="15" style="850" customWidth="1"/>
    <col min="11015" max="11015" width="3.5703125" style="850" customWidth="1"/>
    <col min="11016" max="11016" width="15" style="850" customWidth="1"/>
    <col min="11017" max="11017" width="3.5703125" style="850" customWidth="1"/>
    <col min="11018" max="11018" width="15" style="850" customWidth="1"/>
    <col min="11019" max="11019" width="3.5703125" style="850" customWidth="1"/>
    <col min="11020" max="11020" width="15" style="850" customWidth="1"/>
    <col min="11021" max="11021" width="3.5703125" style="850" customWidth="1"/>
    <col min="11022" max="11022" width="15" style="850" customWidth="1"/>
    <col min="11023" max="11023" width="3.5703125" style="850" customWidth="1"/>
    <col min="11024" max="11024" width="15" style="850" customWidth="1"/>
    <col min="11025" max="11025" width="11.42578125" style="850"/>
    <col min="11026" max="11026" width="14.28515625" style="850" customWidth="1"/>
    <col min="11027" max="11027" width="11.42578125" style="850"/>
    <col min="11028" max="11028" width="14.28515625" style="850" customWidth="1"/>
    <col min="11029" max="11264" width="11.42578125" style="850"/>
    <col min="11265" max="11265" width="3.5703125" style="850" customWidth="1"/>
    <col min="11266" max="11266" width="15" style="850" customWidth="1"/>
    <col min="11267" max="11267" width="3.5703125" style="850" customWidth="1"/>
    <col min="11268" max="11268" width="15" style="850" customWidth="1"/>
    <col min="11269" max="11269" width="3.5703125" style="850" customWidth="1"/>
    <col min="11270" max="11270" width="15" style="850" customWidth="1"/>
    <col min="11271" max="11271" width="3.5703125" style="850" customWidth="1"/>
    <col min="11272" max="11272" width="15" style="850" customWidth="1"/>
    <col min="11273" max="11273" width="3.5703125" style="850" customWidth="1"/>
    <col min="11274" max="11274" width="15" style="850" customWidth="1"/>
    <col min="11275" max="11275" width="3.5703125" style="850" customWidth="1"/>
    <col min="11276" max="11276" width="15" style="850" customWidth="1"/>
    <col min="11277" max="11277" width="3.5703125" style="850" customWidth="1"/>
    <col min="11278" max="11278" width="15" style="850" customWidth="1"/>
    <col min="11279" max="11279" width="3.5703125" style="850" customWidth="1"/>
    <col min="11280" max="11280" width="15" style="850" customWidth="1"/>
    <col min="11281" max="11281" width="11.42578125" style="850"/>
    <col min="11282" max="11282" width="14.28515625" style="850" customWidth="1"/>
    <col min="11283" max="11283" width="11.42578125" style="850"/>
    <col min="11284" max="11284" width="14.28515625" style="850" customWidth="1"/>
    <col min="11285" max="11520" width="11.42578125" style="850"/>
    <col min="11521" max="11521" width="3.5703125" style="850" customWidth="1"/>
    <col min="11522" max="11522" width="15" style="850" customWidth="1"/>
    <col min="11523" max="11523" width="3.5703125" style="850" customWidth="1"/>
    <col min="11524" max="11524" width="15" style="850" customWidth="1"/>
    <col min="11525" max="11525" width="3.5703125" style="850" customWidth="1"/>
    <col min="11526" max="11526" width="15" style="850" customWidth="1"/>
    <col min="11527" max="11527" width="3.5703125" style="850" customWidth="1"/>
    <col min="11528" max="11528" width="15" style="850" customWidth="1"/>
    <col min="11529" max="11529" width="3.5703125" style="850" customWidth="1"/>
    <col min="11530" max="11530" width="15" style="850" customWidth="1"/>
    <col min="11531" max="11531" width="3.5703125" style="850" customWidth="1"/>
    <col min="11532" max="11532" width="15" style="850" customWidth="1"/>
    <col min="11533" max="11533" width="3.5703125" style="850" customWidth="1"/>
    <col min="11534" max="11534" width="15" style="850" customWidth="1"/>
    <col min="11535" max="11535" width="3.5703125" style="850" customWidth="1"/>
    <col min="11536" max="11536" width="15" style="850" customWidth="1"/>
    <col min="11537" max="11537" width="11.42578125" style="850"/>
    <col min="11538" max="11538" width="14.28515625" style="850" customWidth="1"/>
    <col min="11539" max="11539" width="11.42578125" style="850"/>
    <col min="11540" max="11540" width="14.28515625" style="850" customWidth="1"/>
    <col min="11541" max="11776" width="11.42578125" style="850"/>
    <col min="11777" max="11777" width="3.5703125" style="850" customWidth="1"/>
    <col min="11778" max="11778" width="15" style="850" customWidth="1"/>
    <col min="11779" max="11779" width="3.5703125" style="850" customWidth="1"/>
    <col min="11780" max="11780" width="15" style="850" customWidth="1"/>
    <col min="11781" max="11781" width="3.5703125" style="850" customWidth="1"/>
    <col min="11782" max="11782" width="15" style="850" customWidth="1"/>
    <col min="11783" max="11783" width="3.5703125" style="850" customWidth="1"/>
    <col min="11784" max="11784" width="15" style="850" customWidth="1"/>
    <col min="11785" max="11785" width="3.5703125" style="850" customWidth="1"/>
    <col min="11786" max="11786" width="15" style="850" customWidth="1"/>
    <col min="11787" max="11787" width="3.5703125" style="850" customWidth="1"/>
    <col min="11788" max="11788" width="15" style="850" customWidth="1"/>
    <col min="11789" max="11789" width="3.5703125" style="850" customWidth="1"/>
    <col min="11790" max="11790" width="15" style="850" customWidth="1"/>
    <col min="11791" max="11791" width="3.5703125" style="850" customWidth="1"/>
    <col min="11792" max="11792" width="15" style="850" customWidth="1"/>
    <col min="11793" max="11793" width="11.42578125" style="850"/>
    <col min="11794" max="11794" width="14.28515625" style="850" customWidth="1"/>
    <col min="11795" max="11795" width="11.42578125" style="850"/>
    <col min="11796" max="11796" width="14.28515625" style="850" customWidth="1"/>
    <col min="11797" max="12032" width="11.42578125" style="850"/>
    <col min="12033" max="12033" width="3.5703125" style="850" customWidth="1"/>
    <col min="12034" max="12034" width="15" style="850" customWidth="1"/>
    <col min="12035" max="12035" width="3.5703125" style="850" customWidth="1"/>
    <col min="12036" max="12036" width="15" style="850" customWidth="1"/>
    <col min="12037" max="12037" width="3.5703125" style="850" customWidth="1"/>
    <col min="12038" max="12038" width="15" style="850" customWidth="1"/>
    <col min="12039" max="12039" width="3.5703125" style="850" customWidth="1"/>
    <col min="12040" max="12040" width="15" style="850" customWidth="1"/>
    <col min="12041" max="12041" width="3.5703125" style="850" customWidth="1"/>
    <col min="12042" max="12042" width="15" style="850" customWidth="1"/>
    <col min="12043" max="12043" width="3.5703125" style="850" customWidth="1"/>
    <col min="12044" max="12044" width="15" style="850" customWidth="1"/>
    <col min="12045" max="12045" width="3.5703125" style="850" customWidth="1"/>
    <col min="12046" max="12046" width="15" style="850" customWidth="1"/>
    <col min="12047" max="12047" width="3.5703125" style="850" customWidth="1"/>
    <col min="12048" max="12048" width="15" style="850" customWidth="1"/>
    <col min="12049" max="12049" width="11.42578125" style="850"/>
    <col min="12050" max="12050" width="14.28515625" style="850" customWidth="1"/>
    <col min="12051" max="12051" width="11.42578125" style="850"/>
    <col min="12052" max="12052" width="14.28515625" style="850" customWidth="1"/>
    <col min="12053" max="12288" width="11.42578125" style="850"/>
    <col min="12289" max="12289" width="3.5703125" style="850" customWidth="1"/>
    <col min="12290" max="12290" width="15" style="850" customWidth="1"/>
    <col min="12291" max="12291" width="3.5703125" style="850" customWidth="1"/>
    <col min="12292" max="12292" width="15" style="850" customWidth="1"/>
    <col min="12293" max="12293" width="3.5703125" style="850" customWidth="1"/>
    <col min="12294" max="12294" width="15" style="850" customWidth="1"/>
    <col min="12295" max="12295" width="3.5703125" style="850" customWidth="1"/>
    <col min="12296" max="12296" width="15" style="850" customWidth="1"/>
    <col min="12297" max="12297" width="3.5703125" style="850" customWidth="1"/>
    <col min="12298" max="12298" width="15" style="850" customWidth="1"/>
    <col min="12299" max="12299" width="3.5703125" style="850" customWidth="1"/>
    <col min="12300" max="12300" width="15" style="850" customWidth="1"/>
    <col min="12301" max="12301" width="3.5703125" style="850" customWidth="1"/>
    <col min="12302" max="12302" width="15" style="850" customWidth="1"/>
    <col min="12303" max="12303" width="3.5703125" style="850" customWidth="1"/>
    <col min="12304" max="12304" width="15" style="850" customWidth="1"/>
    <col min="12305" max="12305" width="11.42578125" style="850"/>
    <col min="12306" max="12306" width="14.28515625" style="850" customWidth="1"/>
    <col min="12307" max="12307" width="11.42578125" style="850"/>
    <col min="12308" max="12308" width="14.28515625" style="850" customWidth="1"/>
    <col min="12309" max="12544" width="11.42578125" style="850"/>
    <col min="12545" max="12545" width="3.5703125" style="850" customWidth="1"/>
    <col min="12546" max="12546" width="15" style="850" customWidth="1"/>
    <col min="12547" max="12547" width="3.5703125" style="850" customWidth="1"/>
    <col min="12548" max="12548" width="15" style="850" customWidth="1"/>
    <col min="12549" max="12549" width="3.5703125" style="850" customWidth="1"/>
    <col min="12550" max="12550" width="15" style="850" customWidth="1"/>
    <col min="12551" max="12551" width="3.5703125" style="850" customWidth="1"/>
    <col min="12552" max="12552" width="15" style="850" customWidth="1"/>
    <col min="12553" max="12553" width="3.5703125" style="850" customWidth="1"/>
    <col min="12554" max="12554" width="15" style="850" customWidth="1"/>
    <col min="12555" max="12555" width="3.5703125" style="850" customWidth="1"/>
    <col min="12556" max="12556" width="15" style="850" customWidth="1"/>
    <col min="12557" max="12557" width="3.5703125" style="850" customWidth="1"/>
    <col min="12558" max="12558" width="15" style="850" customWidth="1"/>
    <col min="12559" max="12559" width="3.5703125" style="850" customWidth="1"/>
    <col min="12560" max="12560" width="15" style="850" customWidth="1"/>
    <col min="12561" max="12561" width="11.42578125" style="850"/>
    <col min="12562" max="12562" width="14.28515625" style="850" customWidth="1"/>
    <col min="12563" max="12563" width="11.42578125" style="850"/>
    <col min="12564" max="12564" width="14.28515625" style="850" customWidth="1"/>
    <col min="12565" max="12800" width="11.42578125" style="850"/>
    <col min="12801" max="12801" width="3.5703125" style="850" customWidth="1"/>
    <col min="12802" max="12802" width="15" style="850" customWidth="1"/>
    <col min="12803" max="12803" width="3.5703125" style="850" customWidth="1"/>
    <col min="12804" max="12804" width="15" style="850" customWidth="1"/>
    <col min="12805" max="12805" width="3.5703125" style="850" customWidth="1"/>
    <col min="12806" max="12806" width="15" style="850" customWidth="1"/>
    <col min="12807" max="12807" width="3.5703125" style="850" customWidth="1"/>
    <col min="12808" max="12808" width="15" style="850" customWidth="1"/>
    <col min="12809" max="12809" width="3.5703125" style="850" customWidth="1"/>
    <col min="12810" max="12810" width="15" style="850" customWidth="1"/>
    <col min="12811" max="12811" width="3.5703125" style="850" customWidth="1"/>
    <col min="12812" max="12812" width="15" style="850" customWidth="1"/>
    <col min="12813" max="12813" width="3.5703125" style="850" customWidth="1"/>
    <col min="12814" max="12814" width="15" style="850" customWidth="1"/>
    <col min="12815" max="12815" width="3.5703125" style="850" customWidth="1"/>
    <col min="12816" max="12816" width="15" style="850" customWidth="1"/>
    <col min="12817" max="12817" width="11.42578125" style="850"/>
    <col min="12818" max="12818" width="14.28515625" style="850" customWidth="1"/>
    <col min="12819" max="12819" width="11.42578125" style="850"/>
    <col min="12820" max="12820" width="14.28515625" style="850" customWidth="1"/>
    <col min="12821" max="13056" width="11.42578125" style="850"/>
    <col min="13057" max="13057" width="3.5703125" style="850" customWidth="1"/>
    <col min="13058" max="13058" width="15" style="850" customWidth="1"/>
    <col min="13059" max="13059" width="3.5703125" style="850" customWidth="1"/>
    <col min="13060" max="13060" width="15" style="850" customWidth="1"/>
    <col min="13061" max="13061" width="3.5703125" style="850" customWidth="1"/>
    <col min="13062" max="13062" width="15" style="850" customWidth="1"/>
    <col min="13063" max="13063" width="3.5703125" style="850" customWidth="1"/>
    <col min="13064" max="13064" width="15" style="850" customWidth="1"/>
    <col min="13065" max="13065" width="3.5703125" style="850" customWidth="1"/>
    <col min="13066" max="13066" width="15" style="850" customWidth="1"/>
    <col min="13067" max="13067" width="3.5703125" style="850" customWidth="1"/>
    <col min="13068" max="13068" width="15" style="850" customWidth="1"/>
    <col min="13069" max="13069" width="3.5703125" style="850" customWidth="1"/>
    <col min="13070" max="13070" width="15" style="850" customWidth="1"/>
    <col min="13071" max="13071" width="3.5703125" style="850" customWidth="1"/>
    <col min="13072" max="13072" width="15" style="850" customWidth="1"/>
    <col min="13073" max="13073" width="11.42578125" style="850"/>
    <col min="13074" max="13074" width="14.28515625" style="850" customWidth="1"/>
    <col min="13075" max="13075" width="11.42578125" style="850"/>
    <col min="13076" max="13076" width="14.28515625" style="850" customWidth="1"/>
    <col min="13077" max="13312" width="11.42578125" style="850"/>
    <col min="13313" max="13313" width="3.5703125" style="850" customWidth="1"/>
    <col min="13314" max="13314" width="15" style="850" customWidth="1"/>
    <col min="13315" max="13315" width="3.5703125" style="850" customWidth="1"/>
    <col min="13316" max="13316" width="15" style="850" customWidth="1"/>
    <col min="13317" max="13317" width="3.5703125" style="850" customWidth="1"/>
    <col min="13318" max="13318" width="15" style="850" customWidth="1"/>
    <col min="13319" max="13319" width="3.5703125" style="850" customWidth="1"/>
    <col min="13320" max="13320" width="15" style="850" customWidth="1"/>
    <col min="13321" max="13321" width="3.5703125" style="850" customWidth="1"/>
    <col min="13322" max="13322" width="15" style="850" customWidth="1"/>
    <col min="13323" max="13323" width="3.5703125" style="850" customWidth="1"/>
    <col min="13324" max="13324" width="15" style="850" customWidth="1"/>
    <col min="13325" max="13325" width="3.5703125" style="850" customWidth="1"/>
    <col min="13326" max="13326" width="15" style="850" customWidth="1"/>
    <col min="13327" max="13327" width="3.5703125" style="850" customWidth="1"/>
    <col min="13328" max="13328" width="15" style="850" customWidth="1"/>
    <col min="13329" max="13329" width="11.42578125" style="850"/>
    <col min="13330" max="13330" width="14.28515625" style="850" customWidth="1"/>
    <col min="13331" max="13331" width="11.42578125" style="850"/>
    <col min="13332" max="13332" width="14.28515625" style="850" customWidth="1"/>
    <col min="13333" max="13568" width="11.42578125" style="850"/>
    <col min="13569" max="13569" width="3.5703125" style="850" customWidth="1"/>
    <col min="13570" max="13570" width="15" style="850" customWidth="1"/>
    <col min="13571" max="13571" width="3.5703125" style="850" customWidth="1"/>
    <col min="13572" max="13572" width="15" style="850" customWidth="1"/>
    <col min="13573" max="13573" width="3.5703125" style="850" customWidth="1"/>
    <col min="13574" max="13574" width="15" style="850" customWidth="1"/>
    <col min="13575" max="13575" width="3.5703125" style="850" customWidth="1"/>
    <col min="13576" max="13576" width="15" style="850" customWidth="1"/>
    <col min="13577" max="13577" width="3.5703125" style="850" customWidth="1"/>
    <col min="13578" max="13578" width="15" style="850" customWidth="1"/>
    <col min="13579" max="13579" width="3.5703125" style="850" customWidth="1"/>
    <col min="13580" max="13580" width="15" style="850" customWidth="1"/>
    <col min="13581" max="13581" width="3.5703125" style="850" customWidth="1"/>
    <col min="13582" max="13582" width="15" style="850" customWidth="1"/>
    <col min="13583" max="13583" width="3.5703125" style="850" customWidth="1"/>
    <col min="13584" max="13584" width="15" style="850" customWidth="1"/>
    <col min="13585" max="13585" width="11.42578125" style="850"/>
    <col min="13586" max="13586" width="14.28515625" style="850" customWidth="1"/>
    <col min="13587" max="13587" width="11.42578125" style="850"/>
    <col min="13588" max="13588" width="14.28515625" style="850" customWidth="1"/>
    <col min="13589" max="13824" width="11.42578125" style="850"/>
    <col min="13825" max="13825" width="3.5703125" style="850" customWidth="1"/>
    <col min="13826" max="13826" width="15" style="850" customWidth="1"/>
    <col min="13827" max="13827" width="3.5703125" style="850" customWidth="1"/>
    <col min="13828" max="13828" width="15" style="850" customWidth="1"/>
    <col min="13829" max="13829" width="3.5703125" style="850" customWidth="1"/>
    <col min="13830" max="13830" width="15" style="850" customWidth="1"/>
    <col min="13831" max="13831" width="3.5703125" style="850" customWidth="1"/>
    <col min="13832" max="13832" width="15" style="850" customWidth="1"/>
    <col min="13833" max="13833" width="3.5703125" style="850" customWidth="1"/>
    <col min="13834" max="13834" width="15" style="850" customWidth="1"/>
    <col min="13835" max="13835" width="3.5703125" style="850" customWidth="1"/>
    <col min="13836" max="13836" width="15" style="850" customWidth="1"/>
    <col min="13837" max="13837" width="3.5703125" style="850" customWidth="1"/>
    <col min="13838" max="13838" width="15" style="850" customWidth="1"/>
    <col min="13839" max="13839" width="3.5703125" style="850" customWidth="1"/>
    <col min="13840" max="13840" width="15" style="850" customWidth="1"/>
    <col min="13841" max="13841" width="11.42578125" style="850"/>
    <col min="13842" max="13842" width="14.28515625" style="850" customWidth="1"/>
    <col min="13843" max="13843" width="11.42578125" style="850"/>
    <col min="13844" max="13844" width="14.28515625" style="850" customWidth="1"/>
    <col min="13845" max="14080" width="11.42578125" style="850"/>
    <col min="14081" max="14081" width="3.5703125" style="850" customWidth="1"/>
    <col min="14082" max="14082" width="15" style="850" customWidth="1"/>
    <col min="14083" max="14083" width="3.5703125" style="850" customWidth="1"/>
    <col min="14084" max="14084" width="15" style="850" customWidth="1"/>
    <col min="14085" max="14085" width="3.5703125" style="850" customWidth="1"/>
    <col min="14086" max="14086" width="15" style="850" customWidth="1"/>
    <col min="14087" max="14087" width="3.5703125" style="850" customWidth="1"/>
    <col min="14088" max="14088" width="15" style="850" customWidth="1"/>
    <col min="14089" max="14089" width="3.5703125" style="850" customWidth="1"/>
    <col min="14090" max="14090" width="15" style="850" customWidth="1"/>
    <col min="14091" max="14091" width="3.5703125" style="850" customWidth="1"/>
    <col min="14092" max="14092" width="15" style="850" customWidth="1"/>
    <col min="14093" max="14093" width="3.5703125" style="850" customWidth="1"/>
    <col min="14094" max="14094" width="15" style="850" customWidth="1"/>
    <col min="14095" max="14095" width="3.5703125" style="850" customWidth="1"/>
    <col min="14096" max="14096" width="15" style="850" customWidth="1"/>
    <col min="14097" max="14097" width="11.42578125" style="850"/>
    <col min="14098" max="14098" width="14.28515625" style="850" customWidth="1"/>
    <col min="14099" max="14099" width="11.42578125" style="850"/>
    <col min="14100" max="14100" width="14.28515625" style="850" customWidth="1"/>
    <col min="14101" max="14336" width="11.42578125" style="850"/>
    <col min="14337" max="14337" width="3.5703125" style="850" customWidth="1"/>
    <col min="14338" max="14338" width="15" style="850" customWidth="1"/>
    <col min="14339" max="14339" width="3.5703125" style="850" customWidth="1"/>
    <col min="14340" max="14340" width="15" style="850" customWidth="1"/>
    <col min="14341" max="14341" width="3.5703125" style="850" customWidth="1"/>
    <col min="14342" max="14342" width="15" style="850" customWidth="1"/>
    <col min="14343" max="14343" width="3.5703125" style="850" customWidth="1"/>
    <col min="14344" max="14344" width="15" style="850" customWidth="1"/>
    <col min="14345" max="14345" width="3.5703125" style="850" customWidth="1"/>
    <col min="14346" max="14346" width="15" style="850" customWidth="1"/>
    <col min="14347" max="14347" width="3.5703125" style="850" customWidth="1"/>
    <col min="14348" max="14348" width="15" style="850" customWidth="1"/>
    <col min="14349" max="14349" width="3.5703125" style="850" customWidth="1"/>
    <col min="14350" max="14350" width="15" style="850" customWidth="1"/>
    <col min="14351" max="14351" width="3.5703125" style="850" customWidth="1"/>
    <col min="14352" max="14352" width="15" style="850" customWidth="1"/>
    <col min="14353" max="14353" width="11.42578125" style="850"/>
    <col min="14354" max="14354" width="14.28515625" style="850" customWidth="1"/>
    <col min="14355" max="14355" width="11.42578125" style="850"/>
    <col min="14356" max="14356" width="14.28515625" style="850" customWidth="1"/>
    <col min="14357" max="14592" width="11.42578125" style="850"/>
    <col min="14593" max="14593" width="3.5703125" style="850" customWidth="1"/>
    <col min="14594" max="14594" width="15" style="850" customWidth="1"/>
    <col min="14595" max="14595" width="3.5703125" style="850" customWidth="1"/>
    <col min="14596" max="14596" width="15" style="850" customWidth="1"/>
    <col min="14597" max="14597" width="3.5703125" style="850" customWidth="1"/>
    <col min="14598" max="14598" width="15" style="850" customWidth="1"/>
    <col min="14599" max="14599" width="3.5703125" style="850" customWidth="1"/>
    <col min="14600" max="14600" width="15" style="850" customWidth="1"/>
    <col min="14601" max="14601" width="3.5703125" style="850" customWidth="1"/>
    <col min="14602" max="14602" width="15" style="850" customWidth="1"/>
    <col min="14603" max="14603" width="3.5703125" style="850" customWidth="1"/>
    <col min="14604" max="14604" width="15" style="850" customWidth="1"/>
    <col min="14605" max="14605" width="3.5703125" style="850" customWidth="1"/>
    <col min="14606" max="14606" width="15" style="850" customWidth="1"/>
    <col min="14607" max="14607" width="3.5703125" style="850" customWidth="1"/>
    <col min="14608" max="14608" width="15" style="850" customWidth="1"/>
    <col min="14609" max="14609" width="11.42578125" style="850"/>
    <col min="14610" max="14610" width="14.28515625" style="850" customWidth="1"/>
    <col min="14611" max="14611" width="11.42578125" style="850"/>
    <col min="14612" max="14612" width="14.28515625" style="850" customWidth="1"/>
    <col min="14613" max="14848" width="11.42578125" style="850"/>
    <col min="14849" max="14849" width="3.5703125" style="850" customWidth="1"/>
    <col min="14850" max="14850" width="15" style="850" customWidth="1"/>
    <col min="14851" max="14851" width="3.5703125" style="850" customWidth="1"/>
    <col min="14852" max="14852" width="15" style="850" customWidth="1"/>
    <col min="14853" max="14853" width="3.5703125" style="850" customWidth="1"/>
    <col min="14854" max="14854" width="15" style="850" customWidth="1"/>
    <col min="14855" max="14855" width="3.5703125" style="850" customWidth="1"/>
    <col min="14856" max="14856" width="15" style="850" customWidth="1"/>
    <col min="14857" max="14857" width="3.5703125" style="850" customWidth="1"/>
    <col min="14858" max="14858" width="15" style="850" customWidth="1"/>
    <col min="14859" max="14859" width="3.5703125" style="850" customWidth="1"/>
    <col min="14860" max="14860" width="15" style="850" customWidth="1"/>
    <col min="14861" max="14861" width="3.5703125" style="850" customWidth="1"/>
    <col min="14862" max="14862" width="15" style="850" customWidth="1"/>
    <col min="14863" max="14863" width="3.5703125" style="850" customWidth="1"/>
    <col min="14864" max="14864" width="15" style="850" customWidth="1"/>
    <col min="14865" max="14865" width="11.42578125" style="850"/>
    <col min="14866" max="14866" width="14.28515625" style="850" customWidth="1"/>
    <col min="14867" max="14867" width="11.42578125" style="850"/>
    <col min="14868" max="14868" width="14.28515625" style="850" customWidth="1"/>
    <col min="14869" max="15104" width="11.42578125" style="850"/>
    <col min="15105" max="15105" width="3.5703125" style="850" customWidth="1"/>
    <col min="15106" max="15106" width="15" style="850" customWidth="1"/>
    <col min="15107" max="15107" width="3.5703125" style="850" customWidth="1"/>
    <col min="15108" max="15108" width="15" style="850" customWidth="1"/>
    <col min="15109" max="15109" width="3.5703125" style="850" customWidth="1"/>
    <col min="15110" max="15110" width="15" style="850" customWidth="1"/>
    <col min="15111" max="15111" width="3.5703125" style="850" customWidth="1"/>
    <col min="15112" max="15112" width="15" style="850" customWidth="1"/>
    <col min="15113" max="15113" width="3.5703125" style="850" customWidth="1"/>
    <col min="15114" max="15114" width="15" style="850" customWidth="1"/>
    <col min="15115" max="15115" width="3.5703125" style="850" customWidth="1"/>
    <col min="15116" max="15116" width="15" style="850" customWidth="1"/>
    <col min="15117" max="15117" width="3.5703125" style="850" customWidth="1"/>
    <col min="15118" max="15118" width="15" style="850" customWidth="1"/>
    <col min="15119" max="15119" width="3.5703125" style="850" customWidth="1"/>
    <col min="15120" max="15120" width="15" style="850" customWidth="1"/>
    <col min="15121" max="15121" width="11.42578125" style="850"/>
    <col min="15122" max="15122" width="14.28515625" style="850" customWidth="1"/>
    <col min="15123" max="15123" width="11.42578125" style="850"/>
    <col min="15124" max="15124" width="14.28515625" style="850" customWidth="1"/>
    <col min="15125" max="15360" width="11.42578125" style="850"/>
    <col min="15361" max="15361" width="3.5703125" style="850" customWidth="1"/>
    <col min="15362" max="15362" width="15" style="850" customWidth="1"/>
    <col min="15363" max="15363" width="3.5703125" style="850" customWidth="1"/>
    <col min="15364" max="15364" width="15" style="850" customWidth="1"/>
    <col min="15365" max="15365" width="3.5703125" style="850" customWidth="1"/>
    <col min="15366" max="15366" width="15" style="850" customWidth="1"/>
    <col min="15367" max="15367" width="3.5703125" style="850" customWidth="1"/>
    <col min="15368" max="15368" width="15" style="850" customWidth="1"/>
    <col min="15369" max="15369" width="3.5703125" style="850" customWidth="1"/>
    <col min="15370" max="15370" width="15" style="850" customWidth="1"/>
    <col min="15371" max="15371" width="3.5703125" style="850" customWidth="1"/>
    <col min="15372" max="15372" width="15" style="850" customWidth="1"/>
    <col min="15373" max="15373" width="3.5703125" style="850" customWidth="1"/>
    <col min="15374" max="15374" width="15" style="850" customWidth="1"/>
    <col min="15375" max="15375" width="3.5703125" style="850" customWidth="1"/>
    <col min="15376" max="15376" width="15" style="850" customWidth="1"/>
    <col min="15377" max="15377" width="11.42578125" style="850"/>
    <col min="15378" max="15378" width="14.28515625" style="850" customWidth="1"/>
    <col min="15379" max="15379" width="11.42578125" style="850"/>
    <col min="15380" max="15380" width="14.28515625" style="850" customWidth="1"/>
    <col min="15381" max="15616" width="11.42578125" style="850"/>
    <col min="15617" max="15617" width="3.5703125" style="850" customWidth="1"/>
    <col min="15618" max="15618" width="15" style="850" customWidth="1"/>
    <col min="15619" max="15619" width="3.5703125" style="850" customWidth="1"/>
    <col min="15620" max="15620" width="15" style="850" customWidth="1"/>
    <col min="15621" max="15621" width="3.5703125" style="850" customWidth="1"/>
    <col min="15622" max="15622" width="15" style="850" customWidth="1"/>
    <col min="15623" max="15623" width="3.5703125" style="850" customWidth="1"/>
    <col min="15624" max="15624" width="15" style="850" customWidth="1"/>
    <col min="15625" max="15625" width="3.5703125" style="850" customWidth="1"/>
    <col min="15626" max="15626" width="15" style="850" customWidth="1"/>
    <col min="15627" max="15627" width="3.5703125" style="850" customWidth="1"/>
    <col min="15628" max="15628" width="15" style="850" customWidth="1"/>
    <col min="15629" max="15629" width="3.5703125" style="850" customWidth="1"/>
    <col min="15630" max="15630" width="15" style="850" customWidth="1"/>
    <col min="15631" max="15631" width="3.5703125" style="850" customWidth="1"/>
    <col min="15632" max="15632" width="15" style="850" customWidth="1"/>
    <col min="15633" max="15633" width="11.42578125" style="850"/>
    <col min="15634" max="15634" width="14.28515625" style="850" customWidth="1"/>
    <col min="15635" max="15635" width="11.42578125" style="850"/>
    <col min="15636" max="15636" width="14.28515625" style="850" customWidth="1"/>
    <col min="15637" max="15872" width="11.42578125" style="850"/>
    <col min="15873" max="15873" width="3.5703125" style="850" customWidth="1"/>
    <col min="15874" max="15874" width="15" style="850" customWidth="1"/>
    <col min="15875" max="15875" width="3.5703125" style="850" customWidth="1"/>
    <col min="15876" max="15876" width="15" style="850" customWidth="1"/>
    <col min="15877" max="15877" width="3.5703125" style="850" customWidth="1"/>
    <col min="15878" max="15878" width="15" style="850" customWidth="1"/>
    <col min="15879" max="15879" width="3.5703125" style="850" customWidth="1"/>
    <col min="15880" max="15880" width="15" style="850" customWidth="1"/>
    <col min="15881" max="15881" width="3.5703125" style="850" customWidth="1"/>
    <col min="15882" max="15882" width="15" style="850" customWidth="1"/>
    <col min="15883" max="15883" width="3.5703125" style="850" customWidth="1"/>
    <col min="15884" max="15884" width="15" style="850" customWidth="1"/>
    <col min="15885" max="15885" width="3.5703125" style="850" customWidth="1"/>
    <col min="15886" max="15886" width="15" style="850" customWidth="1"/>
    <col min="15887" max="15887" width="3.5703125" style="850" customWidth="1"/>
    <col min="15888" max="15888" width="15" style="850" customWidth="1"/>
    <col min="15889" max="15889" width="11.42578125" style="850"/>
    <col min="15890" max="15890" width="14.28515625" style="850" customWidth="1"/>
    <col min="15891" max="15891" width="11.42578125" style="850"/>
    <col min="15892" max="15892" width="14.28515625" style="850" customWidth="1"/>
    <col min="15893" max="16128" width="11.42578125" style="850"/>
    <col min="16129" max="16129" width="3.5703125" style="850" customWidth="1"/>
    <col min="16130" max="16130" width="15" style="850" customWidth="1"/>
    <col min="16131" max="16131" width="3.5703125" style="850" customWidth="1"/>
    <col min="16132" max="16132" width="15" style="850" customWidth="1"/>
    <col min="16133" max="16133" width="3.5703125" style="850" customWidth="1"/>
    <col min="16134" max="16134" width="15" style="850" customWidth="1"/>
    <col min="16135" max="16135" width="3.5703125" style="850" customWidth="1"/>
    <col min="16136" max="16136" width="15" style="850" customWidth="1"/>
    <col min="16137" max="16137" width="3.5703125" style="850" customWidth="1"/>
    <col min="16138" max="16138" width="15" style="850" customWidth="1"/>
    <col min="16139" max="16139" width="3.5703125" style="850" customWidth="1"/>
    <col min="16140" max="16140" width="15" style="850" customWidth="1"/>
    <col min="16141" max="16141" width="3.5703125" style="850" customWidth="1"/>
    <col min="16142" max="16142" width="15" style="850" customWidth="1"/>
    <col min="16143" max="16143" width="3.5703125" style="850" customWidth="1"/>
    <col min="16144" max="16144" width="15" style="850" customWidth="1"/>
    <col min="16145" max="16145" width="11.42578125" style="850"/>
    <col min="16146" max="16146" width="14.28515625" style="850" customWidth="1"/>
    <col min="16147" max="16147" width="11.42578125" style="850"/>
    <col min="16148" max="16148" width="14.28515625" style="850" customWidth="1"/>
    <col min="16149" max="16384" width="11.42578125" style="850"/>
  </cols>
  <sheetData>
    <row r="1" spans="1:256">
      <c r="A1" s="848" t="s">
        <v>404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9"/>
      <c r="M1" s="849"/>
      <c r="N1" s="849"/>
      <c r="O1" s="849"/>
      <c r="P1" s="849"/>
      <c r="R1" s="848"/>
      <c r="S1" s="848"/>
      <c r="T1" s="848"/>
      <c r="U1" s="848"/>
      <c r="V1" s="848"/>
      <c r="W1" s="848"/>
      <c r="X1" s="848"/>
      <c r="Z1" s="848"/>
      <c r="AA1" s="848"/>
      <c r="AB1" s="848"/>
      <c r="AC1" s="848"/>
      <c r="AD1" s="848"/>
      <c r="AE1" s="848"/>
      <c r="AF1" s="848"/>
      <c r="AH1" s="848"/>
      <c r="AI1" s="848"/>
      <c r="AJ1" s="848"/>
      <c r="AK1" s="848"/>
      <c r="AL1" s="848"/>
      <c r="AM1" s="848"/>
      <c r="AN1" s="848"/>
      <c r="AP1" s="848"/>
      <c r="AQ1" s="848"/>
      <c r="AR1" s="848"/>
      <c r="AS1" s="848"/>
      <c r="AT1" s="848"/>
      <c r="AU1" s="848"/>
      <c r="AV1" s="848"/>
      <c r="AX1" s="848"/>
      <c r="AY1" s="848"/>
      <c r="AZ1" s="848"/>
      <c r="BA1" s="848"/>
      <c r="BB1" s="848"/>
      <c r="BC1" s="848"/>
      <c r="BD1" s="848"/>
      <c r="BF1" s="848"/>
      <c r="BG1" s="848"/>
      <c r="BH1" s="848"/>
      <c r="BI1" s="848"/>
      <c r="BJ1" s="848"/>
      <c r="BK1" s="848"/>
      <c r="BL1" s="848"/>
      <c r="BN1" s="848"/>
      <c r="BO1" s="848"/>
      <c r="BP1" s="848"/>
      <c r="BQ1" s="848"/>
      <c r="BR1" s="848"/>
      <c r="BS1" s="848"/>
      <c r="BT1" s="848"/>
      <c r="BV1" s="848"/>
      <c r="BW1" s="848"/>
      <c r="BX1" s="848"/>
      <c r="BY1" s="848"/>
      <c r="BZ1" s="848"/>
      <c r="CA1" s="848"/>
      <c r="CB1" s="848"/>
      <c r="CD1" s="848"/>
      <c r="CE1" s="848"/>
      <c r="CF1" s="848"/>
      <c r="CG1" s="848"/>
      <c r="CH1" s="848"/>
      <c r="CI1" s="848"/>
      <c r="CJ1" s="848"/>
      <c r="CL1" s="848"/>
      <c r="CM1" s="848"/>
      <c r="CN1" s="848"/>
      <c r="CO1" s="848"/>
      <c r="CP1" s="848"/>
      <c r="CQ1" s="848"/>
      <c r="CR1" s="848"/>
      <c r="CT1" s="848"/>
      <c r="CU1" s="848"/>
      <c r="CV1" s="848"/>
      <c r="CW1" s="848"/>
      <c r="CX1" s="848"/>
      <c r="CY1" s="848"/>
      <c r="CZ1" s="848"/>
      <c r="DB1" s="848"/>
      <c r="DC1" s="848"/>
      <c r="DD1" s="848"/>
      <c r="DE1" s="848"/>
      <c r="DF1" s="848"/>
      <c r="DG1" s="848"/>
      <c r="DH1" s="848"/>
      <c r="DJ1" s="848"/>
      <c r="DK1" s="848"/>
      <c r="DL1" s="848"/>
      <c r="DM1" s="848"/>
      <c r="DN1" s="848"/>
      <c r="DO1" s="848"/>
      <c r="DP1" s="848"/>
      <c r="DR1" s="848"/>
      <c r="DS1" s="848"/>
      <c r="DT1" s="848"/>
      <c r="DU1" s="848"/>
      <c r="DV1" s="848"/>
      <c r="DW1" s="848"/>
      <c r="DX1" s="848"/>
      <c r="DZ1" s="848"/>
      <c r="EA1" s="848"/>
      <c r="EB1" s="848"/>
      <c r="EC1" s="848"/>
      <c r="ED1" s="848"/>
      <c r="EE1" s="848"/>
      <c r="EF1" s="848"/>
      <c r="EH1" s="848"/>
      <c r="EI1" s="848"/>
      <c r="EJ1" s="848"/>
      <c r="EK1" s="848"/>
      <c r="EL1" s="848"/>
      <c r="EM1" s="848"/>
      <c r="EN1" s="848"/>
      <c r="EP1" s="848"/>
      <c r="EQ1" s="848"/>
      <c r="ER1" s="848"/>
      <c r="ES1" s="848"/>
      <c r="ET1" s="848"/>
      <c r="EU1" s="848"/>
      <c r="EV1" s="848"/>
      <c r="EX1" s="848"/>
      <c r="EY1" s="848"/>
      <c r="EZ1" s="848"/>
      <c r="FA1" s="848"/>
      <c r="FB1" s="848"/>
      <c r="FC1" s="848"/>
      <c r="FD1" s="848"/>
      <c r="FF1" s="848"/>
      <c r="FG1" s="848"/>
      <c r="FH1" s="848"/>
      <c r="FI1" s="848"/>
      <c r="FJ1" s="848"/>
      <c r="FK1" s="848"/>
      <c r="FL1" s="848"/>
      <c r="FN1" s="848"/>
      <c r="FO1" s="848"/>
      <c r="FP1" s="848"/>
      <c r="FQ1" s="848"/>
      <c r="FR1" s="848"/>
      <c r="FS1" s="848"/>
      <c r="FT1" s="848"/>
      <c r="FV1" s="848"/>
      <c r="FW1" s="848"/>
      <c r="FX1" s="848"/>
      <c r="FY1" s="848"/>
      <c r="FZ1" s="848"/>
      <c r="GA1" s="848"/>
      <c r="GB1" s="848"/>
      <c r="GD1" s="848"/>
      <c r="GE1" s="848"/>
      <c r="GF1" s="848"/>
      <c r="GG1" s="848"/>
      <c r="GH1" s="848"/>
      <c r="GI1" s="848"/>
      <c r="GJ1" s="848"/>
      <c r="GL1" s="848"/>
      <c r="GM1" s="848"/>
      <c r="GN1" s="848"/>
      <c r="GO1" s="848"/>
      <c r="GP1" s="848"/>
      <c r="GQ1" s="848"/>
      <c r="GR1" s="848"/>
      <c r="GT1" s="848"/>
      <c r="GU1" s="848"/>
      <c r="GV1" s="848"/>
      <c r="GW1" s="848"/>
      <c r="GX1" s="848"/>
      <c r="GY1" s="848"/>
      <c r="GZ1" s="848"/>
      <c r="HB1" s="848"/>
      <c r="HC1" s="848"/>
      <c r="HD1" s="848"/>
      <c r="HE1" s="848"/>
      <c r="HF1" s="848"/>
      <c r="HG1" s="848"/>
      <c r="HH1" s="848"/>
      <c r="HJ1" s="848"/>
      <c r="HK1" s="848"/>
      <c r="HL1" s="848"/>
      <c r="HM1" s="848"/>
      <c r="HN1" s="848"/>
      <c r="HO1" s="848"/>
      <c r="HP1" s="848"/>
      <c r="HR1" s="848"/>
      <c r="HS1" s="848"/>
      <c r="HT1" s="848"/>
      <c r="HU1" s="848"/>
      <c r="HV1" s="848"/>
      <c r="HW1" s="848"/>
      <c r="HX1" s="848"/>
      <c r="HZ1" s="848"/>
      <c r="IA1" s="848"/>
      <c r="IB1" s="848"/>
      <c r="IC1" s="848"/>
      <c r="ID1" s="848"/>
      <c r="IE1" s="848"/>
      <c r="IF1" s="848"/>
      <c r="IH1" s="848"/>
      <c r="II1" s="848"/>
      <c r="IJ1" s="848"/>
      <c r="IK1" s="848"/>
      <c r="IL1" s="848"/>
      <c r="IM1" s="848"/>
      <c r="IN1" s="848"/>
      <c r="IP1" s="848"/>
      <c r="IQ1" s="848"/>
      <c r="IR1" s="848"/>
      <c r="IS1" s="848"/>
      <c r="IT1" s="848"/>
      <c r="IU1" s="848"/>
      <c r="IV1" s="848"/>
    </row>
    <row r="2" spans="1:256">
      <c r="A2" s="851" t="s">
        <v>405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R2" s="851"/>
      <c r="S2" s="851"/>
      <c r="T2" s="851"/>
      <c r="U2" s="851"/>
      <c r="V2" s="851"/>
      <c r="W2" s="851"/>
      <c r="Z2" s="851"/>
      <c r="AA2" s="851"/>
      <c r="AB2" s="851"/>
      <c r="AC2" s="851"/>
      <c r="AD2" s="851"/>
      <c r="AE2" s="851"/>
      <c r="AH2" s="851"/>
      <c r="AI2" s="851"/>
      <c r="AJ2" s="851"/>
      <c r="AK2" s="851"/>
      <c r="AL2" s="851"/>
      <c r="AM2" s="851"/>
      <c r="AP2" s="851"/>
      <c r="AQ2" s="851"/>
      <c r="AR2" s="851"/>
      <c r="AS2" s="851"/>
      <c r="AT2" s="851"/>
      <c r="AU2" s="851"/>
      <c r="AX2" s="851"/>
      <c r="AY2" s="851"/>
      <c r="AZ2" s="851"/>
      <c r="BA2" s="851"/>
      <c r="BB2" s="851"/>
      <c r="BC2" s="851"/>
      <c r="BF2" s="851"/>
      <c r="BG2" s="851"/>
      <c r="BH2" s="851"/>
      <c r="BI2" s="851"/>
      <c r="BJ2" s="851"/>
      <c r="BK2" s="851"/>
      <c r="BN2" s="851"/>
      <c r="BO2" s="851"/>
      <c r="BP2" s="851"/>
      <c r="BQ2" s="851"/>
      <c r="BR2" s="851"/>
      <c r="BS2" s="851"/>
      <c r="BV2" s="851"/>
      <c r="BW2" s="851"/>
      <c r="BX2" s="851"/>
      <c r="BY2" s="851"/>
      <c r="BZ2" s="851"/>
      <c r="CA2" s="851"/>
      <c r="CD2" s="851"/>
      <c r="CE2" s="851"/>
      <c r="CF2" s="851"/>
      <c r="CG2" s="851"/>
      <c r="CH2" s="851"/>
      <c r="CI2" s="851"/>
      <c r="CL2" s="851"/>
      <c r="CM2" s="851"/>
      <c r="CN2" s="851"/>
      <c r="CO2" s="851"/>
      <c r="CP2" s="851"/>
      <c r="CQ2" s="851"/>
      <c r="CT2" s="851"/>
      <c r="CU2" s="851"/>
      <c r="CV2" s="851"/>
      <c r="CW2" s="851"/>
      <c r="CX2" s="851"/>
      <c r="CY2" s="851"/>
      <c r="DB2" s="851"/>
      <c r="DC2" s="851"/>
      <c r="DD2" s="851"/>
      <c r="DE2" s="851"/>
      <c r="DF2" s="851"/>
      <c r="DG2" s="851"/>
      <c r="DJ2" s="851"/>
      <c r="DK2" s="851"/>
      <c r="DL2" s="851"/>
      <c r="DM2" s="851"/>
      <c r="DN2" s="851"/>
      <c r="DO2" s="851"/>
      <c r="DR2" s="851"/>
      <c r="DS2" s="851"/>
      <c r="DT2" s="851"/>
      <c r="DU2" s="851"/>
      <c r="DV2" s="851"/>
      <c r="DW2" s="851"/>
      <c r="DZ2" s="851"/>
      <c r="EA2" s="851"/>
      <c r="EB2" s="851"/>
      <c r="EC2" s="851"/>
      <c r="ED2" s="851"/>
      <c r="EE2" s="851"/>
      <c r="EH2" s="851"/>
      <c r="EI2" s="851"/>
      <c r="EJ2" s="851"/>
      <c r="EK2" s="851"/>
      <c r="EL2" s="851"/>
      <c r="EM2" s="851"/>
      <c r="EP2" s="851"/>
      <c r="EQ2" s="851"/>
      <c r="ER2" s="851"/>
      <c r="ES2" s="851"/>
      <c r="ET2" s="851"/>
      <c r="EU2" s="851"/>
      <c r="EX2" s="851"/>
      <c r="EY2" s="851"/>
      <c r="EZ2" s="851"/>
      <c r="FA2" s="851"/>
      <c r="FB2" s="851"/>
      <c r="FC2" s="851"/>
      <c r="FF2" s="851"/>
      <c r="FG2" s="851"/>
      <c r="FH2" s="851"/>
      <c r="FI2" s="851"/>
      <c r="FJ2" s="851"/>
      <c r="FK2" s="851"/>
      <c r="FN2" s="851"/>
      <c r="FO2" s="851"/>
      <c r="FP2" s="851"/>
      <c r="FQ2" s="851"/>
      <c r="FR2" s="851"/>
      <c r="FS2" s="851"/>
      <c r="FV2" s="851"/>
      <c r="FW2" s="851"/>
      <c r="FX2" s="851"/>
      <c r="FY2" s="851"/>
      <c r="FZ2" s="851"/>
      <c r="GA2" s="851"/>
      <c r="GD2" s="851"/>
      <c r="GE2" s="851"/>
      <c r="GF2" s="851"/>
      <c r="GG2" s="851"/>
      <c r="GH2" s="851"/>
      <c r="GI2" s="851"/>
      <c r="GL2" s="851"/>
      <c r="GM2" s="851"/>
      <c r="GN2" s="851"/>
      <c r="GO2" s="851"/>
      <c r="GP2" s="851"/>
      <c r="GQ2" s="851"/>
      <c r="GT2" s="851"/>
      <c r="GU2" s="851"/>
      <c r="GV2" s="851"/>
      <c r="GW2" s="851"/>
      <c r="GX2" s="851"/>
      <c r="GY2" s="851"/>
      <c r="HB2" s="851"/>
      <c r="HC2" s="851"/>
      <c r="HD2" s="851"/>
      <c r="HE2" s="851"/>
      <c r="HF2" s="851"/>
      <c r="HG2" s="851"/>
      <c r="HJ2" s="851"/>
      <c r="HK2" s="851"/>
      <c r="HL2" s="851"/>
      <c r="HM2" s="851"/>
      <c r="HN2" s="851"/>
      <c r="HO2" s="851"/>
      <c r="HR2" s="851"/>
      <c r="HS2" s="851"/>
      <c r="HT2" s="851"/>
      <c r="HU2" s="851"/>
      <c r="HV2" s="851"/>
      <c r="HW2" s="851"/>
      <c r="HZ2" s="851"/>
      <c r="IA2" s="851"/>
      <c r="IB2" s="851"/>
      <c r="IC2" s="851"/>
      <c r="ID2" s="851"/>
      <c r="IE2" s="851"/>
      <c r="IH2" s="851"/>
      <c r="II2" s="851"/>
      <c r="IJ2" s="851"/>
      <c r="IK2" s="851"/>
      <c r="IL2" s="851"/>
      <c r="IM2" s="851"/>
      <c r="IP2" s="851"/>
      <c r="IQ2" s="851"/>
      <c r="IR2" s="851"/>
      <c r="IS2" s="851"/>
      <c r="IT2" s="851"/>
      <c r="IU2" s="851"/>
    </row>
    <row r="3" spans="1:256">
      <c r="A3" s="850"/>
    </row>
    <row r="4" spans="1:256">
      <c r="A4" s="852" t="s">
        <v>406</v>
      </c>
    </row>
    <row r="5" spans="1:256" ht="7.5" customHeight="1"/>
    <row r="6" spans="1:256">
      <c r="A6" s="850"/>
      <c r="B6" s="850" t="s">
        <v>407</v>
      </c>
      <c r="C6" s="853"/>
      <c r="F6" s="850" t="s">
        <v>408</v>
      </c>
      <c r="G6" s="853"/>
    </row>
    <row r="7" spans="1:256">
      <c r="A7" s="850"/>
    </row>
    <row r="8" spans="1:256">
      <c r="A8" s="852" t="s">
        <v>409</v>
      </c>
    </row>
    <row r="9" spans="1:256" ht="7.5" customHeight="1"/>
    <row r="10" spans="1:256">
      <c r="A10" s="850"/>
      <c r="B10" s="850" t="s">
        <v>410</v>
      </c>
      <c r="C10" s="853"/>
      <c r="D10" s="850" t="s">
        <v>411</v>
      </c>
      <c r="E10" s="853"/>
      <c r="F10" s="850" t="s">
        <v>412</v>
      </c>
      <c r="G10" s="853"/>
      <c r="H10" s="850" t="s">
        <v>413</v>
      </c>
      <c r="I10" s="853"/>
    </row>
    <row r="12" spans="1:256">
      <c r="A12" s="852" t="s">
        <v>414</v>
      </c>
    </row>
    <row r="13" spans="1:256" ht="7.5" customHeight="1"/>
    <row r="14" spans="1:256" ht="25.5" customHeight="1">
      <c r="A14" s="852">
        <v>1</v>
      </c>
      <c r="B14" s="854" t="s">
        <v>415</v>
      </c>
      <c r="C14" s="854"/>
      <c r="D14" s="854"/>
      <c r="E14" s="854"/>
      <c r="F14" s="854"/>
      <c r="G14" s="854"/>
      <c r="H14" s="854"/>
      <c r="I14" s="854"/>
      <c r="J14" s="854"/>
      <c r="K14" s="854"/>
    </row>
    <row r="15" spans="1:256" ht="7.5" customHeight="1">
      <c r="B15" s="855"/>
      <c r="C15" s="855"/>
      <c r="D15" s="855"/>
      <c r="E15" s="855"/>
      <c r="F15" s="855"/>
      <c r="G15" s="855"/>
      <c r="H15" s="855"/>
      <c r="I15" s="855"/>
      <c r="J15" s="855"/>
      <c r="K15" s="855"/>
    </row>
    <row r="16" spans="1:256" s="855" customFormat="1">
      <c r="A16" s="856"/>
      <c r="B16" s="855" t="s">
        <v>416</v>
      </c>
      <c r="C16" s="857"/>
      <c r="D16" s="855" t="s">
        <v>417</v>
      </c>
      <c r="E16" s="857"/>
      <c r="F16" s="855" t="s">
        <v>112</v>
      </c>
      <c r="G16" s="857"/>
      <c r="H16" s="855" t="s">
        <v>418</v>
      </c>
      <c r="I16" s="857"/>
    </row>
    <row r="17" spans="1:11" s="855" customFormat="1">
      <c r="A17" s="856"/>
      <c r="H17" s="855" t="s">
        <v>419</v>
      </c>
    </row>
    <row r="18" spans="1:11">
      <c r="A18" s="852">
        <v>2</v>
      </c>
      <c r="B18" s="858" t="s">
        <v>420</v>
      </c>
      <c r="C18" s="858"/>
      <c r="D18" s="858"/>
      <c r="E18" s="858"/>
      <c r="F18" s="858"/>
      <c r="G18" s="858"/>
      <c r="H18" s="858"/>
      <c r="I18" s="858"/>
      <c r="J18" s="858"/>
      <c r="K18" s="858"/>
    </row>
    <row r="19" spans="1:11" ht="7.5" customHeight="1">
      <c r="B19" s="859"/>
      <c r="C19" s="859"/>
      <c r="D19" s="859"/>
      <c r="E19" s="859"/>
      <c r="F19" s="859"/>
      <c r="G19" s="859"/>
      <c r="H19" s="859"/>
      <c r="I19" s="859"/>
      <c r="J19" s="859"/>
      <c r="K19" s="859"/>
    </row>
    <row r="20" spans="1:11" ht="12.75" customHeight="1">
      <c r="B20" s="850" t="s">
        <v>421</v>
      </c>
      <c r="C20" s="853"/>
      <c r="D20" s="850" t="s">
        <v>422</v>
      </c>
      <c r="E20" s="853"/>
      <c r="F20" s="850" t="s">
        <v>423</v>
      </c>
      <c r="G20" s="853"/>
      <c r="H20" s="860"/>
    </row>
    <row r="21" spans="1:11">
      <c r="D21" s="850" t="s">
        <v>424</v>
      </c>
      <c r="E21" s="860"/>
      <c r="F21" s="850" t="s">
        <v>425</v>
      </c>
      <c r="H21" s="860"/>
    </row>
    <row r="22" spans="1:11">
      <c r="E22" s="860"/>
      <c r="H22" s="860"/>
    </row>
    <row r="23" spans="1:11">
      <c r="A23" s="852">
        <v>3</v>
      </c>
      <c r="B23" s="850" t="s">
        <v>426</v>
      </c>
    </row>
    <row r="24" spans="1:11" ht="7.5" customHeight="1"/>
    <row r="25" spans="1:11" ht="12.75" customHeight="1">
      <c r="B25" s="850" t="s">
        <v>427</v>
      </c>
      <c r="C25" s="853"/>
      <c r="D25" s="850" t="s">
        <v>428</v>
      </c>
      <c r="E25" s="853"/>
      <c r="F25" s="850" t="s">
        <v>429</v>
      </c>
      <c r="G25" s="853"/>
      <c r="H25" s="850" t="s">
        <v>430</v>
      </c>
      <c r="I25" s="853"/>
    </row>
    <row r="27" spans="1:11">
      <c r="A27" s="852">
        <v>4</v>
      </c>
      <c r="B27" s="850" t="s">
        <v>431</v>
      </c>
    </row>
    <row r="28" spans="1:11" ht="7.5" customHeight="1"/>
    <row r="29" spans="1:11">
      <c r="B29" s="850" t="s">
        <v>432</v>
      </c>
      <c r="C29" s="853"/>
      <c r="D29" s="850" t="s">
        <v>433</v>
      </c>
      <c r="E29" s="853"/>
    </row>
    <row r="31" spans="1:11">
      <c r="A31" s="852">
        <v>5</v>
      </c>
      <c r="B31" s="850" t="s">
        <v>434</v>
      </c>
    </row>
    <row r="32" spans="1:11" ht="7.5" customHeight="1"/>
    <row r="33" spans="1:11">
      <c r="B33" s="850" t="s">
        <v>435</v>
      </c>
      <c r="C33" s="853"/>
      <c r="D33" s="850" t="s">
        <v>356</v>
      </c>
      <c r="E33" s="853"/>
      <c r="F33" s="850" t="s">
        <v>436</v>
      </c>
      <c r="G33" s="853"/>
    </row>
    <row r="35" spans="1:11">
      <c r="B35" s="850" t="s">
        <v>437</v>
      </c>
      <c r="C35" s="853"/>
      <c r="D35" s="850" t="s">
        <v>438</v>
      </c>
      <c r="E35" s="853"/>
      <c r="F35" s="850" t="s">
        <v>439</v>
      </c>
      <c r="G35" s="853"/>
    </row>
    <row r="37" spans="1:11" ht="25.5" customHeight="1">
      <c r="A37" s="852">
        <v>6</v>
      </c>
      <c r="B37" s="854" t="s">
        <v>440</v>
      </c>
      <c r="C37" s="854"/>
      <c r="D37" s="854"/>
      <c r="E37" s="854"/>
      <c r="F37" s="854"/>
      <c r="G37" s="854"/>
      <c r="H37" s="854"/>
      <c r="I37" s="854"/>
      <c r="J37" s="854"/>
      <c r="K37" s="854"/>
    </row>
    <row r="38" spans="1:11" ht="7.5" customHeight="1"/>
    <row r="39" spans="1:11">
      <c r="B39" s="850" t="s">
        <v>441</v>
      </c>
      <c r="C39" s="853"/>
      <c r="D39" s="850" t="s">
        <v>442</v>
      </c>
      <c r="E39" s="853"/>
      <c r="F39" s="850" t="s">
        <v>443</v>
      </c>
      <c r="G39" s="853"/>
      <c r="H39" s="850" t="s">
        <v>444</v>
      </c>
      <c r="I39" s="853"/>
    </row>
    <row r="41" spans="1:11">
      <c r="B41" s="850" t="s">
        <v>153</v>
      </c>
      <c r="C41" s="853"/>
      <c r="D41" s="850" t="s">
        <v>445</v>
      </c>
      <c r="E41" s="853"/>
      <c r="F41" s="850" t="s">
        <v>446</v>
      </c>
      <c r="G41" s="853"/>
    </row>
    <row r="43" spans="1:11">
      <c r="A43" s="852">
        <v>7</v>
      </c>
      <c r="B43" s="850" t="s">
        <v>447</v>
      </c>
    </row>
    <row r="44" spans="1:11" ht="7.5" customHeight="1"/>
    <row r="45" spans="1:11">
      <c r="B45" s="861" t="s">
        <v>448</v>
      </c>
      <c r="C45" s="861"/>
      <c r="D45" s="852" t="s">
        <v>449</v>
      </c>
      <c r="E45" s="861"/>
      <c r="F45" s="852" t="s">
        <v>450</v>
      </c>
      <c r="H45" s="861" t="s">
        <v>451</v>
      </c>
    </row>
    <row r="46" spans="1:11">
      <c r="B46" s="862" t="s">
        <v>452</v>
      </c>
      <c r="C46" s="853"/>
      <c r="D46" s="862" t="s">
        <v>452</v>
      </c>
      <c r="E46" s="853"/>
      <c r="F46" s="862" t="s">
        <v>452</v>
      </c>
      <c r="G46" s="853"/>
      <c r="H46" s="862" t="s">
        <v>452</v>
      </c>
      <c r="I46" s="853"/>
    </row>
    <row r="47" spans="1:11">
      <c r="B47" s="862" t="s">
        <v>453</v>
      </c>
      <c r="C47" s="853"/>
      <c r="D47" s="862" t="s">
        <v>453</v>
      </c>
      <c r="E47" s="853"/>
      <c r="F47" s="862" t="s">
        <v>453</v>
      </c>
      <c r="G47" s="853"/>
      <c r="H47" s="862" t="s">
        <v>453</v>
      </c>
      <c r="I47" s="853"/>
    </row>
    <row r="48" spans="1:11">
      <c r="B48" s="862" t="s">
        <v>454</v>
      </c>
      <c r="C48" s="853"/>
      <c r="D48" s="862" t="s">
        <v>454</v>
      </c>
      <c r="E48" s="853"/>
      <c r="F48" s="862" t="s">
        <v>454</v>
      </c>
      <c r="G48" s="853"/>
      <c r="H48" s="862" t="s">
        <v>454</v>
      </c>
      <c r="I48" s="853"/>
    </row>
    <row r="49" spans="1:9">
      <c r="B49" s="862" t="s">
        <v>455</v>
      </c>
      <c r="C49" s="853"/>
      <c r="D49" s="862" t="s">
        <v>455</v>
      </c>
      <c r="E49" s="853"/>
      <c r="F49" s="862" t="s">
        <v>455</v>
      </c>
      <c r="G49" s="853"/>
      <c r="H49" s="862" t="s">
        <v>455</v>
      </c>
      <c r="I49" s="853"/>
    </row>
    <row r="50" spans="1:9">
      <c r="B50" s="863"/>
    </row>
    <row r="51" spans="1:9">
      <c r="B51" s="861" t="s">
        <v>456</v>
      </c>
      <c r="D51" s="861" t="s">
        <v>457</v>
      </c>
      <c r="F51" s="861" t="s">
        <v>458</v>
      </c>
    </row>
    <row r="52" spans="1:9">
      <c r="B52" s="862" t="s">
        <v>452</v>
      </c>
      <c r="C52" s="853"/>
      <c r="D52" s="862" t="s">
        <v>452</v>
      </c>
      <c r="E52" s="853"/>
      <c r="F52" s="862" t="s">
        <v>452</v>
      </c>
      <c r="G52" s="853"/>
    </row>
    <row r="53" spans="1:9">
      <c r="B53" s="862" t="s">
        <v>453</v>
      </c>
      <c r="C53" s="853"/>
      <c r="D53" s="862" t="s">
        <v>453</v>
      </c>
      <c r="E53" s="853"/>
      <c r="F53" s="862" t="s">
        <v>453</v>
      </c>
      <c r="G53" s="853"/>
    </row>
    <row r="54" spans="1:9">
      <c r="B54" s="862" t="s">
        <v>454</v>
      </c>
      <c r="C54" s="853"/>
      <c r="D54" s="862" t="s">
        <v>454</v>
      </c>
      <c r="E54" s="853"/>
      <c r="F54" s="862" t="s">
        <v>454</v>
      </c>
      <c r="G54" s="853"/>
    </row>
    <row r="55" spans="1:9">
      <c r="B55" s="862" t="s">
        <v>455</v>
      </c>
      <c r="C55" s="853"/>
      <c r="D55" s="862" t="s">
        <v>455</v>
      </c>
      <c r="E55" s="853"/>
      <c r="F55" s="862" t="s">
        <v>455</v>
      </c>
      <c r="G55" s="853"/>
    </row>
    <row r="57" spans="1:9">
      <c r="A57" s="852">
        <v>8</v>
      </c>
      <c r="B57" s="850" t="s">
        <v>459</v>
      </c>
    </row>
    <row r="58" spans="1:9" ht="7.5" customHeight="1"/>
    <row r="59" spans="1:9">
      <c r="B59" s="850" t="s">
        <v>460</v>
      </c>
      <c r="C59" s="853"/>
      <c r="D59" s="850" t="s">
        <v>461</v>
      </c>
      <c r="E59" s="853"/>
      <c r="F59" s="850" t="s">
        <v>462</v>
      </c>
      <c r="G59" s="853"/>
      <c r="H59" s="850" t="s">
        <v>463</v>
      </c>
      <c r="I59" s="853"/>
    </row>
    <row r="60" spans="1:9">
      <c r="B60" s="850" t="s">
        <v>464</v>
      </c>
      <c r="C60" s="853"/>
      <c r="D60" s="850" t="s">
        <v>102</v>
      </c>
      <c r="E60" s="853"/>
      <c r="F60" s="850" t="s">
        <v>465</v>
      </c>
      <c r="G60" s="853"/>
      <c r="H60" s="850" t="s">
        <v>466</v>
      </c>
    </row>
    <row r="63" spans="1:9">
      <c r="E63" s="864" t="s">
        <v>467</v>
      </c>
    </row>
    <row r="97" spans="5:5">
      <c r="E97" s="864"/>
    </row>
  </sheetData>
  <mergeCells count="65">
    <mergeCell ref="B37:K37"/>
    <mergeCell ref="HR2:HW2"/>
    <mergeCell ref="HZ2:IE2"/>
    <mergeCell ref="IH2:IM2"/>
    <mergeCell ref="IP2:IU2"/>
    <mergeCell ref="B14:K14"/>
    <mergeCell ref="B18:K18"/>
    <mergeCell ref="FV2:GA2"/>
    <mergeCell ref="GD2:GI2"/>
    <mergeCell ref="GL2:GQ2"/>
    <mergeCell ref="GT2:GY2"/>
    <mergeCell ref="HB2:HG2"/>
    <mergeCell ref="HJ2:HO2"/>
    <mergeCell ref="DZ2:EE2"/>
    <mergeCell ref="EH2:EM2"/>
    <mergeCell ref="EP2:EU2"/>
    <mergeCell ref="EX2:FC2"/>
    <mergeCell ref="FF2:FK2"/>
    <mergeCell ref="FN2:FS2"/>
    <mergeCell ref="CD2:CI2"/>
    <mergeCell ref="CL2:CQ2"/>
    <mergeCell ref="CT2:CY2"/>
    <mergeCell ref="DB2:DG2"/>
    <mergeCell ref="DJ2:DO2"/>
    <mergeCell ref="DR2:DW2"/>
    <mergeCell ref="IP1:IV1"/>
    <mergeCell ref="A2:K2"/>
    <mergeCell ref="R2:W2"/>
    <mergeCell ref="Z2:AE2"/>
    <mergeCell ref="AH2:AM2"/>
    <mergeCell ref="AP2:AU2"/>
    <mergeCell ref="AX2:BC2"/>
    <mergeCell ref="BF2:BK2"/>
    <mergeCell ref="BN2:BS2"/>
    <mergeCell ref="BV2:CA2"/>
    <mergeCell ref="GT1:GZ1"/>
    <mergeCell ref="HB1:HH1"/>
    <mergeCell ref="HJ1:HP1"/>
    <mergeCell ref="HR1:HX1"/>
    <mergeCell ref="HZ1:IF1"/>
    <mergeCell ref="IH1:IN1"/>
    <mergeCell ref="EX1:FD1"/>
    <mergeCell ref="FF1:FL1"/>
    <mergeCell ref="FN1:FT1"/>
    <mergeCell ref="FV1:GB1"/>
    <mergeCell ref="GD1:GJ1"/>
    <mergeCell ref="GL1:GR1"/>
    <mergeCell ref="DB1:DH1"/>
    <mergeCell ref="DJ1:DP1"/>
    <mergeCell ref="DR1:DX1"/>
    <mergeCell ref="DZ1:EF1"/>
    <mergeCell ref="EH1:EN1"/>
    <mergeCell ref="EP1:EV1"/>
    <mergeCell ref="BF1:BL1"/>
    <mergeCell ref="BN1:BT1"/>
    <mergeCell ref="BV1:CB1"/>
    <mergeCell ref="CD1:CJ1"/>
    <mergeCell ref="CL1:CR1"/>
    <mergeCell ref="CT1:CZ1"/>
    <mergeCell ref="A1:K1"/>
    <mergeCell ref="R1:X1"/>
    <mergeCell ref="Z1:AF1"/>
    <mergeCell ref="AH1:AN1"/>
    <mergeCell ref="AP1:AV1"/>
    <mergeCell ref="AX1:BD1"/>
  </mergeCells>
  <pageMargins left="0.26" right="0.17" top="0.16" bottom="0.51181102362204722" header="0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W32"/>
  <sheetViews>
    <sheetView topLeftCell="A10" workbookViewId="0">
      <selection activeCell="A30" sqref="A30"/>
    </sheetView>
  </sheetViews>
  <sheetFormatPr defaultColWidth="11.42578125" defaultRowHeight="15"/>
  <sheetData>
    <row r="2" spans="1:18" ht="15.75" thickBot="1">
      <c r="A2" s="100" t="s">
        <v>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15.75" thickBot="1">
      <c r="A3" s="776" t="s">
        <v>94</v>
      </c>
      <c r="B3" s="777"/>
      <c r="C3" s="777"/>
      <c r="D3" s="777"/>
      <c r="E3" s="777"/>
      <c r="F3" s="777"/>
      <c r="G3" s="777"/>
      <c r="H3" s="778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ht="25.5">
      <c r="A4" s="102" t="s">
        <v>95</v>
      </c>
      <c r="B4" s="103" t="s">
        <v>96</v>
      </c>
      <c r="C4" s="103" t="s">
        <v>97</v>
      </c>
      <c r="D4" s="103" t="s">
        <v>98</v>
      </c>
      <c r="E4" s="103" t="s">
        <v>99</v>
      </c>
      <c r="F4" s="104" t="s">
        <v>100</v>
      </c>
      <c r="G4" s="105"/>
      <c r="H4" s="106" t="s">
        <v>101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18">
      <c r="A5" s="107" t="s">
        <v>102</v>
      </c>
      <c r="B5" s="108">
        <f>1300*12</f>
        <v>15600</v>
      </c>
      <c r="C5" s="108">
        <v>9000</v>
      </c>
      <c r="D5" s="108">
        <v>4000</v>
      </c>
      <c r="E5" s="108">
        <f>SUM(B5:D5)</f>
        <v>28600</v>
      </c>
      <c r="F5" s="109">
        <f>1/E5</f>
        <v>3.4965034965034965E-5</v>
      </c>
      <c r="G5" s="110"/>
      <c r="H5" s="111">
        <f>F5/$F$8</f>
        <v>0.31058259638697738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>
      <c r="A6" s="107" t="s">
        <v>103</v>
      </c>
      <c r="B6" s="108">
        <f>1200*12</f>
        <v>14400</v>
      </c>
      <c r="C6" s="108">
        <v>7500</v>
      </c>
      <c r="D6" s="108">
        <v>4800</v>
      </c>
      <c r="E6" s="108">
        <f t="shared" ref="E6:E7" si="0">SUM(B6:D6)</f>
        <v>26700</v>
      </c>
      <c r="F6" s="109">
        <f t="shared" ref="F6:F7" si="1">1/E6</f>
        <v>3.7453183520599252E-5</v>
      </c>
      <c r="G6" s="110"/>
      <c r="H6" s="111">
        <f t="shared" ref="H6:H7" si="2">F6/$F$8</f>
        <v>0.3326839796504702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ht="15.75" thickBot="1">
      <c r="A7" s="112" t="s">
        <v>104</v>
      </c>
      <c r="B7" s="113">
        <f>1000*12</f>
        <v>12000</v>
      </c>
      <c r="C7" s="113">
        <v>7000</v>
      </c>
      <c r="D7" s="113">
        <v>5900</v>
      </c>
      <c r="E7" s="113">
        <f t="shared" si="0"/>
        <v>24900</v>
      </c>
      <c r="F7" s="114">
        <f t="shared" si="1"/>
        <v>4.0160642570281125E-5</v>
      </c>
      <c r="G7" s="115"/>
      <c r="H7" s="116">
        <f t="shared" si="2"/>
        <v>0.35673342396255237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ht="15.75" thickBot="1">
      <c r="A8" s="779" t="s">
        <v>4</v>
      </c>
      <c r="B8" s="780"/>
      <c r="C8" s="780"/>
      <c r="D8" s="780"/>
      <c r="E8" s="780"/>
      <c r="F8" s="117">
        <f>SUM(F5:F7)</f>
        <v>1.1257886105591535E-4</v>
      </c>
      <c r="G8" s="118"/>
      <c r="H8" s="119">
        <f>SUM(H5:H7)</f>
        <v>1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1:18">
      <c r="A9" s="101"/>
      <c r="B9" s="101"/>
      <c r="C9" s="101"/>
      <c r="D9" s="101"/>
      <c r="E9" s="101"/>
      <c r="F9" s="101"/>
      <c r="G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18">
      <c r="A10" s="101"/>
      <c r="B10" s="101"/>
      <c r="C10" s="101"/>
      <c r="D10" s="101"/>
      <c r="E10" s="101"/>
      <c r="F10" s="101"/>
      <c r="G10" s="101"/>
      <c r="H10" s="100" t="s">
        <v>105</v>
      </c>
      <c r="I10" s="781" t="s">
        <v>106</v>
      </c>
      <c r="J10" s="781"/>
      <c r="K10" s="781"/>
      <c r="L10" s="781" t="s">
        <v>107</v>
      </c>
      <c r="M10" s="782" t="s">
        <v>108</v>
      </c>
      <c r="N10" s="120"/>
      <c r="O10" s="120"/>
      <c r="P10" s="120"/>
      <c r="Q10" s="120"/>
      <c r="R10" s="120"/>
    </row>
    <row r="11" spans="1:18">
      <c r="A11" s="101"/>
      <c r="B11" s="101"/>
      <c r="C11" s="101"/>
      <c r="D11" s="101"/>
      <c r="E11" s="101"/>
      <c r="F11" s="101"/>
      <c r="G11" s="101"/>
      <c r="H11" s="121" t="s">
        <v>109</v>
      </c>
      <c r="I11" s="122">
        <v>1</v>
      </c>
      <c r="J11" s="122">
        <v>2</v>
      </c>
      <c r="K11" s="122">
        <v>3</v>
      </c>
      <c r="L11" s="782"/>
      <c r="M11" s="783"/>
      <c r="N11" s="120"/>
      <c r="O11" s="120"/>
      <c r="P11" s="120"/>
      <c r="Q11" s="120"/>
      <c r="R11" s="120"/>
    </row>
    <row r="12" spans="1:18" ht="25.5">
      <c r="A12" s="101"/>
      <c r="B12" s="101"/>
      <c r="C12" s="101"/>
      <c r="D12" s="101"/>
      <c r="E12" s="101"/>
      <c r="F12" s="101"/>
      <c r="G12" s="101"/>
      <c r="H12" s="123" t="s">
        <v>110</v>
      </c>
      <c r="I12" s="124">
        <v>0</v>
      </c>
      <c r="J12" s="124">
        <v>1</v>
      </c>
      <c r="K12" s="124"/>
      <c r="L12" s="124">
        <f>SUM(I12:K12)</f>
        <v>1</v>
      </c>
      <c r="M12" s="125">
        <f>L12/$L$15</f>
        <v>0.2</v>
      </c>
      <c r="N12" s="120"/>
      <c r="O12" s="120"/>
      <c r="P12" s="120"/>
      <c r="Q12" s="120"/>
      <c r="R12" s="120"/>
    </row>
    <row r="13" spans="1:18" ht="25.5">
      <c r="F13" s="101"/>
      <c r="G13" s="101"/>
      <c r="H13" s="123" t="s">
        <v>111</v>
      </c>
      <c r="I13" s="124">
        <v>1</v>
      </c>
      <c r="J13" s="124"/>
      <c r="K13" s="124">
        <v>1</v>
      </c>
      <c r="L13" s="124">
        <f t="shared" ref="L13:L14" si="3">SUM(I13:K13)</f>
        <v>2</v>
      </c>
      <c r="M13" s="125">
        <f>L13/$L$15</f>
        <v>0.4</v>
      </c>
      <c r="N13" s="120"/>
      <c r="O13" s="120"/>
      <c r="P13" s="120"/>
      <c r="Q13" s="120"/>
      <c r="R13" s="120"/>
    </row>
    <row r="14" spans="1:18" ht="25.5">
      <c r="F14" s="101"/>
      <c r="G14" s="101"/>
      <c r="H14" s="123" t="s">
        <v>112</v>
      </c>
      <c r="I14" s="124"/>
      <c r="J14" s="124">
        <v>1</v>
      </c>
      <c r="K14" s="124">
        <v>1</v>
      </c>
      <c r="L14" s="124">
        <f t="shared" si="3"/>
        <v>2</v>
      </c>
      <c r="M14" s="125">
        <f>L14/$L$15</f>
        <v>0.4</v>
      </c>
      <c r="N14" s="120"/>
      <c r="O14" s="120"/>
      <c r="P14" s="120"/>
      <c r="Q14" s="120"/>
      <c r="R14" s="120"/>
    </row>
    <row r="15" spans="1:18">
      <c r="F15" s="101"/>
      <c r="G15" s="101"/>
      <c r="H15" s="108" t="s">
        <v>4</v>
      </c>
      <c r="I15" s="126"/>
      <c r="J15" s="126"/>
      <c r="K15" s="126"/>
      <c r="L15" s="124">
        <f>SUM(L12:L14)</f>
        <v>5</v>
      </c>
      <c r="M15" s="127">
        <f>SUM(M12:M14)</f>
        <v>1</v>
      </c>
      <c r="N15" s="120"/>
      <c r="O15" s="120"/>
      <c r="P15" s="120"/>
      <c r="Q15" s="120"/>
      <c r="R15" s="120"/>
    </row>
    <row r="16" spans="1:18">
      <c r="F16" s="101"/>
      <c r="G16" s="101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1:23" ht="25.5">
      <c r="A17" s="128" t="s">
        <v>95</v>
      </c>
      <c r="B17" s="128" t="s">
        <v>113</v>
      </c>
      <c r="C17" s="128" t="s">
        <v>101</v>
      </c>
      <c r="D17" s="128" t="s">
        <v>114</v>
      </c>
      <c r="E17" s="128" t="s">
        <v>115</v>
      </c>
      <c r="F17" s="129" t="s">
        <v>116</v>
      </c>
      <c r="G17" s="13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spans="1:23">
      <c r="A18" s="131" t="s">
        <v>102</v>
      </c>
      <c r="B18" s="132">
        <v>0.7</v>
      </c>
      <c r="C18" s="133">
        <f>H5</f>
        <v>0.31058259638697738</v>
      </c>
      <c r="D18" s="132">
        <v>0.3</v>
      </c>
      <c r="E18" s="133">
        <f>M29</f>
        <v>0.56666666666666665</v>
      </c>
      <c r="F18" s="134">
        <f>B18*C18+D18*E18</f>
        <v>0.38740781747088415</v>
      </c>
      <c r="G18" s="135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spans="1:23">
      <c r="A19" s="136" t="s">
        <v>117</v>
      </c>
      <c r="B19" s="124">
        <v>0.7</v>
      </c>
      <c r="C19" s="125">
        <f t="shared" ref="C19:C20" si="4">H6</f>
        <v>0.3326839796504702</v>
      </c>
      <c r="D19" s="124">
        <v>0.3</v>
      </c>
      <c r="E19" s="125">
        <f t="shared" ref="E19:E20" si="5">M30</f>
        <v>0.3833333333333333</v>
      </c>
      <c r="F19" s="137">
        <f t="shared" ref="F19:F20" si="6">B19*C19+D19*E19</f>
        <v>0.3478787857553291</v>
      </c>
      <c r="G19" s="135"/>
      <c r="H19" s="138" t="s">
        <v>118</v>
      </c>
      <c r="I19" s="785" t="s">
        <v>110</v>
      </c>
      <c r="J19" s="785"/>
      <c r="K19" s="785"/>
      <c r="L19" s="785"/>
      <c r="M19" s="785"/>
      <c r="N19" s="785" t="s">
        <v>111</v>
      </c>
      <c r="O19" s="785"/>
      <c r="P19" s="785"/>
      <c r="Q19" s="785"/>
      <c r="R19" s="785"/>
      <c r="S19" s="785" t="s">
        <v>112</v>
      </c>
      <c r="T19" s="785"/>
      <c r="U19" s="785"/>
      <c r="V19" s="785"/>
      <c r="W19" s="785"/>
    </row>
    <row r="20" spans="1:23">
      <c r="A20" s="139" t="s">
        <v>104</v>
      </c>
      <c r="B20" s="140">
        <v>0.7</v>
      </c>
      <c r="C20" s="141">
        <f t="shared" si="4"/>
        <v>0.35673342396255237</v>
      </c>
      <c r="D20" s="140">
        <v>0.3</v>
      </c>
      <c r="E20" s="141">
        <f t="shared" si="5"/>
        <v>0.05</v>
      </c>
      <c r="F20" s="142">
        <f t="shared" si="6"/>
        <v>0.26471339677378664</v>
      </c>
      <c r="G20" s="143"/>
      <c r="H20" s="784" t="s">
        <v>95</v>
      </c>
      <c r="I20" s="784" t="s">
        <v>106</v>
      </c>
      <c r="J20" s="784"/>
      <c r="K20" s="784"/>
      <c r="L20" s="785" t="s">
        <v>107</v>
      </c>
      <c r="M20" s="785" t="s">
        <v>119</v>
      </c>
      <c r="N20" s="784" t="s">
        <v>106</v>
      </c>
      <c r="O20" s="784"/>
      <c r="P20" s="784"/>
      <c r="Q20" s="786" t="s">
        <v>107</v>
      </c>
      <c r="R20" s="785" t="s">
        <v>120</v>
      </c>
      <c r="S20" s="784" t="s">
        <v>106</v>
      </c>
      <c r="T20" s="784"/>
      <c r="U20" s="784"/>
      <c r="V20" s="785" t="s">
        <v>107</v>
      </c>
      <c r="W20" s="785" t="s">
        <v>121</v>
      </c>
    </row>
    <row r="21" spans="1:23">
      <c r="A21" s="101"/>
      <c r="B21" s="101"/>
      <c r="C21" s="101"/>
      <c r="D21" s="101"/>
      <c r="E21" s="101"/>
      <c r="F21" s="101"/>
      <c r="G21" s="101"/>
      <c r="H21" s="784"/>
      <c r="I21" s="144">
        <v>1</v>
      </c>
      <c r="J21" s="144">
        <v>2</v>
      </c>
      <c r="K21" s="144">
        <v>3</v>
      </c>
      <c r="L21" s="785"/>
      <c r="M21" s="785"/>
      <c r="N21" s="144">
        <v>1</v>
      </c>
      <c r="O21" s="144">
        <v>2</v>
      </c>
      <c r="P21" s="144">
        <v>3</v>
      </c>
      <c r="Q21" s="787"/>
      <c r="R21" s="785"/>
      <c r="S21" s="144">
        <v>1</v>
      </c>
      <c r="T21" s="144">
        <v>2</v>
      </c>
      <c r="U21" s="144">
        <v>3</v>
      </c>
      <c r="V21" s="785"/>
      <c r="W21" s="785"/>
    </row>
    <row r="22" spans="1:23">
      <c r="A22" s="101"/>
      <c r="B22" s="101"/>
      <c r="C22" s="101"/>
      <c r="D22" s="101"/>
      <c r="E22" s="101"/>
      <c r="F22" s="101"/>
      <c r="G22" s="101"/>
      <c r="H22" s="136" t="s">
        <v>102</v>
      </c>
      <c r="I22" s="145">
        <v>1</v>
      </c>
      <c r="J22" s="145">
        <v>1</v>
      </c>
      <c r="K22" s="145"/>
      <c r="L22" s="145">
        <f>SUM(I22:K22)</f>
        <v>2</v>
      </c>
      <c r="M22" s="146">
        <f>L22/$L$25</f>
        <v>0.5</v>
      </c>
      <c r="N22" s="145">
        <v>1</v>
      </c>
      <c r="O22" s="145">
        <v>1</v>
      </c>
      <c r="P22" s="145"/>
      <c r="Q22" s="147">
        <f>SUM(N22:P22)</f>
        <v>2</v>
      </c>
      <c r="R22" s="148">
        <f>Q22/$Q$25</f>
        <v>0.5</v>
      </c>
      <c r="S22" s="147">
        <v>1</v>
      </c>
      <c r="T22" s="147">
        <v>1</v>
      </c>
      <c r="U22" s="147"/>
      <c r="V22" s="147">
        <f>SUM(S22:U22)</f>
        <v>2</v>
      </c>
      <c r="W22" s="148">
        <f>V22/$V$25</f>
        <v>0.66666666666666663</v>
      </c>
    </row>
    <row r="23" spans="1:23">
      <c r="A23" s="101"/>
      <c r="B23" s="101"/>
      <c r="C23" s="101"/>
      <c r="D23" s="101"/>
      <c r="E23" s="101"/>
      <c r="F23" s="101"/>
      <c r="G23" s="101"/>
      <c r="H23" s="136" t="s">
        <v>117</v>
      </c>
      <c r="I23" s="147">
        <v>0</v>
      </c>
      <c r="J23" s="147"/>
      <c r="K23" s="147">
        <v>1</v>
      </c>
      <c r="L23" s="147">
        <f t="shared" ref="L23:L24" si="7">SUM(I23:K23)</f>
        <v>1</v>
      </c>
      <c r="M23" s="148">
        <f t="shared" ref="M23:M24" si="8">L23/$L$25</f>
        <v>0.25</v>
      </c>
      <c r="N23" s="147">
        <v>1</v>
      </c>
      <c r="O23" s="147"/>
      <c r="P23" s="149">
        <v>1</v>
      </c>
      <c r="Q23" s="145">
        <f t="shared" ref="Q23:Q24" si="9">SUM(N23:P23)</f>
        <v>2</v>
      </c>
      <c r="R23" s="146">
        <f t="shared" ref="R23:R24" si="10">Q23/$Q$25</f>
        <v>0.5</v>
      </c>
      <c r="S23" s="145">
        <v>0</v>
      </c>
      <c r="T23" s="145"/>
      <c r="U23" s="145">
        <v>1</v>
      </c>
      <c r="V23" s="145">
        <f t="shared" ref="V23:V24" si="11">SUM(S23:U23)</f>
        <v>1</v>
      </c>
      <c r="W23" s="146">
        <f t="shared" ref="W23:W24" si="12">V23/$V$25</f>
        <v>0.33333333333333331</v>
      </c>
    </row>
    <row r="24" spans="1:23">
      <c r="A24" s="101"/>
      <c r="B24" s="101"/>
      <c r="C24" s="101"/>
      <c r="D24" s="101"/>
      <c r="E24" s="101"/>
      <c r="F24" s="101"/>
      <c r="G24" s="101"/>
      <c r="H24" s="139" t="s">
        <v>104</v>
      </c>
      <c r="I24" s="145"/>
      <c r="J24" s="145">
        <v>0</v>
      </c>
      <c r="K24" s="145">
        <v>1</v>
      </c>
      <c r="L24" s="145">
        <f t="shared" si="7"/>
        <v>1</v>
      </c>
      <c r="M24" s="146">
        <f t="shared" si="8"/>
        <v>0.25</v>
      </c>
      <c r="N24" s="145"/>
      <c r="O24" s="145">
        <v>0</v>
      </c>
      <c r="P24" s="145">
        <v>0</v>
      </c>
      <c r="Q24" s="145">
        <f t="shared" si="9"/>
        <v>0</v>
      </c>
      <c r="R24" s="146">
        <f t="shared" si="10"/>
        <v>0</v>
      </c>
      <c r="S24" s="145"/>
      <c r="T24" s="145">
        <v>0</v>
      </c>
      <c r="U24" s="145">
        <v>0</v>
      </c>
      <c r="V24" s="145">
        <f t="shared" si="11"/>
        <v>0</v>
      </c>
      <c r="W24" s="146">
        <f t="shared" si="12"/>
        <v>0</v>
      </c>
    </row>
    <row r="25" spans="1:23">
      <c r="A25" s="101"/>
      <c r="B25" s="101"/>
      <c r="C25" s="101"/>
      <c r="D25" s="101"/>
      <c r="E25" s="101"/>
      <c r="F25" s="101"/>
      <c r="G25" s="101"/>
      <c r="H25" s="150" t="s">
        <v>4</v>
      </c>
      <c r="I25" s="151"/>
      <c r="J25" s="151"/>
      <c r="K25" s="151"/>
      <c r="L25" s="145">
        <f>SUM(L22:L24)</f>
        <v>4</v>
      </c>
      <c r="M25" s="151"/>
      <c r="N25" s="151"/>
      <c r="O25" s="151"/>
      <c r="P25" s="151"/>
      <c r="Q25" s="145">
        <f>SUM(Q22:Q24)</f>
        <v>4</v>
      </c>
      <c r="R25" s="151"/>
      <c r="S25" s="151"/>
      <c r="T25" s="151"/>
      <c r="U25" s="151"/>
      <c r="V25" s="145">
        <f>SUM(V22:V24)</f>
        <v>3</v>
      </c>
      <c r="W25" s="151"/>
    </row>
    <row r="26" spans="1:23">
      <c r="A26" s="101"/>
      <c r="B26" s="101"/>
      <c r="C26" s="101"/>
      <c r="D26" s="101"/>
      <c r="E26" s="101"/>
      <c r="F26" s="101"/>
      <c r="G26" s="101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23">
      <c r="A27" s="101"/>
      <c r="B27" s="101"/>
      <c r="C27" s="101"/>
      <c r="D27" s="101"/>
      <c r="E27" s="101"/>
      <c r="F27" s="101"/>
      <c r="G27" s="101"/>
      <c r="H27" s="152"/>
      <c r="I27" s="781" t="s">
        <v>122</v>
      </c>
      <c r="J27" s="781"/>
      <c r="K27" s="781"/>
      <c r="L27" s="781" t="s">
        <v>108</v>
      </c>
      <c r="M27" s="781" t="s">
        <v>115</v>
      </c>
      <c r="O27" s="120"/>
      <c r="P27" s="120"/>
      <c r="Q27" s="120"/>
      <c r="R27" s="120"/>
    </row>
    <row r="28" spans="1:23">
      <c r="A28" s="101"/>
      <c r="B28" s="101"/>
      <c r="C28" s="101"/>
      <c r="D28" s="101"/>
      <c r="E28" s="101"/>
      <c r="F28" s="101"/>
      <c r="G28" s="101"/>
      <c r="H28" s="129" t="s">
        <v>109</v>
      </c>
      <c r="I28" s="153" t="s">
        <v>102</v>
      </c>
      <c r="J28" s="153" t="s">
        <v>117</v>
      </c>
      <c r="K28" s="153" t="s">
        <v>104</v>
      </c>
      <c r="L28" s="781"/>
      <c r="M28" s="781"/>
      <c r="O28" s="120"/>
      <c r="P28" s="120"/>
      <c r="Q28" s="120"/>
      <c r="R28" s="120"/>
    </row>
    <row r="29" spans="1:23" ht="25.5">
      <c r="A29" s="101"/>
      <c r="B29" s="101"/>
      <c r="C29" s="101"/>
      <c r="D29" s="101"/>
      <c r="E29" s="101"/>
      <c r="F29" s="101"/>
      <c r="G29" s="101"/>
      <c r="H29" s="123" t="s">
        <v>110</v>
      </c>
      <c r="I29" s="125">
        <f>M22</f>
        <v>0.5</v>
      </c>
      <c r="J29" s="125">
        <f>M23</f>
        <v>0.25</v>
      </c>
      <c r="K29" s="125">
        <f>M24</f>
        <v>0.25</v>
      </c>
      <c r="L29" s="125">
        <f>M12</f>
        <v>0.2</v>
      </c>
      <c r="M29" s="137">
        <f>I29*L29+I30*L30+I31*L31</f>
        <v>0.56666666666666665</v>
      </c>
      <c r="O29" s="120"/>
      <c r="P29" s="120"/>
      <c r="Q29" s="120"/>
      <c r="R29" s="120"/>
    </row>
    <row r="30" spans="1:23" ht="25.5">
      <c r="A30" s="101"/>
      <c r="B30" s="101"/>
      <c r="C30" s="101"/>
      <c r="D30" s="101"/>
      <c r="E30" s="101"/>
      <c r="F30" s="101"/>
      <c r="G30" s="101"/>
      <c r="H30" s="123" t="s">
        <v>111</v>
      </c>
      <c r="I30" s="124">
        <f>R22</f>
        <v>0.5</v>
      </c>
      <c r="J30" s="125">
        <f>R23</f>
        <v>0.5</v>
      </c>
      <c r="K30" s="125">
        <f>R24</f>
        <v>0</v>
      </c>
      <c r="L30" s="125">
        <f t="shared" ref="L30:L31" si="13">M13</f>
        <v>0.4</v>
      </c>
      <c r="M30" s="137">
        <f>J29*L29+J30*L30+J31*L31</f>
        <v>0.3833333333333333</v>
      </c>
      <c r="O30" s="120"/>
      <c r="P30" s="120"/>
      <c r="Q30" s="120"/>
      <c r="R30" s="120"/>
    </row>
    <row r="31" spans="1:23" ht="25.5">
      <c r="A31" s="101"/>
      <c r="B31" s="101"/>
      <c r="C31" s="101"/>
      <c r="D31" s="101"/>
      <c r="E31" s="101"/>
      <c r="F31" s="101"/>
      <c r="G31" s="101"/>
      <c r="H31" s="123" t="s">
        <v>112</v>
      </c>
      <c r="I31" s="125">
        <f>W22</f>
        <v>0.66666666666666663</v>
      </c>
      <c r="J31" s="125">
        <f>W23</f>
        <v>0.33333333333333331</v>
      </c>
      <c r="K31" s="125">
        <f>W24</f>
        <v>0</v>
      </c>
      <c r="L31" s="125">
        <f t="shared" si="13"/>
        <v>0.4</v>
      </c>
      <c r="M31" s="137">
        <f>K29*L29+K30*L30+K31*L31</f>
        <v>0.05</v>
      </c>
      <c r="O31" s="120"/>
      <c r="P31" s="120"/>
      <c r="Q31" s="120"/>
      <c r="R31" s="120"/>
    </row>
    <row r="32" spans="1:23">
      <c r="A32" s="101"/>
      <c r="B32" s="101"/>
      <c r="C32" s="101"/>
      <c r="D32" s="101"/>
      <c r="E32" s="101"/>
      <c r="F32" s="101"/>
      <c r="G32" s="101"/>
      <c r="H32" s="120"/>
      <c r="I32" s="120"/>
      <c r="J32" s="120"/>
      <c r="K32" s="120"/>
      <c r="L32" s="120"/>
      <c r="M32" s="154">
        <f>SUM(M29:M31)</f>
        <v>1</v>
      </c>
      <c r="N32" s="120"/>
      <c r="O32" s="120"/>
      <c r="P32" s="120"/>
      <c r="Q32" s="120"/>
      <c r="R32" s="120"/>
    </row>
  </sheetData>
  <mergeCells count="21">
    <mergeCell ref="I27:K27"/>
    <mergeCell ref="L27:L28"/>
    <mergeCell ref="M27:M28"/>
    <mergeCell ref="N19:R19"/>
    <mergeCell ref="S19:W19"/>
    <mergeCell ref="Q20:Q21"/>
    <mergeCell ref="R20:R21"/>
    <mergeCell ref="S20:U20"/>
    <mergeCell ref="I19:M19"/>
    <mergeCell ref="V20:V21"/>
    <mergeCell ref="W20:W21"/>
    <mergeCell ref="H20:H21"/>
    <mergeCell ref="I20:K20"/>
    <mergeCell ref="L20:L21"/>
    <mergeCell ref="M20:M21"/>
    <mergeCell ref="N20:P20"/>
    <mergeCell ref="A3:H3"/>
    <mergeCell ref="A8:E8"/>
    <mergeCell ref="I10:K10"/>
    <mergeCell ref="L10:L11"/>
    <mergeCell ref="M10:M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4"/>
  <sheetViews>
    <sheetView topLeftCell="A10" workbookViewId="0">
      <selection activeCell="B16" sqref="B16"/>
    </sheetView>
  </sheetViews>
  <sheetFormatPr defaultColWidth="11.42578125" defaultRowHeight="15"/>
  <cols>
    <col min="1" max="1" width="28.85546875" customWidth="1"/>
    <col min="2" max="6" width="12.5703125" bestFit="1" customWidth="1"/>
  </cols>
  <sheetData>
    <row r="1" spans="1:7" ht="15.75" thickBot="1"/>
    <row r="2" spans="1:7" ht="15.75" thickBot="1">
      <c r="A2" s="58" t="s">
        <v>11</v>
      </c>
      <c r="B2" s="40" t="s">
        <v>5</v>
      </c>
      <c r="C2" s="40" t="s">
        <v>6</v>
      </c>
      <c r="D2" s="40" t="s">
        <v>7</v>
      </c>
      <c r="E2" s="40" t="s">
        <v>8</v>
      </c>
      <c r="F2" s="41" t="s">
        <v>9</v>
      </c>
      <c r="G2" s="57" t="s">
        <v>61</v>
      </c>
    </row>
    <row r="3" spans="1:7" ht="15.75" thickTop="1">
      <c r="A3" s="21" t="s">
        <v>56</v>
      </c>
      <c r="B3" s="442">
        <f>B14+B25</f>
        <v>22213.241950017215</v>
      </c>
      <c r="C3" s="442">
        <f t="shared" ref="C3:F3" si="0">C14+C25</f>
        <v>23120.340574017217</v>
      </c>
      <c r="D3" s="442">
        <f t="shared" si="0"/>
        <v>24049.20956499322</v>
      </c>
      <c r="E3" s="442">
        <f t="shared" si="0"/>
        <v>25000.371411752654</v>
      </c>
      <c r="F3" s="442">
        <f t="shared" si="0"/>
        <v>25974.361142834299</v>
      </c>
      <c r="G3" s="60">
        <f t="shared" ref="G3:G9" si="1">B3/$B$10</f>
        <v>5.2606114413092292E-2</v>
      </c>
    </row>
    <row r="4" spans="1:7">
      <c r="A4" s="16" t="s">
        <v>57</v>
      </c>
      <c r="B4" s="442">
        <f t="shared" ref="B4:F9" si="2">B15+B26</f>
        <v>26003.12447792387</v>
      </c>
      <c r="C4" s="442">
        <f t="shared" si="2"/>
        <v>27179.961237923875</v>
      </c>
      <c r="D4" s="442">
        <f t="shared" si="2"/>
        <v>28384.566880163882</v>
      </c>
      <c r="E4" s="442">
        <f t="shared" si="2"/>
        <v>29617.60215541764</v>
      </c>
      <c r="F4" s="442">
        <f t="shared" si="2"/>
        <v>30879.743604048694</v>
      </c>
      <c r="G4" s="60">
        <f t="shared" si="1"/>
        <v>6.1581436174942661E-2</v>
      </c>
    </row>
    <row r="5" spans="1:7">
      <c r="A5" s="16" t="s">
        <v>58</v>
      </c>
      <c r="B5" s="442">
        <f t="shared" si="2"/>
        <v>294065.05672297295</v>
      </c>
      <c r="C5" s="442">
        <f t="shared" si="2"/>
        <v>326143.13737297303</v>
      </c>
      <c r="D5" s="442">
        <f t="shared" si="2"/>
        <v>360745.76297012792</v>
      </c>
      <c r="E5" s="442">
        <f t="shared" si="2"/>
        <v>398071.61520177906</v>
      </c>
      <c r="F5" s="442">
        <f t="shared" si="2"/>
        <v>438335.01200406114</v>
      </c>
      <c r="G5" s="60">
        <f t="shared" si="1"/>
        <v>0.69641433041020839</v>
      </c>
    </row>
    <row r="6" spans="1:7">
      <c r="A6" s="16" t="s">
        <v>91</v>
      </c>
      <c r="B6" s="442">
        <f t="shared" si="2"/>
        <v>15672.360197353501</v>
      </c>
      <c r="C6" s="442">
        <f t="shared" si="2"/>
        <v>17381.949436753501</v>
      </c>
      <c r="D6" s="442">
        <f t="shared" si="2"/>
        <v>19226.083349294277</v>
      </c>
      <c r="E6" s="442">
        <f t="shared" si="2"/>
        <v>21215.350600752015</v>
      </c>
      <c r="F6" s="442">
        <f t="shared" si="2"/>
        <v>23361.173184899482</v>
      </c>
      <c r="G6" s="60">
        <f t="shared" si="1"/>
        <v>3.7115787759405966E-2</v>
      </c>
    </row>
    <row r="7" spans="1:7">
      <c r="A7" s="16" t="s">
        <v>51</v>
      </c>
      <c r="B7" s="442">
        <f t="shared" si="2"/>
        <v>26871.894690747431</v>
      </c>
      <c r="C7" s="442">
        <f t="shared" si="2"/>
        <v>27857.378031796092</v>
      </c>
      <c r="D7" s="442">
        <f t="shared" si="2"/>
        <v>28866.512973029923</v>
      </c>
      <c r="E7" s="442">
        <f t="shared" si="2"/>
        <v>29899.867152853367</v>
      </c>
      <c r="F7" s="442">
        <f t="shared" si="2"/>
        <v>30958.02183299257</v>
      </c>
      <c r="G7" s="60">
        <f t="shared" si="1"/>
        <v>6.3638885750169905E-2</v>
      </c>
    </row>
    <row r="8" spans="1:7">
      <c r="A8" s="16" t="s">
        <v>53</v>
      </c>
      <c r="B8" s="443">
        <f t="shared" si="2"/>
        <v>32246.220215828471</v>
      </c>
      <c r="C8" s="443">
        <f t="shared" si="2"/>
        <v>33142.273573970582</v>
      </c>
      <c r="D8" s="443">
        <f t="shared" si="2"/>
        <v>34059.832212708105</v>
      </c>
      <c r="E8" s="443">
        <f t="shared" si="2"/>
        <v>34999.41225877533</v>
      </c>
      <c r="F8" s="313">
        <f t="shared" si="2"/>
        <v>35961.542225948164</v>
      </c>
      <c r="G8" s="60">
        <f t="shared" si="1"/>
        <v>7.6366536405656341E-2</v>
      </c>
    </row>
    <row r="9" spans="1:7" ht="15.75" thickBot="1">
      <c r="A9" s="61" t="s">
        <v>60</v>
      </c>
      <c r="B9" s="444">
        <f t="shared" si="2"/>
        <v>5183.9972402421408</v>
      </c>
      <c r="C9" s="444">
        <f t="shared" si="2"/>
        <v>5378.8338043087006</v>
      </c>
      <c r="D9" s="444">
        <f t="shared" si="2"/>
        <v>5578.3464459128572</v>
      </c>
      <c r="E9" s="444">
        <f t="shared" si="2"/>
        <v>5782.6473909155138</v>
      </c>
      <c r="F9" s="445">
        <f t="shared" si="2"/>
        <v>5991.851558598235</v>
      </c>
      <c r="G9" s="64">
        <f t="shared" si="1"/>
        <v>1.2276909086524465E-2</v>
      </c>
    </row>
    <row r="10" spans="1:7" ht="16.5" thickTop="1" thickBot="1">
      <c r="A10" s="65" t="s">
        <v>33</v>
      </c>
      <c r="B10" s="66">
        <f>SUM(B3:B9)</f>
        <v>422255.89549508557</v>
      </c>
      <c r="C10" s="67">
        <f>SUM(C3:C9)</f>
        <v>460203.87403174303</v>
      </c>
      <c r="D10" s="67">
        <f>SUM(D3:D9)</f>
        <v>500910.31439623015</v>
      </c>
      <c r="E10" s="67">
        <f>SUM(E3:E9)</f>
        <v>544586.86617224559</v>
      </c>
      <c r="F10" s="390">
        <f>SUM(F3:F9)</f>
        <v>591461.70555338264</v>
      </c>
      <c r="G10" s="69"/>
    </row>
    <row r="12" spans="1:7" ht="15.75" thickBot="1">
      <c r="A12" s="788" t="s">
        <v>185</v>
      </c>
      <c r="B12" s="788"/>
      <c r="C12" s="788"/>
      <c r="D12" s="788"/>
      <c r="E12" s="788"/>
      <c r="F12" s="788"/>
      <c r="G12" s="788"/>
    </row>
    <row r="13" spans="1:7" ht="15.75" thickBot="1">
      <c r="A13" s="58" t="s">
        <v>11</v>
      </c>
      <c r="B13" s="40" t="s">
        <v>5</v>
      </c>
      <c r="C13" s="40" t="s">
        <v>6</v>
      </c>
      <c r="D13" s="40" t="s">
        <v>7</v>
      </c>
      <c r="E13" s="40" t="s">
        <v>8</v>
      </c>
      <c r="F13" s="41" t="s">
        <v>9</v>
      </c>
      <c r="G13" s="57" t="s">
        <v>61</v>
      </c>
    </row>
    <row r="14" spans="1:7" ht="15.75" thickTop="1">
      <c r="A14" s="21" t="s">
        <v>56</v>
      </c>
      <c r="B14" s="34">
        <f>Demanda!B14*'Detalle compras'!$B36</f>
        <v>3797.519890946649</v>
      </c>
      <c r="C14" s="34">
        <f>Demanda!C14*'Detalle compras'!$B36</f>
        <v>4704.6185149466528</v>
      </c>
      <c r="D14" s="34">
        <f>Demanda!D14*'Detalle compras'!$B36</f>
        <v>5633.4875059226542</v>
      </c>
      <c r="E14" s="34">
        <f>Demanda!E14*'Detalle compras'!$B36</f>
        <v>6584.6493526820868</v>
      </c>
      <c r="F14" s="34">
        <f>Demanda!F14*'Detalle compras'!$B36</f>
        <v>7558.6390837637318</v>
      </c>
      <c r="G14" s="60">
        <f t="shared" ref="G14:G20" si="3">B14/$B$10</f>
        <v>8.9934088107737186E-3</v>
      </c>
    </row>
    <row r="15" spans="1:7">
      <c r="A15" s="16" t="s">
        <v>57</v>
      </c>
      <c r="B15" s="34">
        <f>Demanda!B15*'Detalle compras'!$B37</f>
        <v>5435.0073761937729</v>
      </c>
      <c r="C15" s="34">
        <f>Demanda!C15*'Detalle compras'!$B37</f>
        <v>6611.8441361937748</v>
      </c>
      <c r="D15" s="34">
        <f>Demanda!D15*'Detalle compras'!$B37</f>
        <v>7816.4497784337818</v>
      </c>
      <c r="E15" s="34">
        <f>Demanda!E15*'Detalle compras'!$B37</f>
        <v>9049.4850536875419</v>
      </c>
      <c r="F15" s="34">
        <f>Demanda!F15*'Detalle compras'!$B37</f>
        <v>10311.626502318595</v>
      </c>
      <c r="G15" s="60">
        <f t="shared" si="3"/>
        <v>1.2871359368047067E-2</v>
      </c>
    </row>
    <row r="16" spans="1:7">
      <c r="A16" s="16" t="s">
        <v>58</v>
      </c>
      <c r="B16" s="34">
        <f>+Demanda!B16*'Detalle compras'!$B38</f>
        <v>2119.3454391891464</v>
      </c>
      <c r="C16" s="34">
        <f>+Demanda!C16*'Detalle compras'!$B38</f>
        <v>34197.426089189234</v>
      </c>
      <c r="D16" s="34">
        <f>+Demanda!D16*'Detalle compras'!$B38</f>
        <v>68800.051686344159</v>
      </c>
      <c r="E16" s="34">
        <f>+Demanda!E16*'Detalle compras'!$B38</f>
        <v>106125.90391799531</v>
      </c>
      <c r="F16" s="34">
        <f>+Demanda!F16*'Detalle compras'!$B38</f>
        <v>146389.30072027733</v>
      </c>
      <c r="G16" s="60">
        <f t="shared" si="3"/>
        <v>5.0191020700948684E-3</v>
      </c>
    </row>
    <row r="17" spans="1:7">
      <c r="A17" s="16" t="s">
        <v>91</v>
      </c>
      <c r="B17" s="34">
        <f>Demanda!B17*'Detalle compras'!$B39</f>
        <v>9621.8583947069983</v>
      </c>
      <c r="C17" s="34">
        <f>Demanda!C17*'Detalle compras'!$B39</f>
        <v>11331.447634106997</v>
      </c>
      <c r="D17" s="34">
        <f>Demanda!D17*'Detalle compras'!$B39</f>
        <v>13175.581546647776</v>
      </c>
      <c r="E17" s="34">
        <f>Demanda!E17*'Detalle compras'!$B39</f>
        <v>15164.848798105513</v>
      </c>
      <c r="F17" s="34">
        <f>Demanda!F17*'Detalle compras'!$B39</f>
        <v>17310.671382252978</v>
      </c>
      <c r="G17" s="60">
        <f t="shared" si="3"/>
        <v>2.2786794683886141E-2</v>
      </c>
    </row>
    <row r="18" spans="1:7">
      <c r="A18" s="16" t="s">
        <v>51</v>
      </c>
      <c r="B18" s="34">
        <f>Demanda!B18*'Detalle compras'!$B40</f>
        <v>17914.596460498287</v>
      </c>
      <c r="C18" s="34">
        <f>Demanda!C18*'Detalle compras'!$B40</f>
        <v>18900.079801546948</v>
      </c>
      <c r="D18" s="34">
        <f>Demanda!D18*'Detalle compras'!$B40</f>
        <v>19909.214742780779</v>
      </c>
      <c r="E18" s="34">
        <f>Demanda!E18*'Detalle compras'!$B40</f>
        <v>20942.568922604223</v>
      </c>
      <c r="F18" s="34">
        <f>Demanda!F18*'Detalle compras'!$B40</f>
        <v>22000.723602743426</v>
      </c>
      <c r="G18" s="60">
        <f t="shared" si="3"/>
        <v>4.2425923833446601E-2</v>
      </c>
    </row>
    <row r="19" spans="1:7">
      <c r="A19" s="16" t="s">
        <v>53</v>
      </c>
      <c r="B19" s="34">
        <f>Demanda!B19*'Detalle compras'!$B41</f>
        <v>19522.879282263253</v>
      </c>
      <c r="C19" s="34">
        <f>Demanda!C19*'Detalle compras'!$B41</f>
        <v>20418.932640405365</v>
      </c>
      <c r="D19" s="34">
        <f>Demanda!D19*'Detalle compras'!$B41</f>
        <v>21336.491279142887</v>
      </c>
      <c r="E19" s="34">
        <f>Demanda!E19*'Detalle compras'!$B41</f>
        <v>22276.071325210112</v>
      </c>
      <c r="F19" s="34">
        <f>Demanda!F19*'Detalle compras'!$B41</f>
        <v>23238.201292382946</v>
      </c>
      <c r="G19" s="60">
        <f t="shared" si="3"/>
        <v>4.6234710966848939E-2</v>
      </c>
    </row>
    <row r="20" spans="1:7" ht="15.75" thickBot="1">
      <c r="A20" s="61" t="s">
        <v>60</v>
      </c>
      <c r="B20" s="62">
        <f>Demanda!B20*'Detalle compras'!$B42</f>
        <v>3423.4814827234241</v>
      </c>
      <c r="C20" s="62">
        <f>Demanda!C20*'Detalle compras'!$B42</f>
        <v>3618.3180467899847</v>
      </c>
      <c r="D20" s="62">
        <f>Demanda!D20*'Detalle compras'!$B42</f>
        <v>3817.8306883941414</v>
      </c>
      <c r="E20" s="62">
        <f>Demanda!E20*'Detalle compras'!$B42</f>
        <v>4022.131633396798</v>
      </c>
      <c r="F20" s="62">
        <f>Demanda!F20*'Detalle compras'!$B42</f>
        <v>4231.3358010795191</v>
      </c>
      <c r="G20" s="64">
        <f t="shared" si="3"/>
        <v>8.1075990157803927E-3</v>
      </c>
    </row>
    <row r="21" spans="1:7" ht="16.5" thickTop="1" thickBot="1">
      <c r="A21" s="65" t="s">
        <v>33</v>
      </c>
      <c r="B21" s="66">
        <f>SUM(B14:B20)</f>
        <v>61834.688326521529</v>
      </c>
      <c r="C21" s="67">
        <f>SUM(C14:C20)</f>
        <v>99782.666863178965</v>
      </c>
      <c r="D21" s="67">
        <f>SUM(D14:D20)</f>
        <v>140489.10722766619</v>
      </c>
      <c r="E21" s="67">
        <f>SUM(E14:E20)</f>
        <v>184165.65900368156</v>
      </c>
      <c r="F21" s="390">
        <f>SUM(F14:F20)</f>
        <v>231040.49838481855</v>
      </c>
      <c r="G21" s="69"/>
    </row>
    <row r="23" spans="1:7" ht="15.75" thickBot="1">
      <c r="A23" s="788" t="s">
        <v>186</v>
      </c>
      <c r="B23" s="788"/>
      <c r="C23" s="788"/>
      <c r="D23" s="788"/>
      <c r="E23" s="788"/>
      <c r="F23" s="788"/>
      <c r="G23" s="788"/>
    </row>
    <row r="24" spans="1:7" ht="15.75" thickBot="1">
      <c r="A24" s="58" t="s">
        <v>11</v>
      </c>
      <c r="B24" s="40" t="s">
        <v>5</v>
      </c>
      <c r="C24" s="40" t="s">
        <v>6</v>
      </c>
      <c r="D24" s="40" t="s">
        <v>7</v>
      </c>
      <c r="E24" s="40" t="s">
        <v>8</v>
      </c>
      <c r="F24" s="41" t="s">
        <v>9</v>
      </c>
      <c r="G24" s="57" t="s">
        <v>61</v>
      </c>
    </row>
    <row r="25" spans="1:7" ht="15.75" thickTop="1">
      <c r="A25" s="21" t="s">
        <v>56</v>
      </c>
      <c r="B25" s="34">
        <f>Demanda!B25*'Detalle compras'!$B45</f>
        <v>18415.722059070566</v>
      </c>
      <c r="C25" s="34">
        <f>Demanda!C25*'Detalle compras'!$B45</f>
        <v>18415.722059070566</v>
      </c>
      <c r="D25" s="34">
        <f>Demanda!D25*'Detalle compras'!$B45</f>
        <v>18415.722059070566</v>
      </c>
      <c r="E25" s="34">
        <f>Demanda!E25*'Detalle compras'!$B45</f>
        <v>18415.722059070566</v>
      </c>
      <c r="F25" s="34">
        <f>Demanda!F25*'Detalle compras'!$B45</f>
        <v>18415.722059070566</v>
      </c>
      <c r="G25" s="60">
        <f t="shared" ref="G25:G31" si="4">B25/$B$10</f>
        <v>4.3612705602318579E-2</v>
      </c>
    </row>
    <row r="26" spans="1:7">
      <c r="A26" s="16" t="s">
        <v>57</v>
      </c>
      <c r="B26" s="37">
        <f>+Demanda!B26*'Detalle compras'!$B46</f>
        <v>20568.117101730099</v>
      </c>
      <c r="C26" s="37">
        <f>+Demanda!C26*'Detalle compras'!$B46</f>
        <v>20568.117101730099</v>
      </c>
      <c r="D26" s="37">
        <f>+Demanda!D26*'Detalle compras'!$B46</f>
        <v>20568.117101730099</v>
      </c>
      <c r="E26" s="37">
        <f>+Demanda!E26*'Detalle compras'!$B46</f>
        <v>20568.117101730099</v>
      </c>
      <c r="F26" s="37">
        <f>+Demanda!F26*'Detalle compras'!$B46</f>
        <v>20568.117101730099</v>
      </c>
      <c r="G26" s="60">
        <f t="shared" si="4"/>
        <v>4.8710076806895597E-2</v>
      </c>
    </row>
    <row r="27" spans="1:7">
      <c r="A27" s="16" t="s">
        <v>58</v>
      </c>
      <c r="B27" s="37">
        <f>Demanda!B27*'Detalle compras'!$B47</f>
        <v>291945.71128378378</v>
      </c>
      <c r="C27" s="37">
        <f>Demanda!C27*'Detalle compras'!$B47</f>
        <v>291945.71128378378</v>
      </c>
      <c r="D27" s="37">
        <f>Demanda!D27*'Detalle compras'!$B47</f>
        <v>291945.71128378378</v>
      </c>
      <c r="E27" s="37">
        <f>Demanda!E27*'Detalle compras'!$B47</f>
        <v>291945.71128378378</v>
      </c>
      <c r="F27" s="37">
        <f>Demanda!F27*'Detalle compras'!$B47</f>
        <v>291945.71128378378</v>
      </c>
      <c r="G27" s="60">
        <f t="shared" si="4"/>
        <v>0.69139522834011347</v>
      </c>
    </row>
    <row r="28" spans="1:7">
      <c r="A28" s="16" t="s">
        <v>91</v>
      </c>
      <c r="B28" s="37">
        <f>Demanda!B28*'Detalle compras'!$B48</f>
        <v>6050.5018026465023</v>
      </c>
      <c r="C28" s="37">
        <f>Demanda!C28*'Detalle compras'!$B48</f>
        <v>6050.5018026465023</v>
      </c>
      <c r="D28" s="37">
        <f>Demanda!D28*'Detalle compras'!$B48</f>
        <v>6050.5018026465023</v>
      </c>
      <c r="E28" s="37">
        <f>Demanda!E28*'Detalle compras'!$B48</f>
        <v>6050.5018026465023</v>
      </c>
      <c r="F28" s="37">
        <f>Demanda!F28*'Detalle compras'!$B48</f>
        <v>6050.5018026465023</v>
      </c>
      <c r="G28" s="60">
        <f t="shared" si="4"/>
        <v>1.4328993075519821E-2</v>
      </c>
    </row>
    <row r="29" spans="1:7">
      <c r="A29" s="16" t="s">
        <v>51</v>
      </c>
      <c r="B29" s="37">
        <f>+Demanda!B18*'Detalle compras'!$B49</f>
        <v>8957.2982302491437</v>
      </c>
      <c r="C29" s="34">
        <f t="shared" ref="C29:F30" si="5">B29</f>
        <v>8957.2982302491437</v>
      </c>
      <c r="D29" s="34">
        <f t="shared" si="5"/>
        <v>8957.2982302491437</v>
      </c>
      <c r="E29" s="34">
        <f t="shared" si="5"/>
        <v>8957.2982302491437</v>
      </c>
      <c r="F29" s="34">
        <f t="shared" si="5"/>
        <v>8957.2982302491437</v>
      </c>
      <c r="G29" s="60">
        <f t="shared" si="4"/>
        <v>2.12129619167233E-2</v>
      </c>
    </row>
    <row r="30" spans="1:7">
      <c r="A30" s="16" t="s">
        <v>53</v>
      </c>
      <c r="B30" s="37">
        <f>Demanda!B30*'Detalle compras'!$B50</f>
        <v>12723.340933565218</v>
      </c>
      <c r="C30" s="34">
        <f t="shared" si="5"/>
        <v>12723.340933565218</v>
      </c>
      <c r="D30" s="34">
        <f t="shared" si="5"/>
        <v>12723.340933565218</v>
      </c>
      <c r="E30" s="34">
        <f t="shared" si="5"/>
        <v>12723.340933565218</v>
      </c>
      <c r="F30" s="34">
        <f t="shared" si="5"/>
        <v>12723.340933565218</v>
      </c>
      <c r="G30" s="60">
        <f t="shared" si="4"/>
        <v>3.0131825438807398E-2</v>
      </c>
    </row>
    <row r="31" spans="1:7" ht="15.75" thickBot="1">
      <c r="A31" s="61" t="s">
        <v>60</v>
      </c>
      <c r="B31" s="62">
        <f>+Demanda!B31*'Detalle compras'!$B51</f>
        <v>1760.5157575187163</v>
      </c>
      <c r="C31" s="62">
        <f>+Demanda!C31*'Detalle compras'!$B51</f>
        <v>1760.5157575187163</v>
      </c>
      <c r="D31" s="62">
        <f>+Demanda!D31*'Detalle compras'!$B51</f>
        <v>1760.5157575187163</v>
      </c>
      <c r="E31" s="62">
        <f>+Demanda!E31*'Detalle compras'!$B51</f>
        <v>1760.5157575187163</v>
      </c>
      <c r="F31" s="62">
        <f>+Demanda!F31*'Detalle compras'!$B51</f>
        <v>1760.5157575187163</v>
      </c>
      <c r="G31" s="64">
        <f t="shared" si="4"/>
        <v>4.169310070744071E-3</v>
      </c>
    </row>
    <row r="32" spans="1:7" ht="16.5" thickTop="1" thickBot="1">
      <c r="A32" s="65" t="s">
        <v>33</v>
      </c>
      <c r="B32" s="66">
        <f>SUM(B25:B31)</f>
        <v>360421.20716856403</v>
      </c>
      <c r="C32" s="67">
        <f>SUM(C25:C31)</f>
        <v>360421.20716856403</v>
      </c>
      <c r="D32" s="67">
        <f>SUM(D25:D31)</f>
        <v>360421.20716856403</v>
      </c>
      <c r="E32" s="67">
        <f>SUM(E25:E31)</f>
        <v>360421.20716856403</v>
      </c>
      <c r="F32" s="390">
        <f>SUM(F25:F31)</f>
        <v>360421.20716856403</v>
      </c>
      <c r="G32" s="69"/>
    </row>
    <row r="34" spans="1:2" ht="15.75" thickBot="1"/>
    <row r="35" spans="1:2" ht="15.75" thickBot="1">
      <c r="A35" s="55" t="s">
        <v>182</v>
      </c>
      <c r="B35" s="235" t="s">
        <v>267</v>
      </c>
    </row>
    <row r="36" spans="1:2" ht="15.75" thickTop="1">
      <c r="A36" s="21" t="s">
        <v>56</v>
      </c>
      <c r="B36" s="96">
        <f>Compras!B36</f>
        <v>12</v>
      </c>
    </row>
    <row r="37" spans="1:2">
      <c r="A37" s="16" t="s">
        <v>57</v>
      </c>
      <c r="B37" s="44">
        <f>Compras!B37</f>
        <v>11</v>
      </c>
    </row>
    <row r="38" spans="1:2">
      <c r="A38" s="16" t="s">
        <v>58</v>
      </c>
      <c r="B38" s="44">
        <f>Compras!B38</f>
        <v>50</v>
      </c>
    </row>
    <row r="39" spans="1:2">
      <c r="A39" s="16" t="s">
        <v>91</v>
      </c>
      <c r="B39" s="44">
        <f>Compras!B39</f>
        <v>7</v>
      </c>
    </row>
    <row r="40" spans="1:2">
      <c r="A40" s="16" t="s">
        <v>51</v>
      </c>
      <c r="B40" s="44">
        <f>Compras!B40</f>
        <v>12</v>
      </c>
    </row>
    <row r="41" spans="1:2">
      <c r="A41" s="16" t="s">
        <v>53</v>
      </c>
      <c r="B41" s="44">
        <f>Compras!B41</f>
        <v>14</v>
      </c>
    </row>
    <row r="42" spans="1:2" ht="15.75" thickBot="1">
      <c r="A42" s="18" t="s">
        <v>60</v>
      </c>
      <c r="B42" s="231">
        <f>Compras!B42</f>
        <v>4</v>
      </c>
    </row>
    <row r="43" spans="1:2" ht="15.75" thickBot="1"/>
    <row r="44" spans="1:2" ht="15.75" thickBot="1">
      <c r="A44" s="55" t="s">
        <v>182</v>
      </c>
      <c r="B44" s="235" t="s">
        <v>268</v>
      </c>
    </row>
    <row r="45" spans="1:2" ht="15.75" thickTop="1">
      <c r="A45" s="21" t="s">
        <v>56</v>
      </c>
      <c r="B45" s="96">
        <f>Compras!B45</f>
        <v>6.5</v>
      </c>
    </row>
    <row r="46" spans="1:2">
      <c r="A46" s="16" t="s">
        <v>57</v>
      </c>
      <c r="B46" s="44">
        <f>Compras!B46</f>
        <v>5</v>
      </c>
    </row>
    <row r="47" spans="1:2">
      <c r="A47" s="16" t="s">
        <v>58</v>
      </c>
      <c r="B47" s="44">
        <f>Compras!B47</f>
        <v>36</v>
      </c>
    </row>
    <row r="48" spans="1:2">
      <c r="A48" s="16" t="s">
        <v>91</v>
      </c>
      <c r="B48" s="44">
        <f>Compras!B48</f>
        <v>3.5</v>
      </c>
    </row>
    <row r="49" spans="1:2">
      <c r="A49" s="16" t="s">
        <v>51</v>
      </c>
      <c r="B49" s="44">
        <f>Compras!B49</f>
        <v>6</v>
      </c>
    </row>
    <row r="50" spans="1:2">
      <c r="A50" s="16" t="s">
        <v>53</v>
      </c>
      <c r="B50" s="44">
        <f>Compras!B50</f>
        <v>10</v>
      </c>
    </row>
    <row r="51" spans="1:2" ht="15.75" thickBot="1">
      <c r="A51" s="18" t="s">
        <v>60</v>
      </c>
      <c r="B51" s="231">
        <f>Compras!B51</f>
        <v>1.5</v>
      </c>
    </row>
    <row r="52" spans="1:2">
      <c r="A52" s="450"/>
      <c r="B52" s="451"/>
    </row>
    <row r="53" spans="1:2">
      <c r="A53" s="232"/>
      <c r="B53" s="232"/>
    </row>
    <row r="54" spans="1:2">
      <c r="A54" s="232"/>
      <c r="B54" s="232"/>
    </row>
  </sheetData>
  <mergeCells count="2">
    <mergeCell ref="A12:G12"/>
    <mergeCell ref="A23:G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3"/>
  <sheetViews>
    <sheetView topLeftCell="A11" workbookViewId="0">
      <selection activeCell="I20" sqref="I20:L31"/>
    </sheetView>
  </sheetViews>
  <sheetFormatPr defaultColWidth="11.42578125" defaultRowHeight="15"/>
  <cols>
    <col min="1" max="3" width="3.42578125" style="186" customWidth="1"/>
    <col min="4" max="4" width="25.85546875" style="186" bestFit="1" customWidth="1"/>
    <col min="5" max="6" width="12.7109375" style="186" bestFit="1" customWidth="1"/>
    <col min="7" max="7" width="12.7109375" style="186" customWidth="1"/>
    <col min="8" max="9" width="12.5703125" style="186" bestFit="1" customWidth="1"/>
    <col min="10" max="12" width="11.42578125" style="186"/>
    <col min="13" max="13" width="27.7109375" style="186" customWidth="1"/>
    <col min="14" max="14" width="10.5703125" style="186" bestFit="1" customWidth="1"/>
    <col min="15" max="15" width="11.5703125" style="186" bestFit="1" customWidth="1"/>
    <col min="16" max="16384" width="11.42578125" style="186"/>
  </cols>
  <sheetData>
    <row r="1" spans="1:15">
      <c r="A1" s="793" t="s">
        <v>178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1:15">
      <c r="A2" s="793"/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</row>
    <row r="3" spans="1:15" ht="15.75" thickBo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>
      <c r="A4" s="794" t="s">
        <v>123</v>
      </c>
      <c r="B4" s="795"/>
      <c r="C4" s="795"/>
      <c r="D4" s="796"/>
      <c r="E4" s="800" t="s">
        <v>124</v>
      </c>
      <c r="F4" s="801"/>
      <c r="G4" s="802"/>
      <c r="H4" s="155"/>
      <c r="I4" s="800" t="s">
        <v>125</v>
      </c>
      <c r="J4" s="801"/>
      <c r="K4" s="803" t="s">
        <v>126</v>
      </c>
    </row>
    <row r="5" spans="1:15" ht="39" thickBot="1">
      <c r="A5" s="797"/>
      <c r="B5" s="798"/>
      <c r="C5" s="798"/>
      <c r="D5" s="799"/>
      <c r="E5" s="183" t="s">
        <v>127</v>
      </c>
      <c r="F5" s="184" t="s">
        <v>128</v>
      </c>
      <c r="G5" s="156" t="s">
        <v>129</v>
      </c>
      <c r="H5" s="160"/>
      <c r="I5" s="183" t="s">
        <v>130</v>
      </c>
      <c r="J5" s="183" t="s">
        <v>131</v>
      </c>
      <c r="K5" s="804"/>
      <c r="M5" s="202"/>
      <c r="N5" s="201" t="s">
        <v>142</v>
      </c>
      <c r="O5" s="201" t="s">
        <v>143</v>
      </c>
    </row>
    <row r="6" spans="1:15">
      <c r="A6" s="157"/>
      <c r="B6" s="158"/>
      <c r="C6" s="158"/>
      <c r="D6" s="158"/>
      <c r="E6" s="159"/>
      <c r="F6" s="160"/>
      <c r="G6" s="161"/>
      <c r="H6" s="162"/>
      <c r="I6" s="162"/>
      <c r="J6" s="163"/>
      <c r="K6" s="164"/>
      <c r="M6" s="202" t="s">
        <v>141</v>
      </c>
      <c r="N6" s="203">
        <f>(E17+F17)+((I17+J17)/12)</f>
        <v>6785.1610000000001</v>
      </c>
      <c r="O6" s="203">
        <f>N6*12</f>
        <v>81421.932000000001</v>
      </c>
    </row>
    <row r="7" spans="1:15">
      <c r="A7" s="165" t="s">
        <v>132</v>
      </c>
      <c r="B7" s="166"/>
      <c r="C7" s="166"/>
      <c r="D7" s="166"/>
      <c r="E7" s="159">
        <v>1000</v>
      </c>
      <c r="F7" s="160">
        <f>E7*(0.1115)</f>
        <v>111.5</v>
      </c>
      <c r="G7" s="161">
        <f>(E7+F7)*12</f>
        <v>13338</v>
      </c>
      <c r="H7" s="162"/>
      <c r="I7" s="167">
        <f>E7</f>
        <v>1000</v>
      </c>
      <c r="J7" s="168">
        <v>292</v>
      </c>
      <c r="K7" s="169">
        <f>G7+I7+J7</f>
        <v>14630</v>
      </c>
      <c r="M7" s="202" t="s">
        <v>144</v>
      </c>
      <c r="N7" s="203">
        <v>1300</v>
      </c>
      <c r="O7" s="203">
        <f>N7*12</f>
        <v>15600</v>
      </c>
    </row>
    <row r="8" spans="1:15" ht="15.75">
      <c r="A8" s="157"/>
      <c r="B8" s="166" t="s">
        <v>133</v>
      </c>
      <c r="C8" s="166"/>
      <c r="D8" s="166"/>
      <c r="E8" s="159">
        <v>600</v>
      </c>
      <c r="F8" s="160">
        <f t="shared" ref="F8:F16" si="0">E8*(0.1115)</f>
        <v>66.900000000000006</v>
      </c>
      <c r="G8" s="161">
        <f t="shared" ref="G8:G15" si="1">(E8+F8)*12</f>
        <v>8002.7999999999993</v>
      </c>
      <c r="H8" s="162"/>
      <c r="I8" s="167">
        <f t="shared" ref="I8:I16" si="2">E8</f>
        <v>600</v>
      </c>
      <c r="J8" s="168">
        <v>292</v>
      </c>
      <c r="K8" s="169">
        <f t="shared" ref="K8:K15" si="3">G8+I8+J8</f>
        <v>8894.7999999999993</v>
      </c>
      <c r="M8" s="204" t="s">
        <v>145</v>
      </c>
      <c r="N8" s="205">
        <v>45</v>
      </c>
      <c r="O8" s="203">
        <f t="shared" ref="O8:O12" si="4">N8*12</f>
        <v>540</v>
      </c>
    </row>
    <row r="9" spans="1:15" ht="15.75">
      <c r="A9" s="157"/>
      <c r="B9" s="166"/>
      <c r="C9" s="166" t="s">
        <v>134</v>
      </c>
      <c r="D9" s="166"/>
      <c r="E9" s="159">
        <v>350</v>
      </c>
      <c r="F9" s="160">
        <f t="shared" si="0"/>
        <v>39.024999999999999</v>
      </c>
      <c r="G9" s="161">
        <f t="shared" si="1"/>
        <v>4668.2999999999993</v>
      </c>
      <c r="H9" s="162"/>
      <c r="I9" s="167">
        <f t="shared" si="2"/>
        <v>350</v>
      </c>
      <c r="J9" s="168">
        <v>292</v>
      </c>
      <c r="K9" s="169">
        <f t="shared" si="3"/>
        <v>5310.2999999999993</v>
      </c>
      <c r="M9" s="204" t="s">
        <v>146</v>
      </c>
      <c r="N9" s="205">
        <v>50</v>
      </c>
      <c r="O9" s="203">
        <f t="shared" si="4"/>
        <v>600</v>
      </c>
    </row>
    <row r="10" spans="1:15" ht="15.75">
      <c r="A10" s="165"/>
      <c r="B10" s="166"/>
      <c r="C10" s="166" t="s">
        <v>135</v>
      </c>
      <c r="D10" s="166"/>
      <c r="E10" s="159">
        <v>500</v>
      </c>
      <c r="F10" s="160">
        <f t="shared" si="0"/>
        <v>55.75</v>
      </c>
      <c r="G10" s="161">
        <f t="shared" si="1"/>
        <v>6669</v>
      </c>
      <c r="H10" s="162"/>
      <c r="I10" s="167">
        <f t="shared" si="2"/>
        <v>500</v>
      </c>
      <c r="J10" s="168">
        <v>292</v>
      </c>
      <c r="K10" s="169">
        <f t="shared" si="3"/>
        <v>7461</v>
      </c>
      <c r="M10" s="204" t="s">
        <v>147</v>
      </c>
      <c r="N10" s="205">
        <v>30</v>
      </c>
      <c r="O10" s="203">
        <f t="shared" si="4"/>
        <v>360</v>
      </c>
    </row>
    <row r="11" spans="1:15" ht="15.75">
      <c r="A11" s="165"/>
      <c r="B11" s="166"/>
      <c r="C11" s="166"/>
      <c r="D11" s="166" t="s">
        <v>136</v>
      </c>
      <c r="E11" s="159">
        <v>292</v>
      </c>
      <c r="F11" s="160">
        <f t="shared" si="0"/>
        <v>32.558</v>
      </c>
      <c r="G11" s="161">
        <f t="shared" si="1"/>
        <v>3894.6959999999999</v>
      </c>
      <c r="H11" s="162"/>
      <c r="I11" s="167">
        <f t="shared" si="2"/>
        <v>292</v>
      </c>
      <c r="J11" s="168">
        <v>292</v>
      </c>
      <c r="K11" s="169">
        <f t="shared" si="3"/>
        <v>4478.6959999999999</v>
      </c>
      <c r="M11" s="204" t="s">
        <v>148</v>
      </c>
      <c r="N11" s="205">
        <v>25</v>
      </c>
      <c r="O11" s="203">
        <f t="shared" si="4"/>
        <v>300</v>
      </c>
    </row>
    <row r="12" spans="1:15" ht="15.75">
      <c r="A12" s="165"/>
      <c r="B12" s="166" t="s">
        <v>137</v>
      </c>
      <c r="C12" s="166"/>
      <c r="D12" s="166"/>
      <c r="E12" s="159">
        <v>600</v>
      </c>
      <c r="F12" s="160">
        <f t="shared" si="0"/>
        <v>66.900000000000006</v>
      </c>
      <c r="G12" s="161">
        <f t="shared" si="1"/>
        <v>8002.7999999999993</v>
      </c>
      <c r="H12" s="162"/>
      <c r="I12" s="167">
        <f t="shared" si="2"/>
        <v>600</v>
      </c>
      <c r="J12" s="168">
        <v>292</v>
      </c>
      <c r="K12" s="169">
        <f t="shared" si="3"/>
        <v>8894.7999999999993</v>
      </c>
      <c r="M12" s="204" t="s">
        <v>149</v>
      </c>
      <c r="N12" s="205">
        <v>30</v>
      </c>
      <c r="O12" s="203">
        <f t="shared" si="4"/>
        <v>360</v>
      </c>
    </row>
    <row r="13" spans="1:15">
      <c r="A13" s="165"/>
      <c r="B13" s="166"/>
      <c r="C13" s="160"/>
      <c r="D13" s="166" t="s">
        <v>138</v>
      </c>
      <c r="E13" s="159">
        <v>320</v>
      </c>
      <c r="F13" s="160">
        <f t="shared" si="0"/>
        <v>35.68</v>
      </c>
      <c r="G13" s="161">
        <f t="shared" si="1"/>
        <v>4268.16</v>
      </c>
      <c r="H13" s="162"/>
      <c r="I13" s="167">
        <f t="shared" si="2"/>
        <v>320</v>
      </c>
      <c r="J13" s="168">
        <v>292</v>
      </c>
      <c r="K13" s="169">
        <f t="shared" si="3"/>
        <v>4880.16</v>
      </c>
    </row>
    <row r="14" spans="1:15">
      <c r="A14" s="165"/>
      <c r="B14" s="166"/>
      <c r="C14" s="160"/>
      <c r="D14" s="166" t="s">
        <v>359</v>
      </c>
      <c r="E14" s="159">
        <f>292*2</f>
        <v>584</v>
      </c>
      <c r="F14" s="160">
        <f t="shared" si="0"/>
        <v>65.116</v>
      </c>
      <c r="G14" s="161">
        <f t="shared" si="1"/>
        <v>7789.3919999999998</v>
      </c>
      <c r="H14" s="162"/>
      <c r="I14" s="167">
        <f t="shared" si="2"/>
        <v>584</v>
      </c>
      <c r="J14" s="168">
        <f>292*2</f>
        <v>584</v>
      </c>
      <c r="K14" s="169">
        <f t="shared" si="3"/>
        <v>8957.3919999999998</v>
      </c>
    </row>
    <row r="15" spans="1:15">
      <c r="A15" s="165"/>
      <c r="B15" s="166"/>
      <c r="C15" s="160"/>
      <c r="D15" s="166" t="s">
        <v>139</v>
      </c>
      <c r="E15" s="159">
        <f>292*3</f>
        <v>876</v>
      </c>
      <c r="F15" s="160">
        <f t="shared" si="0"/>
        <v>97.674000000000007</v>
      </c>
      <c r="G15" s="161">
        <f t="shared" si="1"/>
        <v>11684.088</v>
      </c>
      <c r="H15" s="162"/>
      <c r="I15" s="167">
        <f t="shared" si="2"/>
        <v>876</v>
      </c>
      <c r="J15" s="168">
        <v>876</v>
      </c>
      <c r="K15" s="169">
        <f t="shared" si="3"/>
        <v>13436.088</v>
      </c>
    </row>
    <row r="16" spans="1:15" ht="15.75" thickBot="1">
      <c r="A16" s="170"/>
      <c r="B16" s="171"/>
      <c r="C16" s="172"/>
      <c r="D16" s="171" t="s">
        <v>140</v>
      </c>
      <c r="E16" s="173">
        <v>292</v>
      </c>
      <c r="F16" s="172">
        <f t="shared" si="0"/>
        <v>32.558</v>
      </c>
      <c r="G16" s="174">
        <f>(E16+F16)*12</f>
        <v>3894.6959999999999</v>
      </c>
      <c r="H16" s="162"/>
      <c r="I16" s="175">
        <f t="shared" si="2"/>
        <v>292</v>
      </c>
      <c r="J16" s="176">
        <v>292</v>
      </c>
      <c r="K16" s="177">
        <f>G16+I16+J16</f>
        <v>4478.6959999999999</v>
      </c>
    </row>
    <row r="17" spans="1:14" ht="16.5" thickTop="1" thickBot="1">
      <c r="A17" s="805" t="s">
        <v>33</v>
      </c>
      <c r="B17" s="806"/>
      <c r="C17" s="806"/>
      <c r="D17" s="807"/>
      <c r="E17" s="178">
        <f>SUM(E7:E16)</f>
        <v>5414</v>
      </c>
      <c r="F17" s="179">
        <f t="shared" ref="F17:J17" si="5">SUM(F7:F16)</f>
        <v>603.66100000000006</v>
      </c>
      <c r="G17" s="180">
        <f t="shared" si="5"/>
        <v>72211.932000000001</v>
      </c>
      <c r="H17" s="179"/>
      <c r="I17" s="178">
        <f t="shared" si="5"/>
        <v>5414</v>
      </c>
      <c r="J17" s="181">
        <f t="shared" si="5"/>
        <v>3796</v>
      </c>
      <c r="K17" s="182">
        <f>SUM(K7:K16)</f>
        <v>81421.932000000001</v>
      </c>
    </row>
    <row r="19" spans="1:14" ht="15.75" thickBot="1"/>
    <row r="20" spans="1:14" ht="15.75" thickBot="1">
      <c r="D20" s="99" t="s">
        <v>150</v>
      </c>
      <c r="E20" s="192" t="s">
        <v>142</v>
      </c>
      <c r="F20" s="193" t="s">
        <v>143</v>
      </c>
      <c r="I20" s="808" t="s">
        <v>282</v>
      </c>
      <c r="J20" s="809"/>
      <c r="K20" s="809"/>
      <c r="L20" s="810"/>
    </row>
    <row r="21" spans="1:14" ht="15.75" thickTop="1">
      <c r="D21" s="54" t="str">
        <f>M6</f>
        <v>Sueldos y Salarios</v>
      </c>
      <c r="E21" s="190">
        <f t="shared" ref="E21:F21" si="6">N6</f>
        <v>6785.1610000000001</v>
      </c>
      <c r="F21" s="194">
        <f t="shared" si="6"/>
        <v>81421.932000000001</v>
      </c>
      <c r="I21" s="813" t="s">
        <v>361</v>
      </c>
      <c r="J21" s="814"/>
      <c r="K21" s="815"/>
      <c r="L21" s="584">
        <v>3900</v>
      </c>
      <c r="M21" s="432"/>
      <c r="N21" s="432"/>
    </row>
    <row r="22" spans="1:14">
      <c r="D22" s="42" t="str">
        <f t="shared" ref="D22" si="7">M7</f>
        <v>Arriendo</v>
      </c>
      <c r="E22" s="189">
        <f t="shared" ref="E22" si="8">N7</f>
        <v>1300</v>
      </c>
      <c r="F22" s="195">
        <f t="shared" ref="F22" si="9">O7</f>
        <v>15600</v>
      </c>
      <c r="I22" s="789" t="s">
        <v>362</v>
      </c>
      <c r="J22" s="790"/>
      <c r="K22" s="790"/>
      <c r="L22" s="581">
        <v>2500</v>
      </c>
      <c r="M22" s="432"/>
      <c r="N22" s="432"/>
    </row>
    <row r="23" spans="1:14">
      <c r="D23" s="42" t="s">
        <v>97</v>
      </c>
      <c r="E23" s="189">
        <f>N8+N9+N10+N11</f>
        <v>150</v>
      </c>
      <c r="F23" s="195">
        <f>O8+O9+O10+O11</f>
        <v>1800</v>
      </c>
      <c r="I23" s="789" t="s">
        <v>363</v>
      </c>
      <c r="J23" s="790"/>
      <c r="K23" s="790"/>
      <c r="L23" s="581">
        <v>1300</v>
      </c>
      <c r="M23" s="432"/>
      <c r="N23" s="432"/>
    </row>
    <row r="24" spans="1:14">
      <c r="D24" s="42" t="str">
        <f>M12</f>
        <v>Suministros de Oficina</v>
      </c>
      <c r="E24" s="189">
        <f>N12</f>
        <v>30</v>
      </c>
      <c r="F24" s="195">
        <f>O12</f>
        <v>360</v>
      </c>
      <c r="I24" s="789" t="s">
        <v>364</v>
      </c>
      <c r="J24" s="790"/>
      <c r="K24" s="790"/>
      <c r="L24" s="581">
        <v>1400</v>
      </c>
      <c r="M24" s="432"/>
      <c r="N24" s="432"/>
    </row>
    <row r="25" spans="1:14">
      <c r="D25" s="456" t="s">
        <v>360</v>
      </c>
      <c r="E25" s="457">
        <v>660</v>
      </c>
      <c r="F25" s="458">
        <f>E25*12</f>
        <v>7920</v>
      </c>
      <c r="I25" s="789" t="s">
        <v>365</v>
      </c>
      <c r="J25" s="790"/>
      <c r="K25" s="790"/>
      <c r="L25" s="581">
        <v>2400</v>
      </c>
      <c r="M25" s="432"/>
      <c r="N25" s="432"/>
    </row>
    <row r="26" spans="1:14" ht="15.75" thickBot="1">
      <c r="D26" s="196" t="s">
        <v>151</v>
      </c>
      <c r="E26" s="191"/>
      <c r="F26" s="197"/>
      <c r="I26" s="789" t="s">
        <v>366</v>
      </c>
      <c r="J26" s="790"/>
      <c r="K26" s="790"/>
      <c r="L26" s="581">
        <v>5000</v>
      </c>
      <c r="M26" s="432"/>
      <c r="N26" s="432"/>
    </row>
    <row r="27" spans="1:14" ht="16.5" thickTop="1" thickBot="1">
      <c r="D27" s="198" t="s">
        <v>33</v>
      </c>
      <c r="E27" s="199">
        <f>SUM(E21:E26)</f>
        <v>8925.1610000000001</v>
      </c>
      <c r="F27" s="200">
        <f>SUM(F21:F26)</f>
        <v>107101.932</v>
      </c>
      <c r="I27" s="789" t="s">
        <v>319</v>
      </c>
      <c r="J27" s="790"/>
      <c r="K27" s="790"/>
      <c r="L27" s="581">
        <v>6600</v>
      </c>
      <c r="M27" s="432"/>
      <c r="N27" s="432"/>
    </row>
    <row r="28" spans="1:14">
      <c r="D28" s="452"/>
      <c r="E28" s="453"/>
      <c r="F28" s="453"/>
      <c r="I28" s="789" t="s">
        <v>367</v>
      </c>
      <c r="J28" s="790"/>
      <c r="K28" s="790"/>
      <c r="L28" s="581">
        <v>25000</v>
      </c>
      <c r="M28" s="432"/>
      <c r="N28" s="432"/>
    </row>
    <row r="29" spans="1:14">
      <c r="I29" s="789" t="s">
        <v>368</v>
      </c>
      <c r="J29" s="790"/>
      <c r="K29" s="790"/>
      <c r="L29" s="581">
        <v>1000</v>
      </c>
    </row>
    <row r="30" spans="1:14" ht="15.75" thickBot="1">
      <c r="I30" s="791" t="s">
        <v>370</v>
      </c>
      <c r="J30" s="792"/>
      <c r="K30" s="792"/>
      <c r="L30" s="582">
        <v>1000</v>
      </c>
    </row>
    <row r="31" spans="1:14" ht="16.5" thickTop="1" thickBot="1">
      <c r="I31" s="811" t="s">
        <v>33</v>
      </c>
      <c r="J31" s="812"/>
      <c r="K31" s="812"/>
      <c r="L31" s="583">
        <f>SUM(L21:L30)</f>
        <v>50100</v>
      </c>
    </row>
    <row r="33" spans="1:15">
      <c r="A33" s="793" t="s">
        <v>179</v>
      </c>
      <c r="B33" s="793"/>
      <c r="C33" s="793"/>
      <c r="D33" s="793"/>
      <c r="E33" s="793"/>
      <c r="F33" s="793"/>
      <c r="G33" s="793"/>
      <c r="H33" s="793"/>
      <c r="I33" s="793"/>
      <c r="J33" s="793"/>
      <c r="K33" s="793"/>
      <c r="L33" s="793"/>
      <c r="M33" s="793"/>
      <c r="N33" s="793"/>
      <c r="O33" s="793"/>
    </row>
    <row r="34" spans="1:15">
      <c r="A34" s="793"/>
      <c r="B34" s="793"/>
      <c r="C34" s="793"/>
      <c r="D34" s="793"/>
      <c r="E34" s="793"/>
      <c r="F34" s="793"/>
      <c r="G34" s="793"/>
      <c r="H34" s="793"/>
      <c r="I34" s="793"/>
      <c r="J34" s="793"/>
      <c r="K34" s="793"/>
      <c r="L34" s="793"/>
      <c r="M34" s="793"/>
      <c r="N34" s="793"/>
      <c r="O34" s="793"/>
    </row>
    <row r="36" spans="1:15" ht="15.75" thickBot="1"/>
    <row r="37" spans="1:15" ht="15.75" thickBot="1">
      <c r="D37" s="512" t="s">
        <v>150</v>
      </c>
      <c r="E37" s="513" t="s">
        <v>5</v>
      </c>
      <c r="F37" s="513" t="s">
        <v>6</v>
      </c>
      <c r="G37" s="513" t="s">
        <v>7</v>
      </c>
      <c r="H37" s="513" t="s">
        <v>8</v>
      </c>
      <c r="I37" s="514" t="s">
        <v>9</v>
      </c>
    </row>
    <row r="38" spans="1:15" ht="15.75" thickTop="1">
      <c r="D38" s="54" t="str">
        <f>D21</f>
        <v>Sueldos y Salarios</v>
      </c>
      <c r="E38" s="462">
        <f>F21</f>
        <v>81421.932000000001</v>
      </c>
      <c r="F38" s="462">
        <f>(E38*1.05)+(292*1.05*13)</f>
        <v>89478.828600000008</v>
      </c>
      <c r="G38" s="462">
        <f>(F38*1.05)+(K16*(1.05^2))</f>
        <v>98890.532370000015</v>
      </c>
      <c r="H38" s="462">
        <f>(G38*1.05)+(292*(1.05^3))</f>
        <v>104173.08548850003</v>
      </c>
      <c r="I38" s="463">
        <f>H38*1.05</f>
        <v>109381.73976292503</v>
      </c>
    </row>
    <row r="39" spans="1:15">
      <c r="D39" s="42" t="str">
        <f t="shared" ref="D39:D42" si="10">D22</f>
        <v>Arriendo</v>
      </c>
      <c r="E39" s="459">
        <f t="shared" ref="E39:E42" si="11">F22</f>
        <v>15600</v>
      </c>
      <c r="F39" s="459">
        <f>E39*1.05</f>
        <v>16380</v>
      </c>
      <c r="G39" s="459">
        <f t="shared" ref="G39:I39" si="12">F39*1.05</f>
        <v>17199</v>
      </c>
      <c r="H39" s="459">
        <f t="shared" si="12"/>
        <v>18058.95</v>
      </c>
      <c r="I39" s="464">
        <f t="shared" si="12"/>
        <v>18961.897500000003</v>
      </c>
    </row>
    <row r="40" spans="1:15">
      <c r="D40" s="42" t="str">
        <f t="shared" si="10"/>
        <v>Servicios Basicos</v>
      </c>
      <c r="E40" s="459">
        <f t="shared" si="11"/>
        <v>1800</v>
      </c>
      <c r="F40" s="459">
        <f t="shared" ref="F40:I42" si="13">E40*1.05</f>
        <v>1890</v>
      </c>
      <c r="G40" s="459">
        <f t="shared" si="13"/>
        <v>1984.5</v>
      </c>
      <c r="H40" s="459">
        <f t="shared" si="13"/>
        <v>2083.7249999999999</v>
      </c>
      <c r="I40" s="464">
        <f t="shared" si="13"/>
        <v>2187.9112500000001</v>
      </c>
    </row>
    <row r="41" spans="1:15">
      <c r="D41" s="42" t="str">
        <f t="shared" si="10"/>
        <v>Suministros de Oficina</v>
      </c>
      <c r="E41" s="459">
        <f t="shared" si="11"/>
        <v>360</v>
      </c>
      <c r="F41" s="459">
        <f t="shared" si="13"/>
        <v>378</v>
      </c>
      <c r="G41" s="459">
        <f t="shared" si="13"/>
        <v>396.90000000000003</v>
      </c>
      <c r="H41" s="459">
        <f t="shared" si="13"/>
        <v>416.74500000000006</v>
      </c>
      <c r="I41" s="464">
        <f t="shared" si="13"/>
        <v>437.5822500000001</v>
      </c>
    </row>
    <row r="42" spans="1:15" ht="15.75" thickBot="1">
      <c r="D42" s="47" t="str">
        <f t="shared" si="10"/>
        <v>Marketing</v>
      </c>
      <c r="E42" s="460">
        <f t="shared" si="11"/>
        <v>7920</v>
      </c>
      <c r="F42" s="460">
        <f t="shared" si="13"/>
        <v>8316</v>
      </c>
      <c r="G42" s="460">
        <f t="shared" si="13"/>
        <v>8731.8000000000011</v>
      </c>
      <c r="H42" s="460">
        <f t="shared" si="13"/>
        <v>9168.3900000000012</v>
      </c>
      <c r="I42" s="465">
        <f t="shared" si="13"/>
        <v>9626.8095000000012</v>
      </c>
    </row>
    <row r="43" spans="1:15" ht="16.5" thickTop="1" thickBot="1">
      <c r="D43" s="198" t="s">
        <v>33</v>
      </c>
      <c r="E43" s="466">
        <f>SUM(E38:E42)</f>
        <v>107101.932</v>
      </c>
      <c r="F43" s="466">
        <f>SUM(F38:F42)</f>
        <v>116442.82860000001</v>
      </c>
      <c r="G43" s="466">
        <f>SUM(G38:G42)</f>
        <v>127202.73237000001</v>
      </c>
      <c r="H43" s="466">
        <f>SUM(H38:H42)</f>
        <v>133900.89548850004</v>
      </c>
      <c r="I43" s="467">
        <f>SUM(I38:I42)</f>
        <v>140595.94026292505</v>
      </c>
    </row>
  </sheetData>
  <mergeCells count="19">
    <mergeCell ref="I30:K30"/>
    <mergeCell ref="A1:O2"/>
    <mergeCell ref="A33:O34"/>
    <mergeCell ref="A4:D5"/>
    <mergeCell ref="E4:G4"/>
    <mergeCell ref="I4:J4"/>
    <mergeCell ref="K4:K5"/>
    <mergeCell ref="A17:D17"/>
    <mergeCell ref="I20:L20"/>
    <mergeCell ref="I31:K31"/>
    <mergeCell ref="I21:K21"/>
    <mergeCell ref="I22:K22"/>
    <mergeCell ref="I23:K23"/>
    <mergeCell ref="I24:K24"/>
    <mergeCell ref="I25:K25"/>
    <mergeCell ref="I26:K26"/>
    <mergeCell ref="I29:K29"/>
    <mergeCell ref="I27:K27"/>
    <mergeCell ref="I28:K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19"/>
  <sheetViews>
    <sheetView workbookViewId="0">
      <selection activeCell="I3" sqref="I3"/>
    </sheetView>
  </sheetViews>
  <sheetFormatPr defaultColWidth="11.42578125" defaultRowHeight="15"/>
  <cols>
    <col min="1" max="1" width="5.42578125" style="12" customWidth="1"/>
    <col min="2" max="2" width="12.42578125" style="12" bestFit="1" customWidth="1"/>
    <col min="3" max="3" width="12.5703125" style="12" bestFit="1" customWidth="1"/>
    <col min="4" max="4" width="5.42578125" style="12" customWidth="1"/>
    <col min="5" max="5" width="15.5703125" style="12" bestFit="1" customWidth="1"/>
    <col min="6" max="6" width="12.5703125" style="12" bestFit="1" customWidth="1"/>
    <col min="7" max="7" width="5.42578125" style="12" customWidth="1"/>
    <col min="8" max="8" width="14.140625" style="12" bestFit="1" customWidth="1"/>
    <col min="9" max="9" width="12.5703125" style="12" bestFit="1" customWidth="1"/>
    <col min="10" max="10" width="5.42578125" style="12" customWidth="1"/>
    <col min="11" max="11" width="14.42578125" style="12" customWidth="1"/>
    <col min="12" max="12" width="12.5703125" style="12" bestFit="1" customWidth="1"/>
    <col min="13" max="16384" width="11.42578125" style="12"/>
  </cols>
  <sheetData>
    <row r="1" spans="2:12" ht="15.75" thickBot="1"/>
    <row r="2" spans="2:12" ht="15.75" thickBot="1">
      <c r="B2" s="816" t="s">
        <v>75</v>
      </c>
      <c r="C2" s="817"/>
      <c r="E2" s="816" t="s">
        <v>78</v>
      </c>
      <c r="F2" s="817"/>
      <c r="H2" s="816" t="s">
        <v>76</v>
      </c>
      <c r="I2" s="817"/>
    </row>
    <row r="3" spans="2:12" ht="15.75" thickTop="1">
      <c r="B3" s="518" t="s">
        <v>61</v>
      </c>
      <c r="C3" s="519">
        <f>Tamano!I3</f>
        <v>0.11081330703955873</v>
      </c>
      <c r="E3" s="518" t="s">
        <v>61</v>
      </c>
      <c r="F3" s="519">
        <f>Tamano!I4</f>
        <v>0.16186186780586442</v>
      </c>
      <c r="H3" s="518" t="s">
        <v>61</v>
      </c>
      <c r="I3" s="519">
        <f>Tamano!I5</f>
        <v>0.31991903434267077</v>
      </c>
    </row>
    <row r="4" spans="2:12">
      <c r="B4" s="520" t="s">
        <v>83</v>
      </c>
      <c r="C4" s="344">
        <f>$E$19</f>
        <v>107101.932</v>
      </c>
      <c r="E4" s="520" t="s">
        <v>83</v>
      </c>
      <c r="F4" s="344">
        <f>$E$19</f>
        <v>107101.932</v>
      </c>
      <c r="H4" s="520" t="s">
        <v>83</v>
      </c>
      <c r="I4" s="344">
        <f>$E$19</f>
        <v>107101.932</v>
      </c>
    </row>
    <row r="5" spans="2:12">
      <c r="B5" s="520" t="s">
        <v>153</v>
      </c>
      <c r="C5" s="521">
        <v>16</v>
      </c>
      <c r="E5" s="520" t="s">
        <v>153</v>
      </c>
      <c r="F5" s="521">
        <v>15</v>
      </c>
      <c r="H5" s="520" t="s">
        <v>153</v>
      </c>
      <c r="I5" s="521">
        <v>30</v>
      </c>
    </row>
    <row r="6" spans="2:12" ht="15.75" thickBot="1">
      <c r="B6" s="522" t="s">
        <v>154</v>
      </c>
      <c r="C6" s="523"/>
      <c r="E6" s="522" t="s">
        <v>154</v>
      </c>
      <c r="F6" s="523"/>
      <c r="H6" s="522" t="s">
        <v>154</v>
      </c>
      <c r="I6" s="523"/>
    </row>
    <row r="7" spans="2:12" ht="16.5" thickTop="1" thickBot="1">
      <c r="B7" s="524" t="s">
        <v>155</v>
      </c>
      <c r="C7" s="525">
        <f>C4*C3/(C5-C6)</f>
        <v>741.76995470287125</v>
      </c>
      <c r="E7" s="524" t="s">
        <v>155</v>
      </c>
      <c r="F7" s="525">
        <f>F4*F3/(F5-F6)</f>
        <v>1155.7145839424454</v>
      </c>
      <c r="H7" s="524" t="s">
        <v>155</v>
      </c>
      <c r="I7" s="525">
        <f>I4*I3/(I5-I6)</f>
        <v>1142.1315553891463</v>
      </c>
    </row>
    <row r="9" spans="2:12" ht="15.75" thickBot="1"/>
    <row r="10" spans="2:12" ht="15.75" thickBot="1">
      <c r="B10" s="816" t="s">
        <v>152</v>
      </c>
      <c r="C10" s="817"/>
      <c r="E10" s="816" t="s">
        <v>51</v>
      </c>
      <c r="F10" s="817"/>
      <c r="H10" s="816" t="s">
        <v>53</v>
      </c>
      <c r="I10" s="817"/>
      <c r="K10" s="816" t="s">
        <v>79</v>
      </c>
      <c r="L10" s="817"/>
    </row>
    <row r="11" spans="2:12" ht="15.75" thickTop="1">
      <c r="B11" s="518" t="s">
        <v>61</v>
      </c>
      <c r="C11" s="519">
        <f>Tamano!I6</f>
        <v>0.1217854612221608</v>
      </c>
      <c r="E11" s="518" t="s">
        <v>61</v>
      </c>
      <c r="F11" s="519">
        <f>Tamano!I7</f>
        <v>0.12038896892207765</v>
      </c>
      <c r="H11" s="518" t="s">
        <v>61</v>
      </c>
      <c r="I11" s="519">
        <f>Tamano!I8</f>
        <v>9.3826278270231322E-2</v>
      </c>
      <c r="K11" s="518" t="s">
        <v>61</v>
      </c>
      <c r="L11" s="519">
        <f>Tamano!I9</f>
        <v>7.1405082397436315E-2</v>
      </c>
    </row>
    <row r="12" spans="2:12">
      <c r="B12" s="520" t="s">
        <v>83</v>
      </c>
      <c r="C12" s="344">
        <f>$E$19</f>
        <v>107101.932</v>
      </c>
      <c r="E12" s="520" t="s">
        <v>83</v>
      </c>
      <c r="F12" s="344">
        <f>$E$19</f>
        <v>107101.932</v>
      </c>
      <c r="H12" s="520" t="s">
        <v>83</v>
      </c>
      <c r="I12" s="344">
        <f>$E$19</f>
        <v>107101.932</v>
      </c>
      <c r="K12" s="520" t="s">
        <v>83</v>
      </c>
      <c r="L12" s="344">
        <f>$E$19</f>
        <v>107101.932</v>
      </c>
    </row>
    <row r="13" spans="2:12">
      <c r="B13" s="520" t="s">
        <v>153</v>
      </c>
      <c r="C13" s="521">
        <v>10</v>
      </c>
      <c r="E13" s="520" t="s">
        <v>153</v>
      </c>
      <c r="F13" s="521">
        <v>16</v>
      </c>
      <c r="H13" s="520" t="s">
        <v>153</v>
      </c>
      <c r="I13" s="521">
        <v>18</v>
      </c>
      <c r="K13" s="520" t="s">
        <v>153</v>
      </c>
      <c r="L13" s="521">
        <v>5</v>
      </c>
    </row>
    <row r="14" spans="2:12" ht="15.75" thickBot="1">
      <c r="B14" s="522" t="s">
        <v>154</v>
      </c>
      <c r="C14" s="523"/>
      <c r="E14" s="522" t="s">
        <v>154</v>
      </c>
      <c r="F14" s="523"/>
      <c r="H14" s="522" t="s">
        <v>154</v>
      </c>
      <c r="I14" s="523"/>
      <c r="K14" s="522" t="s">
        <v>154</v>
      </c>
      <c r="L14" s="523"/>
    </row>
    <row r="15" spans="2:12" ht="16.5" thickTop="1" thickBot="1">
      <c r="B15" s="524" t="s">
        <v>155</v>
      </c>
      <c r="C15" s="525">
        <f>C12*C11/(C13-C14)</f>
        <v>1304.3458186404503</v>
      </c>
      <c r="E15" s="524" t="s">
        <v>155</v>
      </c>
      <c r="F15" s="525">
        <f>F12*F11/(F13-F14)</f>
        <v>805.8681976901546</v>
      </c>
      <c r="H15" s="524" t="s">
        <v>155</v>
      </c>
      <c r="I15" s="525">
        <f>I12*I11/(I13-I14)</f>
        <v>558.27642639507735</v>
      </c>
      <c r="K15" s="524" t="s">
        <v>155</v>
      </c>
      <c r="L15" s="525">
        <f>L12*L11/(L13-L14)</f>
        <v>1529.5244558769241</v>
      </c>
    </row>
    <row r="19" spans="2:5">
      <c r="B19" s="516" t="s">
        <v>156</v>
      </c>
      <c r="E19" s="485">
        <f>Costos!F27</f>
        <v>107101.932</v>
      </c>
    </row>
  </sheetData>
  <mergeCells count="7">
    <mergeCell ref="K10:L10"/>
    <mergeCell ref="B2:C2"/>
    <mergeCell ref="E2:F2"/>
    <mergeCell ref="H2:I2"/>
    <mergeCell ref="B10:C10"/>
    <mergeCell ref="E10:F10"/>
    <mergeCell ref="H10:I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7"/>
  <sheetViews>
    <sheetView topLeftCell="A100" workbookViewId="0">
      <selection activeCell="D117" sqref="D117"/>
    </sheetView>
  </sheetViews>
  <sheetFormatPr defaultColWidth="11.42578125" defaultRowHeight="15"/>
  <cols>
    <col min="1" max="1" width="5" customWidth="1"/>
    <col min="2" max="2" width="40.85546875" customWidth="1"/>
    <col min="3" max="3" width="13.42578125" customWidth="1"/>
    <col min="4" max="4" width="14.42578125" customWidth="1"/>
    <col min="5" max="5" width="13" customWidth="1"/>
  </cols>
  <sheetData>
    <row r="1" spans="1:11">
      <c r="A1" s="826" t="s">
        <v>258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</row>
    <row r="2" spans="1:11" ht="15.75" thickBo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ht="15.75" thickBot="1">
      <c r="B3" s="290"/>
      <c r="C3" s="302" t="s">
        <v>187</v>
      </c>
      <c r="D3" s="291" t="s">
        <v>188</v>
      </c>
      <c r="E3" s="292" t="s">
        <v>4</v>
      </c>
      <c r="F3" s="827" t="s">
        <v>189</v>
      </c>
    </row>
    <row r="4" spans="1:11">
      <c r="B4" s="255" t="s">
        <v>190</v>
      </c>
      <c r="C4" s="299">
        <v>1</v>
      </c>
      <c r="D4" s="293">
        <v>35.090000000000003</v>
      </c>
      <c r="E4" s="294">
        <f>D4*C4</f>
        <v>35.090000000000003</v>
      </c>
      <c r="F4" s="828"/>
    </row>
    <row r="5" spans="1:11">
      <c r="B5" s="255" t="s">
        <v>191</v>
      </c>
      <c r="C5" s="299">
        <v>1</v>
      </c>
      <c r="D5" s="293">
        <v>40.94</v>
      </c>
      <c r="E5" s="294">
        <f t="shared" ref="E5:E9" si="0">D5*C5</f>
        <v>40.94</v>
      </c>
      <c r="F5" s="828"/>
    </row>
    <row r="6" spans="1:11">
      <c r="B6" s="255" t="s">
        <v>192</v>
      </c>
      <c r="C6" s="299">
        <v>1</v>
      </c>
      <c r="D6" s="293">
        <v>87.74</v>
      </c>
      <c r="E6" s="294">
        <f t="shared" si="0"/>
        <v>87.74</v>
      </c>
      <c r="F6" s="828"/>
    </row>
    <row r="7" spans="1:11">
      <c r="B7" s="255" t="s">
        <v>193</v>
      </c>
      <c r="C7" s="299">
        <v>1</v>
      </c>
      <c r="D7" s="293">
        <v>35.090000000000003</v>
      </c>
      <c r="E7" s="294">
        <f t="shared" si="0"/>
        <v>35.090000000000003</v>
      </c>
      <c r="F7" s="828"/>
    </row>
    <row r="8" spans="1:11">
      <c r="B8" s="255" t="s">
        <v>194</v>
      </c>
      <c r="C8" s="299">
        <v>15</v>
      </c>
      <c r="D8" s="293">
        <v>7.01</v>
      </c>
      <c r="E8" s="294">
        <f t="shared" si="0"/>
        <v>105.14999999999999</v>
      </c>
      <c r="F8" s="828"/>
    </row>
    <row r="9" spans="1:11" ht="15.75" thickBot="1">
      <c r="B9" s="258" t="s">
        <v>195</v>
      </c>
      <c r="C9" s="300">
        <v>2</v>
      </c>
      <c r="D9" s="295">
        <v>9.36</v>
      </c>
      <c r="E9" s="296">
        <f t="shared" si="0"/>
        <v>18.72</v>
      </c>
      <c r="F9" s="828"/>
    </row>
    <row r="10" spans="1:11" ht="16.5" thickTop="1" thickBot="1">
      <c r="B10" s="262"/>
      <c r="C10" s="301"/>
      <c r="D10" s="297"/>
      <c r="E10" s="298">
        <f>+SUM(E4:E9)</f>
        <v>322.73</v>
      </c>
      <c r="F10" s="829"/>
    </row>
    <row r="11" spans="1:11" ht="15.75" thickBot="1"/>
    <row r="12" spans="1:11">
      <c r="A12" s="266">
        <v>1</v>
      </c>
      <c r="B12" s="267" t="s">
        <v>196</v>
      </c>
      <c r="C12" s="268">
        <f>Contenedor!J20</f>
        <v>49103.519728695166</v>
      </c>
      <c r="D12" s="818" t="s">
        <v>197</v>
      </c>
    </row>
    <row r="13" spans="1:11">
      <c r="A13" s="269">
        <v>2</v>
      </c>
      <c r="B13" s="202" t="s">
        <v>198</v>
      </c>
      <c r="C13" s="270">
        <v>2500</v>
      </c>
      <c r="D13" s="819"/>
    </row>
    <row r="14" spans="1:11" ht="15.75" thickBot="1">
      <c r="A14" s="271">
        <v>3</v>
      </c>
      <c r="B14" s="272" t="s">
        <v>199</v>
      </c>
      <c r="C14" s="273">
        <f>(C12+C13)*0.02</f>
        <v>1032.0703945739033</v>
      </c>
      <c r="D14" s="819"/>
    </row>
    <row r="15" spans="1:11" ht="15.75" thickTop="1">
      <c r="A15" s="281"/>
      <c r="B15" s="282" t="s">
        <v>200</v>
      </c>
      <c r="C15" s="274">
        <f>+SUM(C12:C14)</f>
        <v>52635.590123269067</v>
      </c>
      <c r="D15" s="819"/>
    </row>
    <row r="16" spans="1:11" ht="11.25" customHeight="1">
      <c r="A16" s="275"/>
      <c r="B16" s="276"/>
      <c r="C16" s="277"/>
      <c r="D16" s="819"/>
    </row>
    <row r="17" spans="1:5">
      <c r="A17" s="269">
        <v>4</v>
      </c>
      <c r="B17" s="202" t="s">
        <v>201</v>
      </c>
      <c r="C17" s="278">
        <f>C15*0.2</f>
        <v>10527.118024653813</v>
      </c>
      <c r="D17" s="819"/>
    </row>
    <row r="18" spans="1:5" ht="11.25" customHeight="1">
      <c r="A18" s="275"/>
      <c r="B18" s="276"/>
      <c r="C18" s="277"/>
      <c r="D18" s="819"/>
    </row>
    <row r="19" spans="1:5" ht="27" thickBot="1">
      <c r="A19" s="271">
        <v>5</v>
      </c>
      <c r="B19" s="279" t="s">
        <v>202</v>
      </c>
      <c r="C19" s="273">
        <f>+C15*0.005</f>
        <v>263.17795061634536</v>
      </c>
      <c r="D19" s="819"/>
    </row>
    <row r="20" spans="1:5" ht="15.75" thickTop="1">
      <c r="A20" s="281"/>
      <c r="B20" s="283" t="s">
        <v>203</v>
      </c>
      <c r="C20" s="274">
        <f>+C19+C17+C15</f>
        <v>63425.886098539224</v>
      </c>
      <c r="D20" s="819"/>
    </row>
    <row r="21" spans="1:5" ht="11.25" customHeight="1">
      <c r="A21" s="275"/>
      <c r="B21" s="276"/>
      <c r="C21" s="280"/>
      <c r="D21" s="819"/>
    </row>
    <row r="22" spans="1:5">
      <c r="A22" s="269">
        <v>6</v>
      </c>
      <c r="B22" s="201" t="s">
        <v>204</v>
      </c>
      <c r="C22" s="284">
        <f>+C20*0.12</f>
        <v>7611.106331824707</v>
      </c>
      <c r="D22" s="819"/>
    </row>
    <row r="23" spans="1:5" ht="11.25" customHeight="1" thickBot="1">
      <c r="A23" s="275"/>
      <c r="B23" s="285"/>
      <c r="C23" s="286"/>
      <c r="D23" s="819"/>
    </row>
    <row r="24" spans="1:5" ht="15.75" thickBot="1">
      <c r="A24" s="287"/>
      <c r="B24" s="288" t="s">
        <v>33</v>
      </c>
      <c r="C24" s="289">
        <f>+C20+C22</f>
        <v>71036.992430363927</v>
      </c>
      <c r="D24" s="821"/>
    </row>
    <row r="26" spans="1:5" ht="15.75" thickBot="1">
      <c r="B26" s="232"/>
      <c r="C26" s="232"/>
      <c r="D26" s="232"/>
      <c r="E26" s="303"/>
    </row>
    <row r="27" spans="1:5" ht="15.75" thickBot="1">
      <c r="B27" s="252"/>
      <c r="C27" s="253"/>
      <c r="D27" s="254"/>
      <c r="E27" s="303"/>
    </row>
    <row r="28" spans="1:5" ht="15" customHeight="1">
      <c r="B28" s="1" t="s">
        <v>205</v>
      </c>
      <c r="C28" s="304"/>
      <c r="D28" s="305">
        <v>30</v>
      </c>
      <c r="E28" s="830" t="s">
        <v>206</v>
      </c>
    </row>
    <row r="29" spans="1:5">
      <c r="B29" s="306" t="s">
        <v>207</v>
      </c>
      <c r="C29" s="307"/>
      <c r="D29" s="308">
        <v>35</v>
      </c>
      <c r="E29" s="830"/>
    </row>
    <row r="30" spans="1:5">
      <c r="B30" s="306" t="s">
        <v>208</v>
      </c>
      <c r="C30" s="307"/>
      <c r="D30" s="308">
        <v>35</v>
      </c>
      <c r="E30" s="830"/>
    </row>
    <row r="31" spans="1:5">
      <c r="B31" s="306" t="s">
        <v>209</v>
      </c>
      <c r="C31" s="307"/>
      <c r="D31" s="308">
        <v>35</v>
      </c>
      <c r="E31" s="830"/>
    </row>
    <row r="32" spans="1:5">
      <c r="B32" s="306" t="s">
        <v>210</v>
      </c>
      <c r="C32" s="307"/>
      <c r="D32" s="308">
        <v>35</v>
      </c>
      <c r="E32" s="830"/>
    </row>
    <row r="33" spans="2:5">
      <c r="B33" s="306" t="s">
        <v>211</v>
      </c>
      <c r="C33" s="307"/>
      <c r="D33" s="308">
        <v>60</v>
      </c>
      <c r="E33" s="830"/>
    </row>
    <row r="34" spans="2:5" ht="15.75" thickBot="1">
      <c r="B34" s="309" t="s">
        <v>212</v>
      </c>
      <c r="C34" s="310"/>
      <c r="D34" s="311">
        <v>480</v>
      </c>
      <c r="E34" s="830"/>
    </row>
    <row r="35" spans="2:5" ht="15.75" thickTop="1">
      <c r="B35" s="831" t="s">
        <v>203</v>
      </c>
      <c r="C35" s="832"/>
      <c r="D35" s="312">
        <f>SUM(D28:D34)</f>
        <v>710</v>
      </c>
      <c r="E35" s="830"/>
    </row>
    <row r="36" spans="2:5">
      <c r="B36" s="833" t="s">
        <v>213</v>
      </c>
      <c r="C36" s="834"/>
      <c r="D36" s="313">
        <f>D35*0.12</f>
        <v>85.2</v>
      </c>
      <c r="E36" s="830"/>
    </row>
    <row r="37" spans="2:5" ht="15.75" thickBot="1">
      <c r="B37" s="835" t="s">
        <v>33</v>
      </c>
      <c r="C37" s="836"/>
      <c r="D37" s="314">
        <f>+D35+D36</f>
        <v>795.2</v>
      </c>
      <c r="E37" s="830"/>
    </row>
    <row r="38" spans="2:5" ht="15.75" thickBot="1">
      <c r="B38" s="232"/>
      <c r="D38" s="188"/>
    </row>
    <row r="39" spans="2:5">
      <c r="B39" s="345" t="s">
        <v>214</v>
      </c>
      <c r="C39" s="343"/>
    </row>
    <row r="40" spans="2:5">
      <c r="B40" s="16" t="s">
        <v>215</v>
      </c>
      <c r="C40" s="344">
        <f>0.05*C12</f>
        <v>2455.1759864347582</v>
      </c>
    </row>
    <row r="41" spans="2:5" ht="15.75" thickBot="1">
      <c r="B41" s="61" t="s">
        <v>216</v>
      </c>
      <c r="C41" s="347">
        <v>90</v>
      </c>
    </row>
    <row r="42" spans="2:5" ht="16.5" thickTop="1" thickBot="1">
      <c r="B42" s="9"/>
      <c r="C42" s="346">
        <f>C40+C41</f>
        <v>2545.1759864347582</v>
      </c>
    </row>
    <row r="44" spans="2:5">
      <c r="B44" s="825" t="s">
        <v>217</v>
      </c>
      <c r="C44" s="825"/>
      <c r="D44" s="185"/>
    </row>
    <row r="45" spans="2:5">
      <c r="B45" s="342" t="s">
        <v>197</v>
      </c>
      <c r="C45" s="207">
        <f>C24</f>
        <v>71036.992430363927</v>
      </c>
    </row>
    <row r="46" spans="2:5">
      <c r="B46" s="342" t="s">
        <v>206</v>
      </c>
      <c r="C46" s="207">
        <f>D37</f>
        <v>795.2</v>
      </c>
    </row>
    <row r="47" spans="2:5">
      <c r="B47" s="342" t="s">
        <v>218</v>
      </c>
      <c r="C47" s="207">
        <f>E10</f>
        <v>322.73</v>
      </c>
    </row>
    <row r="48" spans="2:5">
      <c r="B48" s="342" t="s">
        <v>214</v>
      </c>
      <c r="C48" s="207">
        <f>C42</f>
        <v>2545.1759864347582</v>
      </c>
    </row>
    <row r="49" spans="1:11">
      <c r="B49" s="446" t="s">
        <v>217</v>
      </c>
      <c r="C49" s="447">
        <f>SUM(C45:C47)</f>
        <v>72154.92243036392</v>
      </c>
    </row>
    <row r="50" spans="1:11">
      <c r="B50" s="342" t="s">
        <v>219</v>
      </c>
      <c r="C50" s="207">
        <f>C12</f>
        <v>49103.519728695166</v>
      </c>
    </row>
    <row r="51" spans="1:11">
      <c r="B51" s="342" t="s">
        <v>220</v>
      </c>
      <c r="C51" s="207">
        <f>+C49-C50</f>
        <v>23051.402701668754</v>
      </c>
    </row>
    <row r="52" spans="1:11" ht="15.75" thickBot="1"/>
    <row r="53" spans="1:11" ht="33.75">
      <c r="B53" s="332"/>
      <c r="C53" s="333" t="s">
        <v>221</v>
      </c>
      <c r="D53" s="334" t="s">
        <v>222</v>
      </c>
      <c r="E53" s="333" t="s">
        <v>223</v>
      </c>
      <c r="F53" s="333" t="s">
        <v>224</v>
      </c>
      <c r="G53" s="333" t="s">
        <v>225</v>
      </c>
      <c r="H53" s="335" t="s">
        <v>226</v>
      </c>
    </row>
    <row r="54" spans="1:11">
      <c r="B54" s="306" t="s">
        <v>227</v>
      </c>
      <c r="C54" s="327">
        <v>0.12</v>
      </c>
      <c r="D54" s="328">
        <f>Contenedor!H13</f>
        <v>1129.8015456081082</v>
      </c>
      <c r="E54" s="329">
        <f>$C$51*C54</f>
        <v>2766.1683242002505</v>
      </c>
      <c r="F54" s="330">
        <f t="shared" ref="F54:F60" si="1">+E54/D54</f>
        <v>2.4483665604399389</v>
      </c>
      <c r="G54" s="330">
        <v>36</v>
      </c>
      <c r="H54" s="336">
        <f>+G54+F54</f>
        <v>38.448366560439936</v>
      </c>
    </row>
    <row r="55" spans="1:11">
      <c r="B55" s="306" t="s">
        <v>228</v>
      </c>
      <c r="C55" s="327">
        <v>0.18</v>
      </c>
      <c r="D55" s="328">
        <f>Contenedor!H14</f>
        <v>1416.5940045438897</v>
      </c>
      <c r="E55" s="329">
        <f t="shared" ref="E55:E60" si="2">$C$51*C55</f>
        <v>4149.2524863003755</v>
      </c>
      <c r="F55" s="330">
        <f t="shared" si="1"/>
        <v>2.92903434081407</v>
      </c>
      <c r="G55" s="330">
        <v>6.5</v>
      </c>
      <c r="H55" s="336">
        <f t="shared" ref="H55:H60" si="3">+G55+F55</f>
        <v>9.42903434081407</v>
      </c>
    </row>
    <row r="56" spans="1:11">
      <c r="B56" s="306" t="s">
        <v>229</v>
      </c>
      <c r="C56" s="327">
        <v>0.27</v>
      </c>
      <c r="D56" s="328">
        <f>Contenedor!H15</f>
        <v>2056.8117101730099</v>
      </c>
      <c r="E56" s="329">
        <f t="shared" si="2"/>
        <v>6223.8787294505637</v>
      </c>
      <c r="F56" s="330">
        <f t="shared" si="1"/>
        <v>3.0259837099658666</v>
      </c>
      <c r="G56" s="330">
        <v>5</v>
      </c>
      <c r="H56" s="336">
        <f t="shared" si="3"/>
        <v>8.0259837099658675</v>
      </c>
    </row>
    <row r="57" spans="1:11">
      <c r="B57" s="306" t="s">
        <v>46</v>
      </c>
      <c r="C57" s="327">
        <v>0.1</v>
      </c>
      <c r="D57" s="328">
        <f>Contenedor!H16</f>
        <v>964.46705902205167</v>
      </c>
      <c r="E57" s="329">
        <f t="shared" si="2"/>
        <v>2305.1402701668753</v>
      </c>
      <c r="F57" s="330">
        <f t="shared" si="1"/>
        <v>2.3900663569621927</v>
      </c>
      <c r="G57" s="330">
        <v>6</v>
      </c>
      <c r="H57" s="336">
        <f t="shared" si="3"/>
        <v>8.3900663569621923</v>
      </c>
    </row>
    <row r="58" spans="1:11">
      <c r="B58" s="306" t="s">
        <v>230</v>
      </c>
      <c r="C58" s="327">
        <v>0.24</v>
      </c>
      <c r="D58" s="328">
        <f>Contenedor!H17</f>
        <v>864.35740037807182</v>
      </c>
      <c r="E58" s="329">
        <f t="shared" si="2"/>
        <v>5532.336648400501</v>
      </c>
      <c r="F58" s="330">
        <f t="shared" si="1"/>
        <v>6.4005197919062704</v>
      </c>
      <c r="G58" s="330">
        <v>3.5</v>
      </c>
      <c r="H58" s="336">
        <f t="shared" si="3"/>
        <v>9.9005197919062695</v>
      </c>
    </row>
    <row r="59" spans="1:11">
      <c r="B59" s="306" t="s">
        <v>231</v>
      </c>
      <c r="C59" s="327">
        <v>0.05</v>
      </c>
      <c r="D59" s="328">
        <f>Contenedor!H18</f>
        <v>636.16704667826093</v>
      </c>
      <c r="E59" s="329">
        <f t="shared" si="2"/>
        <v>1152.5701350834377</v>
      </c>
      <c r="F59" s="330">
        <f t="shared" si="1"/>
        <v>1.8117413360241932</v>
      </c>
      <c r="G59" s="330">
        <v>10</v>
      </c>
      <c r="H59" s="336">
        <f t="shared" si="3"/>
        <v>11.811741336024193</v>
      </c>
    </row>
    <row r="60" spans="1:11">
      <c r="B60" s="306" t="s">
        <v>232</v>
      </c>
      <c r="C60" s="327">
        <v>0.04</v>
      </c>
      <c r="D60" s="328">
        <f>Contenedor!H19</f>
        <v>586.83858583957215</v>
      </c>
      <c r="E60" s="331">
        <f t="shared" si="2"/>
        <v>922.0561080667502</v>
      </c>
      <c r="F60" s="330">
        <f t="shared" si="1"/>
        <v>1.5712261093867788</v>
      </c>
      <c r="G60" s="330">
        <v>1.5</v>
      </c>
      <c r="H60" s="336">
        <f t="shared" si="3"/>
        <v>3.071226109386779</v>
      </c>
    </row>
    <row r="61" spans="1:11" ht="15.75" thickBot="1">
      <c r="B61" s="337"/>
      <c r="C61" s="338">
        <f>+SUM(C54:C60)</f>
        <v>1</v>
      </c>
      <c r="D61" s="339">
        <f>SUM(D54:D60)</f>
        <v>7655.0373522429645</v>
      </c>
      <c r="E61" s="340"/>
      <c r="F61" s="340"/>
      <c r="G61" s="340"/>
      <c r="H61" s="341"/>
    </row>
    <row r="62" spans="1:11">
      <c r="E62" s="232"/>
      <c r="F62" s="232"/>
      <c r="G62" s="232"/>
      <c r="H62" s="232"/>
    </row>
    <row r="64" spans="1:11">
      <c r="A64" s="826" t="s">
        <v>259</v>
      </c>
      <c r="B64" s="826"/>
      <c r="C64" s="826"/>
      <c r="D64" s="826"/>
      <c r="E64" s="826"/>
      <c r="F64" s="826"/>
      <c r="G64" s="826"/>
      <c r="H64" s="826"/>
      <c r="I64" s="826"/>
      <c r="J64" s="826"/>
      <c r="K64" s="826"/>
    </row>
    <row r="65" spans="1:10" ht="15.75" thickBot="1"/>
    <row r="66" spans="1:10">
      <c r="B66" s="252"/>
      <c r="C66" s="253" t="s">
        <v>187</v>
      </c>
      <c r="D66" s="253" t="s">
        <v>188</v>
      </c>
      <c r="E66" s="254" t="s">
        <v>4</v>
      </c>
      <c r="F66" s="827" t="s">
        <v>189</v>
      </c>
    </row>
    <row r="67" spans="1:10">
      <c r="B67" s="255" t="s">
        <v>190</v>
      </c>
      <c r="C67" s="232">
        <v>1</v>
      </c>
      <c r="D67" s="256">
        <v>35.090000000000003</v>
      </c>
      <c r="E67" s="257">
        <f>D67*C67</f>
        <v>35.090000000000003</v>
      </c>
      <c r="F67" s="828"/>
    </row>
    <row r="68" spans="1:10">
      <c r="B68" s="255" t="s">
        <v>191</v>
      </c>
      <c r="C68" s="232">
        <v>1</v>
      </c>
      <c r="D68" s="256">
        <v>40.94</v>
      </c>
      <c r="E68" s="257">
        <f t="shared" ref="E68:E72" si="4">D68*C68</f>
        <v>40.94</v>
      </c>
      <c r="F68" s="828"/>
    </row>
    <row r="69" spans="1:10">
      <c r="B69" s="255" t="s">
        <v>192</v>
      </c>
      <c r="C69" s="232">
        <v>1</v>
      </c>
      <c r="D69" s="256">
        <v>87.74</v>
      </c>
      <c r="E69" s="257">
        <f t="shared" si="4"/>
        <v>87.74</v>
      </c>
      <c r="F69" s="828"/>
    </row>
    <row r="70" spans="1:10">
      <c r="B70" s="255" t="s">
        <v>193</v>
      </c>
      <c r="C70" s="232">
        <v>1</v>
      </c>
      <c r="D70" s="256">
        <v>35.090000000000003</v>
      </c>
      <c r="E70" s="257">
        <f t="shared" si="4"/>
        <v>35.090000000000003</v>
      </c>
      <c r="F70" s="828"/>
    </row>
    <row r="71" spans="1:10">
      <c r="B71" s="255" t="s">
        <v>194</v>
      </c>
      <c r="C71" s="232">
        <v>15</v>
      </c>
      <c r="D71" s="256">
        <v>7.01</v>
      </c>
      <c r="E71" s="257">
        <f t="shared" si="4"/>
        <v>105.14999999999999</v>
      </c>
      <c r="F71" s="828"/>
    </row>
    <row r="72" spans="1:10" ht="15.75" thickBot="1">
      <c r="B72" s="258" t="s">
        <v>195</v>
      </c>
      <c r="C72" s="259">
        <v>2</v>
      </c>
      <c r="D72" s="260">
        <v>9.36</v>
      </c>
      <c r="E72" s="261">
        <f t="shared" si="4"/>
        <v>18.72</v>
      </c>
      <c r="F72" s="828"/>
    </row>
    <row r="73" spans="1:10" ht="16.5" thickTop="1" thickBot="1">
      <c r="B73" s="262"/>
      <c r="C73" s="263"/>
      <c r="D73" s="264"/>
      <c r="E73" s="265">
        <f>+SUM(E67:E72)</f>
        <v>322.73</v>
      </c>
      <c r="F73" s="829"/>
    </row>
    <row r="74" spans="1:10" ht="15.75" thickBot="1"/>
    <row r="75" spans="1:10" ht="33.75">
      <c r="B75" s="358"/>
      <c r="C75" s="359" t="s">
        <v>251</v>
      </c>
      <c r="D75" s="359" t="s">
        <v>252</v>
      </c>
      <c r="E75" s="360" t="s">
        <v>253</v>
      </c>
      <c r="F75" s="361" t="s">
        <v>254</v>
      </c>
      <c r="G75" s="360" t="s">
        <v>255</v>
      </c>
      <c r="H75" s="360" t="s">
        <v>256</v>
      </c>
      <c r="I75" s="362" t="s">
        <v>257</v>
      </c>
      <c r="J75" s="363" t="s">
        <v>33</v>
      </c>
    </row>
    <row r="76" spans="1:10" ht="15.75" thickBot="1">
      <c r="B76" s="351" t="s">
        <v>227</v>
      </c>
      <c r="C76" s="352">
        <v>1</v>
      </c>
      <c r="D76" s="353">
        <f>Contenedor!D20</f>
        <v>76.207510799999994</v>
      </c>
      <c r="E76" s="354">
        <f>Contenedor!E13</f>
        <v>0.11129599999999999</v>
      </c>
      <c r="F76" s="355">
        <v>650</v>
      </c>
      <c r="G76" s="355">
        <v>3</v>
      </c>
      <c r="H76" s="355">
        <f>F76*G76</f>
        <v>1950</v>
      </c>
      <c r="I76" s="356">
        <v>38</v>
      </c>
      <c r="J76" s="357">
        <f>F76*I76</f>
        <v>24700</v>
      </c>
    </row>
    <row r="78" spans="1:10" ht="15.75" thickBot="1"/>
    <row r="79" spans="1:10">
      <c r="A79" s="365">
        <v>1</v>
      </c>
      <c r="B79" s="216" t="s">
        <v>196</v>
      </c>
      <c r="C79" s="366">
        <f>J76</f>
        <v>24700</v>
      </c>
      <c r="D79" s="818" t="s">
        <v>197</v>
      </c>
    </row>
    <row r="80" spans="1:10">
      <c r="A80" s="367">
        <v>2</v>
      </c>
      <c r="B80" s="74" t="s">
        <v>260</v>
      </c>
      <c r="C80" s="195">
        <v>2500</v>
      </c>
      <c r="D80" s="819"/>
    </row>
    <row r="81" spans="1:4" ht="15.75" thickBot="1">
      <c r="A81" s="368">
        <v>3</v>
      </c>
      <c r="B81" s="364" t="s">
        <v>261</v>
      </c>
      <c r="C81" s="369">
        <f>(C79+C80)*0.02</f>
        <v>544</v>
      </c>
      <c r="D81" s="819"/>
    </row>
    <row r="82" spans="1:4" ht="15.75" thickBot="1">
      <c r="A82" s="370"/>
      <c r="B82" s="371" t="s">
        <v>200</v>
      </c>
      <c r="C82" s="372">
        <f>+SUM(C79:C81)</f>
        <v>27744</v>
      </c>
      <c r="D82" s="819"/>
    </row>
    <row r="83" spans="1:4" s="232" customFormat="1" ht="15.75" thickBot="1">
      <c r="A83" s="379"/>
      <c r="D83" s="820"/>
    </row>
    <row r="84" spans="1:4" ht="15.75" thickBot="1">
      <c r="A84" s="373">
        <v>4</v>
      </c>
      <c r="B84" s="217" t="s">
        <v>201</v>
      </c>
      <c r="C84" s="374">
        <f>C82*0.2</f>
        <v>5548.8</v>
      </c>
      <c r="D84" s="819"/>
    </row>
    <row r="85" spans="1:4" s="232" customFormat="1" ht="15.75" thickBot="1">
      <c r="A85" s="379"/>
      <c r="D85" s="820"/>
    </row>
    <row r="86" spans="1:4" ht="24" thickBot="1">
      <c r="A86" s="373">
        <v>5</v>
      </c>
      <c r="B86" s="376" t="s">
        <v>262</v>
      </c>
      <c r="C86" s="375">
        <f>+C82*0.005</f>
        <v>138.72</v>
      </c>
      <c r="D86" s="819"/>
    </row>
    <row r="87" spans="1:4" ht="15.75" thickBot="1">
      <c r="A87" s="370"/>
      <c r="B87" s="371" t="s">
        <v>203</v>
      </c>
      <c r="C87" s="372">
        <f>+C86+C84+C82</f>
        <v>33431.520000000004</v>
      </c>
      <c r="D87" s="819"/>
    </row>
    <row r="88" spans="1:4" s="232" customFormat="1" ht="15.75" thickBot="1">
      <c r="A88" s="379"/>
      <c r="C88" s="256"/>
      <c r="D88" s="820"/>
    </row>
    <row r="89" spans="1:4" ht="15.75" thickBot="1">
      <c r="A89" s="373">
        <v>6</v>
      </c>
      <c r="B89" s="217" t="s">
        <v>204</v>
      </c>
      <c r="C89" s="375">
        <f>+C87*0.12</f>
        <v>4011.7824000000005</v>
      </c>
      <c r="D89" s="819"/>
    </row>
    <row r="90" spans="1:4" s="232" customFormat="1" ht="15.75" thickBot="1">
      <c r="A90" s="379"/>
      <c r="C90" s="256"/>
      <c r="D90" s="820"/>
    </row>
    <row r="91" spans="1:4" ht="15.75" thickBot="1">
      <c r="A91" s="242"/>
      <c r="B91" s="377" t="s">
        <v>4</v>
      </c>
      <c r="C91" s="378">
        <f>+C87+C89</f>
        <v>37443.302400000008</v>
      </c>
      <c r="D91" s="821"/>
    </row>
    <row r="95" spans="1:4">
      <c r="B95" s="74" t="s">
        <v>205</v>
      </c>
      <c r="C95" s="189">
        <v>30</v>
      </c>
      <c r="D95" s="822" t="s">
        <v>206</v>
      </c>
    </row>
    <row r="96" spans="1:4">
      <c r="B96" s="74" t="s">
        <v>207</v>
      </c>
      <c r="C96" s="189">
        <v>35</v>
      </c>
      <c r="D96" s="822"/>
    </row>
    <row r="97" spans="2:4">
      <c r="B97" s="74" t="s">
        <v>208</v>
      </c>
      <c r="C97" s="189">
        <v>35</v>
      </c>
      <c r="D97" s="822"/>
    </row>
    <row r="98" spans="2:4">
      <c r="B98" s="74" t="s">
        <v>209</v>
      </c>
      <c r="C98" s="189">
        <v>35</v>
      </c>
      <c r="D98" s="822"/>
    </row>
    <row r="99" spans="2:4">
      <c r="B99" s="74" t="s">
        <v>210</v>
      </c>
      <c r="C99" s="189">
        <v>35</v>
      </c>
      <c r="D99" s="822"/>
    </row>
    <row r="100" spans="2:4">
      <c r="B100" s="74" t="s">
        <v>211</v>
      </c>
      <c r="C100" s="189">
        <v>60</v>
      </c>
      <c r="D100" s="822"/>
    </row>
    <row r="101" spans="2:4">
      <c r="B101" s="74" t="s">
        <v>212</v>
      </c>
      <c r="C101" s="189">
        <v>480</v>
      </c>
      <c r="D101" s="822"/>
    </row>
    <row r="102" spans="2:4">
      <c r="B102" s="380" t="s">
        <v>203</v>
      </c>
      <c r="C102" s="189">
        <f>SUM(C95:C101)</f>
        <v>710</v>
      </c>
      <c r="D102" s="822"/>
    </row>
    <row r="103" spans="2:4">
      <c r="B103" s="380" t="s">
        <v>213</v>
      </c>
      <c r="C103" s="189">
        <f>C102*0.12</f>
        <v>85.2</v>
      </c>
      <c r="D103" s="822"/>
    </row>
    <row r="104" spans="2:4">
      <c r="B104" s="380" t="s">
        <v>33</v>
      </c>
      <c r="C104" s="189">
        <f>+C102+C103</f>
        <v>795.2</v>
      </c>
      <c r="D104" s="822"/>
    </row>
    <row r="106" spans="2:4" ht="15.75" thickBot="1"/>
    <row r="107" spans="2:4">
      <c r="B107" s="823" t="s">
        <v>217</v>
      </c>
      <c r="C107" s="824"/>
      <c r="D107" s="185"/>
    </row>
    <row r="108" spans="2:4">
      <c r="B108" s="381" t="s">
        <v>197</v>
      </c>
      <c r="C108" s="316">
        <f>C91</f>
        <v>37443.302400000008</v>
      </c>
    </row>
    <row r="109" spans="2:4">
      <c r="B109" s="381" t="s">
        <v>206</v>
      </c>
      <c r="C109" s="316">
        <f>C104</f>
        <v>795.2</v>
      </c>
    </row>
    <row r="110" spans="2:4">
      <c r="B110" s="381" t="s">
        <v>218</v>
      </c>
      <c r="C110" s="316">
        <f>E73</f>
        <v>322.73</v>
      </c>
    </row>
    <row r="111" spans="2:4">
      <c r="B111" s="448" t="s">
        <v>217</v>
      </c>
      <c r="C111" s="449">
        <f>SUM(C108:C110)</f>
        <v>38561.232400000008</v>
      </c>
    </row>
    <row r="112" spans="2:4">
      <c r="B112" s="381" t="s">
        <v>219</v>
      </c>
      <c r="C112" s="316">
        <f>C79</f>
        <v>24700</v>
      </c>
    </row>
    <row r="113" spans="2:8" ht="15.75" thickBot="1">
      <c r="B113" s="382" t="s">
        <v>220</v>
      </c>
      <c r="C113" s="350">
        <f>+C111-C112</f>
        <v>13861.232400000008</v>
      </c>
    </row>
    <row r="114" spans="2:8">
      <c r="B114" s="243"/>
      <c r="C114" s="383"/>
    </row>
    <row r="115" spans="2:8" ht="15.75" thickBot="1"/>
    <row r="116" spans="2:8" ht="34.5">
      <c r="B116" s="252"/>
      <c r="C116" s="384" t="s">
        <v>221</v>
      </c>
      <c r="D116" s="361" t="s">
        <v>222</v>
      </c>
      <c r="E116" s="384" t="s">
        <v>223</v>
      </c>
      <c r="F116" s="384" t="s">
        <v>224</v>
      </c>
      <c r="G116" s="384" t="s">
        <v>225</v>
      </c>
      <c r="H116" s="385" t="s">
        <v>226</v>
      </c>
    </row>
    <row r="117" spans="2:8" ht="15.75" thickBot="1">
      <c r="B117" s="386" t="s">
        <v>227</v>
      </c>
      <c r="C117" s="348">
        <v>1</v>
      </c>
      <c r="D117" s="349">
        <f>650*3</f>
        <v>1950</v>
      </c>
      <c r="E117" s="387">
        <f>C113</f>
        <v>13861.232400000008</v>
      </c>
      <c r="F117" s="388">
        <f>+E117/D117</f>
        <v>7.1083243076923122</v>
      </c>
      <c r="G117" s="388">
        <v>36</v>
      </c>
      <c r="H117" s="389">
        <f>+G117+F117</f>
        <v>43.108324307692314</v>
      </c>
    </row>
  </sheetData>
  <mergeCells count="13">
    <mergeCell ref="D79:D91"/>
    <mergeCell ref="D95:D104"/>
    <mergeCell ref="B107:C107"/>
    <mergeCell ref="B44:C44"/>
    <mergeCell ref="A1:K1"/>
    <mergeCell ref="A64:K64"/>
    <mergeCell ref="F66:F73"/>
    <mergeCell ref="F3:F10"/>
    <mergeCell ref="D12:D24"/>
    <mergeCell ref="E28:E37"/>
    <mergeCell ref="B35:C35"/>
    <mergeCell ref="B36:C36"/>
    <mergeCell ref="B37:C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B4" sqref="B4"/>
    </sheetView>
  </sheetViews>
  <sheetFormatPr defaultColWidth="11.42578125" defaultRowHeight="15"/>
  <cols>
    <col min="1" max="1" width="21.28515625" customWidth="1"/>
    <col min="2" max="2" width="12.5703125" bestFit="1" customWidth="1"/>
    <col min="3" max="4" width="11.5703125" bestFit="1" customWidth="1"/>
    <col min="5" max="5" width="12.28515625" bestFit="1" customWidth="1"/>
  </cols>
  <sheetData>
    <row r="1" spans="1:5" ht="15.75" thickBot="1"/>
    <row r="2" spans="1:5">
      <c r="A2" s="315" t="s">
        <v>280</v>
      </c>
      <c r="B2" s="586">
        <f>-'Capital de trabajo'!C39</f>
        <v>57326.515351121532</v>
      </c>
    </row>
    <row r="3" spans="1:5" ht="15.75" thickBot="1">
      <c r="A3" s="47" t="s">
        <v>281</v>
      </c>
      <c r="B3" s="587">
        <f>Costos!L31</f>
        <v>50100</v>
      </c>
    </row>
    <row r="4" spans="1:5" ht="16.5" thickTop="1" thickBot="1">
      <c r="A4" s="415" t="s">
        <v>33</v>
      </c>
      <c r="B4" s="588">
        <f>SUM(B2:B3)</f>
        <v>107426.51535112153</v>
      </c>
    </row>
    <row r="5" spans="1:5" ht="15.75" thickBot="1"/>
    <row r="6" spans="1:5">
      <c r="A6" s="531" t="s">
        <v>283</v>
      </c>
      <c r="B6" s="589">
        <v>0.6</v>
      </c>
      <c r="C6" s="590">
        <f>B6*$B$4</f>
        <v>64455.909210672915</v>
      </c>
    </row>
    <row r="7" spans="1:5" ht="15.75" thickBot="1">
      <c r="A7" s="18" t="s">
        <v>284</v>
      </c>
      <c r="B7" s="591">
        <v>0.4</v>
      </c>
      <c r="C7" s="511">
        <f>B7*$B$4</f>
        <v>42970.606140448617</v>
      </c>
    </row>
    <row r="9" spans="1:5" ht="15.75" thickBot="1">
      <c r="A9" t="s">
        <v>285</v>
      </c>
      <c r="B9" s="433">
        <v>0.15</v>
      </c>
    </row>
    <row r="10" spans="1:5" ht="15.75" thickBot="1">
      <c r="A10" s="515" t="s">
        <v>284</v>
      </c>
      <c r="B10" s="592" t="s">
        <v>291</v>
      </c>
      <c r="C10" s="592" t="s">
        <v>285</v>
      </c>
      <c r="D10" s="592" t="s">
        <v>292</v>
      </c>
      <c r="E10" s="593" t="s">
        <v>293</v>
      </c>
    </row>
    <row r="11" spans="1:5" ht="15.75" thickTop="1">
      <c r="A11" s="54"/>
      <c r="B11" s="585"/>
      <c r="C11" s="461"/>
      <c r="D11" s="461"/>
      <c r="E11" s="594">
        <f>C7</f>
        <v>42970.606140448617</v>
      </c>
    </row>
    <row r="12" spans="1:5">
      <c r="A12" s="42" t="s">
        <v>286</v>
      </c>
      <c r="B12" s="207">
        <f>$E$11/3</f>
        <v>14323.535380149538</v>
      </c>
      <c r="C12" s="207">
        <f>E11*$B$9</f>
        <v>6445.5909210672926</v>
      </c>
      <c r="D12" s="207">
        <f>B12+C12</f>
        <v>20769.126301216831</v>
      </c>
      <c r="E12" s="316">
        <f>E11-B12</f>
        <v>28647.070760299081</v>
      </c>
    </row>
    <row r="13" spans="1:5">
      <c r="A13" s="42" t="s">
        <v>287</v>
      </c>
      <c r="B13" s="207">
        <f t="shared" ref="B13:B14" si="0">$E$11/3</f>
        <v>14323.535380149538</v>
      </c>
      <c r="C13" s="207">
        <f t="shared" ref="C13:C14" si="1">E12*$B$9</f>
        <v>4297.0606140448617</v>
      </c>
      <c r="D13" s="207">
        <f t="shared" ref="D13:D14" si="2">B13+C13</f>
        <v>18620.595994194402</v>
      </c>
      <c r="E13" s="316">
        <f t="shared" ref="E13:E14" si="3">E12-B13</f>
        <v>14323.535380149542</v>
      </c>
    </row>
    <row r="14" spans="1:5" ht="15.75" thickBot="1">
      <c r="A14" s="230" t="s">
        <v>288</v>
      </c>
      <c r="B14" s="595">
        <f t="shared" si="0"/>
        <v>14323.535380149538</v>
      </c>
      <c r="C14" s="595">
        <f t="shared" si="1"/>
        <v>2148.5303070224313</v>
      </c>
      <c r="D14" s="595">
        <f t="shared" si="2"/>
        <v>16472.065687171969</v>
      </c>
      <c r="E14" s="350">
        <f t="shared" si="3"/>
        <v>0</v>
      </c>
    </row>
    <row r="15" spans="1:5">
      <c r="B15" s="187"/>
      <c r="C15" s="187"/>
      <c r="D15" s="187"/>
      <c r="E15" s="187"/>
    </row>
    <row r="16" spans="1:5">
      <c r="B16" s="187"/>
      <c r="C16" s="187"/>
      <c r="D16" s="187"/>
      <c r="E16" s="187"/>
    </row>
    <row r="17" spans="1:7">
      <c r="G17" s="187"/>
    </row>
    <row r="20" spans="1:7">
      <c r="A20" s="837" t="s">
        <v>346</v>
      </c>
      <c r="B20" s="837"/>
      <c r="C20" s="837"/>
      <c r="D20" s="837"/>
      <c r="E20" s="837"/>
    </row>
    <row r="21" spans="1:7">
      <c r="A21" s="578" t="s">
        <v>347</v>
      </c>
      <c r="B21" s="478"/>
      <c r="C21" s="605">
        <v>6600</v>
      </c>
      <c r="D21" s="478"/>
      <c r="E21" s="478"/>
    </row>
    <row r="22" spans="1:7" ht="15.75" thickBot="1">
      <c r="A22" s="606" t="s">
        <v>348</v>
      </c>
      <c r="B22" s="607"/>
      <c r="C22" s="608">
        <f>+C23-C21</f>
        <v>12400</v>
      </c>
      <c r="D22" s="478"/>
      <c r="E22" s="478"/>
    </row>
    <row r="23" spans="1:7" ht="15.75" thickTop="1">
      <c r="A23" s="578" t="s">
        <v>33</v>
      </c>
      <c r="B23" s="478"/>
      <c r="C23" s="605">
        <v>19000</v>
      </c>
      <c r="D23" s="478"/>
      <c r="E23" s="478"/>
    </row>
    <row r="24" spans="1:7" ht="8.25" customHeight="1">
      <c r="A24" s="578"/>
      <c r="B24" s="478"/>
      <c r="C24" s="605"/>
      <c r="D24" s="478"/>
      <c r="E24" s="478"/>
    </row>
    <row r="25" spans="1:7">
      <c r="A25" s="578" t="s">
        <v>285</v>
      </c>
      <c r="B25" s="609">
        <v>0.15</v>
      </c>
      <c r="C25" s="478"/>
      <c r="D25" s="478"/>
      <c r="E25" s="478"/>
    </row>
    <row r="26" spans="1:7" ht="8.25" customHeight="1" thickBot="1">
      <c r="A26" s="578"/>
      <c r="B26" s="609"/>
      <c r="C26" s="478"/>
      <c r="D26" s="478"/>
      <c r="E26" s="478"/>
    </row>
    <row r="27" spans="1:7" ht="15.75" thickBot="1">
      <c r="A27" s="601" t="s">
        <v>284</v>
      </c>
      <c r="B27" s="602" t="s">
        <v>291</v>
      </c>
      <c r="C27" s="602" t="s">
        <v>285</v>
      </c>
      <c r="D27" s="602" t="s">
        <v>292</v>
      </c>
      <c r="E27" s="603" t="s">
        <v>293</v>
      </c>
    </row>
    <row r="28" spans="1:7" ht="15.75" thickTop="1">
      <c r="A28" s="473"/>
      <c r="B28" s="598"/>
      <c r="C28" s="599"/>
      <c r="D28" s="600"/>
      <c r="E28" s="571">
        <f>C23</f>
        <v>19000</v>
      </c>
    </row>
    <row r="29" spans="1:7">
      <c r="A29" s="21" t="s">
        <v>286</v>
      </c>
      <c r="B29" s="502">
        <f>$E$28/5</f>
        <v>3800</v>
      </c>
      <c r="C29" s="502">
        <f>E28*$B$9</f>
        <v>2850</v>
      </c>
      <c r="D29" s="502">
        <f>B29+C29</f>
        <v>6650</v>
      </c>
      <c r="E29" s="344">
        <f>E28-B29</f>
        <v>15200</v>
      </c>
    </row>
    <row r="30" spans="1:7">
      <c r="A30" s="16" t="s">
        <v>287</v>
      </c>
      <c r="B30" s="497">
        <f t="shared" ref="B30:B33" si="4">$E$28/5</f>
        <v>3800</v>
      </c>
      <c r="C30" s="497">
        <f t="shared" ref="C30:C33" si="5">E29*$B$9</f>
        <v>2280</v>
      </c>
      <c r="D30" s="497">
        <f>B30+C30</f>
        <v>6080</v>
      </c>
      <c r="E30" s="344">
        <f t="shared" ref="E30:E33" si="6">E29-B30</f>
        <v>11400</v>
      </c>
    </row>
    <row r="31" spans="1:7">
      <c r="A31" s="16" t="s">
        <v>288</v>
      </c>
      <c r="B31" s="497">
        <f t="shared" si="4"/>
        <v>3800</v>
      </c>
      <c r="C31" s="497">
        <f t="shared" si="5"/>
        <v>1710</v>
      </c>
      <c r="D31" s="497">
        <f t="shared" ref="D31:D33" si="7">B31+C31</f>
        <v>5510</v>
      </c>
      <c r="E31" s="344">
        <f t="shared" si="6"/>
        <v>7600</v>
      </c>
    </row>
    <row r="32" spans="1:7">
      <c r="A32" s="16" t="s">
        <v>289</v>
      </c>
      <c r="B32" s="497">
        <f t="shared" si="4"/>
        <v>3800</v>
      </c>
      <c r="C32" s="497">
        <f t="shared" si="5"/>
        <v>1140</v>
      </c>
      <c r="D32" s="497">
        <f t="shared" si="7"/>
        <v>4940</v>
      </c>
      <c r="E32" s="344">
        <f t="shared" si="6"/>
        <v>3800</v>
      </c>
    </row>
    <row r="33" spans="1:5" ht="15.75" thickBot="1">
      <c r="A33" s="18" t="s">
        <v>290</v>
      </c>
      <c r="B33" s="604">
        <f t="shared" si="4"/>
        <v>3800</v>
      </c>
      <c r="C33" s="604">
        <f t="shared" si="5"/>
        <v>570</v>
      </c>
      <c r="D33" s="604">
        <f t="shared" si="7"/>
        <v>4370</v>
      </c>
      <c r="E33" s="511">
        <f t="shared" si="6"/>
        <v>0</v>
      </c>
    </row>
    <row r="34" spans="1:5">
      <c r="A34" s="596"/>
      <c r="B34" s="597"/>
      <c r="C34" s="596"/>
      <c r="D34" s="596"/>
      <c r="E34" s="596"/>
    </row>
  </sheetData>
  <mergeCells count="1">
    <mergeCell ref="A20:E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9"/>
  <sheetViews>
    <sheetView topLeftCell="A10" workbookViewId="0">
      <selection activeCell="C32" sqref="C32"/>
    </sheetView>
  </sheetViews>
  <sheetFormatPr defaultColWidth="11.42578125" defaultRowHeight="15"/>
  <cols>
    <col min="2" max="2" width="12.5703125" customWidth="1"/>
    <col min="3" max="3" width="12.42578125" customWidth="1"/>
    <col min="5" max="5" width="12.42578125" customWidth="1"/>
    <col min="6" max="6" width="14" customWidth="1"/>
    <col min="7" max="7" width="12.5703125" customWidth="1"/>
    <col min="8" max="8" width="12" bestFit="1" customWidth="1"/>
  </cols>
  <sheetData>
    <row r="1" spans="1:11" ht="15.75" thickBot="1">
      <c r="B1" s="840" t="s">
        <v>369</v>
      </c>
      <c r="C1" s="788"/>
      <c r="D1" s="788"/>
      <c r="E1" s="788"/>
      <c r="F1" s="788"/>
      <c r="G1" s="788"/>
      <c r="H1" s="788"/>
      <c r="I1" s="12"/>
      <c r="J1" s="12"/>
      <c r="K1" s="12"/>
    </row>
    <row r="2" spans="1:11" ht="24.75" thickBot="1">
      <c r="B2" s="617" t="s">
        <v>312</v>
      </c>
      <c r="C2" s="505" t="s">
        <v>313</v>
      </c>
      <c r="D2" s="505" t="s">
        <v>314</v>
      </c>
      <c r="E2" s="505" t="s">
        <v>315</v>
      </c>
      <c r="F2" s="505" t="s">
        <v>316</v>
      </c>
      <c r="G2" s="505" t="s">
        <v>317</v>
      </c>
      <c r="H2" s="507" t="s">
        <v>318</v>
      </c>
      <c r="I2" s="12"/>
      <c r="J2" s="12"/>
      <c r="K2" s="12"/>
    </row>
    <row r="3" spans="1:11" ht="15.75" thickTop="1">
      <c r="B3" s="618" t="s">
        <v>319</v>
      </c>
      <c r="C3" s="190">
        <v>15000</v>
      </c>
      <c r="D3" s="461">
        <v>10</v>
      </c>
      <c r="E3" s="190">
        <f>+C3/D3</f>
        <v>1500</v>
      </c>
      <c r="F3" s="461">
        <v>5</v>
      </c>
      <c r="G3" s="615">
        <f>+F3*E3</f>
        <v>7500</v>
      </c>
      <c r="H3" s="619">
        <f>+C3-G3</f>
        <v>7500</v>
      </c>
      <c r="I3" s="12"/>
      <c r="J3" s="12"/>
      <c r="K3" s="12"/>
    </row>
    <row r="4" spans="1:11">
      <c r="B4" s="73" t="s">
        <v>320</v>
      </c>
      <c r="C4" s="189">
        <f>+Costos!L26</f>
        <v>5000</v>
      </c>
      <c r="D4" s="74">
        <v>10</v>
      </c>
      <c r="E4" s="189">
        <f t="shared" ref="E4:E11" si="0">+C4/D4</f>
        <v>500</v>
      </c>
      <c r="F4" s="74">
        <v>5</v>
      </c>
      <c r="G4" s="614">
        <f t="shared" ref="G4:G11" si="1">+F4*E4</f>
        <v>2500</v>
      </c>
      <c r="H4" s="620">
        <f t="shared" ref="H4:H11" si="2">+C4-G4</f>
        <v>2500</v>
      </c>
      <c r="I4" s="12"/>
      <c r="J4" s="12"/>
      <c r="K4" s="12"/>
    </row>
    <row r="5" spans="1:11">
      <c r="B5" s="621" t="s">
        <v>321</v>
      </c>
      <c r="C5" s="189">
        <f>+Costos!L23</f>
        <v>1300</v>
      </c>
      <c r="D5" s="74">
        <v>10</v>
      </c>
      <c r="E5" s="189">
        <f t="shared" si="0"/>
        <v>130</v>
      </c>
      <c r="F5" s="74">
        <v>5</v>
      </c>
      <c r="G5" s="435">
        <f t="shared" si="1"/>
        <v>650</v>
      </c>
      <c r="H5" s="622">
        <f t="shared" si="2"/>
        <v>650</v>
      </c>
    </row>
    <row r="6" spans="1:11">
      <c r="B6" s="621" t="s">
        <v>325</v>
      </c>
      <c r="C6" s="189">
        <v>350</v>
      </c>
      <c r="D6" s="74">
        <v>3</v>
      </c>
      <c r="E6" s="189">
        <v>0</v>
      </c>
      <c r="F6" s="74"/>
      <c r="G6" s="435">
        <v>0</v>
      </c>
      <c r="H6" s="622">
        <v>0</v>
      </c>
    </row>
    <row r="7" spans="1:11">
      <c r="B7" s="621" t="s">
        <v>325</v>
      </c>
      <c r="C7" s="189">
        <v>350</v>
      </c>
      <c r="D7" s="74">
        <v>3</v>
      </c>
      <c r="E7" s="189">
        <v>0</v>
      </c>
      <c r="F7" s="74"/>
      <c r="G7" s="435">
        <v>0</v>
      </c>
      <c r="H7" s="622">
        <v>0</v>
      </c>
    </row>
    <row r="8" spans="1:11">
      <c r="B8" s="621" t="s">
        <v>325</v>
      </c>
      <c r="C8" s="189">
        <v>350</v>
      </c>
      <c r="D8" s="74">
        <v>3</v>
      </c>
      <c r="E8" s="189">
        <v>0</v>
      </c>
      <c r="F8" s="74"/>
      <c r="G8" s="435">
        <v>0</v>
      </c>
      <c r="H8" s="622">
        <v>0</v>
      </c>
    </row>
    <row r="9" spans="1:11">
      <c r="B9" s="621" t="s">
        <v>325</v>
      </c>
      <c r="C9" s="189">
        <v>350</v>
      </c>
      <c r="D9" s="74">
        <v>3</v>
      </c>
      <c r="E9" s="189">
        <v>0</v>
      </c>
      <c r="F9" s="74"/>
      <c r="G9" s="435">
        <v>0</v>
      </c>
      <c r="H9" s="622">
        <v>0</v>
      </c>
    </row>
    <row r="10" spans="1:11">
      <c r="A10" s="434"/>
      <c r="B10" s="623" t="s">
        <v>322</v>
      </c>
      <c r="C10" s="443">
        <v>350</v>
      </c>
      <c r="D10" s="17">
        <v>3</v>
      </c>
      <c r="E10" s="443">
        <f t="shared" si="0"/>
        <v>116.66666666666667</v>
      </c>
      <c r="F10" s="17">
        <v>2</v>
      </c>
      <c r="G10" s="614">
        <f t="shared" si="1"/>
        <v>233.33333333333334</v>
      </c>
      <c r="H10" s="620">
        <f t="shared" si="2"/>
        <v>116.66666666666666</v>
      </c>
    </row>
    <row r="11" spans="1:11" ht="15.75" thickBot="1">
      <c r="B11" s="624" t="s">
        <v>322</v>
      </c>
      <c r="C11" s="534">
        <v>350</v>
      </c>
      <c r="D11" s="517">
        <v>3</v>
      </c>
      <c r="E11" s="534">
        <f t="shared" si="0"/>
        <v>116.66666666666667</v>
      </c>
      <c r="F11" s="517">
        <v>2</v>
      </c>
      <c r="G11" s="616">
        <f t="shared" si="1"/>
        <v>233.33333333333334</v>
      </c>
      <c r="H11" s="625">
        <f t="shared" si="2"/>
        <v>116.66666666666666</v>
      </c>
    </row>
    <row r="12" spans="1:11" ht="16.5" thickTop="1" thickBot="1">
      <c r="B12" s="838" t="s">
        <v>324</v>
      </c>
      <c r="C12" s="839"/>
      <c r="D12" s="839"/>
      <c r="E12" s="626">
        <f>+SUM(E3:E11)</f>
        <v>2363.333333333333</v>
      </c>
      <c r="F12" s="839" t="s">
        <v>323</v>
      </c>
      <c r="G12" s="839"/>
      <c r="H12" s="627">
        <f>+SUM(H3:H11)</f>
        <v>10883.333333333332</v>
      </c>
    </row>
    <row r="18" spans="2:8">
      <c r="B18" t="s">
        <v>326</v>
      </c>
    </row>
    <row r="19" spans="2:8" ht="27" customHeight="1">
      <c r="B19" s="438" t="s">
        <v>312</v>
      </c>
      <c r="C19" s="439" t="s">
        <v>313</v>
      </c>
      <c r="D19" s="438" t="s">
        <v>5</v>
      </c>
      <c r="E19" s="438" t="s">
        <v>6</v>
      </c>
      <c r="F19" s="438" t="s">
        <v>7</v>
      </c>
      <c r="G19" s="438" t="s">
        <v>8</v>
      </c>
      <c r="H19" s="438" t="s">
        <v>9</v>
      </c>
    </row>
    <row r="20" spans="2:8">
      <c r="B20" s="206" t="s">
        <v>319</v>
      </c>
      <c r="C20" s="189">
        <f>+C3</f>
        <v>15000</v>
      </c>
      <c r="D20" s="435">
        <f>+$C$20/$D$3</f>
        <v>1500</v>
      </c>
      <c r="E20" s="435">
        <f t="shared" ref="E20:H20" si="3">+$C$20/$D$3</f>
        <v>1500</v>
      </c>
      <c r="F20" s="435">
        <f t="shared" si="3"/>
        <v>1500</v>
      </c>
      <c r="G20" s="435">
        <f t="shared" si="3"/>
        <v>1500</v>
      </c>
      <c r="H20" s="435">
        <f t="shared" si="3"/>
        <v>1500</v>
      </c>
    </row>
    <row r="21" spans="2:8">
      <c r="B21" s="206" t="s">
        <v>320</v>
      </c>
      <c r="C21" s="189">
        <f>+C4</f>
        <v>5000</v>
      </c>
      <c r="D21" s="435">
        <f>+$C$21/$D$4</f>
        <v>500</v>
      </c>
      <c r="E21" s="435">
        <f t="shared" ref="E21:H21" si="4">+$C$21/$D$4</f>
        <v>500</v>
      </c>
      <c r="F21" s="435">
        <f t="shared" si="4"/>
        <v>500</v>
      </c>
      <c r="G21" s="435">
        <f t="shared" si="4"/>
        <v>500</v>
      </c>
      <c r="H21" s="435">
        <f t="shared" si="4"/>
        <v>500</v>
      </c>
    </row>
    <row r="22" spans="2:8">
      <c r="B22" s="440" t="s">
        <v>321</v>
      </c>
      <c r="C22" s="189">
        <f>+C5</f>
        <v>1300</v>
      </c>
      <c r="D22" s="435">
        <f>+$C$22/$D$5</f>
        <v>130</v>
      </c>
      <c r="E22" s="435">
        <f t="shared" ref="E22:H22" si="5">+$C$22/$D$5</f>
        <v>130</v>
      </c>
      <c r="F22" s="435">
        <f t="shared" si="5"/>
        <v>130</v>
      </c>
      <c r="G22" s="435">
        <f t="shared" si="5"/>
        <v>130</v>
      </c>
      <c r="H22" s="435">
        <f t="shared" si="5"/>
        <v>130</v>
      </c>
    </row>
    <row r="23" spans="2:8">
      <c r="B23" s="440" t="s">
        <v>325</v>
      </c>
      <c r="C23" s="189">
        <f>+C6</f>
        <v>350</v>
      </c>
      <c r="D23" s="435">
        <f>+$C$23/$D$6</f>
        <v>116.66666666666667</v>
      </c>
      <c r="E23" s="435">
        <f t="shared" ref="E23:F26" si="6">+$C$23/$D$6</f>
        <v>116.66666666666667</v>
      </c>
      <c r="F23" s="435">
        <f t="shared" si="6"/>
        <v>116.66666666666667</v>
      </c>
      <c r="G23" s="189">
        <v>0</v>
      </c>
      <c r="H23" s="189">
        <v>0</v>
      </c>
    </row>
    <row r="24" spans="2:8">
      <c r="B24" s="440" t="s">
        <v>325</v>
      </c>
      <c r="C24" s="189">
        <v>350</v>
      </c>
      <c r="D24" s="435">
        <f t="shared" ref="D24:D26" si="7">+$C$23/$D$6</f>
        <v>116.66666666666667</v>
      </c>
      <c r="E24" s="435">
        <f t="shared" si="6"/>
        <v>116.66666666666667</v>
      </c>
      <c r="F24" s="435">
        <f t="shared" si="6"/>
        <v>116.66666666666667</v>
      </c>
      <c r="G24" s="189">
        <v>0</v>
      </c>
      <c r="H24" s="189">
        <v>0</v>
      </c>
    </row>
    <row r="25" spans="2:8">
      <c r="B25" s="440" t="s">
        <v>325</v>
      </c>
      <c r="C25" s="189">
        <v>350</v>
      </c>
      <c r="D25" s="435">
        <f t="shared" si="7"/>
        <v>116.66666666666667</v>
      </c>
      <c r="E25" s="435">
        <f t="shared" si="6"/>
        <v>116.66666666666667</v>
      </c>
      <c r="F25" s="435">
        <f t="shared" si="6"/>
        <v>116.66666666666667</v>
      </c>
      <c r="G25" s="189">
        <v>0</v>
      </c>
      <c r="H25" s="189">
        <v>0</v>
      </c>
    </row>
    <row r="26" spans="2:8">
      <c r="B26" s="440" t="s">
        <v>325</v>
      </c>
      <c r="C26" s="189">
        <v>350</v>
      </c>
      <c r="D26" s="435">
        <f t="shared" si="7"/>
        <v>116.66666666666667</v>
      </c>
      <c r="E26" s="435">
        <f t="shared" si="6"/>
        <v>116.66666666666667</v>
      </c>
      <c r="F26" s="435">
        <f t="shared" si="6"/>
        <v>116.66666666666667</v>
      </c>
      <c r="G26" s="189">
        <v>0</v>
      </c>
      <c r="H26" s="189">
        <v>0</v>
      </c>
    </row>
    <row r="27" spans="2:8">
      <c r="B27" s="441" t="s">
        <v>322</v>
      </c>
      <c r="C27" s="189">
        <v>350</v>
      </c>
      <c r="D27" s="189">
        <v>0</v>
      </c>
      <c r="E27" s="189">
        <v>0</v>
      </c>
      <c r="F27" s="189">
        <v>0</v>
      </c>
      <c r="G27" s="435">
        <f>+C27/D10</f>
        <v>116.66666666666667</v>
      </c>
      <c r="H27" s="435">
        <v>116.67</v>
      </c>
    </row>
    <row r="28" spans="2:8">
      <c r="B28" s="441" t="s">
        <v>322</v>
      </c>
      <c r="C28" s="189">
        <v>350</v>
      </c>
      <c r="D28" s="189">
        <v>0</v>
      </c>
      <c r="E28" s="189">
        <v>0</v>
      </c>
      <c r="F28" s="189">
        <v>0</v>
      </c>
      <c r="G28" s="435">
        <f>+C28/D11</f>
        <v>116.66666666666667</v>
      </c>
      <c r="H28" s="435">
        <v>116.67</v>
      </c>
    </row>
    <row r="29" spans="2:8">
      <c r="B29" s="825" t="s">
        <v>324</v>
      </c>
      <c r="C29" s="825"/>
      <c r="D29" s="437">
        <f>+SUM(D20:D28)</f>
        <v>2596.6666666666661</v>
      </c>
      <c r="E29" s="437">
        <f t="shared" ref="E29:H29" si="8">+SUM(E20:E28)</f>
        <v>2596.6666666666661</v>
      </c>
      <c r="F29" s="437">
        <f t="shared" si="8"/>
        <v>2596.6666666666661</v>
      </c>
      <c r="G29" s="437">
        <f t="shared" si="8"/>
        <v>2363.333333333333</v>
      </c>
      <c r="H29" s="437">
        <f t="shared" si="8"/>
        <v>2363.34</v>
      </c>
    </row>
  </sheetData>
  <mergeCells count="4">
    <mergeCell ref="B12:D12"/>
    <mergeCell ref="F12:G12"/>
    <mergeCell ref="B29:C29"/>
    <mergeCell ref="B1:H1"/>
  </mergeCells>
  <pageMargins left="0.7" right="0.7" top="0.75" bottom="0.75" header="0.3" footer="0.3"/>
  <pageSetup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K27"/>
  <sheetViews>
    <sheetView topLeftCell="B10" workbookViewId="0">
      <selection activeCell="F29" sqref="F29"/>
    </sheetView>
  </sheetViews>
  <sheetFormatPr defaultColWidth="11.42578125" defaultRowHeight="15"/>
  <cols>
    <col min="1" max="1" width="27.5703125" customWidth="1"/>
    <col min="2" max="2" width="18.42578125" customWidth="1"/>
    <col min="3" max="3" width="14.140625" customWidth="1"/>
    <col min="4" max="4" width="11.140625" customWidth="1"/>
    <col min="5" max="5" width="15.140625" customWidth="1"/>
    <col min="6" max="6" width="11.85546875" customWidth="1"/>
    <col min="7" max="7" width="12.5703125" customWidth="1"/>
    <col min="8" max="8" width="10.28515625" customWidth="1"/>
    <col min="10" max="10" width="11.5703125" bestFit="1" customWidth="1"/>
  </cols>
  <sheetData>
    <row r="2" spans="2:11" ht="15.75" thickBot="1"/>
    <row r="3" spans="2:11" ht="24.75">
      <c r="B3" s="841"/>
      <c r="C3" s="317" t="s">
        <v>233</v>
      </c>
      <c r="D3" s="318" t="s">
        <v>234</v>
      </c>
    </row>
    <row r="4" spans="2:11" ht="24.75">
      <c r="B4" s="842"/>
      <c r="C4" s="319" t="s">
        <v>235</v>
      </c>
      <c r="D4" s="320" t="s">
        <v>236</v>
      </c>
    </row>
    <row r="5" spans="2:11" ht="24.75">
      <c r="B5" s="842"/>
      <c r="C5" s="321" t="s">
        <v>237</v>
      </c>
      <c r="D5" s="322" t="s">
        <v>238</v>
      </c>
    </row>
    <row r="6" spans="2:11" ht="24.75">
      <c r="B6" s="842"/>
      <c r="C6" s="319" t="s">
        <v>239</v>
      </c>
      <c r="D6" s="320" t="s">
        <v>240</v>
      </c>
    </row>
    <row r="7" spans="2:11" ht="24.75">
      <c r="B7" s="842"/>
      <c r="C7" s="321" t="s">
        <v>241</v>
      </c>
      <c r="D7" s="322" t="s">
        <v>242</v>
      </c>
      <c r="I7" t="s">
        <v>243</v>
      </c>
    </row>
    <row r="8" spans="2:11">
      <c r="B8" s="842"/>
      <c r="C8" s="319" t="s">
        <v>244</v>
      </c>
      <c r="D8" s="320" t="s">
        <v>245</v>
      </c>
      <c r="H8">
        <f>47/100</f>
        <v>0.47</v>
      </c>
      <c r="I8">
        <v>50</v>
      </c>
      <c r="J8">
        <f>I8/100</f>
        <v>0.5</v>
      </c>
    </row>
    <row r="9" spans="2:11" ht="24.75">
      <c r="B9" s="842"/>
      <c r="C9" s="321" t="s">
        <v>246</v>
      </c>
      <c r="D9" s="322" t="s">
        <v>247</v>
      </c>
      <c r="H9">
        <f>32/100</f>
        <v>0.32</v>
      </c>
      <c r="I9">
        <v>34</v>
      </c>
      <c r="J9">
        <f t="shared" ref="J9:J10" si="0">I9/100</f>
        <v>0.34</v>
      </c>
    </row>
    <row r="10" spans="2:11" ht="25.5" thickBot="1">
      <c r="B10" s="843"/>
      <c r="C10" s="323" t="s">
        <v>248</v>
      </c>
      <c r="D10" s="324" t="s">
        <v>249</v>
      </c>
      <c r="H10">
        <f>74/100</f>
        <v>0.74</v>
      </c>
      <c r="I10">
        <v>68</v>
      </c>
      <c r="J10">
        <f t="shared" si="0"/>
        <v>0.68</v>
      </c>
    </row>
    <row r="11" spans="2:11" ht="18.75" thickBot="1">
      <c r="I11" s="325"/>
      <c r="K11" s="326" t="s">
        <v>250</v>
      </c>
    </row>
    <row r="12" spans="2:11" s="494" customFormat="1" ht="24.75" thickBot="1">
      <c r="B12" s="503"/>
      <c r="C12" s="504" t="s">
        <v>251</v>
      </c>
      <c r="D12" s="504" t="s">
        <v>252</v>
      </c>
      <c r="E12" s="505" t="s">
        <v>253</v>
      </c>
      <c r="F12" s="506" t="s">
        <v>254</v>
      </c>
      <c r="G12" s="505" t="s">
        <v>255</v>
      </c>
      <c r="H12" s="505" t="s">
        <v>256</v>
      </c>
      <c r="I12" s="505" t="s">
        <v>257</v>
      </c>
      <c r="J12" s="507" t="s">
        <v>33</v>
      </c>
    </row>
    <row r="13" spans="2:11" ht="15.75" thickTop="1">
      <c r="B13" s="21" t="s">
        <v>58</v>
      </c>
      <c r="C13" s="693">
        <v>0.55000000000000004</v>
      </c>
      <c r="D13" s="499">
        <f t="shared" ref="D13:D19" si="1">$D$20*C13</f>
        <v>41.91413094</v>
      </c>
      <c r="E13" s="500">
        <f>H10*H9*H8</f>
        <v>0.11129599999999999</v>
      </c>
      <c r="F13" s="501">
        <f>D13/E13</f>
        <v>376.60051520270275</v>
      </c>
      <c r="G13" s="501">
        <v>3</v>
      </c>
      <c r="H13" s="501">
        <f>F13*G13</f>
        <v>1129.8015456081082</v>
      </c>
      <c r="I13" s="442">
        <v>36</v>
      </c>
      <c r="J13" s="508">
        <f>F13*I13</f>
        <v>13557.618547297299</v>
      </c>
    </row>
    <row r="14" spans="2:11">
      <c r="B14" s="16" t="s">
        <v>56</v>
      </c>
      <c r="C14" s="693">
        <v>0.09</v>
      </c>
      <c r="D14" s="495">
        <f t="shared" si="1"/>
        <v>6.8586759719999995</v>
      </c>
      <c r="E14" s="496">
        <v>0.1162</v>
      </c>
      <c r="F14" s="328">
        <f t="shared" ref="F14:F19" si="2">D14/E14</f>
        <v>59.024750189328742</v>
      </c>
      <c r="G14" s="328">
        <v>24</v>
      </c>
      <c r="H14" s="328">
        <f t="shared" ref="H14:H19" si="3">F14*G14</f>
        <v>1416.5940045438897</v>
      </c>
      <c r="I14" s="443">
        <v>6.5</v>
      </c>
      <c r="J14" s="344">
        <f t="shared" ref="J14:J19" si="4">H14*I14</f>
        <v>9207.8610295352828</v>
      </c>
    </row>
    <row r="15" spans="2:11">
      <c r="B15" s="16" t="s">
        <v>57</v>
      </c>
      <c r="C15" s="693">
        <v>0.13</v>
      </c>
      <c r="D15" s="495">
        <f t="shared" si="1"/>
        <v>9.9069764039999999</v>
      </c>
      <c r="E15" s="496">
        <f>J8*J9*J10</f>
        <v>0.11560000000000002</v>
      </c>
      <c r="F15" s="328">
        <f t="shared" si="2"/>
        <v>85.700487923875414</v>
      </c>
      <c r="G15" s="328">
        <v>24</v>
      </c>
      <c r="H15" s="328">
        <f t="shared" si="3"/>
        <v>2056.8117101730099</v>
      </c>
      <c r="I15" s="443">
        <v>5</v>
      </c>
      <c r="J15" s="344">
        <f t="shared" si="4"/>
        <v>10284.058550865049</v>
      </c>
    </row>
    <row r="16" spans="2:11">
      <c r="B16" s="16" t="s">
        <v>51</v>
      </c>
      <c r="C16" s="693">
        <v>0.11</v>
      </c>
      <c r="D16" s="495">
        <f t="shared" si="1"/>
        <v>8.3828261879999992</v>
      </c>
      <c r="E16" s="496">
        <v>0.1043</v>
      </c>
      <c r="F16" s="328">
        <f t="shared" si="2"/>
        <v>80.372254918504311</v>
      </c>
      <c r="G16" s="328">
        <v>12</v>
      </c>
      <c r="H16" s="328">
        <f t="shared" si="3"/>
        <v>964.46705902205167</v>
      </c>
      <c r="I16" s="443">
        <v>6</v>
      </c>
      <c r="J16" s="344">
        <f t="shared" si="4"/>
        <v>5786.80235413231</v>
      </c>
    </row>
    <row r="17" spans="2:10">
      <c r="B17" s="16" t="s">
        <v>91</v>
      </c>
      <c r="C17" s="693">
        <v>0.05</v>
      </c>
      <c r="D17" s="495">
        <f t="shared" si="1"/>
        <v>3.8103755399999999</v>
      </c>
      <c r="E17" s="496">
        <v>0.10580000000000001</v>
      </c>
      <c r="F17" s="328">
        <f>D17/E17</f>
        <v>36.014891682419659</v>
      </c>
      <c r="G17" s="328">
        <v>24</v>
      </c>
      <c r="H17" s="328">
        <f>F17*G17</f>
        <v>864.35740037807182</v>
      </c>
      <c r="I17" s="443">
        <v>3.5</v>
      </c>
      <c r="J17" s="344">
        <f>H17*I17</f>
        <v>3025.2509013232511</v>
      </c>
    </row>
    <row r="18" spans="2:10">
      <c r="B18" s="16" t="s">
        <v>53</v>
      </c>
      <c r="C18" s="693">
        <v>0.04</v>
      </c>
      <c r="D18" s="495">
        <f t="shared" si="1"/>
        <v>3.048300432</v>
      </c>
      <c r="E18" s="496">
        <v>0.115</v>
      </c>
      <c r="F18" s="328">
        <f t="shared" si="2"/>
        <v>26.50696027826087</v>
      </c>
      <c r="G18" s="328">
        <v>24</v>
      </c>
      <c r="H18" s="328">
        <f t="shared" si="3"/>
        <v>636.16704667826093</v>
      </c>
      <c r="I18" s="443">
        <v>10</v>
      </c>
      <c r="J18" s="344">
        <f t="shared" si="4"/>
        <v>6361.6704667826089</v>
      </c>
    </row>
    <row r="19" spans="2:10">
      <c r="B19" s="16" t="s">
        <v>92</v>
      </c>
      <c r="C19" s="693">
        <v>0.03</v>
      </c>
      <c r="D19" s="495">
        <f t="shared" si="1"/>
        <v>2.2862253239999997</v>
      </c>
      <c r="E19" s="496">
        <v>9.35E-2</v>
      </c>
      <c r="F19" s="328">
        <f t="shared" si="2"/>
        <v>24.451607743315506</v>
      </c>
      <c r="G19" s="328">
        <v>24</v>
      </c>
      <c r="H19" s="328">
        <f t="shared" si="3"/>
        <v>586.83858583957215</v>
      </c>
      <c r="I19" s="443">
        <v>1.5</v>
      </c>
      <c r="J19" s="344">
        <f t="shared" si="4"/>
        <v>880.25787875935816</v>
      </c>
    </row>
    <row r="20" spans="2:10" ht="15.75" thickBot="1">
      <c r="B20" s="35" t="s">
        <v>33</v>
      </c>
      <c r="C20" s="509">
        <f>SUM(C13:C19)</f>
        <v>1</v>
      </c>
      <c r="D20" s="510">
        <f>12.024*2.35*2.697</f>
        <v>76.207510799999994</v>
      </c>
      <c r="E20" s="454"/>
      <c r="F20" s="454"/>
      <c r="G20" s="454"/>
      <c r="H20" s="454"/>
      <c r="I20" s="340"/>
      <c r="J20" s="511">
        <f>SUM(J13:J19)</f>
        <v>49103.519728695166</v>
      </c>
    </row>
    <row r="24" spans="2:10" ht="15.75" thickBot="1"/>
    <row r="25" spans="2:10" ht="24.75" thickBot="1">
      <c r="B25" s="503"/>
      <c r="C25" s="504" t="s">
        <v>251</v>
      </c>
      <c r="D25" s="504" t="s">
        <v>252</v>
      </c>
      <c r="E25" s="505" t="s">
        <v>253</v>
      </c>
      <c r="F25" s="506" t="s">
        <v>254</v>
      </c>
      <c r="G25" s="505" t="s">
        <v>255</v>
      </c>
      <c r="H25" s="505" t="s">
        <v>256</v>
      </c>
      <c r="I25" s="505" t="s">
        <v>257</v>
      </c>
      <c r="J25" s="507" t="s">
        <v>33</v>
      </c>
    </row>
    <row r="26" spans="2:10" ht="15.75" thickTop="1">
      <c r="B26" s="21" t="s">
        <v>58</v>
      </c>
      <c r="C26" s="498">
        <v>1</v>
      </c>
      <c r="D26" s="499">
        <f t="shared" ref="D26" si="5">$D$20*C26</f>
        <v>76.207510799999994</v>
      </c>
      <c r="E26" s="500">
        <f>+E13</f>
        <v>0.11129599999999999</v>
      </c>
      <c r="F26" s="501">
        <f>D26/E26</f>
        <v>684.72820945945944</v>
      </c>
      <c r="G26" s="501">
        <v>3</v>
      </c>
      <c r="H26" s="501">
        <f>F26*G26</f>
        <v>2054.1846283783784</v>
      </c>
      <c r="I26" s="442">
        <v>36</v>
      </c>
      <c r="J26" s="508">
        <f>F26*I26</f>
        <v>24650.215540540539</v>
      </c>
    </row>
    <row r="27" spans="2:10" ht="15.75" thickBot="1">
      <c r="B27" s="35" t="s">
        <v>33</v>
      </c>
      <c r="C27" s="509">
        <f>SUM(C26:C26)</f>
        <v>1</v>
      </c>
      <c r="D27" s="510">
        <f>12.024*2.35*2.697</f>
        <v>76.207510799999994</v>
      </c>
      <c r="E27" s="454"/>
      <c r="F27" s="454"/>
      <c r="G27" s="454"/>
      <c r="H27" s="454"/>
      <c r="I27" s="340"/>
      <c r="J27" s="511">
        <f>SUM(J26:J26)</f>
        <v>24650.215540540539</v>
      </c>
    </row>
  </sheetData>
  <mergeCells count="1">
    <mergeCell ref="B3:B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21" sqref="C21"/>
    </sheetView>
  </sheetViews>
  <sheetFormatPr defaultColWidth="11.42578125" defaultRowHeight="15"/>
  <cols>
    <col min="1" max="1" width="28.85546875" customWidth="1"/>
    <col min="2" max="6" width="13.28515625" bestFit="1" customWidth="1"/>
  </cols>
  <sheetData>
    <row r="1" spans="1:7" ht="15.75" thickBot="1"/>
    <row r="2" spans="1:7" ht="15.75" thickBot="1">
      <c r="A2" s="58" t="s">
        <v>11</v>
      </c>
      <c r="B2" s="40" t="s">
        <v>5</v>
      </c>
      <c r="C2" s="40" t="s">
        <v>6</v>
      </c>
      <c r="D2" s="40" t="s">
        <v>7</v>
      </c>
      <c r="E2" s="40" t="s">
        <v>8</v>
      </c>
      <c r="F2" s="41" t="s">
        <v>9</v>
      </c>
      <c r="G2" s="57" t="s">
        <v>61</v>
      </c>
    </row>
    <row r="3" spans="1:7" ht="15.75" thickTop="1">
      <c r="A3" s="21" t="s">
        <v>56</v>
      </c>
      <c r="B3" s="698">
        <f>B14+B25</f>
        <v>22213.241950017215</v>
      </c>
      <c r="C3" s="698">
        <f t="shared" ref="C3:F3" si="0">C14+C25</f>
        <v>23120.340574017217</v>
      </c>
      <c r="D3" s="698">
        <f t="shared" si="0"/>
        <v>24049.20956499322</v>
      </c>
      <c r="E3" s="698">
        <f t="shared" si="0"/>
        <v>25000.371411752654</v>
      </c>
      <c r="F3" s="699">
        <f t="shared" si="0"/>
        <v>25974.361142834299</v>
      </c>
      <c r="G3" s="60">
        <f t="shared" ref="G3:G9" si="1">B3/$B$10</f>
        <v>5.2606114413092292E-2</v>
      </c>
    </row>
    <row r="4" spans="1:7">
      <c r="A4" s="16" t="s">
        <v>57</v>
      </c>
      <c r="B4" s="442">
        <f t="shared" ref="B4:F9" si="2">B15+B26</f>
        <v>26003.12447792387</v>
      </c>
      <c r="C4" s="442">
        <f t="shared" si="2"/>
        <v>27179.961237923875</v>
      </c>
      <c r="D4" s="442">
        <f t="shared" si="2"/>
        <v>28384.566880163882</v>
      </c>
      <c r="E4" s="442">
        <f t="shared" si="2"/>
        <v>29617.60215541764</v>
      </c>
      <c r="F4" s="312">
        <f t="shared" si="2"/>
        <v>30879.743604048694</v>
      </c>
      <c r="G4" s="60">
        <f t="shared" si="1"/>
        <v>6.1581436174942661E-2</v>
      </c>
    </row>
    <row r="5" spans="1:7">
      <c r="A5" s="16" t="s">
        <v>58</v>
      </c>
      <c r="B5" s="442">
        <f t="shared" si="2"/>
        <v>294065.05672297295</v>
      </c>
      <c r="C5" s="442">
        <f t="shared" si="2"/>
        <v>326143.13737297303</v>
      </c>
      <c r="D5" s="442">
        <f t="shared" si="2"/>
        <v>360745.76297012792</v>
      </c>
      <c r="E5" s="442">
        <f t="shared" si="2"/>
        <v>398071.61520177906</v>
      </c>
      <c r="F5" s="312">
        <f t="shared" si="2"/>
        <v>438335.01200406114</v>
      </c>
      <c r="G5" s="60">
        <f t="shared" si="1"/>
        <v>0.69641433041020839</v>
      </c>
    </row>
    <row r="6" spans="1:7">
      <c r="A6" s="16" t="s">
        <v>91</v>
      </c>
      <c r="B6" s="442">
        <f t="shared" si="2"/>
        <v>15672.360197353501</v>
      </c>
      <c r="C6" s="442">
        <f t="shared" si="2"/>
        <v>17381.949436753501</v>
      </c>
      <c r="D6" s="442">
        <f t="shared" si="2"/>
        <v>19226.083349294277</v>
      </c>
      <c r="E6" s="442">
        <f t="shared" si="2"/>
        <v>21215.350600752015</v>
      </c>
      <c r="F6" s="312">
        <f t="shared" si="2"/>
        <v>23361.173184899482</v>
      </c>
      <c r="G6" s="60">
        <f t="shared" si="1"/>
        <v>3.7115787759405966E-2</v>
      </c>
    </row>
    <row r="7" spans="1:7">
      <c r="A7" s="16" t="s">
        <v>51</v>
      </c>
      <c r="B7" s="442">
        <f t="shared" si="2"/>
        <v>26871.894690747431</v>
      </c>
      <c r="C7" s="442">
        <f t="shared" si="2"/>
        <v>27857.378031796092</v>
      </c>
      <c r="D7" s="442">
        <f t="shared" si="2"/>
        <v>28866.512973029923</v>
      </c>
      <c r="E7" s="442">
        <f t="shared" si="2"/>
        <v>29899.867152853367</v>
      </c>
      <c r="F7" s="312">
        <f t="shared" si="2"/>
        <v>30958.02183299257</v>
      </c>
      <c r="G7" s="60">
        <f t="shared" si="1"/>
        <v>6.3638885750169905E-2</v>
      </c>
    </row>
    <row r="8" spans="1:7">
      <c r="A8" s="16" t="s">
        <v>53</v>
      </c>
      <c r="B8" s="442">
        <f t="shared" si="2"/>
        <v>32246.220215828471</v>
      </c>
      <c r="C8" s="442">
        <f t="shared" si="2"/>
        <v>33142.273573970582</v>
      </c>
      <c r="D8" s="442">
        <f t="shared" si="2"/>
        <v>34059.832212708105</v>
      </c>
      <c r="E8" s="442">
        <f t="shared" si="2"/>
        <v>34999.41225877533</v>
      </c>
      <c r="F8" s="312">
        <f t="shared" si="2"/>
        <v>35961.542225948164</v>
      </c>
      <c r="G8" s="60">
        <f t="shared" si="1"/>
        <v>7.6366536405656341E-2</v>
      </c>
    </row>
    <row r="9" spans="1:7" ht="15.75" thickBot="1">
      <c r="A9" s="61" t="s">
        <v>60</v>
      </c>
      <c r="B9" s="444">
        <f t="shared" si="2"/>
        <v>5183.9972402421408</v>
      </c>
      <c r="C9" s="444">
        <f t="shared" si="2"/>
        <v>5378.8338043087006</v>
      </c>
      <c r="D9" s="444">
        <f t="shared" si="2"/>
        <v>5578.3464459128572</v>
      </c>
      <c r="E9" s="444">
        <f t="shared" si="2"/>
        <v>5782.6473909155138</v>
      </c>
      <c r="F9" s="445">
        <f t="shared" si="2"/>
        <v>5991.851558598235</v>
      </c>
      <c r="G9" s="64">
        <f t="shared" si="1"/>
        <v>1.2276909086524465E-2</v>
      </c>
    </row>
    <row r="10" spans="1:7" ht="16.5" thickTop="1" thickBot="1">
      <c r="A10" s="65" t="s">
        <v>33</v>
      </c>
      <c r="B10" s="700">
        <f>SUM(B3:B9)</f>
        <v>422255.89549508557</v>
      </c>
      <c r="C10" s="536">
        <f>SUM(C3:C9)</f>
        <v>460203.87403174303</v>
      </c>
      <c r="D10" s="536">
        <f>SUM(D3:D9)</f>
        <v>500910.31439623015</v>
      </c>
      <c r="E10" s="536">
        <f>SUM(E3:E9)</f>
        <v>544586.86617224559</v>
      </c>
      <c r="F10" s="537">
        <f>SUM(F3:F9)</f>
        <v>591461.70555338264</v>
      </c>
      <c r="G10" s="69"/>
    </row>
    <row r="12" spans="1:7" ht="15.75" thickBot="1">
      <c r="A12" s="788" t="s">
        <v>185</v>
      </c>
      <c r="B12" s="788"/>
      <c r="C12" s="788"/>
      <c r="D12" s="788"/>
      <c r="E12" s="788"/>
      <c r="F12" s="788"/>
      <c r="G12" s="788"/>
    </row>
    <row r="13" spans="1:7" ht="15.75" thickBot="1">
      <c r="A13" s="58" t="s">
        <v>11</v>
      </c>
      <c r="B13" s="40" t="s">
        <v>5</v>
      </c>
      <c r="C13" s="40" t="s">
        <v>6</v>
      </c>
      <c r="D13" s="40" t="s">
        <v>7</v>
      </c>
      <c r="E13" s="40" t="s">
        <v>8</v>
      </c>
      <c r="F13" s="41" t="s">
        <v>9</v>
      </c>
      <c r="G13" s="57" t="s">
        <v>61</v>
      </c>
    </row>
    <row r="14" spans="1:7" ht="15.75" thickTop="1">
      <c r="A14" s="21" t="s">
        <v>56</v>
      </c>
      <c r="B14" s="442">
        <f>Demanda!B14*Compras!$B36</f>
        <v>3797.519890946649</v>
      </c>
      <c r="C14" s="442">
        <f>Demanda!C14*Compras!$B36</f>
        <v>4704.6185149466528</v>
      </c>
      <c r="D14" s="442">
        <f>Demanda!D14*Compras!$B36</f>
        <v>5633.4875059226542</v>
      </c>
      <c r="E14" s="442">
        <f>Demanda!E14*Compras!$B36</f>
        <v>6584.6493526820868</v>
      </c>
      <c r="F14" s="442">
        <f>Demanda!F14*Compras!$B36</f>
        <v>7558.6390837637318</v>
      </c>
      <c r="G14" s="60">
        <f t="shared" ref="G14:G20" si="3">B14/$B$10</f>
        <v>8.9934088107737186E-3</v>
      </c>
    </row>
    <row r="15" spans="1:7">
      <c r="A15" s="16" t="s">
        <v>57</v>
      </c>
      <c r="B15" s="442">
        <f>Demanda!B15*Compras!$B37</f>
        <v>5435.0073761937729</v>
      </c>
      <c r="C15" s="442">
        <f>Demanda!C15*Compras!$B37</f>
        <v>6611.8441361937748</v>
      </c>
      <c r="D15" s="442">
        <f>Demanda!D15*Compras!$B37</f>
        <v>7816.4497784337818</v>
      </c>
      <c r="E15" s="442">
        <f>Demanda!E15*Compras!$B37</f>
        <v>9049.4850536875419</v>
      </c>
      <c r="F15" s="442">
        <f>Demanda!F15*Compras!$B37</f>
        <v>10311.626502318595</v>
      </c>
      <c r="G15" s="60">
        <f t="shared" si="3"/>
        <v>1.2871359368047067E-2</v>
      </c>
    </row>
    <row r="16" spans="1:7">
      <c r="A16" s="16" t="s">
        <v>58</v>
      </c>
      <c r="B16" s="442">
        <f>+Demanda!B16*Compras!$B38</f>
        <v>2119.3454391891464</v>
      </c>
      <c r="C16" s="442">
        <f>+Demanda!C16*Compras!$B38</f>
        <v>34197.426089189234</v>
      </c>
      <c r="D16" s="442">
        <f>+Demanda!D16*Compras!$B38</f>
        <v>68800.051686344159</v>
      </c>
      <c r="E16" s="442">
        <f>+Demanda!E16*Compras!$B38</f>
        <v>106125.90391799531</v>
      </c>
      <c r="F16" s="442">
        <f>+Demanda!F16*Compras!$B38</f>
        <v>146389.30072027733</v>
      </c>
      <c r="G16" s="60">
        <f t="shared" si="3"/>
        <v>5.0191020700948684E-3</v>
      </c>
    </row>
    <row r="17" spans="1:7">
      <c r="A17" s="16" t="s">
        <v>91</v>
      </c>
      <c r="B17" s="442">
        <f>Demanda!B17*Compras!$B39</f>
        <v>9621.8583947069983</v>
      </c>
      <c r="C17" s="442">
        <f>Demanda!C17*Compras!$B39</f>
        <v>11331.447634106997</v>
      </c>
      <c r="D17" s="442">
        <f>Demanda!D17*Compras!$B39</f>
        <v>13175.581546647776</v>
      </c>
      <c r="E17" s="442">
        <f>Demanda!E17*Compras!$B39</f>
        <v>15164.848798105513</v>
      </c>
      <c r="F17" s="442">
        <f>Demanda!F17*Compras!$B39</f>
        <v>17310.671382252978</v>
      </c>
      <c r="G17" s="60">
        <f t="shared" si="3"/>
        <v>2.2786794683886141E-2</v>
      </c>
    </row>
    <row r="18" spans="1:7">
      <c r="A18" s="16" t="s">
        <v>51</v>
      </c>
      <c r="B18" s="442">
        <f>Demanda!B18*Compras!$B40</f>
        <v>17914.596460498287</v>
      </c>
      <c r="C18" s="442">
        <f>Demanda!C18*Compras!$B40</f>
        <v>18900.079801546948</v>
      </c>
      <c r="D18" s="442">
        <f>Demanda!D18*Compras!$B40</f>
        <v>19909.214742780779</v>
      </c>
      <c r="E18" s="442">
        <f>Demanda!E18*Compras!$B40</f>
        <v>20942.568922604223</v>
      </c>
      <c r="F18" s="442">
        <f>Demanda!F18*Compras!$B40</f>
        <v>22000.723602743426</v>
      </c>
      <c r="G18" s="60">
        <f t="shared" si="3"/>
        <v>4.2425923833446601E-2</v>
      </c>
    </row>
    <row r="19" spans="1:7">
      <c r="A19" s="16" t="s">
        <v>53</v>
      </c>
      <c r="B19" s="442">
        <f>Demanda!B19*Compras!$B41</f>
        <v>19522.879282263253</v>
      </c>
      <c r="C19" s="442">
        <f>Demanda!C19*Compras!$B41</f>
        <v>20418.932640405365</v>
      </c>
      <c r="D19" s="442">
        <f>Demanda!D19*Compras!$B41</f>
        <v>21336.491279142887</v>
      </c>
      <c r="E19" s="442">
        <f>Demanda!E19*Compras!$B41</f>
        <v>22276.071325210112</v>
      </c>
      <c r="F19" s="442">
        <f>Demanda!F19*Compras!$B41</f>
        <v>23238.201292382946</v>
      </c>
      <c r="G19" s="60">
        <f t="shared" si="3"/>
        <v>4.6234710966848939E-2</v>
      </c>
    </row>
    <row r="20" spans="1:7" ht="15.75" thickBot="1">
      <c r="A20" s="61" t="s">
        <v>60</v>
      </c>
      <c r="B20" s="534">
        <f>Demanda!B20*Compras!$B42</f>
        <v>3423.4814827234241</v>
      </c>
      <c r="C20" s="534">
        <f>Demanda!C20*Compras!$B42</f>
        <v>3618.3180467899847</v>
      </c>
      <c r="D20" s="534">
        <f>Demanda!D20*Compras!$B42</f>
        <v>3817.8306883941414</v>
      </c>
      <c r="E20" s="534">
        <f>Demanda!E20*Compras!$B42</f>
        <v>4022.131633396798</v>
      </c>
      <c r="F20" s="534">
        <f>Demanda!F20*Compras!$B42</f>
        <v>4231.3358010795191</v>
      </c>
      <c r="G20" s="64">
        <f t="shared" si="3"/>
        <v>8.1075990157803927E-3</v>
      </c>
    </row>
    <row r="21" spans="1:7" ht="16.5" thickTop="1" thickBot="1">
      <c r="A21" s="65" t="s">
        <v>33</v>
      </c>
      <c r="B21" s="700">
        <f>SUM(B14:B20)</f>
        <v>61834.688326521529</v>
      </c>
      <c r="C21" s="536">
        <f>SUM(C14:C20)</f>
        <v>99782.666863178965</v>
      </c>
      <c r="D21" s="536">
        <f>SUM(D14:D20)</f>
        <v>140489.10722766619</v>
      </c>
      <c r="E21" s="536">
        <f>SUM(E14:E20)</f>
        <v>184165.65900368156</v>
      </c>
      <c r="F21" s="537">
        <f>SUM(F14:F20)</f>
        <v>231040.49838481855</v>
      </c>
      <c r="G21" s="69"/>
    </row>
    <row r="23" spans="1:7" ht="15.75" thickBot="1">
      <c r="A23" s="788" t="s">
        <v>186</v>
      </c>
      <c r="B23" s="788"/>
      <c r="C23" s="788"/>
      <c r="D23" s="788"/>
      <c r="E23" s="788"/>
      <c r="F23" s="788"/>
      <c r="G23" s="788"/>
    </row>
    <row r="24" spans="1:7" ht="15.75" thickBot="1">
      <c r="A24" s="58" t="s">
        <v>11</v>
      </c>
      <c r="B24" s="40" t="s">
        <v>5</v>
      </c>
      <c r="C24" s="40" t="s">
        <v>6</v>
      </c>
      <c r="D24" s="40" t="s">
        <v>7</v>
      </c>
      <c r="E24" s="40" t="s">
        <v>8</v>
      </c>
      <c r="F24" s="41" t="s">
        <v>9</v>
      </c>
      <c r="G24" s="57" t="s">
        <v>61</v>
      </c>
    </row>
    <row r="25" spans="1:7" ht="15.75" thickTop="1">
      <c r="A25" s="21" t="s">
        <v>56</v>
      </c>
      <c r="B25" s="442">
        <f>Demanda!B25*Compras!$B45</f>
        <v>18415.722059070566</v>
      </c>
      <c r="C25" s="442">
        <f>Demanda!C25*Compras!$B45</f>
        <v>18415.722059070566</v>
      </c>
      <c r="D25" s="442">
        <f>Demanda!D25*Compras!$B45</f>
        <v>18415.722059070566</v>
      </c>
      <c r="E25" s="442">
        <f>Demanda!E25*Compras!$B45</f>
        <v>18415.722059070566</v>
      </c>
      <c r="F25" s="442">
        <f>Demanda!F25*Compras!$B45</f>
        <v>18415.722059070566</v>
      </c>
      <c r="G25" s="60">
        <f t="shared" ref="G25:G31" si="4">B25/$B$10</f>
        <v>4.3612705602318579E-2</v>
      </c>
    </row>
    <row r="26" spans="1:7">
      <c r="A26" s="16" t="s">
        <v>57</v>
      </c>
      <c r="B26" s="443">
        <f>+Demanda!B26*Compras!$B46</f>
        <v>20568.117101730099</v>
      </c>
      <c r="C26" s="443">
        <f>+Demanda!C26*Compras!$B46</f>
        <v>20568.117101730099</v>
      </c>
      <c r="D26" s="443">
        <f>+Demanda!D26*Compras!$B46</f>
        <v>20568.117101730099</v>
      </c>
      <c r="E26" s="443">
        <f>+Demanda!E26*Compras!$B46</f>
        <v>20568.117101730099</v>
      </c>
      <c r="F26" s="443">
        <f>+Demanda!F26*Compras!$B46</f>
        <v>20568.117101730099</v>
      </c>
      <c r="G26" s="60">
        <f t="shared" si="4"/>
        <v>4.8710076806895597E-2</v>
      </c>
    </row>
    <row r="27" spans="1:7">
      <c r="A27" s="16" t="s">
        <v>58</v>
      </c>
      <c r="B27" s="443">
        <f>Demanda!B27*Compras!$B47</f>
        <v>291945.71128378378</v>
      </c>
      <c r="C27" s="443">
        <f>Demanda!C27*Compras!$B47</f>
        <v>291945.71128378378</v>
      </c>
      <c r="D27" s="443">
        <f>Demanda!D27*Compras!$B47</f>
        <v>291945.71128378378</v>
      </c>
      <c r="E27" s="443">
        <f>Demanda!E27*Compras!$B47</f>
        <v>291945.71128378378</v>
      </c>
      <c r="F27" s="443">
        <f>Demanda!F27*Compras!$B47</f>
        <v>291945.71128378378</v>
      </c>
      <c r="G27" s="60">
        <f t="shared" si="4"/>
        <v>0.69139522834011347</v>
      </c>
    </row>
    <row r="28" spans="1:7">
      <c r="A28" s="16" t="s">
        <v>91</v>
      </c>
      <c r="B28" s="443">
        <f>Demanda!B28*Compras!$B48</f>
        <v>6050.5018026465023</v>
      </c>
      <c r="C28" s="443">
        <f>Demanda!C28*Compras!$B48</f>
        <v>6050.5018026465023</v>
      </c>
      <c r="D28" s="443">
        <f>Demanda!D28*Compras!$B48</f>
        <v>6050.5018026465023</v>
      </c>
      <c r="E28" s="443">
        <f>Demanda!E28*Compras!$B48</f>
        <v>6050.5018026465023</v>
      </c>
      <c r="F28" s="443">
        <f>Demanda!F28*Compras!$B48</f>
        <v>6050.5018026465023</v>
      </c>
      <c r="G28" s="60">
        <f t="shared" si="4"/>
        <v>1.4328993075519821E-2</v>
      </c>
    </row>
    <row r="29" spans="1:7">
      <c r="A29" s="16" t="s">
        <v>51</v>
      </c>
      <c r="B29" s="443">
        <f>+Demanda!B18*Compras!$B49</f>
        <v>8957.2982302491437</v>
      </c>
      <c r="C29" s="442">
        <f t="shared" ref="C29:F30" si="5">B29</f>
        <v>8957.2982302491437</v>
      </c>
      <c r="D29" s="442">
        <f t="shared" si="5"/>
        <v>8957.2982302491437</v>
      </c>
      <c r="E29" s="442">
        <f t="shared" si="5"/>
        <v>8957.2982302491437</v>
      </c>
      <c r="F29" s="442">
        <f t="shared" si="5"/>
        <v>8957.2982302491437</v>
      </c>
      <c r="G29" s="60">
        <f t="shared" si="4"/>
        <v>2.12129619167233E-2</v>
      </c>
    </row>
    <row r="30" spans="1:7">
      <c r="A30" s="16" t="s">
        <v>53</v>
      </c>
      <c r="B30" s="443">
        <f>Demanda!B30*Compras!$B50</f>
        <v>12723.340933565218</v>
      </c>
      <c r="C30" s="442">
        <f t="shared" si="5"/>
        <v>12723.340933565218</v>
      </c>
      <c r="D30" s="442">
        <f t="shared" si="5"/>
        <v>12723.340933565218</v>
      </c>
      <c r="E30" s="442">
        <f t="shared" si="5"/>
        <v>12723.340933565218</v>
      </c>
      <c r="F30" s="442">
        <f t="shared" si="5"/>
        <v>12723.340933565218</v>
      </c>
      <c r="G30" s="60">
        <f t="shared" si="4"/>
        <v>3.0131825438807398E-2</v>
      </c>
    </row>
    <row r="31" spans="1:7" ht="15.75" thickBot="1">
      <c r="A31" s="61" t="s">
        <v>92</v>
      </c>
      <c r="B31" s="534">
        <f>+Demanda!B31*Compras!$B51</f>
        <v>1760.5157575187163</v>
      </c>
      <c r="C31" s="534">
        <f>+Demanda!C31*Compras!$B51</f>
        <v>1760.5157575187163</v>
      </c>
      <c r="D31" s="534">
        <f>+Demanda!D31*Compras!$B51</f>
        <v>1760.5157575187163</v>
      </c>
      <c r="E31" s="534">
        <f>+Demanda!E31*Compras!$B51</f>
        <v>1760.5157575187163</v>
      </c>
      <c r="F31" s="534">
        <f>+Demanda!F31*Compras!$B51</f>
        <v>1760.5157575187163</v>
      </c>
      <c r="G31" s="64">
        <f t="shared" si="4"/>
        <v>4.169310070744071E-3</v>
      </c>
    </row>
    <row r="32" spans="1:7" ht="16.5" thickTop="1" thickBot="1">
      <c r="A32" s="65" t="s">
        <v>33</v>
      </c>
      <c r="B32" s="700">
        <f>SUM(B25:B31)</f>
        <v>360421.20716856403</v>
      </c>
      <c r="C32" s="536">
        <f>SUM(C25:C31)</f>
        <v>360421.20716856403</v>
      </c>
      <c r="D32" s="536">
        <f>SUM(D25:D31)</f>
        <v>360421.20716856403</v>
      </c>
      <c r="E32" s="536">
        <f>SUM(E25:E31)</f>
        <v>360421.20716856403</v>
      </c>
      <c r="F32" s="537">
        <f>SUM(F25:F31)</f>
        <v>360421.20716856403</v>
      </c>
      <c r="G32" s="69"/>
    </row>
    <row r="34" spans="1:2" ht="15.75" thickBot="1"/>
    <row r="35" spans="1:2" ht="15.75" thickBot="1">
      <c r="A35" s="55" t="s">
        <v>182</v>
      </c>
      <c r="B35" s="235"/>
    </row>
    <row r="36" spans="1:2" ht="15.75" thickTop="1">
      <c r="A36" s="21" t="s">
        <v>56</v>
      </c>
      <c r="B36" s="696">
        <v>12</v>
      </c>
    </row>
    <row r="37" spans="1:2">
      <c r="A37" s="16" t="s">
        <v>57</v>
      </c>
      <c r="B37" s="194">
        <v>11</v>
      </c>
    </row>
    <row r="38" spans="1:2">
      <c r="A38" s="16" t="s">
        <v>58</v>
      </c>
      <c r="B38" s="194">
        <v>50</v>
      </c>
    </row>
    <row r="39" spans="1:2">
      <c r="A39" s="16" t="s">
        <v>91</v>
      </c>
      <c r="B39" s="194">
        <v>7</v>
      </c>
    </row>
    <row r="40" spans="1:2">
      <c r="A40" s="16" t="s">
        <v>51</v>
      </c>
      <c r="B40" s="194">
        <v>12</v>
      </c>
    </row>
    <row r="41" spans="1:2">
      <c r="A41" s="16" t="s">
        <v>53</v>
      </c>
      <c r="B41" s="194">
        <v>14</v>
      </c>
    </row>
    <row r="42" spans="1:2" ht="15.75" thickBot="1">
      <c r="A42" s="61" t="s">
        <v>60</v>
      </c>
      <c r="B42" s="369">
        <v>4</v>
      </c>
    </row>
    <row r="43" spans="1:2" ht="16.5" thickTop="1" thickBot="1">
      <c r="B43" s="188"/>
    </row>
    <row r="44" spans="1:2" ht="15.75" thickBot="1">
      <c r="A44" s="55" t="s">
        <v>182</v>
      </c>
      <c r="B44" s="697"/>
    </row>
    <row r="45" spans="1:2" ht="16.5" thickTop="1" thickBot="1">
      <c r="A45" s="21" t="s">
        <v>56</v>
      </c>
      <c r="B45" s="696">
        <f>+Contenedor!I14</f>
        <v>6.5</v>
      </c>
    </row>
    <row r="46" spans="1:2" ht="15.75" thickTop="1">
      <c r="A46" s="16" t="s">
        <v>57</v>
      </c>
      <c r="B46" s="696">
        <f>+Contenedor!I15</f>
        <v>5</v>
      </c>
    </row>
    <row r="47" spans="1:2">
      <c r="A47" s="16" t="s">
        <v>58</v>
      </c>
      <c r="B47" s="194">
        <f>+Contenedor!I13</f>
        <v>36</v>
      </c>
    </row>
    <row r="48" spans="1:2">
      <c r="A48" s="16" t="s">
        <v>91</v>
      </c>
      <c r="B48" s="194">
        <f>+Contenedor!I17</f>
        <v>3.5</v>
      </c>
    </row>
    <row r="49" spans="1:2">
      <c r="A49" s="16" t="s">
        <v>51</v>
      </c>
      <c r="B49" s="194">
        <f>+Contenedor!I16</f>
        <v>6</v>
      </c>
    </row>
    <row r="50" spans="1:2">
      <c r="A50" s="16" t="s">
        <v>53</v>
      </c>
      <c r="B50" s="194">
        <f>+Contenedor!I18</f>
        <v>10</v>
      </c>
    </row>
    <row r="51" spans="1:2" ht="15.75" thickBot="1">
      <c r="A51" s="61" t="s">
        <v>60</v>
      </c>
      <c r="B51" s="369">
        <f>+Contenedor!I19</f>
        <v>1.5</v>
      </c>
    </row>
    <row r="52" spans="1:2" ht="15.75" thickTop="1"/>
  </sheetData>
  <mergeCells count="2">
    <mergeCell ref="A12:G12"/>
    <mergeCell ref="A23:G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11"/>
  <sheetViews>
    <sheetView zoomScale="85" zoomScaleNormal="85" workbookViewId="0">
      <pane ySplit="2" topLeftCell="A3" activePane="bottomLeft" state="frozen"/>
      <selection pane="bottomLeft" activeCell="E77" sqref="E77"/>
    </sheetView>
  </sheetViews>
  <sheetFormatPr defaultColWidth="11.42578125" defaultRowHeight="15"/>
  <cols>
    <col min="1" max="1" width="7.42578125" customWidth="1"/>
    <col min="2" max="2" width="22.7109375" customWidth="1"/>
    <col min="3" max="4" width="13.7109375" bestFit="1" customWidth="1"/>
    <col min="5" max="5" width="13.85546875" bestFit="1" customWidth="1"/>
    <col min="6" max="6" width="15" customWidth="1"/>
    <col min="7" max="8" width="13.85546875" bestFit="1" customWidth="1"/>
    <col min="9" max="9" width="13.5703125" customWidth="1"/>
    <col min="10" max="14" width="13.7109375" bestFit="1" customWidth="1"/>
    <col min="15" max="15" width="15" bestFit="1" customWidth="1"/>
  </cols>
  <sheetData>
    <row r="1" spans="2:15" ht="15.75" thickBot="1"/>
    <row r="2" spans="2:15" ht="15.75" thickBot="1">
      <c r="B2" s="526" t="s">
        <v>157</v>
      </c>
      <c r="C2" s="527" t="s">
        <v>158</v>
      </c>
      <c r="D2" s="528" t="s">
        <v>159</v>
      </c>
      <c r="E2" s="528" t="s">
        <v>160</v>
      </c>
      <c r="F2" s="528" t="s">
        <v>161</v>
      </c>
      <c r="G2" s="528" t="s">
        <v>162</v>
      </c>
      <c r="H2" s="528" t="s">
        <v>163</v>
      </c>
      <c r="I2" s="528" t="s">
        <v>164</v>
      </c>
      <c r="J2" s="528" t="s">
        <v>165</v>
      </c>
      <c r="K2" s="528" t="s">
        <v>166</v>
      </c>
      <c r="L2" s="528" t="s">
        <v>167</v>
      </c>
      <c r="M2" s="528" t="s">
        <v>168</v>
      </c>
      <c r="N2" s="529" t="s">
        <v>169</v>
      </c>
    </row>
    <row r="3" spans="2:15" ht="6.75" customHeight="1" thickBot="1"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</row>
    <row r="4" spans="2:15">
      <c r="B4" s="531" t="s">
        <v>56</v>
      </c>
      <c r="C4" s="532">
        <f t="shared" ref="C4:E5" si="0">(C43*0.4)*$D62</f>
        <v>1048.2028544000002</v>
      </c>
      <c r="D4" s="532">
        <f t="shared" si="0"/>
        <v>2620.5071360000006</v>
      </c>
      <c r="E4" s="532">
        <f t="shared" si="0"/>
        <v>10482.028544000003</v>
      </c>
      <c r="F4" s="532">
        <f t="shared" ref="F4:N4" si="1">(F43*0.4)*$D62</f>
        <v>8385.6228352000016</v>
      </c>
      <c r="G4" s="532">
        <f t="shared" si="1"/>
        <v>2096.4057088000004</v>
      </c>
      <c r="H4" s="532">
        <f t="shared" si="1"/>
        <v>262.05071360000005</v>
      </c>
      <c r="I4" s="532">
        <f t="shared" si="1"/>
        <v>262.05071360000005</v>
      </c>
      <c r="J4" s="532">
        <f t="shared" si="1"/>
        <v>262.05071360000005</v>
      </c>
      <c r="K4" s="532">
        <f t="shared" si="1"/>
        <v>262.05071360000005</v>
      </c>
      <c r="L4" s="532">
        <f t="shared" si="1"/>
        <v>262.05071360000005</v>
      </c>
      <c r="M4" s="532">
        <f t="shared" si="1"/>
        <v>131.02535680000003</v>
      </c>
      <c r="N4" s="533">
        <f t="shared" si="1"/>
        <v>131.02535680000003</v>
      </c>
      <c r="O4" s="187">
        <f t="shared" ref="O4:O10" si="2">SUM(C4:N4)</f>
        <v>26205.071360000013</v>
      </c>
    </row>
    <row r="5" spans="2:15">
      <c r="B5" s="16" t="s">
        <v>57</v>
      </c>
      <c r="C5" s="443">
        <f t="shared" si="0"/>
        <v>1651.4050559999998</v>
      </c>
      <c r="D5" s="443">
        <f t="shared" si="0"/>
        <v>4128.512639999999</v>
      </c>
      <c r="E5" s="443">
        <f t="shared" si="0"/>
        <v>15688.348031999998</v>
      </c>
      <c r="F5" s="443">
        <f t="shared" ref="F5:N10" si="3">(F44*0.4)*$D63</f>
        <v>12385.537919999997</v>
      </c>
      <c r="G5" s="443">
        <f t="shared" si="3"/>
        <v>3302.8101119999997</v>
      </c>
      <c r="H5" s="443">
        <f t="shared" si="3"/>
        <v>412.85126399999996</v>
      </c>
      <c r="I5" s="443">
        <f t="shared" si="3"/>
        <v>412.85126399999996</v>
      </c>
      <c r="J5" s="443">
        <f t="shared" si="3"/>
        <v>1238.5537919999997</v>
      </c>
      <c r="K5" s="443">
        <f t="shared" si="3"/>
        <v>825.70252799999992</v>
      </c>
      <c r="L5" s="443">
        <f t="shared" si="3"/>
        <v>412.85126399999996</v>
      </c>
      <c r="M5" s="443">
        <f t="shared" si="3"/>
        <v>412.85126399999996</v>
      </c>
      <c r="N5" s="313">
        <f t="shared" si="3"/>
        <v>412.85126399999996</v>
      </c>
      <c r="O5" s="187">
        <f t="shared" si="2"/>
        <v>41285.126399999979</v>
      </c>
    </row>
    <row r="6" spans="2:15">
      <c r="B6" s="16" t="s">
        <v>91</v>
      </c>
      <c r="C6" s="443">
        <f>(C46*0.4)*$D64</f>
        <v>2420.5474800000002</v>
      </c>
      <c r="D6" s="443">
        <f>(D46*0.4)*$D64</f>
        <v>1936.4379840000001</v>
      </c>
      <c r="E6" s="443">
        <f>(E46*0.4)*$D64</f>
        <v>1613.6983200000006</v>
      </c>
      <c r="F6" s="443">
        <f t="shared" ref="F6:N6" si="4">(F46*0.4)*$D64</f>
        <v>1613.6983200000006</v>
      </c>
      <c r="G6" s="443">
        <f t="shared" si="4"/>
        <v>806.84916000000032</v>
      </c>
      <c r="H6" s="443">
        <f t="shared" si="4"/>
        <v>968.21899200000007</v>
      </c>
      <c r="I6" s="443">
        <f t="shared" si="4"/>
        <v>1290.9586560000005</v>
      </c>
      <c r="J6" s="443">
        <f t="shared" si="4"/>
        <v>1613.6983200000006</v>
      </c>
      <c r="K6" s="443">
        <f t="shared" si="4"/>
        <v>645.47932800000024</v>
      </c>
      <c r="L6" s="443">
        <f t="shared" si="4"/>
        <v>645.47932800000024</v>
      </c>
      <c r="M6" s="443">
        <f t="shared" si="4"/>
        <v>484.10949600000004</v>
      </c>
      <c r="N6" s="443">
        <f t="shared" si="4"/>
        <v>2097.8078160000009</v>
      </c>
      <c r="O6" s="187">
        <f t="shared" si="2"/>
        <v>16136.983200000002</v>
      </c>
    </row>
    <row r="7" spans="2:15">
      <c r="B7" s="16" t="s">
        <v>58</v>
      </c>
      <c r="C7" s="443">
        <f>(C45*0.4)*$D65</f>
        <v>16532.235720000001</v>
      </c>
      <c r="D7" s="443">
        <f>(D45*0.4)*$D65</f>
        <v>15260.52528</v>
      </c>
      <c r="E7" s="443">
        <f>(E45*0.4)*$D65</f>
        <v>12717.1044</v>
      </c>
      <c r="F7" s="443">
        <f t="shared" ref="F7:N7" si="5">(F45*0.4)*$D65</f>
        <v>12717.1044</v>
      </c>
      <c r="G7" s="443">
        <f t="shared" si="5"/>
        <v>6358.5522000000001</v>
      </c>
      <c r="H7" s="443">
        <f t="shared" si="5"/>
        <v>7630.2626399999999</v>
      </c>
      <c r="I7" s="443">
        <f t="shared" si="5"/>
        <v>10173.683519999999</v>
      </c>
      <c r="J7" s="443">
        <f t="shared" si="5"/>
        <v>12717.1044</v>
      </c>
      <c r="K7" s="443">
        <f t="shared" si="5"/>
        <v>6358.5522000000001</v>
      </c>
      <c r="L7" s="443">
        <f t="shared" si="5"/>
        <v>6358.5522000000001</v>
      </c>
      <c r="M7" s="443">
        <f t="shared" si="5"/>
        <v>5086.8417599999993</v>
      </c>
      <c r="N7" s="443">
        <f t="shared" si="5"/>
        <v>15260.52528</v>
      </c>
      <c r="O7" s="187">
        <f t="shared" si="2"/>
        <v>127171.04399999999</v>
      </c>
    </row>
    <row r="8" spans="2:15">
      <c r="B8" s="16" t="s">
        <v>51</v>
      </c>
      <c r="C8" s="443">
        <f t="shared" ref="C8:D10" si="6">(C47*0.4)*$D66</f>
        <v>2146.1637205059724</v>
      </c>
      <c r="D8" s="443">
        <f t="shared" si="6"/>
        <v>2146.1637205059724</v>
      </c>
      <c r="E8" s="443">
        <f t="shared" ref="E8:E10" si="7">(E47*0.4)*$D66</f>
        <v>2146.1637205059724</v>
      </c>
      <c r="F8" s="443">
        <f t="shared" si="3"/>
        <v>1839.5689032908328</v>
      </c>
      <c r="G8" s="443">
        <f t="shared" si="3"/>
        <v>2452.7585377211112</v>
      </c>
      <c r="H8" s="443">
        <f t="shared" si="3"/>
        <v>4598.9222582270831</v>
      </c>
      <c r="I8" s="443">
        <f t="shared" si="3"/>
        <v>3065.9481721513889</v>
      </c>
      <c r="J8" s="443">
        <f t="shared" si="3"/>
        <v>2146.1637205059724</v>
      </c>
      <c r="K8" s="443">
        <f t="shared" si="3"/>
        <v>2146.1637205059724</v>
      </c>
      <c r="L8" s="443">
        <f t="shared" si="3"/>
        <v>2146.1637205059724</v>
      </c>
      <c r="M8" s="443">
        <f t="shared" si="3"/>
        <v>2146.1637205059724</v>
      </c>
      <c r="N8" s="313">
        <f t="shared" si="3"/>
        <v>3679.1378065816657</v>
      </c>
      <c r="O8" s="187">
        <f t="shared" si="2"/>
        <v>30659.481721513894</v>
      </c>
    </row>
    <row r="9" spans="2:15">
      <c r="B9" s="16" t="s">
        <v>53</v>
      </c>
      <c r="C9" s="443">
        <f t="shared" si="6"/>
        <v>2332.9389217342778</v>
      </c>
      <c r="D9" s="443">
        <f t="shared" si="6"/>
        <v>3110.5852289790373</v>
      </c>
      <c r="E9" s="443">
        <f t="shared" si="7"/>
        <v>1814.5080502377718</v>
      </c>
      <c r="F9" s="443">
        <f t="shared" si="3"/>
        <v>1555.2926144895187</v>
      </c>
      <c r="G9" s="443">
        <f t="shared" si="3"/>
        <v>5702.7395864615692</v>
      </c>
      <c r="H9" s="443">
        <f t="shared" si="3"/>
        <v>1296.0771787412655</v>
      </c>
      <c r="I9" s="443">
        <f t="shared" si="3"/>
        <v>1036.8617429930125</v>
      </c>
      <c r="J9" s="443">
        <f t="shared" si="3"/>
        <v>1296.0771787412655</v>
      </c>
      <c r="K9" s="443">
        <f t="shared" si="3"/>
        <v>1036.8617429930125</v>
      </c>
      <c r="L9" s="443">
        <f t="shared" si="3"/>
        <v>1296.0771787412655</v>
      </c>
      <c r="M9" s="443">
        <f t="shared" si="3"/>
        <v>1036.8617429930125</v>
      </c>
      <c r="N9" s="313">
        <f t="shared" si="3"/>
        <v>4406.6624077203032</v>
      </c>
      <c r="O9" s="187">
        <f t="shared" si="2"/>
        <v>25921.543574825315</v>
      </c>
    </row>
    <row r="10" spans="2:15" ht="15.75" thickBot="1">
      <c r="B10" s="61" t="s">
        <v>92</v>
      </c>
      <c r="C10" s="534">
        <f t="shared" si="6"/>
        <v>340.9639871164801</v>
      </c>
      <c r="D10" s="534">
        <f t="shared" si="6"/>
        <v>625.10064304688012</v>
      </c>
      <c r="E10" s="534">
        <f t="shared" si="7"/>
        <v>397.79131830256011</v>
      </c>
      <c r="F10" s="534">
        <f t="shared" si="3"/>
        <v>397.79131830256011</v>
      </c>
      <c r="G10" s="534">
        <f t="shared" si="3"/>
        <v>397.79131830256011</v>
      </c>
      <c r="H10" s="534">
        <f t="shared" si="3"/>
        <v>625.10064304688012</v>
      </c>
      <c r="I10" s="534">
        <f t="shared" si="3"/>
        <v>397.79131830256011</v>
      </c>
      <c r="J10" s="534">
        <f t="shared" si="3"/>
        <v>397.79131830256011</v>
      </c>
      <c r="K10" s="534">
        <f t="shared" si="3"/>
        <v>397.79131830256011</v>
      </c>
      <c r="L10" s="534">
        <f t="shared" si="3"/>
        <v>397.79131830256011</v>
      </c>
      <c r="M10" s="534">
        <f t="shared" si="3"/>
        <v>397.79131830256011</v>
      </c>
      <c r="N10" s="347">
        <f t="shared" si="3"/>
        <v>909.23729897728026</v>
      </c>
      <c r="O10" s="187">
        <f t="shared" si="2"/>
        <v>5682.7331186080019</v>
      </c>
    </row>
    <row r="11" spans="2:15" ht="16.5" thickTop="1" thickBot="1">
      <c r="B11" s="535" t="s">
        <v>170</v>
      </c>
      <c r="C11" s="536">
        <f t="shared" ref="C11:N11" si="8">SUM(C4:C10)</f>
        <v>26472.45773975673</v>
      </c>
      <c r="D11" s="536">
        <f t="shared" si="8"/>
        <v>29827.832632531892</v>
      </c>
      <c r="E11" s="536">
        <f t="shared" si="8"/>
        <v>44859.642385046311</v>
      </c>
      <c r="F11" s="536">
        <f t="shared" si="8"/>
        <v>38894.616311282909</v>
      </c>
      <c r="G11" s="536">
        <f t="shared" si="8"/>
        <v>21117.906623285238</v>
      </c>
      <c r="H11" s="536">
        <f t="shared" si="8"/>
        <v>15793.483689615228</v>
      </c>
      <c r="I11" s="536">
        <f t="shared" si="8"/>
        <v>16640.145387046963</v>
      </c>
      <c r="J11" s="536">
        <f t="shared" si="8"/>
        <v>19671.4394431498</v>
      </c>
      <c r="K11" s="536">
        <f t="shared" si="8"/>
        <v>11672.601551401545</v>
      </c>
      <c r="L11" s="536">
        <f t="shared" si="8"/>
        <v>11518.965723149797</v>
      </c>
      <c r="M11" s="536">
        <f t="shared" si="8"/>
        <v>9695.6446586015445</v>
      </c>
      <c r="N11" s="537">
        <f t="shared" si="8"/>
        <v>26897.247230079247</v>
      </c>
      <c r="O11" s="187">
        <f>SUM(C11:N11)</f>
        <v>273061.98337494722</v>
      </c>
    </row>
    <row r="12" spans="2:15" ht="6.75" customHeight="1" thickBot="1">
      <c r="B12" s="478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</row>
    <row r="13" spans="2:15" ht="15.75" thickBot="1">
      <c r="B13" s="538" t="s">
        <v>274</v>
      </c>
      <c r="C13" s="539">
        <f>+C21</f>
        <v>0</v>
      </c>
      <c r="D13" s="539">
        <f t="shared" ref="D13:N13" si="9">+D21</f>
        <v>40967.116900637375</v>
      </c>
      <c r="E13" s="539">
        <f t="shared" si="9"/>
        <v>61273.330765841325</v>
      </c>
      <c r="F13" s="539">
        <f t="shared" si="9"/>
        <v>53176.569271731816</v>
      </c>
      <c r="G13" s="539">
        <f t="shared" si="9"/>
        <v>28964.309055500209</v>
      </c>
      <c r="H13" s="539">
        <f t="shared" si="9"/>
        <v>21584.434102624891</v>
      </c>
      <c r="I13" s="539">
        <f t="shared" si="9"/>
        <v>22847.597508134437</v>
      </c>
      <c r="J13" s="539">
        <f t="shared" si="9"/>
        <v>27050.146354362852</v>
      </c>
      <c r="K13" s="539">
        <f t="shared" si="9"/>
        <v>15992.439003823609</v>
      </c>
      <c r="L13" s="539">
        <f t="shared" si="9"/>
        <v>15799.534642362849</v>
      </c>
      <c r="M13" s="539">
        <f t="shared" si="9"/>
        <v>13273.828487023608</v>
      </c>
      <c r="N13" s="539">
        <f t="shared" si="9"/>
        <v>36985.761125609752</v>
      </c>
    </row>
    <row r="14" spans="2:15">
      <c r="B14" s="540" t="s">
        <v>270</v>
      </c>
      <c r="C14" s="541">
        <f>C91</f>
        <v>0</v>
      </c>
      <c r="D14" s="541">
        <f t="shared" ref="D14:N14" si="10">D91</f>
        <v>26474.489644025292</v>
      </c>
      <c r="E14" s="541">
        <f t="shared" si="10"/>
        <v>47617.799131797066</v>
      </c>
      <c r="F14" s="541">
        <f t="shared" si="10"/>
        <v>40396.772982496077</v>
      </c>
      <c r="G14" s="541">
        <f t="shared" si="10"/>
        <v>18556.000327712718</v>
      </c>
      <c r="H14" s="541">
        <f t="shared" si="10"/>
        <v>12369.477720668785</v>
      </c>
      <c r="I14" s="541">
        <f t="shared" si="10"/>
        <v>13327.040359202261</v>
      </c>
      <c r="J14" s="541">
        <f t="shared" si="10"/>
        <v>16261.979247177818</v>
      </c>
      <c r="K14" s="541">
        <f t="shared" si="10"/>
        <v>8577.6980841881978</v>
      </c>
      <c r="L14" s="541">
        <f t="shared" si="10"/>
        <v>8205.6676847378167</v>
      </c>
      <c r="M14" s="541">
        <f t="shared" si="10"/>
        <v>6705.6435575081987</v>
      </c>
      <c r="N14" s="542">
        <f t="shared" si="10"/>
        <v>21879.393634760338</v>
      </c>
      <c r="O14" s="610"/>
    </row>
    <row r="15" spans="2:15">
      <c r="B15" s="543" t="s">
        <v>271</v>
      </c>
      <c r="C15" s="544">
        <f t="shared" ref="C15:N17" si="11">C92</f>
        <v>0</v>
      </c>
      <c r="D15" s="544">
        <f t="shared" si="11"/>
        <v>0</v>
      </c>
      <c r="E15" s="544">
        <f t="shared" si="11"/>
        <v>26474.489644025292</v>
      </c>
      <c r="F15" s="544">
        <f t="shared" si="11"/>
        <v>47617.799131797066</v>
      </c>
      <c r="G15" s="544">
        <f t="shared" si="11"/>
        <v>40396.772982496077</v>
      </c>
      <c r="H15" s="544">
        <f t="shared" si="11"/>
        <v>18556.000327712718</v>
      </c>
      <c r="I15" s="544">
        <f t="shared" si="11"/>
        <v>12369.477720668785</v>
      </c>
      <c r="J15" s="544">
        <f t="shared" si="11"/>
        <v>13327.040359202261</v>
      </c>
      <c r="K15" s="544">
        <f t="shared" si="11"/>
        <v>16261.979247177818</v>
      </c>
      <c r="L15" s="544">
        <f t="shared" si="11"/>
        <v>8577.6980841881978</v>
      </c>
      <c r="M15" s="544">
        <f t="shared" si="11"/>
        <v>8205.6676847378167</v>
      </c>
      <c r="N15" s="545">
        <f t="shared" si="11"/>
        <v>6705.6435575081987</v>
      </c>
    </row>
    <row r="16" spans="2:15">
      <c r="B16" s="543" t="s">
        <v>272</v>
      </c>
      <c r="C16" s="544">
        <f t="shared" si="11"/>
        <v>0</v>
      </c>
      <c r="D16" s="544">
        <f t="shared" si="11"/>
        <v>0</v>
      </c>
      <c r="E16" s="544">
        <f t="shared" si="11"/>
        <v>0</v>
      </c>
      <c r="F16" s="544">
        <f t="shared" si="11"/>
        <v>17649.659762683528</v>
      </c>
      <c r="G16" s="544">
        <f t="shared" si="11"/>
        <v>31745.199421198045</v>
      </c>
      <c r="H16" s="544">
        <f t="shared" si="11"/>
        <v>26931.181988330722</v>
      </c>
      <c r="I16" s="544">
        <f t="shared" si="11"/>
        <v>12370.666885141813</v>
      </c>
      <c r="J16" s="544">
        <f t="shared" si="11"/>
        <v>8246.318480445856</v>
      </c>
      <c r="K16" s="544">
        <f t="shared" si="11"/>
        <v>8884.6935728015069</v>
      </c>
      <c r="L16" s="544">
        <f t="shared" si="11"/>
        <v>10841.319498118546</v>
      </c>
      <c r="M16" s="544">
        <f t="shared" si="11"/>
        <v>5718.4653894587991</v>
      </c>
      <c r="N16" s="545">
        <f t="shared" si="11"/>
        <v>5470.4451231585454</v>
      </c>
    </row>
    <row r="17" spans="2:15" ht="15.75" thickBot="1">
      <c r="B17" s="546" t="s">
        <v>273</v>
      </c>
      <c r="C17" s="547">
        <f t="shared" si="11"/>
        <v>0</v>
      </c>
      <c r="D17" s="547">
        <f t="shared" si="11"/>
        <v>0</v>
      </c>
      <c r="E17" s="547">
        <f t="shared" si="11"/>
        <v>0</v>
      </c>
      <c r="F17" s="547">
        <f t="shared" si="11"/>
        <v>0</v>
      </c>
      <c r="G17" s="547">
        <f t="shared" si="11"/>
        <v>17649.659762683528</v>
      </c>
      <c r="H17" s="547">
        <f t="shared" si="11"/>
        <v>31745.199421198045</v>
      </c>
      <c r="I17" s="547">
        <f t="shared" si="11"/>
        <v>26931.181988330722</v>
      </c>
      <c r="J17" s="547">
        <f t="shared" si="11"/>
        <v>12370.666885141813</v>
      </c>
      <c r="K17" s="547">
        <f t="shared" si="11"/>
        <v>8246.318480445856</v>
      </c>
      <c r="L17" s="547">
        <f t="shared" si="11"/>
        <v>8884.6935728015069</v>
      </c>
      <c r="M17" s="547">
        <f t="shared" si="11"/>
        <v>10841.319498118546</v>
      </c>
      <c r="N17" s="548">
        <f t="shared" si="11"/>
        <v>5718.4653894587991</v>
      </c>
    </row>
    <row r="18" spans="2:15" ht="16.5" thickTop="1" thickBot="1">
      <c r="B18" s="549" t="s">
        <v>180</v>
      </c>
      <c r="C18" s="550">
        <f>+SUM(C14:C17)</f>
        <v>0</v>
      </c>
      <c r="D18" s="551">
        <f t="shared" ref="D18" si="12">+SUM(D14:D17)</f>
        <v>26474.489644025292</v>
      </c>
      <c r="E18" s="551">
        <f t="shared" ref="E18" si="13">+SUM(E14:E17)</f>
        <v>74092.288775822351</v>
      </c>
      <c r="F18" s="551">
        <f t="shared" ref="F18" si="14">+SUM(F14:F17)</f>
        <v>105664.23187697667</v>
      </c>
      <c r="G18" s="551">
        <f t="shared" ref="G18" si="15">+SUM(G14:G17)</f>
        <v>108347.63249409037</v>
      </c>
      <c r="H18" s="551">
        <f t="shared" ref="H18" si="16">+SUM(H14:H17)</f>
        <v>89601.859457910279</v>
      </c>
      <c r="I18" s="551">
        <f t="shared" ref="I18" si="17">+SUM(I14:I17)</f>
        <v>64998.366953343575</v>
      </c>
      <c r="J18" s="551">
        <f t="shared" ref="J18" si="18">+SUM(J14:J17)</f>
        <v>50206.004971967748</v>
      </c>
      <c r="K18" s="551">
        <f t="shared" ref="K18" si="19">+SUM(K14:K17)</f>
        <v>41970.689384613383</v>
      </c>
      <c r="L18" s="551">
        <f t="shared" ref="L18" si="20">+SUM(L14:L17)</f>
        <v>36509.378839846067</v>
      </c>
      <c r="M18" s="551">
        <f t="shared" ref="M18" si="21">+SUM(M14:M17)</f>
        <v>31471.09612982336</v>
      </c>
      <c r="N18" s="552">
        <f t="shared" ref="N18" si="22">+SUM(N14:N17)</f>
        <v>39773.947704885883</v>
      </c>
      <c r="O18" s="187">
        <f>SUM(C18:N18)</f>
        <v>669109.98623330507</v>
      </c>
    </row>
    <row r="19" spans="2:15" ht="6.75" customHeight="1" thickBot="1">
      <c r="B19" s="553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</row>
    <row r="20" spans="2:15" ht="15.75" thickBot="1">
      <c r="B20" s="555" t="s">
        <v>181</v>
      </c>
      <c r="C20" s="556">
        <f t="shared" ref="C20:N20" si="23">C11+C18</f>
        <v>26472.45773975673</v>
      </c>
      <c r="D20" s="556">
        <f t="shared" si="23"/>
        <v>56302.322276557185</v>
      </c>
      <c r="E20" s="556">
        <f t="shared" si="23"/>
        <v>118951.93116086867</v>
      </c>
      <c r="F20" s="556">
        <f t="shared" si="23"/>
        <v>144558.84818825958</v>
      </c>
      <c r="G20" s="556">
        <f t="shared" si="23"/>
        <v>129465.53911737561</v>
      </c>
      <c r="H20" s="556">
        <f t="shared" si="23"/>
        <v>105395.34314752551</v>
      </c>
      <c r="I20" s="556">
        <f t="shared" si="23"/>
        <v>81638.512340390531</v>
      </c>
      <c r="J20" s="556">
        <f t="shared" si="23"/>
        <v>69877.444415117556</v>
      </c>
      <c r="K20" s="556">
        <f t="shared" si="23"/>
        <v>53643.290936014928</v>
      </c>
      <c r="L20" s="556">
        <f t="shared" si="23"/>
        <v>48028.344562995866</v>
      </c>
      <c r="M20" s="556">
        <f t="shared" si="23"/>
        <v>41166.740788424904</v>
      </c>
      <c r="N20" s="556">
        <f t="shared" si="23"/>
        <v>66671.194934965126</v>
      </c>
      <c r="O20" s="187">
        <f>SUM(C20:N20)</f>
        <v>942171.96960825217</v>
      </c>
    </row>
    <row r="21" spans="2:15" ht="15.75" thickBot="1">
      <c r="B21" s="557" t="s">
        <v>180</v>
      </c>
      <c r="C21" s="558">
        <v>0</v>
      </c>
      <c r="D21" s="559">
        <f>SUM(D22:D28)</f>
        <v>40967.116900637375</v>
      </c>
      <c r="E21" s="559">
        <f t="shared" ref="E21" si="24">SUM(E22:E28)</f>
        <v>61273.330765841325</v>
      </c>
      <c r="F21" s="559">
        <f t="shared" ref="F21" si="25">SUM(F22:F28)</f>
        <v>53176.569271731816</v>
      </c>
      <c r="G21" s="559">
        <f t="shared" ref="G21" si="26">SUM(G22:G28)</f>
        <v>28964.309055500209</v>
      </c>
      <c r="H21" s="559">
        <f t="shared" ref="H21" si="27">SUM(H22:H28)</f>
        <v>21584.434102624891</v>
      </c>
      <c r="I21" s="559">
        <f t="shared" ref="I21" si="28">SUM(I22:I28)</f>
        <v>22847.597508134437</v>
      </c>
      <c r="J21" s="559">
        <f t="shared" ref="J21" si="29">SUM(J22:J28)</f>
        <v>27050.146354362852</v>
      </c>
      <c r="K21" s="559">
        <f t="shared" ref="K21" si="30">SUM(K22:K28)</f>
        <v>15992.439003823609</v>
      </c>
      <c r="L21" s="559">
        <f t="shared" ref="L21" si="31">SUM(L22:L28)</f>
        <v>15799.534642362849</v>
      </c>
      <c r="M21" s="559">
        <f t="shared" ref="M21" si="32">SUM(M22:M28)</f>
        <v>13273.828487023608</v>
      </c>
      <c r="N21" s="560">
        <f t="shared" ref="N21" si="33">SUM(N22:N28)</f>
        <v>36985.761125609752</v>
      </c>
      <c r="O21" s="187">
        <f t="shared" ref="O21:O37" si="34">SUM(C21:N21)</f>
        <v>337915.06721765269</v>
      </c>
    </row>
    <row r="22" spans="2:15" ht="15.75" thickTop="1">
      <c r="B22" s="15" t="s">
        <v>56</v>
      </c>
      <c r="C22" s="561">
        <v>0</v>
      </c>
      <c r="D22" s="561">
        <f t="shared" ref="D22:N22" si="35">(D43*0.6)*$D80</f>
        <v>3628.3944959999999</v>
      </c>
      <c r="E22" s="561">
        <f t="shared" si="35"/>
        <v>14513.577984</v>
      </c>
      <c r="F22" s="561">
        <f t="shared" si="35"/>
        <v>11610.862387200001</v>
      </c>
      <c r="G22" s="561">
        <f t="shared" si="35"/>
        <v>2902.7155968000002</v>
      </c>
      <c r="H22" s="561">
        <f t="shared" si="35"/>
        <v>362.83944960000002</v>
      </c>
      <c r="I22" s="561">
        <f t="shared" si="35"/>
        <v>362.83944960000002</v>
      </c>
      <c r="J22" s="561">
        <f t="shared" si="35"/>
        <v>362.83944960000002</v>
      </c>
      <c r="K22" s="561">
        <f t="shared" si="35"/>
        <v>362.83944960000002</v>
      </c>
      <c r="L22" s="561">
        <f t="shared" si="35"/>
        <v>362.83944960000002</v>
      </c>
      <c r="M22" s="561">
        <f t="shared" si="35"/>
        <v>181.41972480000001</v>
      </c>
      <c r="N22" s="561">
        <f t="shared" si="35"/>
        <v>181.41972480000001</v>
      </c>
      <c r="O22" s="187">
        <f t="shared" si="34"/>
        <v>34832.587161599979</v>
      </c>
    </row>
    <row r="23" spans="2:15">
      <c r="B23" s="479" t="s">
        <v>57</v>
      </c>
      <c r="C23" s="561">
        <v>0</v>
      </c>
      <c r="D23" s="561">
        <f t="shared" ref="D23:N28" si="36">(D44*0.6)*$D81</f>
        <v>5529.2579999999989</v>
      </c>
      <c r="E23" s="561">
        <f t="shared" si="36"/>
        <v>21011.180399999994</v>
      </c>
      <c r="F23" s="561">
        <f t="shared" si="36"/>
        <v>16587.773999999998</v>
      </c>
      <c r="G23" s="561">
        <f t="shared" si="36"/>
        <v>4423.4063999999998</v>
      </c>
      <c r="H23" s="561">
        <f t="shared" si="36"/>
        <v>552.92579999999998</v>
      </c>
      <c r="I23" s="561">
        <f t="shared" si="36"/>
        <v>552.92579999999998</v>
      </c>
      <c r="J23" s="561">
        <f t="shared" si="36"/>
        <v>1658.7773999999995</v>
      </c>
      <c r="K23" s="561">
        <f t="shared" si="36"/>
        <v>1105.8516</v>
      </c>
      <c r="L23" s="561">
        <f t="shared" si="36"/>
        <v>552.92579999999998</v>
      </c>
      <c r="M23" s="561">
        <f t="shared" si="36"/>
        <v>552.92579999999998</v>
      </c>
      <c r="N23" s="561">
        <f t="shared" si="36"/>
        <v>552.92579999999998</v>
      </c>
      <c r="O23" s="187">
        <f t="shared" si="34"/>
        <v>53080.876799999976</v>
      </c>
    </row>
    <row r="24" spans="2:15">
      <c r="B24" s="479" t="s">
        <v>91</v>
      </c>
      <c r="C24" s="561">
        <v>0</v>
      </c>
      <c r="D24" s="561">
        <f>(D46*0.6)*$D82</f>
        <v>2681.2218240000002</v>
      </c>
      <c r="E24" s="561">
        <f t="shared" ref="E24:N24" si="37">(E46*0.6)*$D82</f>
        <v>2234.3515200000006</v>
      </c>
      <c r="F24" s="561">
        <f t="shared" si="37"/>
        <v>2234.3515200000006</v>
      </c>
      <c r="G24" s="561">
        <f t="shared" si="37"/>
        <v>1117.1757600000003</v>
      </c>
      <c r="H24" s="561">
        <f t="shared" si="37"/>
        <v>1340.6109120000001</v>
      </c>
      <c r="I24" s="561">
        <f t="shared" si="37"/>
        <v>1787.4812160000006</v>
      </c>
      <c r="J24" s="561">
        <f t="shared" si="37"/>
        <v>2234.3515200000006</v>
      </c>
      <c r="K24" s="561">
        <f t="shared" si="37"/>
        <v>893.74060800000029</v>
      </c>
      <c r="L24" s="561">
        <f t="shared" si="37"/>
        <v>893.74060800000029</v>
      </c>
      <c r="M24" s="561">
        <f t="shared" si="37"/>
        <v>670.30545600000005</v>
      </c>
      <c r="N24" s="561">
        <f t="shared" si="37"/>
        <v>2904.6569760000007</v>
      </c>
      <c r="O24" s="187">
        <f t="shared" si="34"/>
        <v>18991.987920000003</v>
      </c>
    </row>
    <row r="25" spans="2:15">
      <c r="B25" s="479" t="s">
        <v>58</v>
      </c>
      <c r="C25" s="561">
        <v>0</v>
      </c>
      <c r="D25" s="561">
        <f>(D45*0.6)*$D83</f>
        <v>21129.958079999997</v>
      </c>
      <c r="E25" s="561">
        <f t="shared" ref="E25:N25" si="38">(E45*0.6)*$D83</f>
        <v>17608.2984</v>
      </c>
      <c r="F25" s="561">
        <f t="shared" si="38"/>
        <v>17608.2984</v>
      </c>
      <c r="G25" s="561">
        <f t="shared" si="38"/>
        <v>8804.1491999999998</v>
      </c>
      <c r="H25" s="561">
        <f t="shared" si="38"/>
        <v>10564.979039999998</v>
      </c>
      <c r="I25" s="561">
        <f t="shared" si="38"/>
        <v>14086.638719999999</v>
      </c>
      <c r="J25" s="561">
        <f t="shared" si="38"/>
        <v>17608.2984</v>
      </c>
      <c r="K25" s="561">
        <f t="shared" si="38"/>
        <v>8804.1491999999998</v>
      </c>
      <c r="L25" s="561">
        <f t="shared" si="38"/>
        <v>8804.1491999999998</v>
      </c>
      <c r="M25" s="561">
        <f t="shared" si="38"/>
        <v>7043.3193599999995</v>
      </c>
      <c r="N25" s="561">
        <f t="shared" si="38"/>
        <v>21129.958079999997</v>
      </c>
      <c r="O25" s="187">
        <f t="shared" si="34"/>
        <v>153192.19608000002</v>
      </c>
    </row>
    <row r="26" spans="2:15">
      <c r="B26" s="479" t="s">
        <v>51</v>
      </c>
      <c r="C26" s="561">
        <v>0</v>
      </c>
      <c r="D26" s="561">
        <f t="shared" si="36"/>
        <v>2874.3264113919267</v>
      </c>
      <c r="E26" s="561">
        <f t="shared" si="36"/>
        <v>2874.3264113919267</v>
      </c>
      <c r="F26" s="561">
        <f t="shared" si="36"/>
        <v>2463.7083526216516</v>
      </c>
      <c r="G26" s="561">
        <f t="shared" si="36"/>
        <v>3284.9444701622024</v>
      </c>
      <c r="H26" s="561">
        <f t="shared" si="36"/>
        <v>6159.2708815541291</v>
      </c>
      <c r="I26" s="561">
        <f t="shared" si="36"/>
        <v>4106.1805877027527</v>
      </c>
      <c r="J26" s="561">
        <f t="shared" si="36"/>
        <v>2874.3264113919267</v>
      </c>
      <c r="K26" s="561">
        <f t="shared" si="36"/>
        <v>2874.3264113919267</v>
      </c>
      <c r="L26" s="561">
        <f t="shared" si="36"/>
        <v>2874.3264113919267</v>
      </c>
      <c r="M26" s="561">
        <f t="shared" si="36"/>
        <v>2874.3264113919267</v>
      </c>
      <c r="N26" s="561">
        <f t="shared" si="36"/>
        <v>4927.4167052433031</v>
      </c>
      <c r="O26" s="187">
        <f t="shared" si="34"/>
        <v>38187.47946563561</v>
      </c>
    </row>
    <row r="27" spans="2:15">
      <c r="B27" s="479" t="s">
        <v>53</v>
      </c>
      <c r="C27" s="561">
        <v>0</v>
      </c>
      <c r="D27" s="561">
        <f t="shared" si="36"/>
        <v>4320.2572624708837</v>
      </c>
      <c r="E27" s="561">
        <f t="shared" si="36"/>
        <v>2520.1500697746833</v>
      </c>
      <c r="F27" s="561">
        <f t="shared" si="36"/>
        <v>2160.1286312354418</v>
      </c>
      <c r="G27" s="561">
        <f t="shared" si="36"/>
        <v>7920.471647863289</v>
      </c>
      <c r="H27" s="561">
        <f t="shared" si="36"/>
        <v>1800.1071926962018</v>
      </c>
      <c r="I27" s="561">
        <f t="shared" si="36"/>
        <v>1440.0857541569617</v>
      </c>
      <c r="J27" s="561">
        <f t="shared" si="36"/>
        <v>1800.1071926962018</v>
      </c>
      <c r="K27" s="561">
        <f t="shared" si="36"/>
        <v>1440.0857541569617</v>
      </c>
      <c r="L27" s="561">
        <f t="shared" si="36"/>
        <v>1800.1071926962018</v>
      </c>
      <c r="M27" s="561">
        <f t="shared" si="36"/>
        <v>1440.0857541569617</v>
      </c>
      <c r="N27" s="561">
        <f t="shared" si="36"/>
        <v>6120.3644551670877</v>
      </c>
      <c r="O27" s="187">
        <f t="shared" si="34"/>
        <v>32761.950907070877</v>
      </c>
    </row>
    <row r="28" spans="2:15" ht="15.75" thickBot="1">
      <c r="B28" s="562" t="s">
        <v>92</v>
      </c>
      <c r="C28" s="561">
        <v>0</v>
      </c>
      <c r="D28" s="561">
        <f t="shared" si="36"/>
        <v>803.70082677456003</v>
      </c>
      <c r="E28" s="561">
        <f t="shared" si="36"/>
        <v>511.44598067472015</v>
      </c>
      <c r="F28" s="561">
        <f t="shared" si="36"/>
        <v>511.44598067472015</v>
      </c>
      <c r="G28" s="561">
        <f t="shared" si="36"/>
        <v>511.44598067472015</v>
      </c>
      <c r="H28" s="561">
        <f t="shared" si="36"/>
        <v>803.70082677456003</v>
      </c>
      <c r="I28" s="561">
        <f t="shared" si="36"/>
        <v>511.44598067472015</v>
      </c>
      <c r="J28" s="561">
        <f t="shared" si="36"/>
        <v>511.44598067472015</v>
      </c>
      <c r="K28" s="561">
        <f t="shared" si="36"/>
        <v>511.44598067472015</v>
      </c>
      <c r="L28" s="561">
        <f t="shared" si="36"/>
        <v>511.44598067472015</v>
      </c>
      <c r="M28" s="561">
        <f t="shared" si="36"/>
        <v>511.44598067472015</v>
      </c>
      <c r="N28" s="561">
        <f t="shared" si="36"/>
        <v>1169.0193843993602</v>
      </c>
      <c r="O28" s="187">
        <f t="shared" si="34"/>
        <v>6867.988883346241</v>
      </c>
    </row>
    <row r="29" spans="2:15" s="232" customFormat="1" ht="6.75" customHeight="1" thickBot="1"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187"/>
    </row>
    <row r="30" spans="2:15" ht="15.75" thickBot="1">
      <c r="B30" s="13" t="s">
        <v>171</v>
      </c>
      <c r="C30" s="563">
        <f>SUM(C31:C34)</f>
        <v>83798.973090878266</v>
      </c>
      <c r="D30" s="564">
        <f t="shared" ref="D30:N30" si="39">SUM(D31:D34)</f>
        <v>16172.926371051046</v>
      </c>
      <c r="E30" s="564">
        <f t="shared" si="39"/>
        <v>20086.307503985649</v>
      </c>
      <c r="F30" s="564">
        <f t="shared" si="39"/>
        <v>61112.630846114356</v>
      </c>
      <c r="G30" s="564">
        <f t="shared" si="39"/>
        <v>23071.147673795404</v>
      </c>
      <c r="H30" s="564">
        <f t="shared" si="39"/>
        <v>93937.256092912052</v>
      </c>
      <c r="I30" s="564">
        <f t="shared" si="39"/>
        <v>19939.727662278903</v>
      </c>
      <c r="J30" s="564">
        <f t="shared" si="39"/>
        <v>57279.434695448683</v>
      </c>
      <c r="K30" s="564">
        <f t="shared" si="39"/>
        <v>17364.152750684207</v>
      </c>
      <c r="L30" s="564">
        <f t="shared" si="39"/>
        <v>15993.478379424694</v>
      </c>
      <c r="M30" s="564">
        <f t="shared" si="39"/>
        <v>15213.28774423522</v>
      </c>
      <c r="N30" s="564">
        <f t="shared" si="39"/>
        <v>55505.255833562973</v>
      </c>
      <c r="O30" s="187">
        <f t="shared" si="34"/>
        <v>479474.57864437153</v>
      </c>
    </row>
    <row r="31" spans="2:15" ht="15.75" thickTop="1">
      <c r="B31" s="15" t="s">
        <v>357</v>
      </c>
      <c r="C31" s="565">
        <f>C111</f>
        <v>2189.4405057192116</v>
      </c>
      <c r="D31" s="566">
        <f>D111</f>
        <v>6121.7189255199028</v>
      </c>
      <c r="E31" s="566">
        <f t="shared" ref="E31:N31" si="40">E111</f>
        <v>8782.1078807682752</v>
      </c>
      <c r="F31" s="566">
        <f t="shared" si="40"/>
        <v>10735.060482349163</v>
      </c>
      <c r="G31" s="566">
        <f t="shared" si="40"/>
        <v>11556.675891447894</v>
      </c>
      <c r="H31" s="566">
        <f t="shared" si="40"/>
        <v>10749.265799597641</v>
      </c>
      <c r="I31" s="566">
        <f t="shared" si="40"/>
        <v>9381.7964154710935</v>
      </c>
      <c r="J31" s="566">
        <f t="shared" si="40"/>
        <v>8395.4924071463229</v>
      </c>
      <c r="K31" s="566">
        <f t="shared" si="40"/>
        <v>7366.1259319639084</v>
      </c>
      <c r="L31" s="566">
        <f t="shared" si="40"/>
        <v>6107.7504881647774</v>
      </c>
      <c r="M31" s="566">
        <f t="shared" si="40"/>
        <v>5464.7919284667223</v>
      </c>
      <c r="N31" s="566">
        <f t="shared" si="40"/>
        <v>6685.4385348636615</v>
      </c>
      <c r="O31" s="187">
        <f t="shared" si="34"/>
        <v>93535.665191478576</v>
      </c>
    </row>
    <row r="32" spans="2:15">
      <c r="B32" s="15" t="s">
        <v>358</v>
      </c>
      <c r="C32" s="565">
        <f>Importaciones!C49</f>
        <v>72154.92243036392</v>
      </c>
      <c r="D32" s="566"/>
      <c r="E32" s="567"/>
      <c r="F32" s="566">
        <f>+Importaciones!C111</f>
        <v>38561.232400000008</v>
      </c>
      <c r="G32" s="566"/>
      <c r="H32" s="566">
        <f>Importaciones!C49</f>
        <v>72154.92243036392</v>
      </c>
      <c r="I32" s="566"/>
      <c r="J32" s="566">
        <f>+F32</f>
        <v>38561.232400000008</v>
      </c>
      <c r="K32" s="566"/>
      <c r="L32" s="566"/>
      <c r="M32" s="566"/>
      <c r="N32" s="568">
        <f>+J32</f>
        <v>38561.232400000008</v>
      </c>
      <c r="O32" s="187">
        <f t="shared" si="34"/>
        <v>259993.54206072786</v>
      </c>
    </row>
    <row r="33" spans="2:15">
      <c r="B33" s="569" t="s">
        <v>172</v>
      </c>
      <c r="C33" s="570">
        <f>Costos!$E$27</f>
        <v>8925.1610000000001</v>
      </c>
      <c r="D33" s="570">
        <f>Costos!$E$27</f>
        <v>8925.1610000000001</v>
      </c>
      <c r="E33" s="570">
        <f>Costos!$E$27</f>
        <v>8925.1610000000001</v>
      </c>
      <c r="F33" s="570">
        <f>Costos!$E$27</f>
        <v>8925.1610000000001</v>
      </c>
      <c r="G33" s="570">
        <f>Costos!$E$27</f>
        <v>8925.1610000000001</v>
      </c>
      <c r="H33" s="570">
        <f>Costos!$E$27</f>
        <v>8925.1610000000001</v>
      </c>
      <c r="I33" s="570">
        <f>Costos!$E$27</f>
        <v>8925.1610000000001</v>
      </c>
      <c r="J33" s="570">
        <f>Costos!$E$27</f>
        <v>8925.1610000000001</v>
      </c>
      <c r="K33" s="570">
        <f>Costos!$E$27</f>
        <v>8925.1610000000001</v>
      </c>
      <c r="L33" s="570">
        <f>Costos!$E$27</f>
        <v>8925.1610000000001</v>
      </c>
      <c r="M33" s="570">
        <f>Costos!$E$27</f>
        <v>8925.1610000000001</v>
      </c>
      <c r="N33" s="571">
        <f>Costos!$E$27</f>
        <v>8925.1610000000001</v>
      </c>
      <c r="O33" s="187">
        <f t="shared" si="34"/>
        <v>107101.93199999997</v>
      </c>
    </row>
    <row r="34" spans="2:15" ht="15.75" thickBot="1">
      <c r="B34" s="572" t="s">
        <v>173</v>
      </c>
      <c r="C34" s="611">
        <f>C20*0.02</f>
        <v>529.44915479513463</v>
      </c>
      <c r="D34" s="611">
        <f t="shared" ref="D34:N34" si="41">D20*0.02</f>
        <v>1126.0464455311437</v>
      </c>
      <c r="E34" s="611">
        <f t="shared" si="41"/>
        <v>2379.0386232173732</v>
      </c>
      <c r="F34" s="611">
        <f t="shared" si="41"/>
        <v>2891.1769637651919</v>
      </c>
      <c r="G34" s="611">
        <f t="shared" si="41"/>
        <v>2589.310782347512</v>
      </c>
      <c r="H34" s="611">
        <f t="shared" si="41"/>
        <v>2107.90686295051</v>
      </c>
      <c r="I34" s="611">
        <f t="shared" si="41"/>
        <v>1632.7702468078107</v>
      </c>
      <c r="J34" s="611">
        <f t="shared" si="41"/>
        <v>1397.5488883023511</v>
      </c>
      <c r="K34" s="611">
        <f t="shared" si="41"/>
        <v>1072.8658187202986</v>
      </c>
      <c r="L34" s="611">
        <f t="shared" si="41"/>
        <v>960.56689125991738</v>
      </c>
      <c r="M34" s="611">
        <f t="shared" si="41"/>
        <v>823.33481576849806</v>
      </c>
      <c r="N34" s="611">
        <f t="shared" si="41"/>
        <v>1333.4238986993025</v>
      </c>
      <c r="O34" s="187"/>
    </row>
    <row r="35" spans="2:15" s="232" customFormat="1" ht="6.75" customHeight="1" thickBot="1">
      <c r="B35" s="573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187"/>
    </row>
    <row r="36" spans="2:15" ht="15.75" thickBot="1">
      <c r="B36" s="574" t="s">
        <v>174</v>
      </c>
      <c r="C36" s="575">
        <f>C20-C30</f>
        <v>-57326.515351121532</v>
      </c>
      <c r="D36" s="575">
        <f t="shared" ref="D36:N36" si="42">D20-D30</f>
        <v>40129.395905506142</v>
      </c>
      <c r="E36" s="575">
        <f t="shared" si="42"/>
        <v>98865.623656883021</v>
      </c>
      <c r="F36" s="575">
        <f t="shared" si="42"/>
        <v>83446.217342145217</v>
      </c>
      <c r="G36" s="575">
        <f t="shared" si="42"/>
        <v>106394.3914435802</v>
      </c>
      <c r="H36" s="575">
        <f t="shared" si="42"/>
        <v>11458.087054613454</v>
      </c>
      <c r="I36" s="575">
        <f t="shared" si="42"/>
        <v>61698.784678111624</v>
      </c>
      <c r="J36" s="575">
        <f t="shared" si="42"/>
        <v>12598.009719668873</v>
      </c>
      <c r="K36" s="575">
        <f t="shared" si="42"/>
        <v>36279.138185330725</v>
      </c>
      <c r="L36" s="575">
        <f t="shared" si="42"/>
        <v>32034.866183571172</v>
      </c>
      <c r="M36" s="575">
        <f t="shared" si="42"/>
        <v>25953.453044189686</v>
      </c>
      <c r="N36" s="575">
        <f t="shared" si="42"/>
        <v>11165.939101402153</v>
      </c>
      <c r="O36" s="187">
        <f t="shared" si="34"/>
        <v>462697.39096388069</v>
      </c>
    </row>
    <row r="37" spans="2:15" ht="15.75" thickBot="1">
      <c r="B37" s="574" t="s">
        <v>175</v>
      </c>
      <c r="C37" s="576">
        <f>C36</f>
        <v>-57326.515351121532</v>
      </c>
      <c r="D37" s="577">
        <f>C37+D36</f>
        <v>-17197.11944561539</v>
      </c>
      <c r="E37" s="577">
        <f t="shared" ref="E37:N37" si="43">D37+E36</f>
        <v>81668.504211267631</v>
      </c>
      <c r="F37" s="577">
        <f t="shared" si="43"/>
        <v>165114.72155341285</v>
      </c>
      <c r="G37" s="577">
        <f t="shared" si="43"/>
        <v>271509.11299699306</v>
      </c>
      <c r="H37" s="577">
        <f t="shared" si="43"/>
        <v>282967.20005160652</v>
      </c>
      <c r="I37" s="577">
        <f t="shared" si="43"/>
        <v>344665.98472971813</v>
      </c>
      <c r="J37" s="577">
        <f t="shared" si="43"/>
        <v>357263.99444938701</v>
      </c>
      <c r="K37" s="577">
        <f t="shared" si="43"/>
        <v>393543.13263471774</v>
      </c>
      <c r="L37" s="577">
        <f t="shared" si="43"/>
        <v>425577.99881828891</v>
      </c>
      <c r="M37" s="577">
        <f t="shared" si="43"/>
        <v>451531.45186247857</v>
      </c>
      <c r="N37" s="577">
        <f t="shared" si="43"/>
        <v>462697.39096388069</v>
      </c>
      <c r="O37" s="187">
        <f t="shared" si="34"/>
        <v>3162015.8574750144</v>
      </c>
    </row>
    <row r="38" spans="2:15" ht="6.75" customHeight="1" thickBot="1">
      <c r="B38" s="5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</row>
    <row r="39" spans="2:15" ht="15.75" thickBot="1">
      <c r="B39" s="580" t="s">
        <v>280</v>
      </c>
      <c r="C39" s="579">
        <f>+MIN(C37:N37)</f>
        <v>-57326.515351121532</v>
      </c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</row>
    <row r="41" spans="2:15" ht="15.75" thickBot="1"/>
    <row r="42" spans="2:15" ht="15.75" thickBot="1">
      <c r="B42" s="213" t="s">
        <v>11</v>
      </c>
      <c r="C42" s="218" t="s">
        <v>158</v>
      </c>
      <c r="D42" s="219" t="s">
        <v>159</v>
      </c>
      <c r="E42" s="219" t="s">
        <v>160</v>
      </c>
      <c r="F42" s="219" t="s">
        <v>161</v>
      </c>
      <c r="G42" s="219" t="s">
        <v>162</v>
      </c>
      <c r="H42" s="219" t="s">
        <v>163</v>
      </c>
      <c r="I42" s="219" t="s">
        <v>164</v>
      </c>
      <c r="J42" s="219" t="s">
        <v>165</v>
      </c>
      <c r="K42" s="219" t="s">
        <v>166</v>
      </c>
      <c r="L42" s="219" t="s">
        <v>167</v>
      </c>
      <c r="M42" s="219" t="s">
        <v>168</v>
      </c>
      <c r="N42" s="220" t="s">
        <v>169</v>
      </c>
    </row>
    <row r="43" spans="2:15" ht="15.75" thickTop="1">
      <c r="B43" s="214" t="s">
        <v>56</v>
      </c>
      <c r="C43" s="221">
        <f>$O43*C53</f>
        <v>125.98592000000001</v>
      </c>
      <c r="D43" s="43">
        <f t="shared" ref="D43:N43" si="44">$O43*D53</f>
        <v>314.96480000000003</v>
      </c>
      <c r="E43" s="43">
        <f t="shared" si="44"/>
        <v>1259.8592000000001</v>
      </c>
      <c r="F43" s="43">
        <f t="shared" si="44"/>
        <v>1007.8873600000001</v>
      </c>
      <c r="G43" s="43">
        <f t="shared" si="44"/>
        <v>251.97184000000001</v>
      </c>
      <c r="H43" s="43">
        <f t="shared" si="44"/>
        <v>31.496480000000002</v>
      </c>
      <c r="I43" s="43">
        <f t="shared" si="44"/>
        <v>31.496480000000002</v>
      </c>
      <c r="J43" s="43">
        <f t="shared" si="44"/>
        <v>31.496480000000002</v>
      </c>
      <c r="K43" s="43">
        <f t="shared" si="44"/>
        <v>31.496480000000002</v>
      </c>
      <c r="L43" s="43">
        <f t="shared" si="44"/>
        <v>31.496480000000002</v>
      </c>
      <c r="M43" s="43">
        <f t="shared" si="44"/>
        <v>15.748240000000001</v>
      </c>
      <c r="N43" s="44">
        <f t="shared" si="44"/>
        <v>15.748240000000001</v>
      </c>
      <c r="O43" s="28">
        <f>Demanda!B3</f>
        <v>3149.6480000000001</v>
      </c>
    </row>
    <row r="44" spans="2:15">
      <c r="B44" s="215" t="s">
        <v>57</v>
      </c>
      <c r="C44" s="222">
        <f t="shared" ref="C44:N49" si="45">$O44*C54</f>
        <v>184.30859999999998</v>
      </c>
      <c r="D44" s="45">
        <f t="shared" si="45"/>
        <v>460.77149999999995</v>
      </c>
      <c r="E44" s="45">
        <f t="shared" si="45"/>
        <v>1750.9316999999996</v>
      </c>
      <c r="F44" s="45">
        <f t="shared" si="45"/>
        <v>1382.3144999999997</v>
      </c>
      <c r="G44" s="45">
        <f t="shared" si="45"/>
        <v>368.61719999999997</v>
      </c>
      <c r="H44" s="45">
        <f t="shared" si="45"/>
        <v>46.077149999999996</v>
      </c>
      <c r="I44" s="45">
        <f t="shared" si="45"/>
        <v>46.077149999999996</v>
      </c>
      <c r="J44" s="45">
        <f t="shared" si="45"/>
        <v>138.23144999999997</v>
      </c>
      <c r="K44" s="45">
        <f t="shared" si="45"/>
        <v>92.154299999999992</v>
      </c>
      <c r="L44" s="45">
        <f t="shared" si="45"/>
        <v>46.077149999999996</v>
      </c>
      <c r="M44" s="45">
        <f t="shared" si="45"/>
        <v>46.077149999999996</v>
      </c>
      <c r="N44" s="46">
        <f t="shared" si="45"/>
        <v>46.077149999999996</v>
      </c>
      <c r="O44" s="28">
        <f>Demanda!B4</f>
        <v>4607.7149999999992</v>
      </c>
    </row>
    <row r="45" spans="2:15">
      <c r="B45" s="215" t="s">
        <v>58</v>
      </c>
      <c r="C45" s="222">
        <f t="shared" si="45"/>
        <v>1059.7587000000001</v>
      </c>
      <c r="D45" s="45">
        <f t="shared" si="45"/>
        <v>978.23879999999997</v>
      </c>
      <c r="E45" s="45">
        <f t="shared" si="45"/>
        <v>815.19900000000007</v>
      </c>
      <c r="F45" s="45">
        <f t="shared" si="45"/>
        <v>815.19900000000007</v>
      </c>
      <c r="G45" s="45">
        <f t="shared" si="45"/>
        <v>407.59950000000003</v>
      </c>
      <c r="H45" s="45">
        <f t="shared" si="45"/>
        <v>489.11939999999998</v>
      </c>
      <c r="I45" s="45">
        <f t="shared" si="45"/>
        <v>652.15919999999994</v>
      </c>
      <c r="J45" s="45">
        <f t="shared" si="45"/>
        <v>815.19900000000007</v>
      </c>
      <c r="K45" s="45">
        <f t="shared" si="45"/>
        <v>407.59950000000003</v>
      </c>
      <c r="L45" s="45">
        <f t="shared" si="45"/>
        <v>407.59950000000003</v>
      </c>
      <c r="M45" s="45">
        <f t="shared" si="45"/>
        <v>326.07959999999997</v>
      </c>
      <c r="N45" s="46">
        <f t="shared" si="45"/>
        <v>978.23879999999997</v>
      </c>
      <c r="O45" s="28">
        <f>Demanda!B5</f>
        <v>8151.99</v>
      </c>
    </row>
    <row r="46" spans="2:15">
      <c r="B46" s="215" t="s">
        <v>356</v>
      </c>
      <c r="C46" s="222">
        <f t="shared" si="45"/>
        <v>465.48990000000003</v>
      </c>
      <c r="D46" s="45">
        <f t="shared" si="45"/>
        <v>372.39192000000003</v>
      </c>
      <c r="E46" s="45">
        <f>$O46*E56</f>
        <v>310.3266000000001</v>
      </c>
      <c r="F46" s="45">
        <f t="shared" si="45"/>
        <v>310.3266000000001</v>
      </c>
      <c r="G46" s="45">
        <f t="shared" si="45"/>
        <v>155.16330000000005</v>
      </c>
      <c r="H46" s="45">
        <f t="shared" si="45"/>
        <v>186.19596000000001</v>
      </c>
      <c r="I46" s="45">
        <f t="shared" si="45"/>
        <v>248.26128000000006</v>
      </c>
      <c r="J46" s="45">
        <f t="shared" si="45"/>
        <v>310.3266000000001</v>
      </c>
      <c r="K46" s="45">
        <f t="shared" si="45"/>
        <v>124.13064000000003</v>
      </c>
      <c r="L46" s="45">
        <f t="shared" si="45"/>
        <v>124.13064000000003</v>
      </c>
      <c r="M46" s="45">
        <f t="shared" si="45"/>
        <v>93.097980000000007</v>
      </c>
      <c r="N46" s="46">
        <f t="shared" si="45"/>
        <v>403.42458000000011</v>
      </c>
      <c r="O46" s="28">
        <f>Demanda!B6</f>
        <v>3103.2660000000005</v>
      </c>
    </row>
    <row r="47" spans="2:15">
      <c r="B47" s="215" t="s">
        <v>51</v>
      </c>
      <c r="C47" s="222">
        <f t="shared" si="45"/>
        <v>239.52720094932727</v>
      </c>
      <c r="D47" s="45">
        <f t="shared" si="45"/>
        <v>239.52720094932727</v>
      </c>
      <c r="E47" s="45">
        <f t="shared" si="45"/>
        <v>239.52720094932727</v>
      </c>
      <c r="F47" s="45">
        <f t="shared" si="45"/>
        <v>205.30902938513762</v>
      </c>
      <c r="G47" s="45">
        <f t="shared" si="45"/>
        <v>273.74537251351688</v>
      </c>
      <c r="H47" s="45">
        <f t="shared" si="45"/>
        <v>513.27257346284409</v>
      </c>
      <c r="I47" s="45">
        <f t="shared" si="45"/>
        <v>342.18171564189606</v>
      </c>
      <c r="J47" s="45">
        <f t="shared" si="45"/>
        <v>239.52720094932727</v>
      </c>
      <c r="K47" s="45">
        <f t="shared" si="45"/>
        <v>239.52720094932727</v>
      </c>
      <c r="L47" s="45">
        <f t="shared" si="45"/>
        <v>239.52720094932727</v>
      </c>
      <c r="M47" s="45">
        <f t="shared" si="45"/>
        <v>239.52720094932727</v>
      </c>
      <c r="N47" s="46">
        <f t="shared" si="45"/>
        <v>410.61805877027524</v>
      </c>
      <c r="O47" s="28">
        <f>Demanda!B7</f>
        <v>3421.8171564189606</v>
      </c>
    </row>
    <row r="48" spans="2:15">
      <c r="B48" s="215" t="s">
        <v>53</v>
      </c>
      <c r="C48" s="222">
        <f t="shared" si="45"/>
        <v>240.0142923594936</v>
      </c>
      <c r="D48" s="45">
        <f t="shared" si="45"/>
        <v>320.01905647932477</v>
      </c>
      <c r="E48" s="45">
        <f t="shared" si="45"/>
        <v>186.67778294627283</v>
      </c>
      <c r="F48" s="45">
        <f t="shared" si="45"/>
        <v>160.00952823966239</v>
      </c>
      <c r="G48" s="45">
        <f t="shared" si="45"/>
        <v>586.70160354542884</v>
      </c>
      <c r="H48" s="45">
        <f t="shared" si="45"/>
        <v>133.341273533052</v>
      </c>
      <c r="I48" s="45">
        <f t="shared" si="45"/>
        <v>106.67301882644161</v>
      </c>
      <c r="J48" s="45">
        <f t="shared" si="45"/>
        <v>133.341273533052</v>
      </c>
      <c r="K48" s="45">
        <f t="shared" si="45"/>
        <v>106.67301882644161</v>
      </c>
      <c r="L48" s="45">
        <f t="shared" si="45"/>
        <v>133.341273533052</v>
      </c>
      <c r="M48" s="45">
        <f t="shared" si="45"/>
        <v>106.67301882644161</v>
      </c>
      <c r="N48" s="46">
        <f t="shared" si="45"/>
        <v>453.36033001237683</v>
      </c>
      <c r="O48" s="28">
        <f>Demanda!B8</f>
        <v>2666.8254706610401</v>
      </c>
    </row>
    <row r="49" spans="1:16" ht="15.75" thickBot="1">
      <c r="B49" s="223" t="s">
        <v>59</v>
      </c>
      <c r="C49" s="224">
        <f t="shared" si="45"/>
        <v>121.77285254160002</v>
      </c>
      <c r="D49" s="48">
        <f t="shared" si="45"/>
        <v>223.25022965960002</v>
      </c>
      <c r="E49" s="48">
        <f t="shared" si="45"/>
        <v>142.06832796520004</v>
      </c>
      <c r="F49" s="48">
        <f t="shared" si="45"/>
        <v>142.06832796520004</v>
      </c>
      <c r="G49" s="48">
        <f t="shared" si="45"/>
        <v>142.06832796520004</v>
      </c>
      <c r="H49" s="48">
        <f t="shared" si="45"/>
        <v>223.25022965960002</v>
      </c>
      <c r="I49" s="48">
        <f t="shared" si="45"/>
        <v>142.06832796520004</v>
      </c>
      <c r="J49" s="48">
        <f t="shared" si="45"/>
        <v>142.06832796520004</v>
      </c>
      <c r="K49" s="48">
        <f t="shared" si="45"/>
        <v>142.06832796520004</v>
      </c>
      <c r="L49" s="48">
        <f t="shared" si="45"/>
        <v>142.06832796520004</v>
      </c>
      <c r="M49" s="48">
        <f t="shared" si="45"/>
        <v>142.06832796520004</v>
      </c>
      <c r="N49" s="49">
        <f t="shared" si="45"/>
        <v>324.72760677760004</v>
      </c>
      <c r="O49" s="28">
        <f>Demanda!B9</f>
        <v>2029.5475423600003</v>
      </c>
    </row>
    <row r="50" spans="1:16" ht="16.5" thickTop="1" thickBot="1">
      <c r="B50" s="50" t="s">
        <v>33</v>
      </c>
      <c r="C50" s="51">
        <f>SUM(C43:C49)</f>
        <v>2436.8574658504208</v>
      </c>
      <c r="D50" s="52">
        <f>SUM(D43:D49)</f>
        <v>2909.1635070882521</v>
      </c>
      <c r="E50" s="52">
        <f>SUM(E43:E49)</f>
        <v>4704.5898118608002</v>
      </c>
      <c r="F50" s="52">
        <f>SUM(F43:F49)</f>
        <v>4023.1143455900001</v>
      </c>
      <c r="G50" s="51">
        <f>SUM(G43:G49)</f>
        <v>2185.867144024146</v>
      </c>
      <c r="H50" s="52">
        <f t="shared" ref="H50:M50" si="46">SUM(H43:H49)</f>
        <v>1622.7530666554965</v>
      </c>
      <c r="I50" s="52">
        <f t="shared" si="46"/>
        <v>1568.9171724335379</v>
      </c>
      <c r="J50" s="51">
        <f t="shared" si="46"/>
        <v>1810.1903324475795</v>
      </c>
      <c r="K50" s="52">
        <f t="shared" si="46"/>
        <v>1143.6494677409689</v>
      </c>
      <c r="L50" s="52">
        <f t="shared" si="46"/>
        <v>1124.2405724475793</v>
      </c>
      <c r="M50" s="51">
        <f t="shared" si="46"/>
        <v>969.27151774096899</v>
      </c>
      <c r="N50" s="53">
        <f>SUM(N43:N49)</f>
        <v>2632.1947655602526</v>
      </c>
      <c r="O50" s="28">
        <f>[1]TAMAÑO!C10</f>
        <v>54990.751254160001</v>
      </c>
    </row>
    <row r="51" spans="1:16" ht="15.75" thickBot="1">
      <c r="O51" s="28"/>
    </row>
    <row r="52" spans="1:16" ht="15.75" thickBot="1">
      <c r="B52" s="55" t="s">
        <v>176</v>
      </c>
      <c r="C52" s="209" t="s">
        <v>158</v>
      </c>
      <c r="D52" s="210" t="s">
        <v>159</v>
      </c>
      <c r="E52" s="210" t="s">
        <v>160</v>
      </c>
      <c r="F52" s="210" t="s">
        <v>161</v>
      </c>
      <c r="G52" s="210" t="s">
        <v>162</v>
      </c>
      <c r="H52" s="210" t="s">
        <v>163</v>
      </c>
      <c r="I52" s="210" t="s">
        <v>164</v>
      </c>
      <c r="J52" s="210" t="s">
        <v>165</v>
      </c>
      <c r="K52" s="210" t="s">
        <v>166</v>
      </c>
      <c r="L52" s="210" t="s">
        <v>167</v>
      </c>
      <c r="M52" s="210" t="s">
        <v>168</v>
      </c>
      <c r="N52" s="210" t="s">
        <v>169</v>
      </c>
    </row>
    <row r="53" spans="1:16" ht="15.75" thickTop="1">
      <c r="A53" s="225">
        <f>SUM(C53:N53)</f>
        <v>1</v>
      </c>
      <c r="B53" s="54" t="s">
        <v>56</v>
      </c>
      <c r="C53" s="226">
        <v>0.04</v>
      </c>
      <c r="D53" s="226">
        <v>0.1</v>
      </c>
      <c r="E53" s="226">
        <v>0.4</v>
      </c>
      <c r="F53" s="226">
        <v>0.32</v>
      </c>
      <c r="G53" s="227">
        <v>0.08</v>
      </c>
      <c r="H53" s="227">
        <v>0.01</v>
      </c>
      <c r="I53" s="227">
        <v>0.01</v>
      </c>
      <c r="J53" s="227">
        <v>0.01</v>
      </c>
      <c r="K53" s="227">
        <v>0.01</v>
      </c>
      <c r="L53" s="227">
        <v>0.01</v>
      </c>
      <c r="M53" s="227">
        <v>5.0000000000000001E-3</v>
      </c>
      <c r="N53" s="227">
        <v>5.0000000000000001E-3</v>
      </c>
      <c r="P53" s="28">
        <f>[1]TAMAÑO!C2</f>
        <v>8661.5319999999992</v>
      </c>
    </row>
    <row r="54" spans="1:16">
      <c r="A54" s="225">
        <f t="shared" ref="A54:A59" si="47">SUM(C54:N54)</f>
        <v>1</v>
      </c>
      <c r="B54" s="42" t="s">
        <v>57</v>
      </c>
      <c r="C54" s="228">
        <v>0.04</v>
      </c>
      <c r="D54" s="228">
        <v>0.1</v>
      </c>
      <c r="E54" s="228">
        <v>0.38</v>
      </c>
      <c r="F54" s="228">
        <v>0.3</v>
      </c>
      <c r="G54" s="229">
        <v>0.08</v>
      </c>
      <c r="H54" s="229">
        <v>0.01</v>
      </c>
      <c r="I54" s="229">
        <v>0.01</v>
      </c>
      <c r="J54" s="229">
        <v>0.03</v>
      </c>
      <c r="K54" s="229">
        <v>0.02</v>
      </c>
      <c r="L54" s="229">
        <v>0.01</v>
      </c>
      <c r="M54" s="229">
        <v>0.01</v>
      </c>
      <c r="N54" s="229">
        <v>0.01</v>
      </c>
      <c r="P54" s="28">
        <f>[1]TAMAÑO!C3</f>
        <v>14744.687999999998</v>
      </c>
    </row>
    <row r="55" spans="1:16">
      <c r="A55" s="225">
        <f t="shared" si="47"/>
        <v>1</v>
      </c>
      <c r="B55" s="42" t="s">
        <v>91</v>
      </c>
      <c r="C55" s="229">
        <v>0.13</v>
      </c>
      <c r="D55" s="229">
        <v>0.12</v>
      </c>
      <c r="E55" s="229">
        <v>0.1</v>
      </c>
      <c r="F55" s="229">
        <v>0.1</v>
      </c>
      <c r="G55" s="229">
        <v>0.05</v>
      </c>
      <c r="H55" s="229">
        <v>0.06</v>
      </c>
      <c r="I55" s="229">
        <v>0.08</v>
      </c>
      <c r="J55" s="229">
        <v>0.1</v>
      </c>
      <c r="K55" s="229">
        <v>0.05</v>
      </c>
      <c r="L55" s="229">
        <v>0.05</v>
      </c>
      <c r="M55" s="229">
        <v>0.04</v>
      </c>
      <c r="N55" s="229">
        <v>0.12</v>
      </c>
      <c r="P55" s="28">
        <f>[1]TAMAÑO!C4</f>
        <v>3103.2660000000005</v>
      </c>
    </row>
    <row r="56" spans="1:16">
      <c r="A56" s="225">
        <f t="shared" si="47"/>
        <v>1</v>
      </c>
      <c r="B56" s="42" t="s">
        <v>58</v>
      </c>
      <c r="C56" s="229">
        <v>0.15</v>
      </c>
      <c r="D56" s="229">
        <v>0.12</v>
      </c>
      <c r="E56" s="229">
        <v>0.1</v>
      </c>
      <c r="F56" s="229">
        <v>0.1</v>
      </c>
      <c r="G56" s="229">
        <v>0.05</v>
      </c>
      <c r="H56" s="229">
        <v>0.06</v>
      </c>
      <c r="I56" s="229">
        <v>0.08</v>
      </c>
      <c r="J56" s="229">
        <v>0.1</v>
      </c>
      <c r="K56" s="229">
        <v>0.04</v>
      </c>
      <c r="L56" s="229">
        <v>0.04</v>
      </c>
      <c r="M56" s="229">
        <v>0.03</v>
      </c>
      <c r="N56" s="229">
        <v>0.13</v>
      </c>
      <c r="P56" s="28">
        <f>[1]TAMAÑO!C5</f>
        <v>16303.98</v>
      </c>
    </row>
    <row r="57" spans="1:16">
      <c r="A57" s="225">
        <f t="shared" si="47"/>
        <v>1</v>
      </c>
      <c r="B57" s="42" t="s">
        <v>51</v>
      </c>
      <c r="C57" s="229">
        <v>7.0000000000000007E-2</v>
      </c>
      <c r="D57" s="229">
        <v>7.0000000000000007E-2</v>
      </c>
      <c r="E57" s="229">
        <v>7.0000000000000007E-2</v>
      </c>
      <c r="F57" s="229">
        <v>0.06</v>
      </c>
      <c r="G57" s="229">
        <v>0.08</v>
      </c>
      <c r="H57" s="229">
        <v>0.15</v>
      </c>
      <c r="I57" s="229">
        <v>0.1</v>
      </c>
      <c r="J57" s="229">
        <v>7.0000000000000007E-2</v>
      </c>
      <c r="K57" s="229">
        <v>7.0000000000000007E-2</v>
      </c>
      <c r="L57" s="229">
        <v>7.0000000000000007E-2</v>
      </c>
      <c r="M57" s="229">
        <v>7.0000000000000007E-2</v>
      </c>
      <c r="N57" s="229">
        <v>0.12</v>
      </c>
      <c r="P57" s="28">
        <f>[1]TAMAÑO!C6</f>
        <v>5703.0285940316016</v>
      </c>
    </row>
    <row r="58" spans="1:16">
      <c r="A58" s="225">
        <f t="shared" si="47"/>
        <v>1.0000000000000002</v>
      </c>
      <c r="B58" s="42" t="s">
        <v>53</v>
      </c>
      <c r="C58" s="229">
        <v>0.09</v>
      </c>
      <c r="D58" s="229">
        <v>0.12</v>
      </c>
      <c r="E58" s="229">
        <v>7.0000000000000007E-2</v>
      </c>
      <c r="F58" s="229">
        <v>0.06</v>
      </c>
      <c r="G58" s="229">
        <v>0.22</v>
      </c>
      <c r="H58" s="229">
        <v>0.05</v>
      </c>
      <c r="I58" s="229">
        <v>0.04</v>
      </c>
      <c r="J58" s="229">
        <v>0.05</v>
      </c>
      <c r="K58" s="229">
        <v>0.04</v>
      </c>
      <c r="L58" s="229">
        <v>0.05</v>
      </c>
      <c r="M58" s="229">
        <v>0.04</v>
      </c>
      <c r="N58" s="229">
        <v>0.17</v>
      </c>
      <c r="P58" s="28">
        <f>[1]TAMAÑO!C7</f>
        <v>4444.7091177684006</v>
      </c>
    </row>
    <row r="59" spans="1:16">
      <c r="A59" s="225">
        <f t="shared" si="47"/>
        <v>1.0000000000000002</v>
      </c>
      <c r="B59" s="42" t="s">
        <v>177</v>
      </c>
      <c r="C59" s="229">
        <v>0.06</v>
      </c>
      <c r="D59" s="229">
        <v>0.11</v>
      </c>
      <c r="E59" s="229">
        <v>7.0000000000000007E-2</v>
      </c>
      <c r="F59" s="229">
        <v>7.0000000000000007E-2</v>
      </c>
      <c r="G59" s="229">
        <v>7.0000000000000007E-2</v>
      </c>
      <c r="H59" s="229">
        <v>0.11</v>
      </c>
      <c r="I59" s="229">
        <v>7.0000000000000007E-2</v>
      </c>
      <c r="J59" s="229">
        <v>7.0000000000000007E-2</v>
      </c>
      <c r="K59" s="229">
        <v>7.0000000000000007E-2</v>
      </c>
      <c r="L59" s="229">
        <v>7.0000000000000007E-2</v>
      </c>
      <c r="M59" s="229">
        <v>7.0000000000000007E-2</v>
      </c>
      <c r="N59" s="229">
        <v>0.16</v>
      </c>
      <c r="P59" s="28">
        <f>[1]TAMAÑO!C8</f>
        <v>1140.6057188063203</v>
      </c>
    </row>
    <row r="60" spans="1:16" ht="15.75" thickBot="1"/>
    <row r="61" spans="1:16" ht="15.75" thickBot="1">
      <c r="B61" s="55" t="s">
        <v>183</v>
      </c>
      <c r="C61" s="235" t="s">
        <v>61</v>
      </c>
      <c r="D61" s="235"/>
      <c r="I61" s="234"/>
      <c r="J61" s="234"/>
      <c r="K61" s="234"/>
      <c r="L61" s="234"/>
      <c r="M61" s="234"/>
      <c r="N61" s="234"/>
    </row>
    <row r="62" spans="1:16" ht="15.75" thickTop="1">
      <c r="B62" s="247" t="str">
        <f>Demanda!A36</f>
        <v>Linea escolar</v>
      </c>
      <c r="C62" s="248">
        <f>Demanda!B36</f>
        <v>0.3</v>
      </c>
      <c r="D62" s="245">
        <f>C71*(1+C62)</f>
        <v>20.8</v>
      </c>
      <c r="I62" s="94"/>
      <c r="J62" s="94"/>
      <c r="K62" s="94"/>
      <c r="L62" s="94"/>
      <c r="M62" s="94"/>
      <c r="N62" s="94"/>
    </row>
    <row r="63" spans="1:16">
      <c r="B63" s="42" t="s">
        <v>57</v>
      </c>
      <c r="C63" s="246">
        <f>Demanda!B37</f>
        <v>0.4</v>
      </c>
      <c r="D63" s="46">
        <f t="shared" ref="D63:D68" si="48">C72*(1+C63)</f>
        <v>22.4</v>
      </c>
      <c r="I63" s="94"/>
      <c r="J63" s="94"/>
      <c r="K63" s="94"/>
      <c r="L63" s="94"/>
      <c r="M63" s="94"/>
      <c r="N63" s="94"/>
    </row>
    <row r="64" spans="1:16">
      <c r="B64" s="42" t="s">
        <v>91</v>
      </c>
      <c r="C64" s="246">
        <f>Demanda!B38</f>
        <v>0.3</v>
      </c>
      <c r="D64" s="46">
        <f t="shared" si="48"/>
        <v>13</v>
      </c>
      <c r="J64" s="94"/>
      <c r="K64" s="94"/>
      <c r="L64" s="94"/>
      <c r="M64" s="94"/>
      <c r="N64" s="94"/>
    </row>
    <row r="65" spans="2:14">
      <c r="B65" s="42" t="s">
        <v>58</v>
      </c>
      <c r="C65" s="246">
        <f>Demanda!B39</f>
        <v>0.3</v>
      </c>
      <c r="D65" s="46">
        <f t="shared" si="48"/>
        <v>39</v>
      </c>
      <c r="J65" s="94"/>
      <c r="K65" s="94"/>
      <c r="L65" s="94"/>
      <c r="M65" s="94"/>
      <c r="N65" s="94"/>
    </row>
    <row r="66" spans="2:14">
      <c r="B66" s="42" t="s">
        <v>51</v>
      </c>
      <c r="C66" s="246">
        <f>Demanda!B40</f>
        <v>0.4</v>
      </c>
      <c r="D66" s="46">
        <f t="shared" si="48"/>
        <v>22.4</v>
      </c>
      <c r="J66" s="94"/>
      <c r="K66" s="94"/>
      <c r="L66" s="94"/>
      <c r="M66" s="94"/>
      <c r="N66" s="94"/>
    </row>
    <row r="67" spans="2:14">
      <c r="B67" s="42" t="s">
        <v>53</v>
      </c>
      <c r="C67" s="246">
        <f>Demanda!B41</f>
        <v>0.35</v>
      </c>
      <c r="D67" s="46">
        <f t="shared" si="48"/>
        <v>24.3</v>
      </c>
      <c r="J67" s="94"/>
      <c r="K67" s="94"/>
      <c r="L67" s="94"/>
      <c r="M67" s="94"/>
      <c r="N67" s="94"/>
    </row>
    <row r="68" spans="2:14" ht="15.75" thickBot="1">
      <c r="B68" s="230" t="s">
        <v>92</v>
      </c>
      <c r="C68" s="250">
        <f>Demanda!B42</f>
        <v>0.4</v>
      </c>
      <c r="D68" s="231">
        <f t="shared" si="48"/>
        <v>7</v>
      </c>
      <c r="J68" s="94"/>
      <c r="K68" s="94"/>
      <c r="L68" s="94"/>
      <c r="M68" s="94"/>
      <c r="N68" s="94"/>
    </row>
    <row r="69" spans="2:14" ht="15.75" thickBot="1">
      <c r="C69">
        <f>Demanda!B43</f>
        <v>0</v>
      </c>
    </row>
    <row r="70" spans="2:14" ht="15.75" thickBot="1">
      <c r="B70" s="55" t="s">
        <v>182</v>
      </c>
      <c r="C70" s="235">
        <f>Demanda!B44</f>
        <v>0</v>
      </c>
    </row>
    <row r="71" spans="2:14" ht="15.75" thickTop="1">
      <c r="B71" s="54" t="s">
        <v>56</v>
      </c>
      <c r="C71" s="96">
        <f>Demanda!B45</f>
        <v>16</v>
      </c>
    </row>
    <row r="72" spans="2:14">
      <c r="B72" s="42" t="s">
        <v>57</v>
      </c>
      <c r="C72" s="44">
        <f>Demanda!B46</f>
        <v>16</v>
      </c>
    </row>
    <row r="73" spans="2:14">
      <c r="B73" s="42" t="s">
        <v>91</v>
      </c>
      <c r="C73" s="44">
        <f>Demanda!B47</f>
        <v>10</v>
      </c>
    </row>
    <row r="74" spans="2:14">
      <c r="B74" s="42" t="s">
        <v>58</v>
      </c>
      <c r="C74" s="44">
        <f>Demanda!B48</f>
        <v>30</v>
      </c>
    </row>
    <row r="75" spans="2:14">
      <c r="B75" s="42" t="s">
        <v>51</v>
      </c>
      <c r="C75" s="44">
        <f>Demanda!B49</f>
        <v>16</v>
      </c>
    </row>
    <row r="76" spans="2:14">
      <c r="B76" s="42" t="s">
        <v>53</v>
      </c>
      <c r="C76" s="44">
        <f>Demanda!B50</f>
        <v>18</v>
      </c>
    </row>
    <row r="77" spans="2:14" ht="15.75" thickBot="1">
      <c r="B77" s="230" t="s">
        <v>92</v>
      </c>
      <c r="C77" s="231">
        <f>Demanda!B51</f>
        <v>5</v>
      </c>
    </row>
    <row r="78" spans="2:14" ht="15.75" thickBot="1">
      <c r="C78">
        <f>Demanda!B52</f>
        <v>0</v>
      </c>
      <c r="F78" s="232"/>
      <c r="G78" s="232"/>
      <c r="H78" s="232"/>
      <c r="I78" s="232"/>
      <c r="J78" s="232"/>
      <c r="K78" s="232"/>
    </row>
    <row r="79" spans="2:14" ht="15.75" thickBot="1">
      <c r="B79" s="55" t="s">
        <v>184</v>
      </c>
      <c r="C79" s="235" t="str">
        <f>Demanda!B53</f>
        <v>%</v>
      </c>
      <c r="D79" s="235"/>
      <c r="F79" s="844" t="s">
        <v>276</v>
      </c>
      <c r="G79" s="845"/>
      <c r="H79" s="234"/>
      <c r="I79" s="416" t="s">
        <v>277</v>
      </c>
      <c r="J79" s="417"/>
      <c r="K79" s="93"/>
    </row>
    <row r="80" spans="2:14" ht="15.75" thickTop="1">
      <c r="B80" s="247" t="s">
        <v>56</v>
      </c>
      <c r="C80" s="248">
        <f>Demanda!B54</f>
        <v>0.2</v>
      </c>
      <c r="D80" s="245">
        <f>C71*(C80+1)</f>
        <v>19.2</v>
      </c>
      <c r="F80" s="612" t="s">
        <v>264</v>
      </c>
      <c r="G80" s="613">
        <v>0.3</v>
      </c>
      <c r="H80" s="249"/>
      <c r="I80" s="391" t="s">
        <v>264</v>
      </c>
      <c r="J80" s="56">
        <v>0.2</v>
      </c>
      <c r="K80" s="249"/>
    </row>
    <row r="81" spans="2:14">
      <c r="B81" s="42" t="s">
        <v>57</v>
      </c>
      <c r="C81" s="246">
        <f>Demanda!B55</f>
        <v>0.25</v>
      </c>
      <c r="D81" s="46">
        <f t="shared" ref="D81:D86" si="49">C72*(C81+1)</f>
        <v>20</v>
      </c>
      <c r="F81" s="391" t="s">
        <v>263</v>
      </c>
      <c r="G81" s="56">
        <v>0.3</v>
      </c>
      <c r="H81" s="249"/>
      <c r="I81" s="391" t="s">
        <v>263</v>
      </c>
      <c r="J81" s="56">
        <v>0.35</v>
      </c>
      <c r="K81" s="249"/>
    </row>
    <row r="82" spans="2:14">
      <c r="B82" s="42" t="s">
        <v>91</v>
      </c>
      <c r="C82" s="246">
        <f>Demanda!B56</f>
        <v>0.2</v>
      </c>
      <c r="D82" s="46">
        <f t="shared" si="49"/>
        <v>12</v>
      </c>
      <c r="F82" s="391" t="s">
        <v>265</v>
      </c>
      <c r="G82" s="56">
        <v>0.2</v>
      </c>
      <c r="H82" s="249"/>
      <c r="I82" s="391" t="s">
        <v>265</v>
      </c>
      <c r="J82" s="56">
        <v>0.2</v>
      </c>
      <c r="K82" s="249"/>
    </row>
    <row r="83" spans="2:14" ht="15.75" thickBot="1">
      <c r="B83" s="42" t="s">
        <v>58</v>
      </c>
      <c r="C83" s="246">
        <f>Demanda!B57</f>
        <v>0.2</v>
      </c>
      <c r="D83" s="46">
        <f t="shared" si="49"/>
        <v>36</v>
      </c>
      <c r="F83" s="392" t="s">
        <v>266</v>
      </c>
      <c r="G83" s="244">
        <v>0.2</v>
      </c>
      <c r="H83" s="249"/>
      <c r="I83" s="391" t="s">
        <v>266</v>
      </c>
      <c r="J83" s="56">
        <v>0.15</v>
      </c>
      <c r="K83" s="249"/>
    </row>
    <row r="84" spans="2:14" ht="15.75" thickBot="1">
      <c r="B84" s="42" t="s">
        <v>51</v>
      </c>
      <c r="C84" s="246">
        <f>Demanda!B58</f>
        <v>0.25</v>
      </c>
      <c r="D84" s="46">
        <f t="shared" si="49"/>
        <v>20</v>
      </c>
      <c r="F84" s="414"/>
      <c r="G84" s="249"/>
      <c r="H84" s="249"/>
      <c r="I84" s="419" t="s">
        <v>269</v>
      </c>
      <c r="J84" s="244">
        <v>0.1</v>
      </c>
      <c r="K84" s="249"/>
    </row>
    <row r="85" spans="2:14">
      <c r="B85" s="42" t="s">
        <v>53</v>
      </c>
      <c r="C85" s="246">
        <f>Demanda!B59</f>
        <v>0.25</v>
      </c>
      <c r="D85" s="46">
        <f t="shared" si="49"/>
        <v>22.5</v>
      </c>
      <c r="F85" s="414"/>
      <c r="G85" s="249"/>
      <c r="H85" s="249"/>
      <c r="I85" s="249"/>
      <c r="J85" s="249"/>
      <c r="K85" s="249"/>
    </row>
    <row r="86" spans="2:14" ht="15.75" thickBot="1">
      <c r="B86" s="230" t="s">
        <v>92</v>
      </c>
      <c r="C86" s="250">
        <f>Demanda!B60</f>
        <v>0.2</v>
      </c>
      <c r="D86" s="231">
        <f t="shared" si="49"/>
        <v>6</v>
      </c>
      <c r="F86" s="414"/>
      <c r="G86" s="249"/>
      <c r="H86" s="249"/>
      <c r="I86" s="249"/>
      <c r="J86" s="249"/>
      <c r="K86" s="249"/>
    </row>
    <row r="88" spans="2:14" ht="15.75" thickBot="1"/>
    <row r="89" spans="2:14" ht="15.75" thickBot="1">
      <c r="B89" s="208" t="s">
        <v>157</v>
      </c>
      <c r="C89" s="209" t="s">
        <v>158</v>
      </c>
      <c r="D89" s="210" t="s">
        <v>159</v>
      </c>
      <c r="E89" s="210" t="s">
        <v>160</v>
      </c>
      <c r="F89" s="210" t="s">
        <v>161</v>
      </c>
      <c r="G89" s="210" t="s">
        <v>162</v>
      </c>
      <c r="H89" s="210" t="s">
        <v>163</v>
      </c>
      <c r="I89" s="210" t="s">
        <v>164</v>
      </c>
      <c r="J89" s="211" t="s">
        <v>165</v>
      </c>
      <c r="K89" s="211" t="s">
        <v>166</v>
      </c>
      <c r="L89" s="211" t="s">
        <v>167</v>
      </c>
      <c r="M89" s="211" t="s">
        <v>168</v>
      </c>
      <c r="N89" s="212" t="s">
        <v>169</v>
      </c>
    </row>
    <row r="90" spans="2:14" ht="15.75" thickBot="1">
      <c r="B90" s="401" t="s">
        <v>274</v>
      </c>
      <c r="C90" s="394">
        <v>0</v>
      </c>
      <c r="D90" s="395">
        <v>88248.298813417641</v>
      </c>
      <c r="E90" s="395">
        <v>158725.99710599022</v>
      </c>
      <c r="F90" s="395">
        <v>134655.9099416536</v>
      </c>
      <c r="G90" s="395">
        <v>61853.334425709058</v>
      </c>
      <c r="H90" s="395">
        <v>41231.592402229282</v>
      </c>
      <c r="I90" s="395">
        <v>44423.467864007536</v>
      </c>
      <c r="J90" s="395">
        <v>54206.597490592729</v>
      </c>
      <c r="K90" s="395">
        <v>28592.326947293994</v>
      </c>
      <c r="L90" s="395">
        <v>27352.225615792726</v>
      </c>
      <c r="M90" s="395">
        <v>22352.145191693995</v>
      </c>
      <c r="N90" s="396">
        <v>72931.312115867797</v>
      </c>
    </row>
    <row r="91" spans="2:14" ht="15.75" thickTop="1">
      <c r="B91" s="402" t="s">
        <v>270</v>
      </c>
      <c r="C91" s="399">
        <f>C$90*$G$80</f>
        <v>0</v>
      </c>
      <c r="D91" s="399">
        <f t="shared" ref="D91:N91" si="50">D$90*$G$80</f>
        <v>26474.489644025292</v>
      </c>
      <c r="E91" s="399">
        <f t="shared" si="50"/>
        <v>47617.799131797066</v>
      </c>
      <c r="F91" s="399">
        <f t="shared" si="50"/>
        <v>40396.772982496077</v>
      </c>
      <c r="G91" s="399">
        <f t="shared" si="50"/>
        <v>18556.000327712718</v>
      </c>
      <c r="H91" s="399">
        <f t="shared" si="50"/>
        <v>12369.477720668785</v>
      </c>
      <c r="I91" s="399">
        <f t="shared" si="50"/>
        <v>13327.040359202261</v>
      </c>
      <c r="J91" s="399">
        <f t="shared" si="50"/>
        <v>16261.979247177818</v>
      </c>
      <c r="K91" s="399">
        <f t="shared" si="50"/>
        <v>8577.6980841881978</v>
      </c>
      <c r="L91" s="399">
        <f t="shared" si="50"/>
        <v>8205.6676847378167</v>
      </c>
      <c r="M91" s="399">
        <f t="shared" si="50"/>
        <v>6705.6435575081987</v>
      </c>
      <c r="N91" s="418">
        <f t="shared" si="50"/>
        <v>21879.393634760338</v>
      </c>
    </row>
    <row r="92" spans="2:14">
      <c r="B92" s="403" t="s">
        <v>271</v>
      </c>
      <c r="C92" s="400"/>
      <c r="D92" s="397">
        <f>+C$90*$G$81</f>
        <v>0</v>
      </c>
      <c r="E92" s="397">
        <f t="shared" ref="E92:N92" si="51">+D$90*$G$81</f>
        <v>26474.489644025292</v>
      </c>
      <c r="F92" s="397">
        <f t="shared" si="51"/>
        <v>47617.799131797066</v>
      </c>
      <c r="G92" s="397">
        <f t="shared" si="51"/>
        <v>40396.772982496077</v>
      </c>
      <c r="H92" s="397">
        <f t="shared" si="51"/>
        <v>18556.000327712718</v>
      </c>
      <c r="I92" s="397">
        <f t="shared" si="51"/>
        <v>12369.477720668785</v>
      </c>
      <c r="J92" s="397">
        <f t="shared" si="51"/>
        <v>13327.040359202261</v>
      </c>
      <c r="K92" s="397">
        <f t="shared" si="51"/>
        <v>16261.979247177818</v>
      </c>
      <c r="L92" s="397">
        <f t="shared" si="51"/>
        <v>8577.6980841881978</v>
      </c>
      <c r="M92" s="397">
        <f t="shared" si="51"/>
        <v>8205.6676847378167</v>
      </c>
      <c r="N92" s="398">
        <f t="shared" si="51"/>
        <v>6705.6435575081987</v>
      </c>
    </row>
    <row r="93" spans="2:14">
      <c r="B93" s="404" t="s">
        <v>272</v>
      </c>
      <c r="C93" s="400"/>
      <c r="D93" s="342"/>
      <c r="E93" s="397">
        <f>+C$90*$G$82</f>
        <v>0</v>
      </c>
      <c r="F93" s="397">
        <f t="shared" ref="F93:N93" si="52">+D$90*$G$82</f>
        <v>17649.659762683528</v>
      </c>
      <c r="G93" s="397">
        <f t="shared" si="52"/>
        <v>31745.199421198045</v>
      </c>
      <c r="H93" s="397">
        <f t="shared" si="52"/>
        <v>26931.181988330722</v>
      </c>
      <c r="I93" s="397">
        <f t="shared" si="52"/>
        <v>12370.666885141813</v>
      </c>
      <c r="J93" s="397">
        <f t="shared" si="52"/>
        <v>8246.318480445856</v>
      </c>
      <c r="K93" s="397">
        <f t="shared" si="52"/>
        <v>8884.6935728015069</v>
      </c>
      <c r="L93" s="397">
        <f t="shared" si="52"/>
        <v>10841.319498118546</v>
      </c>
      <c r="M93" s="397">
        <f t="shared" si="52"/>
        <v>5718.4653894587991</v>
      </c>
      <c r="N93" s="398">
        <f t="shared" si="52"/>
        <v>5470.4451231585454</v>
      </c>
    </row>
    <row r="94" spans="2:14" ht="15.75" thickBot="1">
      <c r="B94" s="409" t="s">
        <v>273</v>
      </c>
      <c r="C94" s="410"/>
      <c r="D94" s="411"/>
      <c r="E94" s="411"/>
      <c r="F94" s="412">
        <f>C$90*$G$83</f>
        <v>0</v>
      </c>
      <c r="G94" s="412">
        <f t="shared" ref="G94:N94" si="53">D$90*$G$83</f>
        <v>17649.659762683528</v>
      </c>
      <c r="H94" s="412">
        <f t="shared" si="53"/>
        <v>31745.199421198045</v>
      </c>
      <c r="I94" s="412">
        <f t="shared" si="53"/>
        <v>26931.181988330722</v>
      </c>
      <c r="J94" s="412">
        <f t="shared" si="53"/>
        <v>12370.666885141813</v>
      </c>
      <c r="K94" s="412">
        <f t="shared" si="53"/>
        <v>8246.318480445856</v>
      </c>
      <c r="L94" s="412">
        <f t="shared" si="53"/>
        <v>8884.6935728015069</v>
      </c>
      <c r="M94" s="412">
        <f t="shared" si="53"/>
        <v>10841.319498118546</v>
      </c>
      <c r="N94" s="413">
        <f t="shared" si="53"/>
        <v>5718.4653894587991</v>
      </c>
    </row>
    <row r="95" spans="2:14" ht="16.5" thickTop="1" thickBot="1">
      <c r="B95" s="405"/>
      <c r="C95" s="406">
        <f>+SUM(C91:C94)</f>
        <v>0</v>
      </c>
      <c r="D95" s="407">
        <f t="shared" ref="D95:N95" si="54">+SUM(D91:D94)</f>
        <v>26474.489644025292</v>
      </c>
      <c r="E95" s="407">
        <f t="shared" si="54"/>
        <v>74092.288775822351</v>
      </c>
      <c r="F95" s="407">
        <f t="shared" si="54"/>
        <v>105664.23187697667</v>
      </c>
      <c r="G95" s="407">
        <f t="shared" si="54"/>
        <v>108347.63249409037</v>
      </c>
      <c r="H95" s="407">
        <f t="shared" si="54"/>
        <v>89601.859457910279</v>
      </c>
      <c r="I95" s="407">
        <f t="shared" si="54"/>
        <v>64998.366953343575</v>
      </c>
      <c r="J95" s="407">
        <f t="shared" si="54"/>
        <v>50206.004971967748</v>
      </c>
      <c r="K95" s="407">
        <f t="shared" si="54"/>
        <v>41970.689384613383</v>
      </c>
      <c r="L95" s="407">
        <f t="shared" si="54"/>
        <v>36509.378839846067</v>
      </c>
      <c r="M95" s="407">
        <f t="shared" si="54"/>
        <v>31471.09612982336</v>
      </c>
      <c r="N95" s="408">
        <f t="shared" si="54"/>
        <v>39773.947704885883</v>
      </c>
    </row>
    <row r="96" spans="2:14" ht="15.75" thickBot="1"/>
    <row r="97" spans="2:14">
      <c r="B97" s="237" t="s">
        <v>278</v>
      </c>
      <c r="C97" s="238" t="s">
        <v>158</v>
      </c>
      <c r="D97" s="239" t="s">
        <v>159</v>
      </c>
      <c r="E97" s="239" t="s">
        <v>160</v>
      </c>
      <c r="F97" s="239" t="s">
        <v>161</v>
      </c>
      <c r="G97" s="239" t="s">
        <v>162</v>
      </c>
      <c r="H97" s="239" t="s">
        <v>163</v>
      </c>
      <c r="I97" s="239" t="s">
        <v>164</v>
      </c>
      <c r="J97" s="240" t="s">
        <v>165</v>
      </c>
      <c r="K97" s="240" t="s">
        <v>166</v>
      </c>
      <c r="L97" s="240" t="s">
        <v>167</v>
      </c>
      <c r="M97" s="240" t="s">
        <v>168</v>
      </c>
      <c r="N97" s="241" t="s">
        <v>169</v>
      </c>
    </row>
    <row r="98" spans="2:14">
      <c r="B98" s="403" t="str">
        <f>B43</f>
        <v>Linea escolar</v>
      </c>
      <c r="C98" s="424">
        <f>(Demanda!$B14*'Capital de trabajo'!C53)*$C71</f>
        <v>202.53439418382129</v>
      </c>
      <c r="D98" s="424">
        <f>(Demanda!$B14*'Capital de trabajo'!D53)*$C71</f>
        <v>506.33598545955323</v>
      </c>
      <c r="E98" s="424">
        <f>(Demanda!$B14*'Capital de trabajo'!E53)*$C71</f>
        <v>2025.3439418382129</v>
      </c>
      <c r="F98" s="424">
        <f>(Demanda!$B14*'Capital de trabajo'!F53)*$C71</f>
        <v>1620.2751534705703</v>
      </c>
      <c r="G98" s="424">
        <f>(Demanda!$B14*'Capital de trabajo'!G53)*$C71</f>
        <v>405.06878836764258</v>
      </c>
      <c r="H98" s="424">
        <f>(Demanda!$B14*'Capital de trabajo'!H53)*$C71</f>
        <v>50.633598545955323</v>
      </c>
      <c r="I98" s="424">
        <f>(Demanda!$B14*'Capital de trabajo'!I53)*$C71</f>
        <v>50.633598545955323</v>
      </c>
      <c r="J98" s="424">
        <f>(Demanda!$B14*'Capital de trabajo'!J53)*$C71</f>
        <v>50.633598545955323</v>
      </c>
      <c r="K98" s="424">
        <f>(Demanda!$B14*'Capital de trabajo'!K53)*$C71</f>
        <v>50.633598545955323</v>
      </c>
      <c r="L98" s="424">
        <f>(Demanda!$B14*'Capital de trabajo'!L53)*$C71</f>
        <v>50.633598545955323</v>
      </c>
      <c r="M98" s="424">
        <f>(Demanda!$B14*'Capital de trabajo'!M53)*$C71</f>
        <v>25.316799272977661</v>
      </c>
      <c r="N98" s="424">
        <f>(Demanda!$B14*'Capital de trabajo'!N53)*$C71</f>
        <v>25.316799272977661</v>
      </c>
    </row>
    <row r="99" spans="2:14">
      <c r="B99" s="403" t="str">
        <f t="shared" ref="B99:B104" si="55">B44</f>
        <v>Linea juvenil</v>
      </c>
      <c r="C99" s="424">
        <f>(Demanda!$B15*'Capital de trabajo'!C54)*$C72</f>
        <v>316.21861097854679</v>
      </c>
      <c r="D99" s="424">
        <f>(Demanda!$B15*'Capital de trabajo'!D54)*$C72</f>
        <v>790.54652744636701</v>
      </c>
      <c r="E99" s="424">
        <f>(Demanda!$B15*'Capital de trabajo'!E54)*$C72</f>
        <v>3004.0768042961945</v>
      </c>
      <c r="F99" s="424">
        <f>(Demanda!$B15*'Capital de trabajo'!F54)*$C72</f>
        <v>2371.6395823391008</v>
      </c>
      <c r="G99" s="424">
        <f>(Demanda!$B15*'Capital de trabajo'!G54)*$C72</f>
        <v>632.43722195709358</v>
      </c>
      <c r="H99" s="424">
        <f>(Demanda!$B15*'Capital de trabajo'!H54)*$C72</f>
        <v>79.054652744636698</v>
      </c>
      <c r="I99" s="424">
        <f>(Demanda!$B15*'Capital de trabajo'!I54)*$C72</f>
        <v>79.054652744636698</v>
      </c>
      <c r="J99" s="424">
        <f>(Demanda!$B15*'Capital de trabajo'!J54)*$C72</f>
        <v>237.16395823391008</v>
      </c>
      <c r="K99" s="424">
        <f>(Demanda!$B15*'Capital de trabajo'!K54)*$C72</f>
        <v>158.1093054892734</v>
      </c>
      <c r="L99" s="424">
        <f>(Demanda!$B15*'Capital de trabajo'!L54)*$C72</f>
        <v>79.054652744636698</v>
      </c>
      <c r="M99" s="424">
        <f>(Demanda!$B15*'Capital de trabajo'!M54)*$C72</f>
        <v>79.054652744636698</v>
      </c>
      <c r="N99" s="424">
        <f>(Demanda!$B15*'Capital de trabajo'!N54)*$C72</f>
        <v>79.054652744636698</v>
      </c>
    </row>
    <row r="100" spans="2:14">
      <c r="B100" s="403" t="str">
        <f t="shared" si="55"/>
        <v>Linea viajera</v>
      </c>
      <c r="C100" s="424">
        <f>(Demanda!$B16*'Capital de trabajo'!C55)*$C73</f>
        <v>55.102981418917807</v>
      </c>
      <c r="D100" s="424">
        <f>(Demanda!$B16*'Capital de trabajo'!D55)*$C73</f>
        <v>50.864290540539514</v>
      </c>
      <c r="E100" s="424">
        <f>(Demanda!$B16*'Capital de trabajo'!E55)*$C73</f>
        <v>42.386908783782928</v>
      </c>
      <c r="F100" s="424">
        <f>(Demanda!$B16*'Capital de trabajo'!F55)*$C73</f>
        <v>42.386908783782928</v>
      </c>
      <c r="G100" s="424">
        <f>(Demanda!$B16*'Capital de trabajo'!G55)*$C73</f>
        <v>21.193454391891464</v>
      </c>
      <c r="H100" s="424">
        <f>(Demanda!$B16*'Capital de trabajo'!H55)*$C73</f>
        <v>25.432145270269757</v>
      </c>
      <c r="I100" s="424">
        <f>(Demanda!$B16*'Capital de trabajo'!I55)*$C73</f>
        <v>33.909527027026343</v>
      </c>
      <c r="J100" s="424">
        <f>(Demanda!$B16*'Capital de trabajo'!J55)*$C73</f>
        <v>42.386908783782928</v>
      </c>
      <c r="K100" s="424">
        <f>(Demanda!$B16*'Capital de trabajo'!K55)*$C73</f>
        <v>21.193454391891464</v>
      </c>
      <c r="L100" s="424">
        <f>(Demanda!$B16*'Capital de trabajo'!L55)*$C73</f>
        <v>21.193454391891464</v>
      </c>
      <c r="M100" s="424">
        <f>(Demanda!$B16*'Capital de trabajo'!M55)*$C73</f>
        <v>16.954763513513171</v>
      </c>
      <c r="N100" s="424">
        <f>(Demanda!$B16*'Capital de trabajo'!N55)*$C73</f>
        <v>50.864290540539514</v>
      </c>
    </row>
    <row r="101" spans="2:14">
      <c r="B101" s="403" t="str">
        <f t="shared" si="55"/>
        <v>Linea Vacacional</v>
      </c>
      <c r="C101" s="424">
        <f>(Demanda!$B17*'Capital de trabajo'!C56)*$C74</f>
        <v>6185.480396597356</v>
      </c>
      <c r="D101" s="424">
        <f>(Demanda!$B17*'Capital de trabajo'!D56)*$C74</f>
        <v>4948.3843172778843</v>
      </c>
      <c r="E101" s="424">
        <f>(Demanda!$B17*'Capital de trabajo'!E56)*$C74</f>
        <v>4123.6535977315707</v>
      </c>
      <c r="F101" s="424">
        <f>(Demanda!$B17*'Capital de trabajo'!F56)*$C74</f>
        <v>4123.6535977315707</v>
      </c>
      <c r="G101" s="424">
        <f>(Demanda!$B17*'Capital de trabajo'!G56)*$C74</f>
        <v>2061.8267988657853</v>
      </c>
      <c r="H101" s="424">
        <f>(Demanda!$B17*'Capital de trabajo'!H56)*$C74</f>
        <v>2474.1921586389421</v>
      </c>
      <c r="I101" s="424">
        <f>(Demanda!$B17*'Capital de trabajo'!I56)*$C74</f>
        <v>3298.9228781852566</v>
      </c>
      <c r="J101" s="424">
        <f>(Demanda!$B17*'Capital de trabajo'!J56)*$C74</f>
        <v>4123.6535977315707</v>
      </c>
      <c r="K101" s="424">
        <f>(Demanda!$B17*'Capital de trabajo'!K56)*$C74</f>
        <v>1649.4614390926283</v>
      </c>
      <c r="L101" s="424">
        <f>(Demanda!$B17*'Capital de trabajo'!L56)*$C74</f>
        <v>1649.4614390926283</v>
      </c>
      <c r="M101" s="424">
        <f>(Demanda!$B17*'Capital de trabajo'!M56)*$C74</f>
        <v>1237.0960793194711</v>
      </c>
      <c r="N101" s="424">
        <f>(Demanda!$B17*'Capital de trabajo'!N56)*$C74</f>
        <v>5360.7496770510425</v>
      </c>
    </row>
    <row r="102" spans="2:14">
      <c r="B102" s="403" t="str">
        <f t="shared" si="55"/>
        <v>Linea ejecutiva</v>
      </c>
      <c r="C102" s="424">
        <f>(Demanda!$B18*'Capital de trabajo'!C57)*$C75</f>
        <v>1672.0290029798402</v>
      </c>
      <c r="D102" s="424">
        <f>(Demanda!$B18*'Capital de trabajo'!D57)*$C75</f>
        <v>1672.0290029798402</v>
      </c>
      <c r="E102" s="424">
        <f>(Demanda!$B18*'Capital de trabajo'!E57)*$C75</f>
        <v>1672.0290029798402</v>
      </c>
      <c r="F102" s="424">
        <f>(Demanda!$B18*'Capital de trabajo'!F57)*$C75</f>
        <v>1433.167716839863</v>
      </c>
      <c r="G102" s="424">
        <f>(Demanda!$B18*'Capital de trabajo'!G57)*$C75</f>
        <v>1910.8902891198175</v>
      </c>
      <c r="H102" s="424">
        <f>(Demanda!$B18*'Capital de trabajo'!H57)*$C75</f>
        <v>3582.9192920996575</v>
      </c>
      <c r="I102" s="424">
        <f>(Demanda!$B18*'Capital de trabajo'!I57)*$C75</f>
        <v>2388.6128613997716</v>
      </c>
      <c r="J102" s="424">
        <f>(Demanda!$B18*'Capital de trabajo'!J57)*$C75</f>
        <v>1672.0290029798402</v>
      </c>
      <c r="K102" s="424">
        <f>(Demanda!$B18*'Capital de trabajo'!K57)*$C75</f>
        <v>1672.0290029798402</v>
      </c>
      <c r="L102" s="424">
        <f>(Demanda!$B18*'Capital de trabajo'!L57)*$C75</f>
        <v>1672.0290029798402</v>
      </c>
      <c r="M102" s="424">
        <f>(Demanda!$B18*'Capital de trabajo'!M57)*$C75</f>
        <v>1672.0290029798402</v>
      </c>
      <c r="N102" s="424">
        <f>(Demanda!$B18*'Capital de trabajo'!N57)*$C75</f>
        <v>2866.3354336797261</v>
      </c>
    </row>
    <row r="103" spans="2:14">
      <c r="B103" s="403" t="str">
        <f t="shared" si="55"/>
        <v>Linea femenina</v>
      </c>
      <c r="C103" s="424">
        <f>(Demanda!$B19*'Capital de trabajo'!C58)*$C76</f>
        <v>2259.0760312333196</v>
      </c>
      <c r="D103" s="424">
        <f>(Demanda!$B19*'Capital de trabajo'!D58)*$C76</f>
        <v>3012.1013749777594</v>
      </c>
      <c r="E103" s="424">
        <f>(Demanda!$B19*'Capital de trabajo'!E58)*$C76</f>
        <v>1757.0591354036931</v>
      </c>
      <c r="F103" s="424">
        <f>(Demanda!$B19*'Capital de trabajo'!F58)*$C76</f>
        <v>1506.0506874888797</v>
      </c>
      <c r="G103" s="424">
        <f>(Demanda!$B19*'Capital de trabajo'!G58)*$C76</f>
        <v>5522.1858541258916</v>
      </c>
      <c r="H103" s="424">
        <f>(Demanda!$B19*'Capital de trabajo'!H58)*$C76</f>
        <v>1255.0422395740666</v>
      </c>
      <c r="I103" s="424">
        <f>(Demanda!$B19*'Capital de trabajo'!I58)*$C76</f>
        <v>1004.0337916592532</v>
      </c>
      <c r="J103" s="424">
        <f>(Demanda!$B19*'Capital de trabajo'!J58)*$C76</f>
        <v>1255.0422395740666</v>
      </c>
      <c r="K103" s="424">
        <f>(Demanda!$B19*'Capital de trabajo'!K58)*$C76</f>
        <v>1004.0337916592532</v>
      </c>
      <c r="L103" s="424">
        <f>(Demanda!$B19*'Capital de trabajo'!L58)*$C76</f>
        <v>1255.0422395740666</v>
      </c>
      <c r="M103" s="424">
        <f>(Demanda!$B19*'Capital de trabajo'!M58)*$C76</f>
        <v>1004.0337916592532</v>
      </c>
      <c r="N103" s="424">
        <f>(Demanda!$B19*'Capital de trabajo'!N58)*$C76</f>
        <v>4267.1436145518264</v>
      </c>
    </row>
    <row r="104" spans="2:14" ht="15.75" thickBot="1">
      <c r="B104" s="420" t="str">
        <f t="shared" si="55"/>
        <v>Linea de accesorios (hombres)</v>
      </c>
      <c r="C104" s="424">
        <f>(Demanda!$B20*'Capital de trabajo'!C59)*$C77</f>
        <v>256.76111120425679</v>
      </c>
      <c r="D104" s="424">
        <f>(Demanda!$B20*'Capital de trabajo'!D59)*$C77</f>
        <v>470.72870387447085</v>
      </c>
      <c r="E104" s="424">
        <f>(Demanda!$B20*'Capital de trabajo'!E59)*$C77</f>
        <v>299.55462973829964</v>
      </c>
      <c r="F104" s="424">
        <f>(Demanda!$B20*'Capital de trabajo'!F59)*$C77</f>
        <v>299.55462973829964</v>
      </c>
      <c r="G104" s="424">
        <f>(Demanda!$B20*'Capital de trabajo'!G59)*$C77</f>
        <v>299.55462973829964</v>
      </c>
      <c r="H104" s="424">
        <f>(Demanda!$B20*'Capital de trabajo'!H59)*$C77</f>
        <v>470.72870387447085</v>
      </c>
      <c r="I104" s="424">
        <f>(Demanda!$B20*'Capital de trabajo'!I59)*$C77</f>
        <v>299.55462973829964</v>
      </c>
      <c r="J104" s="424">
        <f>(Demanda!$B20*'Capital de trabajo'!J59)*$C77</f>
        <v>299.55462973829964</v>
      </c>
      <c r="K104" s="424">
        <f>(Demanda!$B20*'Capital de trabajo'!K59)*$C77</f>
        <v>299.55462973829964</v>
      </c>
      <c r="L104" s="424">
        <f>(Demanda!$B20*'Capital de trabajo'!L59)*$C77</f>
        <v>299.55462973829964</v>
      </c>
      <c r="M104" s="424">
        <f>(Demanda!$B20*'Capital de trabajo'!M59)*$C77</f>
        <v>299.55462973829964</v>
      </c>
      <c r="N104" s="424">
        <f>(Demanda!$B20*'Capital de trabajo'!N59)*$C77</f>
        <v>684.69629654468474</v>
      </c>
    </row>
    <row r="105" spans="2:14" ht="16.5" thickTop="1" thickBot="1">
      <c r="B105" s="423" t="s">
        <v>279</v>
      </c>
      <c r="C105" s="236">
        <f>SUM(C98:C104)</f>
        <v>10947.202528596057</v>
      </c>
      <c r="D105" s="236">
        <f t="shared" ref="D105:N105" si="56">SUM(D98:D104)</f>
        <v>11450.990202556415</v>
      </c>
      <c r="E105" s="236">
        <f t="shared" si="56"/>
        <v>12924.104020771594</v>
      </c>
      <c r="F105" s="236">
        <f t="shared" si="56"/>
        <v>11396.728276392067</v>
      </c>
      <c r="G105" s="236">
        <f t="shared" si="56"/>
        <v>10853.157036566421</v>
      </c>
      <c r="H105" s="236">
        <f t="shared" si="56"/>
        <v>7938.002790747998</v>
      </c>
      <c r="I105" s="236">
        <f t="shared" si="56"/>
        <v>7154.7219393001997</v>
      </c>
      <c r="J105" s="236">
        <f t="shared" si="56"/>
        <v>7680.4639355874251</v>
      </c>
      <c r="K105" s="236">
        <f t="shared" si="56"/>
        <v>4855.0152218971416</v>
      </c>
      <c r="L105" s="236">
        <f t="shared" si="56"/>
        <v>5026.9690170673184</v>
      </c>
      <c r="M105" s="236">
        <f t="shared" si="56"/>
        <v>4334.0397192279916</v>
      </c>
      <c r="N105" s="425">
        <f t="shared" si="56"/>
        <v>13334.160764385435</v>
      </c>
    </row>
    <row r="106" spans="2:14" ht="15.75" thickTop="1">
      <c r="B106" s="402" t="s">
        <v>270</v>
      </c>
      <c r="C106" s="393">
        <f>C105*$J$80</f>
        <v>2189.4405057192116</v>
      </c>
      <c r="D106" s="393">
        <f t="shared" ref="D106:N106" si="57">D105*$J$80</f>
        <v>2290.1980405112831</v>
      </c>
      <c r="E106" s="393">
        <f t="shared" si="57"/>
        <v>2584.8208041543189</v>
      </c>
      <c r="F106" s="393">
        <f t="shared" si="57"/>
        <v>2279.3456552784132</v>
      </c>
      <c r="G106" s="393">
        <f t="shared" si="57"/>
        <v>2170.6314073132844</v>
      </c>
      <c r="H106" s="393">
        <f t="shared" si="57"/>
        <v>1587.6005581495997</v>
      </c>
      <c r="I106" s="393">
        <f t="shared" si="57"/>
        <v>1430.94438786004</v>
      </c>
      <c r="J106" s="393">
        <f t="shared" si="57"/>
        <v>1536.0927871174852</v>
      </c>
      <c r="K106" s="393">
        <f t="shared" si="57"/>
        <v>971.00304437942839</v>
      </c>
      <c r="L106" s="393">
        <f t="shared" si="57"/>
        <v>1005.3938034134637</v>
      </c>
      <c r="M106" s="393">
        <f t="shared" si="57"/>
        <v>866.8079438455984</v>
      </c>
      <c r="N106" s="426">
        <f t="shared" si="57"/>
        <v>2666.8321528770871</v>
      </c>
    </row>
    <row r="107" spans="2:14">
      <c r="B107" s="403" t="s">
        <v>271</v>
      </c>
      <c r="C107" s="427"/>
      <c r="D107" s="189">
        <f>C105*$J$81</f>
        <v>3831.5208850086196</v>
      </c>
      <c r="E107" s="189">
        <f t="shared" ref="E107:N107" si="58">D105*$J$81</f>
        <v>4007.8465708947451</v>
      </c>
      <c r="F107" s="189">
        <f t="shared" si="58"/>
        <v>4523.4364072700573</v>
      </c>
      <c r="G107" s="189">
        <f t="shared" si="58"/>
        <v>3988.854896737223</v>
      </c>
      <c r="H107" s="189">
        <f t="shared" si="58"/>
        <v>3798.604962798247</v>
      </c>
      <c r="I107" s="189">
        <f t="shared" si="58"/>
        <v>2778.3009767617991</v>
      </c>
      <c r="J107" s="189">
        <f t="shared" si="58"/>
        <v>2504.1526787550697</v>
      </c>
      <c r="K107" s="189">
        <f t="shared" si="58"/>
        <v>2688.1623774555987</v>
      </c>
      <c r="L107" s="189">
        <f t="shared" si="58"/>
        <v>1699.2553276639994</v>
      </c>
      <c r="M107" s="189">
        <f t="shared" si="58"/>
        <v>1759.4391559735614</v>
      </c>
      <c r="N107" s="195">
        <f t="shared" si="58"/>
        <v>1516.9139017297969</v>
      </c>
    </row>
    <row r="108" spans="2:14">
      <c r="B108" s="404" t="s">
        <v>272</v>
      </c>
      <c r="C108" s="427"/>
      <c r="D108" s="189"/>
      <c r="E108" s="189">
        <f>C105*$J$82</f>
        <v>2189.4405057192116</v>
      </c>
      <c r="F108" s="189">
        <f t="shared" ref="F108:N108" si="59">D105*$J$82</f>
        <v>2290.1980405112831</v>
      </c>
      <c r="G108" s="189">
        <f t="shared" si="59"/>
        <v>2584.8208041543189</v>
      </c>
      <c r="H108" s="189">
        <f t="shared" si="59"/>
        <v>2279.3456552784132</v>
      </c>
      <c r="I108" s="189">
        <f t="shared" si="59"/>
        <v>2170.6314073132844</v>
      </c>
      <c r="J108" s="189">
        <f t="shared" si="59"/>
        <v>1587.6005581495997</v>
      </c>
      <c r="K108" s="189">
        <f t="shared" si="59"/>
        <v>1430.94438786004</v>
      </c>
      <c r="L108" s="189">
        <f t="shared" si="59"/>
        <v>1536.0927871174852</v>
      </c>
      <c r="M108" s="189">
        <f t="shared" si="59"/>
        <v>971.00304437942839</v>
      </c>
      <c r="N108" s="195">
        <f t="shared" si="59"/>
        <v>1005.3938034134637</v>
      </c>
    </row>
    <row r="109" spans="2:14">
      <c r="B109" s="404" t="s">
        <v>273</v>
      </c>
      <c r="C109" s="427"/>
      <c r="D109" s="189"/>
      <c r="E109" s="189"/>
      <c r="F109" s="189">
        <f>C105*$J$83</f>
        <v>1642.0803792894085</v>
      </c>
      <c r="G109" s="189">
        <f t="shared" ref="G109:N109" si="60">D105*$J$83</f>
        <v>1717.6485303834622</v>
      </c>
      <c r="H109" s="189">
        <f t="shared" si="60"/>
        <v>1938.6156031157391</v>
      </c>
      <c r="I109" s="189">
        <f t="shared" si="60"/>
        <v>1709.50924145881</v>
      </c>
      <c r="J109" s="189">
        <f t="shared" si="60"/>
        <v>1627.9735554849631</v>
      </c>
      <c r="K109" s="189">
        <f t="shared" si="60"/>
        <v>1190.7004186121997</v>
      </c>
      <c r="L109" s="189">
        <f t="shared" si="60"/>
        <v>1073.2082908950299</v>
      </c>
      <c r="M109" s="189">
        <f t="shared" si="60"/>
        <v>1152.0695903381138</v>
      </c>
      <c r="N109" s="195">
        <f t="shared" si="60"/>
        <v>728.25228328457126</v>
      </c>
    </row>
    <row r="110" spans="2:14" ht="15.75" thickBot="1">
      <c r="B110" s="421" t="s">
        <v>269</v>
      </c>
      <c r="C110" s="428"/>
      <c r="D110" s="429"/>
      <c r="E110" s="429"/>
      <c r="F110" s="429"/>
      <c r="G110" s="429">
        <f>C105*$J$84</f>
        <v>1094.7202528596058</v>
      </c>
      <c r="H110" s="429">
        <f t="shared" ref="H110:N110" si="61">D105*$J$84</f>
        <v>1145.0990202556416</v>
      </c>
      <c r="I110" s="429">
        <f t="shared" si="61"/>
        <v>1292.4104020771595</v>
      </c>
      <c r="J110" s="429">
        <f t="shared" si="61"/>
        <v>1139.6728276392066</v>
      </c>
      <c r="K110" s="429">
        <f t="shared" si="61"/>
        <v>1085.3157036566422</v>
      </c>
      <c r="L110" s="429">
        <f t="shared" si="61"/>
        <v>793.80027907479985</v>
      </c>
      <c r="M110" s="429">
        <f t="shared" si="61"/>
        <v>715.47219393002001</v>
      </c>
      <c r="N110" s="430">
        <f t="shared" si="61"/>
        <v>768.04639355874258</v>
      </c>
    </row>
    <row r="111" spans="2:14" ht="17.25" thickTop="1" thickBot="1">
      <c r="B111" s="422" t="s">
        <v>33</v>
      </c>
      <c r="C111" s="431">
        <f>SUM(C106:C110)</f>
        <v>2189.4405057192116</v>
      </c>
      <c r="D111" s="431">
        <f t="shared" ref="D111:N111" si="62">SUM(D106:D110)</f>
        <v>6121.7189255199028</v>
      </c>
      <c r="E111" s="431">
        <f t="shared" si="62"/>
        <v>8782.1078807682752</v>
      </c>
      <c r="F111" s="431">
        <f t="shared" si="62"/>
        <v>10735.060482349163</v>
      </c>
      <c r="G111" s="431">
        <f t="shared" si="62"/>
        <v>11556.675891447894</v>
      </c>
      <c r="H111" s="431">
        <f t="shared" si="62"/>
        <v>10749.265799597641</v>
      </c>
      <c r="I111" s="431">
        <f t="shared" si="62"/>
        <v>9381.7964154710935</v>
      </c>
      <c r="J111" s="431">
        <f t="shared" si="62"/>
        <v>8395.4924071463229</v>
      </c>
      <c r="K111" s="431">
        <f t="shared" si="62"/>
        <v>7366.1259319639084</v>
      </c>
      <c r="L111" s="431">
        <f t="shared" si="62"/>
        <v>6107.7504881647774</v>
      </c>
      <c r="M111" s="431">
        <f t="shared" si="62"/>
        <v>5464.7919284667223</v>
      </c>
      <c r="N111" s="431">
        <f t="shared" si="62"/>
        <v>6685.4385348636615</v>
      </c>
    </row>
  </sheetData>
  <mergeCells count="1">
    <mergeCell ref="F79:G7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V420"/>
  <sheetViews>
    <sheetView zoomScaleNormal="100" workbookViewId="0">
      <pane xSplit="1" ySplit="1" topLeftCell="V4" activePane="bottomRight" state="frozen"/>
      <selection pane="topRight" activeCell="B1" sqref="B1"/>
      <selection pane="bottomLeft" activeCell="A2" sqref="A2"/>
      <selection pane="bottomRight" activeCell="AH375" sqref="AH375:AH389"/>
    </sheetView>
  </sheetViews>
  <sheetFormatPr defaultColWidth="11.42578125" defaultRowHeight="15"/>
  <cols>
    <col min="1" max="1" width="4.140625" bestFit="1" customWidth="1"/>
    <col min="2" max="2" width="5.7109375" style="939" bestFit="1" customWidth="1"/>
    <col min="3" max="3" width="9.28515625" style="931" bestFit="1" customWidth="1"/>
    <col min="4" max="4" width="13.7109375" style="931" bestFit="1" customWidth="1"/>
    <col min="5" max="5" width="13" style="931" bestFit="1" customWidth="1"/>
    <col min="6" max="6" width="11.140625" style="931" bestFit="1" customWidth="1"/>
    <col min="7" max="7" width="8.140625" style="932" bestFit="1" customWidth="1"/>
    <col min="8" max="8" width="8.85546875" style="932" bestFit="1" customWidth="1"/>
    <col min="9" max="9" width="8.28515625" style="932" bestFit="1" customWidth="1"/>
    <col min="10" max="10" width="11.7109375" style="932" bestFit="1" customWidth="1"/>
    <col min="11" max="11" width="9.42578125" style="933" hidden="1" customWidth="1"/>
    <col min="12" max="12" width="9.85546875" style="933" hidden="1" customWidth="1"/>
    <col min="13" max="13" width="13.140625" style="933" hidden="1" customWidth="1"/>
    <col min="14" max="14" width="13.140625" style="933" customWidth="1"/>
    <col min="15" max="15" width="7.140625" style="934" hidden="1" customWidth="1"/>
    <col min="16" max="16" width="7.5703125" style="934" hidden="1" customWidth="1"/>
    <col min="17" max="17" width="9.85546875" style="934" hidden="1" customWidth="1"/>
    <col min="18" max="18" width="8.85546875" style="934" hidden="1" customWidth="1"/>
    <col min="19" max="19" width="8.85546875" style="934" customWidth="1"/>
    <col min="20" max="20" width="15" style="935" bestFit="1" customWidth="1"/>
    <col min="21" max="23" width="8.5703125" style="936" bestFit="1" customWidth="1"/>
    <col min="24" max="24" width="7.28515625" style="936" bestFit="1" customWidth="1"/>
    <col min="25" max="25" width="8.140625" style="936" bestFit="1" customWidth="1"/>
    <col min="26" max="26" width="7.85546875" style="936" bestFit="1" customWidth="1"/>
    <col min="27" max="27" width="8.42578125" style="936" bestFit="1" customWidth="1"/>
    <col min="28" max="28" width="7.140625" style="937" bestFit="1" customWidth="1"/>
    <col min="29" max="29" width="8.5703125" style="937" bestFit="1" customWidth="1"/>
    <col min="30" max="30" width="7.5703125" style="937" bestFit="1" customWidth="1"/>
    <col min="31" max="31" width="7.42578125" style="937" bestFit="1" customWidth="1"/>
    <col min="32" max="32" width="7.5703125" style="937" bestFit="1" customWidth="1"/>
    <col min="33" max="33" width="8.5703125" style="937" bestFit="1" customWidth="1"/>
    <col min="34" max="34" width="9.7109375" style="937" bestFit="1" customWidth="1"/>
    <col min="35" max="35" width="8.85546875" style="938" bestFit="1" customWidth="1"/>
    <col min="36" max="36" width="9.28515625" style="938" bestFit="1" customWidth="1"/>
    <col min="37" max="37" width="8.42578125" style="938" bestFit="1" customWidth="1"/>
    <col min="38" max="38" width="10.42578125" style="938" bestFit="1" customWidth="1"/>
    <col min="39" max="39" width="13.5703125" style="938" bestFit="1" customWidth="1"/>
    <col min="40" max="40" width="11.5703125" style="938" bestFit="1" customWidth="1"/>
    <col min="41" max="41" width="12.42578125" style="938" bestFit="1" customWidth="1"/>
    <col min="42" max="42" width="9" style="938" bestFit="1" customWidth="1"/>
    <col min="43" max="43" width="10.5703125" style="938" bestFit="1" customWidth="1"/>
    <col min="44" max="44" width="10.28515625" style="938" bestFit="1" customWidth="1"/>
    <col min="45" max="46" width="8" style="938" bestFit="1" customWidth="1"/>
    <col min="47" max="47" width="9.7109375" style="938" bestFit="1" customWidth="1"/>
  </cols>
  <sheetData>
    <row r="1" spans="1:47" s="82" customFormat="1">
      <c r="A1" s="702" t="s">
        <v>524</v>
      </c>
      <c r="B1" s="884" t="s">
        <v>469</v>
      </c>
      <c r="C1" s="885" t="s">
        <v>478</v>
      </c>
      <c r="D1" s="886" t="s">
        <v>479</v>
      </c>
      <c r="E1" s="886" t="s">
        <v>480</v>
      </c>
      <c r="F1" s="886" t="s">
        <v>481</v>
      </c>
      <c r="G1" s="887" t="s">
        <v>483</v>
      </c>
      <c r="H1" s="887" t="s">
        <v>484</v>
      </c>
      <c r="I1" s="887" t="s">
        <v>485</v>
      </c>
      <c r="J1" s="887" t="s">
        <v>487</v>
      </c>
      <c r="K1" s="888" t="s">
        <v>488</v>
      </c>
      <c r="L1" s="888" t="s">
        <v>490</v>
      </c>
      <c r="M1" s="889" t="s">
        <v>492</v>
      </c>
      <c r="N1" s="889" t="s">
        <v>525</v>
      </c>
      <c r="O1" s="890" t="s">
        <v>493</v>
      </c>
      <c r="P1" s="891" t="s">
        <v>494</v>
      </c>
      <c r="Q1" s="891" t="s">
        <v>495</v>
      </c>
      <c r="R1" s="890" t="s">
        <v>496</v>
      </c>
      <c r="S1" s="890" t="s">
        <v>526</v>
      </c>
      <c r="T1" s="892" t="s">
        <v>497</v>
      </c>
      <c r="U1" s="893" t="s">
        <v>498</v>
      </c>
      <c r="V1" s="893" t="s">
        <v>499</v>
      </c>
      <c r="W1" s="893" t="s">
        <v>500</v>
      </c>
      <c r="X1" s="894" t="s">
        <v>527</v>
      </c>
      <c r="Y1" s="893" t="s">
        <v>501</v>
      </c>
      <c r="Z1" s="893" t="s">
        <v>502</v>
      </c>
      <c r="AA1" s="893" t="s">
        <v>503</v>
      </c>
      <c r="AB1" s="895" t="s">
        <v>504</v>
      </c>
      <c r="AC1" s="895" t="s">
        <v>505</v>
      </c>
      <c r="AD1" s="895" t="s">
        <v>506</v>
      </c>
      <c r="AE1" s="895" t="s">
        <v>507</v>
      </c>
      <c r="AF1" s="895" t="s">
        <v>508</v>
      </c>
      <c r="AG1" s="895" t="s">
        <v>509</v>
      </c>
      <c r="AH1" s="895" t="s">
        <v>510</v>
      </c>
      <c r="AI1" s="896" t="s">
        <v>511</v>
      </c>
      <c r="AJ1" s="896" t="s">
        <v>512</v>
      </c>
      <c r="AK1" s="896" t="s">
        <v>513</v>
      </c>
      <c r="AL1" s="896" t="s">
        <v>514</v>
      </c>
      <c r="AM1" s="896" t="s">
        <v>515</v>
      </c>
      <c r="AN1" s="897" t="s">
        <v>516</v>
      </c>
      <c r="AO1" s="896" t="s">
        <v>517</v>
      </c>
      <c r="AP1" s="896" t="s">
        <v>528</v>
      </c>
      <c r="AQ1" s="896" t="s">
        <v>519</v>
      </c>
      <c r="AR1" s="896" t="s">
        <v>520</v>
      </c>
      <c r="AS1" s="896" t="s">
        <v>521</v>
      </c>
      <c r="AT1" s="896" t="s">
        <v>522</v>
      </c>
      <c r="AU1" s="896" t="s">
        <v>523</v>
      </c>
    </row>
    <row r="2" spans="1:47" hidden="1">
      <c r="A2" s="898">
        <v>1</v>
      </c>
      <c r="B2" s="899">
        <v>1</v>
      </c>
      <c r="C2" s="900">
        <v>0</v>
      </c>
      <c r="D2" s="900">
        <v>1</v>
      </c>
      <c r="E2" s="900">
        <v>0</v>
      </c>
      <c r="F2" s="900">
        <v>0</v>
      </c>
      <c r="G2" s="901">
        <v>4</v>
      </c>
      <c r="H2" s="901">
        <v>2</v>
      </c>
      <c r="I2" s="901">
        <v>3</v>
      </c>
      <c r="J2" s="901">
        <v>1</v>
      </c>
      <c r="K2" s="902">
        <v>1</v>
      </c>
      <c r="L2" s="902">
        <v>0</v>
      </c>
      <c r="M2" s="902">
        <v>0</v>
      </c>
      <c r="N2" s="902">
        <f t="shared" ref="N2:N65" si="0">+(K2*1)+(L2*2)+(M2*3)</f>
        <v>1</v>
      </c>
      <c r="O2" s="903">
        <v>1</v>
      </c>
      <c r="P2" s="903">
        <v>0</v>
      </c>
      <c r="Q2" s="903">
        <v>0</v>
      </c>
      <c r="R2" s="903">
        <v>0</v>
      </c>
      <c r="S2" s="903">
        <f>+(O2*1)+(P2*2)+(Q2*3)+(R2*4)</f>
        <v>1</v>
      </c>
      <c r="T2" s="904">
        <v>1</v>
      </c>
      <c r="U2" s="905">
        <v>1</v>
      </c>
      <c r="V2" s="905">
        <v>0</v>
      </c>
      <c r="W2" s="905">
        <v>0</v>
      </c>
      <c r="X2" s="905">
        <v>1</v>
      </c>
      <c r="Y2" s="905">
        <v>0</v>
      </c>
      <c r="Z2" s="905">
        <v>0</v>
      </c>
      <c r="AA2" s="905">
        <v>1</v>
      </c>
      <c r="AB2" s="906">
        <v>2</v>
      </c>
      <c r="AC2" s="906">
        <v>6</v>
      </c>
      <c r="AD2" s="906">
        <v>5</v>
      </c>
      <c r="AE2" s="906">
        <v>3</v>
      </c>
      <c r="AF2" s="906">
        <v>1</v>
      </c>
      <c r="AG2" s="906">
        <v>7</v>
      </c>
      <c r="AH2" s="906">
        <v>4</v>
      </c>
      <c r="AI2" s="907">
        <v>2</v>
      </c>
      <c r="AJ2" s="907">
        <v>2</v>
      </c>
      <c r="AK2" s="907">
        <v>1</v>
      </c>
      <c r="AL2" s="907">
        <v>1</v>
      </c>
      <c r="AM2" s="907">
        <v>1</v>
      </c>
      <c r="AN2" s="907">
        <v>1</v>
      </c>
      <c r="AO2" s="907">
        <v>4</v>
      </c>
      <c r="AP2" s="907">
        <v>0</v>
      </c>
      <c r="AQ2" s="907">
        <v>0</v>
      </c>
      <c r="AR2" s="907">
        <v>1</v>
      </c>
      <c r="AS2" s="907">
        <v>0</v>
      </c>
      <c r="AT2" s="907">
        <v>0</v>
      </c>
      <c r="AU2" s="907">
        <v>0</v>
      </c>
    </row>
    <row r="3" spans="1:47" hidden="1">
      <c r="A3" s="898">
        <v>2</v>
      </c>
      <c r="B3" s="899">
        <v>0</v>
      </c>
      <c r="C3" s="900">
        <v>1</v>
      </c>
      <c r="D3" s="900">
        <v>0</v>
      </c>
      <c r="E3" s="900">
        <v>0</v>
      </c>
      <c r="F3" s="900">
        <v>0</v>
      </c>
      <c r="G3" s="901">
        <v>2</v>
      </c>
      <c r="H3" s="901">
        <v>3</v>
      </c>
      <c r="I3" s="901">
        <v>4</v>
      </c>
      <c r="J3" s="901">
        <v>1</v>
      </c>
      <c r="K3" s="902">
        <v>0</v>
      </c>
      <c r="L3" s="902">
        <v>0</v>
      </c>
      <c r="M3" s="902">
        <v>1</v>
      </c>
      <c r="N3" s="902">
        <f t="shared" si="0"/>
        <v>3</v>
      </c>
      <c r="O3" s="908">
        <v>1</v>
      </c>
      <c r="P3" s="908">
        <v>0</v>
      </c>
      <c r="Q3" s="908">
        <v>0</v>
      </c>
      <c r="R3" s="908">
        <v>0</v>
      </c>
      <c r="S3" s="903">
        <f t="shared" ref="S3:S66" si="1">+(O3*1)+(P3*2)+(Q3*3)+(R3*4)</f>
        <v>1</v>
      </c>
      <c r="T3" s="904">
        <v>1</v>
      </c>
      <c r="U3" s="905">
        <v>0</v>
      </c>
      <c r="V3" s="905">
        <v>0</v>
      </c>
      <c r="W3" s="905">
        <v>0</v>
      </c>
      <c r="X3" s="905">
        <v>0</v>
      </c>
      <c r="Y3" s="905">
        <v>0</v>
      </c>
      <c r="Z3" s="905">
        <v>1</v>
      </c>
      <c r="AA3" s="905">
        <v>0</v>
      </c>
      <c r="AB3" s="906">
        <v>2</v>
      </c>
      <c r="AC3" s="906">
        <v>5</v>
      </c>
      <c r="AD3" s="906">
        <v>3</v>
      </c>
      <c r="AE3" s="906">
        <v>7</v>
      </c>
      <c r="AF3" s="906">
        <v>1</v>
      </c>
      <c r="AG3" s="906">
        <v>4</v>
      </c>
      <c r="AH3" s="906">
        <v>6</v>
      </c>
      <c r="AI3" s="907">
        <v>1</v>
      </c>
      <c r="AJ3" s="907">
        <v>2</v>
      </c>
      <c r="AK3" s="907">
        <v>2</v>
      </c>
      <c r="AL3" s="907">
        <v>3</v>
      </c>
      <c r="AM3" s="907">
        <v>2</v>
      </c>
      <c r="AN3" s="907">
        <v>1</v>
      </c>
      <c r="AO3" s="907">
        <v>1</v>
      </c>
      <c r="AP3" s="907">
        <v>0</v>
      </c>
      <c r="AQ3" s="907">
        <v>0</v>
      </c>
      <c r="AR3" s="907">
        <v>0</v>
      </c>
      <c r="AS3" s="907">
        <v>0</v>
      </c>
      <c r="AT3" s="907">
        <v>1</v>
      </c>
      <c r="AU3" s="907">
        <v>0</v>
      </c>
    </row>
    <row r="4" spans="1:47">
      <c r="A4" s="898">
        <v>3</v>
      </c>
      <c r="B4" s="899">
        <v>1</v>
      </c>
      <c r="C4" s="900">
        <v>0</v>
      </c>
      <c r="D4" s="900">
        <v>1</v>
      </c>
      <c r="E4" s="900">
        <v>0</v>
      </c>
      <c r="F4" s="900">
        <v>0</v>
      </c>
      <c r="G4" s="901">
        <v>3</v>
      </c>
      <c r="H4" s="901">
        <v>2</v>
      </c>
      <c r="I4" s="901">
        <v>4</v>
      </c>
      <c r="J4" s="901">
        <v>1</v>
      </c>
      <c r="K4" s="902">
        <v>1</v>
      </c>
      <c r="L4" s="902">
        <v>0</v>
      </c>
      <c r="M4" s="902">
        <v>0</v>
      </c>
      <c r="N4" s="902">
        <f t="shared" si="0"/>
        <v>1</v>
      </c>
      <c r="O4" s="903">
        <v>1</v>
      </c>
      <c r="P4" s="903">
        <v>0</v>
      </c>
      <c r="Q4" s="903">
        <v>0</v>
      </c>
      <c r="R4" s="903">
        <v>0</v>
      </c>
      <c r="S4" s="903">
        <f t="shared" si="1"/>
        <v>1</v>
      </c>
      <c r="T4" s="904">
        <v>1</v>
      </c>
      <c r="U4" s="905">
        <v>1</v>
      </c>
      <c r="V4" s="905">
        <v>0</v>
      </c>
      <c r="W4" s="905">
        <v>0</v>
      </c>
      <c r="X4" s="905">
        <v>0</v>
      </c>
      <c r="Y4" s="905">
        <v>0</v>
      </c>
      <c r="Z4" s="905">
        <v>0</v>
      </c>
      <c r="AA4" s="905">
        <v>0</v>
      </c>
      <c r="AB4" s="906">
        <v>2</v>
      </c>
      <c r="AC4" s="906">
        <v>6</v>
      </c>
      <c r="AD4" s="906">
        <v>1</v>
      </c>
      <c r="AE4" s="906">
        <v>7</v>
      </c>
      <c r="AF4" s="906">
        <v>4</v>
      </c>
      <c r="AG4" s="906">
        <v>5</v>
      </c>
      <c r="AH4" s="906">
        <v>3</v>
      </c>
      <c r="AI4" s="907">
        <v>2</v>
      </c>
      <c r="AJ4" s="907">
        <v>1</v>
      </c>
      <c r="AK4" s="907">
        <v>1</v>
      </c>
      <c r="AL4" s="907">
        <v>1</v>
      </c>
      <c r="AM4" s="907">
        <v>1</v>
      </c>
      <c r="AN4" s="907">
        <v>1</v>
      </c>
      <c r="AO4" s="907">
        <v>2</v>
      </c>
      <c r="AP4" s="907">
        <v>0</v>
      </c>
      <c r="AQ4" s="907">
        <v>0</v>
      </c>
      <c r="AR4" s="907">
        <v>0</v>
      </c>
      <c r="AS4" s="907">
        <v>0</v>
      </c>
      <c r="AT4" s="907">
        <v>1</v>
      </c>
      <c r="AU4" s="907">
        <v>0</v>
      </c>
    </row>
    <row r="5" spans="1:47" hidden="1">
      <c r="A5" s="898">
        <v>4</v>
      </c>
      <c r="B5" s="899">
        <v>1</v>
      </c>
      <c r="C5" s="900">
        <v>0</v>
      </c>
      <c r="D5" s="900">
        <v>1</v>
      </c>
      <c r="E5" s="900">
        <v>0</v>
      </c>
      <c r="F5" s="900">
        <v>0</v>
      </c>
      <c r="G5" s="901">
        <v>1</v>
      </c>
      <c r="H5" s="901">
        <v>2</v>
      </c>
      <c r="I5" s="901">
        <v>4</v>
      </c>
      <c r="J5" s="901">
        <v>3</v>
      </c>
      <c r="K5" s="902">
        <v>1</v>
      </c>
      <c r="L5" s="902">
        <v>0</v>
      </c>
      <c r="M5" s="902">
        <v>0</v>
      </c>
      <c r="N5" s="902">
        <f t="shared" si="0"/>
        <v>1</v>
      </c>
      <c r="O5" s="903">
        <v>1</v>
      </c>
      <c r="P5" s="903">
        <v>0</v>
      </c>
      <c r="Q5" s="903">
        <v>0</v>
      </c>
      <c r="R5" s="903">
        <v>0</v>
      </c>
      <c r="S5" s="903">
        <f t="shared" si="1"/>
        <v>1</v>
      </c>
      <c r="T5" s="904">
        <v>1</v>
      </c>
      <c r="U5" s="905">
        <v>1</v>
      </c>
      <c r="V5" s="905">
        <v>0</v>
      </c>
      <c r="W5" s="905">
        <v>0</v>
      </c>
      <c r="X5" s="905">
        <v>1</v>
      </c>
      <c r="Y5" s="905">
        <v>0</v>
      </c>
      <c r="Z5" s="905">
        <v>0</v>
      </c>
      <c r="AA5" s="905">
        <v>0</v>
      </c>
      <c r="AB5" s="906">
        <v>6</v>
      </c>
      <c r="AC5" s="906">
        <v>4</v>
      </c>
      <c r="AD5" s="906">
        <v>5</v>
      </c>
      <c r="AE5" s="906">
        <v>7</v>
      </c>
      <c r="AF5" s="906">
        <v>2</v>
      </c>
      <c r="AG5" s="906">
        <v>1</v>
      </c>
      <c r="AH5" s="906">
        <v>3</v>
      </c>
      <c r="AI5" s="907">
        <v>2</v>
      </c>
      <c r="AJ5" s="907">
        <v>2</v>
      </c>
      <c r="AK5" s="907">
        <v>2</v>
      </c>
      <c r="AL5" s="907">
        <v>1</v>
      </c>
      <c r="AM5" s="907">
        <v>1</v>
      </c>
      <c r="AN5" s="907">
        <v>2</v>
      </c>
      <c r="AO5" s="907">
        <v>3</v>
      </c>
      <c r="AP5" s="907">
        <v>1</v>
      </c>
      <c r="AQ5" s="907">
        <v>0</v>
      </c>
      <c r="AR5" s="907">
        <v>0</v>
      </c>
      <c r="AS5" s="907">
        <v>0</v>
      </c>
      <c r="AT5" s="907">
        <v>0</v>
      </c>
      <c r="AU5" s="907">
        <v>0</v>
      </c>
    </row>
    <row r="6" spans="1:47" hidden="1">
      <c r="A6" s="898">
        <v>5</v>
      </c>
      <c r="B6" s="899">
        <v>0</v>
      </c>
      <c r="C6" s="900">
        <v>0</v>
      </c>
      <c r="D6" s="900">
        <v>0</v>
      </c>
      <c r="E6" s="900">
        <v>1</v>
      </c>
      <c r="F6" s="900">
        <v>0</v>
      </c>
      <c r="G6" s="901">
        <v>2</v>
      </c>
      <c r="H6" s="901">
        <v>3</v>
      </c>
      <c r="I6" s="901">
        <v>4</v>
      </c>
      <c r="J6" s="901">
        <v>1</v>
      </c>
      <c r="K6" s="902">
        <v>1</v>
      </c>
      <c r="L6" s="902">
        <v>0</v>
      </c>
      <c r="M6" s="902">
        <v>0</v>
      </c>
      <c r="N6" s="902">
        <f t="shared" si="0"/>
        <v>1</v>
      </c>
      <c r="O6" s="903">
        <v>1</v>
      </c>
      <c r="P6" s="903">
        <v>0</v>
      </c>
      <c r="Q6" s="903">
        <v>0</v>
      </c>
      <c r="R6" s="903">
        <v>0</v>
      </c>
      <c r="S6" s="903">
        <f t="shared" si="1"/>
        <v>1</v>
      </c>
      <c r="T6" s="904">
        <v>1</v>
      </c>
      <c r="U6" s="905">
        <v>0</v>
      </c>
      <c r="V6" s="905">
        <v>0</v>
      </c>
      <c r="W6" s="905">
        <v>0</v>
      </c>
      <c r="X6" s="905">
        <v>0</v>
      </c>
      <c r="Y6" s="905">
        <v>1</v>
      </c>
      <c r="Z6" s="905">
        <v>0</v>
      </c>
      <c r="AA6" s="905">
        <v>1</v>
      </c>
      <c r="AB6" s="906">
        <v>7</v>
      </c>
      <c r="AC6" s="906">
        <v>4</v>
      </c>
      <c r="AD6" s="906">
        <v>3</v>
      </c>
      <c r="AE6" s="906">
        <v>5</v>
      </c>
      <c r="AF6" s="906">
        <v>1</v>
      </c>
      <c r="AG6" s="906">
        <v>2</v>
      </c>
      <c r="AH6" s="906">
        <v>6</v>
      </c>
      <c r="AI6" s="907">
        <v>2</v>
      </c>
      <c r="AJ6" s="907">
        <v>1</v>
      </c>
      <c r="AK6" s="907">
        <v>2</v>
      </c>
      <c r="AL6" s="907">
        <v>2</v>
      </c>
      <c r="AM6" s="907">
        <v>1</v>
      </c>
      <c r="AN6" s="907">
        <v>1</v>
      </c>
      <c r="AO6" s="907">
        <v>1</v>
      </c>
      <c r="AP6" s="907">
        <v>0</v>
      </c>
      <c r="AQ6" s="907">
        <v>0</v>
      </c>
      <c r="AR6" s="907">
        <v>0</v>
      </c>
      <c r="AS6" s="907">
        <v>1</v>
      </c>
      <c r="AT6" s="907">
        <v>0</v>
      </c>
      <c r="AU6" s="907">
        <v>0</v>
      </c>
    </row>
    <row r="7" spans="1:47" hidden="1">
      <c r="A7" s="898">
        <v>6</v>
      </c>
      <c r="B7" s="899">
        <v>0</v>
      </c>
      <c r="C7" s="900">
        <v>0</v>
      </c>
      <c r="D7" s="900">
        <v>1</v>
      </c>
      <c r="E7" s="900">
        <v>0</v>
      </c>
      <c r="F7" s="900">
        <v>0</v>
      </c>
      <c r="G7" s="901">
        <v>2</v>
      </c>
      <c r="H7" s="901">
        <v>4</v>
      </c>
      <c r="I7" s="901">
        <v>3</v>
      </c>
      <c r="J7" s="901">
        <v>1</v>
      </c>
      <c r="K7" s="902">
        <v>1</v>
      </c>
      <c r="L7" s="902">
        <v>0</v>
      </c>
      <c r="M7" s="902">
        <v>0</v>
      </c>
      <c r="N7" s="902">
        <f t="shared" si="0"/>
        <v>1</v>
      </c>
      <c r="O7" s="903">
        <v>1</v>
      </c>
      <c r="P7" s="903">
        <v>0</v>
      </c>
      <c r="Q7" s="903">
        <v>0</v>
      </c>
      <c r="R7" s="903">
        <v>0</v>
      </c>
      <c r="S7" s="903">
        <f t="shared" si="1"/>
        <v>1</v>
      </c>
      <c r="T7" s="904">
        <v>1</v>
      </c>
      <c r="U7" s="905">
        <v>1</v>
      </c>
      <c r="V7" s="905">
        <v>0</v>
      </c>
      <c r="W7" s="905">
        <v>0</v>
      </c>
      <c r="X7" s="905">
        <v>0</v>
      </c>
      <c r="Y7" s="905">
        <v>1</v>
      </c>
      <c r="Z7" s="905">
        <v>0</v>
      </c>
      <c r="AA7" s="905">
        <v>1</v>
      </c>
      <c r="AB7" s="906">
        <v>4</v>
      </c>
      <c r="AC7" s="906">
        <v>6</v>
      </c>
      <c r="AD7" s="906">
        <v>1</v>
      </c>
      <c r="AE7" s="906">
        <v>2</v>
      </c>
      <c r="AF7" s="906">
        <v>3</v>
      </c>
      <c r="AG7" s="906">
        <v>7</v>
      </c>
      <c r="AH7" s="906">
        <v>5</v>
      </c>
      <c r="AI7" s="907">
        <v>2</v>
      </c>
      <c r="AJ7" s="907">
        <v>1</v>
      </c>
      <c r="AK7" s="907">
        <v>3</v>
      </c>
      <c r="AL7" s="907">
        <v>3</v>
      </c>
      <c r="AM7" s="907">
        <v>1</v>
      </c>
      <c r="AN7" s="907">
        <v>1</v>
      </c>
      <c r="AO7" s="907">
        <v>4</v>
      </c>
      <c r="AP7" s="907">
        <v>0</v>
      </c>
      <c r="AQ7" s="907">
        <v>0</v>
      </c>
      <c r="AR7" s="907">
        <v>1</v>
      </c>
      <c r="AS7" s="907">
        <v>0</v>
      </c>
      <c r="AT7" s="907">
        <v>0</v>
      </c>
      <c r="AU7" s="907">
        <v>0</v>
      </c>
    </row>
    <row r="8" spans="1:47" hidden="1">
      <c r="A8" s="898">
        <v>7</v>
      </c>
      <c r="B8" s="899">
        <v>1</v>
      </c>
      <c r="C8" s="900">
        <v>0</v>
      </c>
      <c r="D8" s="900">
        <v>1</v>
      </c>
      <c r="E8" s="900">
        <v>0</v>
      </c>
      <c r="F8" s="900">
        <v>0</v>
      </c>
      <c r="G8" s="901">
        <v>1</v>
      </c>
      <c r="H8" s="901">
        <v>3</v>
      </c>
      <c r="I8" s="901">
        <v>4</v>
      </c>
      <c r="J8" s="901">
        <v>2</v>
      </c>
      <c r="K8" s="902">
        <v>1</v>
      </c>
      <c r="L8" s="902">
        <v>0</v>
      </c>
      <c r="M8" s="902">
        <v>0</v>
      </c>
      <c r="N8" s="902">
        <f t="shared" si="0"/>
        <v>1</v>
      </c>
      <c r="O8" s="903">
        <v>1</v>
      </c>
      <c r="P8" s="903">
        <v>0</v>
      </c>
      <c r="Q8" s="903">
        <v>0</v>
      </c>
      <c r="R8" s="903">
        <v>0</v>
      </c>
      <c r="S8" s="903">
        <f t="shared" si="1"/>
        <v>1</v>
      </c>
      <c r="T8" s="904">
        <v>1</v>
      </c>
      <c r="U8" s="905">
        <v>1</v>
      </c>
      <c r="V8" s="905">
        <v>0</v>
      </c>
      <c r="W8" s="905">
        <v>0</v>
      </c>
      <c r="X8" s="905">
        <v>1</v>
      </c>
      <c r="Y8" s="905">
        <v>0</v>
      </c>
      <c r="Z8" s="905">
        <v>0</v>
      </c>
      <c r="AA8" s="905">
        <v>1</v>
      </c>
      <c r="AB8" s="906">
        <v>5</v>
      </c>
      <c r="AC8" s="906">
        <v>2</v>
      </c>
      <c r="AD8" s="906">
        <v>4</v>
      </c>
      <c r="AE8" s="906">
        <v>7</v>
      </c>
      <c r="AF8" s="906">
        <v>1</v>
      </c>
      <c r="AG8" s="906">
        <v>3</v>
      </c>
      <c r="AH8" s="906">
        <v>6</v>
      </c>
      <c r="AI8" s="907">
        <v>2</v>
      </c>
      <c r="AJ8" s="907">
        <v>1</v>
      </c>
      <c r="AK8" s="907">
        <v>2</v>
      </c>
      <c r="AL8" s="907">
        <v>1</v>
      </c>
      <c r="AM8" s="907">
        <v>1</v>
      </c>
      <c r="AN8" s="907">
        <v>2</v>
      </c>
      <c r="AO8" s="907">
        <v>4</v>
      </c>
      <c r="AP8" s="907">
        <v>0</v>
      </c>
      <c r="AQ8" s="907">
        <v>0</v>
      </c>
      <c r="AR8" s="907">
        <v>0</v>
      </c>
      <c r="AS8" s="907">
        <v>0</v>
      </c>
      <c r="AT8" s="907">
        <v>1</v>
      </c>
      <c r="AU8" s="907">
        <v>0</v>
      </c>
    </row>
    <row r="9" spans="1:47" hidden="1">
      <c r="A9" s="898">
        <v>8</v>
      </c>
      <c r="B9" s="899">
        <v>1</v>
      </c>
      <c r="C9" s="900">
        <v>0</v>
      </c>
      <c r="D9" s="900">
        <v>0</v>
      </c>
      <c r="E9" s="900">
        <v>1</v>
      </c>
      <c r="F9" s="900">
        <v>0</v>
      </c>
      <c r="G9" s="901">
        <v>4</v>
      </c>
      <c r="H9" s="901">
        <v>1</v>
      </c>
      <c r="I9" s="901">
        <v>2</v>
      </c>
      <c r="J9" s="901">
        <v>3</v>
      </c>
      <c r="K9" s="902">
        <v>0</v>
      </c>
      <c r="L9" s="902">
        <v>1</v>
      </c>
      <c r="M9" s="902">
        <v>0</v>
      </c>
      <c r="N9" s="902">
        <f t="shared" si="0"/>
        <v>2</v>
      </c>
      <c r="O9" s="903">
        <v>1</v>
      </c>
      <c r="P9" s="903">
        <v>0</v>
      </c>
      <c r="Q9" s="903">
        <v>0</v>
      </c>
      <c r="R9" s="903">
        <v>0</v>
      </c>
      <c r="S9" s="903">
        <f t="shared" si="1"/>
        <v>1</v>
      </c>
      <c r="T9" s="904">
        <v>1</v>
      </c>
      <c r="U9" s="905">
        <v>1</v>
      </c>
      <c r="V9" s="905">
        <v>0</v>
      </c>
      <c r="W9" s="905">
        <v>0</v>
      </c>
      <c r="X9" s="905">
        <v>1</v>
      </c>
      <c r="Y9" s="905">
        <v>0</v>
      </c>
      <c r="Z9" s="905">
        <v>0</v>
      </c>
      <c r="AA9" s="905">
        <v>0</v>
      </c>
      <c r="AB9" s="906">
        <v>6</v>
      </c>
      <c r="AC9" s="906">
        <v>5</v>
      </c>
      <c r="AD9" s="906">
        <v>4</v>
      </c>
      <c r="AE9" s="906">
        <v>7</v>
      </c>
      <c r="AF9" s="906">
        <v>1</v>
      </c>
      <c r="AG9" s="906">
        <v>2</v>
      </c>
      <c r="AH9" s="906">
        <v>3</v>
      </c>
      <c r="AI9" s="907">
        <v>2</v>
      </c>
      <c r="AJ9" s="907">
        <v>2</v>
      </c>
      <c r="AK9" s="907">
        <v>1</v>
      </c>
      <c r="AL9" s="907">
        <v>2</v>
      </c>
      <c r="AM9" s="907">
        <v>1</v>
      </c>
      <c r="AN9" s="907">
        <v>1</v>
      </c>
      <c r="AO9" s="907">
        <v>1</v>
      </c>
      <c r="AP9" s="907">
        <v>0</v>
      </c>
      <c r="AQ9" s="907">
        <v>0</v>
      </c>
      <c r="AR9" s="907">
        <v>0</v>
      </c>
      <c r="AS9" s="907">
        <v>1</v>
      </c>
      <c r="AT9" s="907">
        <v>0</v>
      </c>
      <c r="AU9" s="907">
        <v>0</v>
      </c>
    </row>
    <row r="10" spans="1:47" hidden="1">
      <c r="A10" s="898">
        <v>9</v>
      </c>
      <c r="B10" s="899">
        <v>0</v>
      </c>
      <c r="C10" s="900">
        <v>1</v>
      </c>
      <c r="D10" s="900">
        <v>0</v>
      </c>
      <c r="E10" s="900">
        <v>0</v>
      </c>
      <c r="F10" s="900">
        <v>0</v>
      </c>
      <c r="G10" s="901">
        <v>3</v>
      </c>
      <c r="H10" s="901">
        <v>4</v>
      </c>
      <c r="I10" s="901">
        <v>1</v>
      </c>
      <c r="J10" s="901">
        <v>2</v>
      </c>
      <c r="K10" s="902">
        <v>1</v>
      </c>
      <c r="L10" s="902">
        <v>0</v>
      </c>
      <c r="M10" s="902">
        <v>0</v>
      </c>
      <c r="N10" s="902">
        <f t="shared" si="0"/>
        <v>1</v>
      </c>
      <c r="O10" s="903">
        <v>1</v>
      </c>
      <c r="P10" s="903">
        <v>0</v>
      </c>
      <c r="Q10" s="903">
        <v>0</v>
      </c>
      <c r="R10" s="903">
        <v>0</v>
      </c>
      <c r="S10" s="903">
        <f t="shared" si="1"/>
        <v>1</v>
      </c>
      <c r="T10" s="904">
        <v>1</v>
      </c>
      <c r="U10" s="905">
        <v>0</v>
      </c>
      <c r="V10" s="905">
        <v>0</v>
      </c>
      <c r="W10" s="905">
        <v>1</v>
      </c>
      <c r="X10" s="905">
        <v>0</v>
      </c>
      <c r="Y10" s="905">
        <v>1</v>
      </c>
      <c r="Z10" s="905">
        <v>0</v>
      </c>
      <c r="AA10" s="905">
        <v>0</v>
      </c>
      <c r="AB10" s="906">
        <v>6</v>
      </c>
      <c r="AC10" s="906">
        <v>2</v>
      </c>
      <c r="AD10" s="906">
        <v>7</v>
      </c>
      <c r="AE10" s="906">
        <v>4</v>
      </c>
      <c r="AF10" s="906">
        <v>5</v>
      </c>
      <c r="AG10" s="906">
        <v>1</v>
      </c>
      <c r="AH10" s="906">
        <v>3</v>
      </c>
      <c r="AI10" s="907">
        <v>2</v>
      </c>
      <c r="AJ10" s="907">
        <v>2</v>
      </c>
      <c r="AK10" s="907">
        <v>2</v>
      </c>
      <c r="AL10" s="907">
        <v>2</v>
      </c>
      <c r="AM10" s="907">
        <v>1</v>
      </c>
      <c r="AN10" s="907">
        <v>1</v>
      </c>
      <c r="AO10" s="907">
        <v>2</v>
      </c>
      <c r="AP10" s="907">
        <v>1</v>
      </c>
      <c r="AQ10" s="907">
        <v>0</v>
      </c>
      <c r="AR10" s="907">
        <v>0</v>
      </c>
      <c r="AS10" s="907">
        <v>0</v>
      </c>
      <c r="AT10" s="907">
        <v>0</v>
      </c>
      <c r="AU10" s="907">
        <v>0</v>
      </c>
    </row>
    <row r="11" spans="1:47" hidden="1">
      <c r="A11" s="898">
        <v>10</v>
      </c>
      <c r="B11" s="899">
        <v>0</v>
      </c>
      <c r="C11" s="900">
        <v>0</v>
      </c>
      <c r="D11" s="900">
        <v>0</v>
      </c>
      <c r="E11" s="900">
        <v>0</v>
      </c>
      <c r="F11" s="900">
        <v>1</v>
      </c>
      <c r="G11" s="901">
        <v>4</v>
      </c>
      <c r="H11" s="901">
        <v>2</v>
      </c>
      <c r="I11" s="901">
        <v>3</v>
      </c>
      <c r="J11" s="901">
        <v>1</v>
      </c>
      <c r="K11" s="902">
        <v>1</v>
      </c>
      <c r="L11" s="902">
        <v>0</v>
      </c>
      <c r="M11" s="902">
        <v>0</v>
      </c>
      <c r="N11" s="902">
        <f t="shared" si="0"/>
        <v>1</v>
      </c>
      <c r="O11" s="903">
        <v>1</v>
      </c>
      <c r="P11" s="903">
        <v>0</v>
      </c>
      <c r="Q11" s="903">
        <v>0</v>
      </c>
      <c r="R11" s="903">
        <v>0</v>
      </c>
      <c r="S11" s="903">
        <f t="shared" si="1"/>
        <v>1</v>
      </c>
      <c r="T11" s="904">
        <v>1</v>
      </c>
      <c r="U11" s="905">
        <v>0</v>
      </c>
      <c r="V11" s="905">
        <v>0</v>
      </c>
      <c r="W11" s="905">
        <v>1</v>
      </c>
      <c r="X11" s="905">
        <v>0</v>
      </c>
      <c r="Y11" s="905">
        <v>0</v>
      </c>
      <c r="Z11" s="905">
        <v>0</v>
      </c>
      <c r="AA11" s="905">
        <v>0</v>
      </c>
      <c r="AB11" s="906">
        <v>6</v>
      </c>
      <c r="AC11" s="906">
        <v>4</v>
      </c>
      <c r="AD11" s="906">
        <v>5</v>
      </c>
      <c r="AE11" s="906">
        <v>3</v>
      </c>
      <c r="AF11" s="906">
        <v>2</v>
      </c>
      <c r="AG11" s="906">
        <v>1</v>
      </c>
      <c r="AH11" s="906">
        <v>7</v>
      </c>
      <c r="AI11" s="907">
        <v>2</v>
      </c>
      <c r="AJ11" s="907">
        <v>1</v>
      </c>
      <c r="AK11" s="907">
        <v>2</v>
      </c>
      <c r="AL11" s="907">
        <v>2</v>
      </c>
      <c r="AM11" s="907">
        <v>1</v>
      </c>
      <c r="AN11" s="907">
        <v>2</v>
      </c>
      <c r="AO11" s="907">
        <v>1</v>
      </c>
      <c r="AP11" s="907">
        <v>1</v>
      </c>
      <c r="AQ11" s="907">
        <v>0</v>
      </c>
      <c r="AR11" s="907">
        <v>0</v>
      </c>
      <c r="AS11" s="907">
        <v>0</v>
      </c>
      <c r="AT11" s="907">
        <v>0</v>
      </c>
      <c r="AU11" s="907">
        <v>0</v>
      </c>
    </row>
    <row r="12" spans="1:47" hidden="1">
      <c r="A12" s="898">
        <v>11</v>
      </c>
      <c r="B12" s="899">
        <v>0</v>
      </c>
      <c r="C12" s="900">
        <v>0</v>
      </c>
      <c r="D12" s="900">
        <v>1</v>
      </c>
      <c r="E12" s="900">
        <v>0</v>
      </c>
      <c r="F12" s="900">
        <v>0</v>
      </c>
      <c r="G12" s="901">
        <v>3</v>
      </c>
      <c r="H12" s="901">
        <v>4</v>
      </c>
      <c r="I12" s="901">
        <v>1</v>
      </c>
      <c r="J12" s="901">
        <v>2</v>
      </c>
      <c r="K12" s="902">
        <v>0</v>
      </c>
      <c r="L12" s="902">
        <v>1</v>
      </c>
      <c r="M12" s="902">
        <v>0</v>
      </c>
      <c r="N12" s="902">
        <f t="shared" si="0"/>
        <v>2</v>
      </c>
      <c r="O12" s="903">
        <v>1</v>
      </c>
      <c r="P12" s="903">
        <v>0</v>
      </c>
      <c r="Q12" s="903">
        <v>0</v>
      </c>
      <c r="R12" s="903">
        <v>0</v>
      </c>
      <c r="S12" s="903">
        <f t="shared" si="1"/>
        <v>1</v>
      </c>
      <c r="T12" s="904">
        <v>1</v>
      </c>
      <c r="U12" s="905">
        <v>1</v>
      </c>
      <c r="V12" s="905">
        <v>0</v>
      </c>
      <c r="W12" s="905">
        <v>0</v>
      </c>
      <c r="X12" s="905">
        <v>0</v>
      </c>
      <c r="Y12" s="905">
        <v>0</v>
      </c>
      <c r="Z12" s="905">
        <v>0</v>
      </c>
      <c r="AA12" s="905">
        <v>1</v>
      </c>
      <c r="AB12" s="906">
        <v>1</v>
      </c>
      <c r="AC12" s="906">
        <v>2</v>
      </c>
      <c r="AD12" s="906">
        <v>5</v>
      </c>
      <c r="AE12" s="906">
        <v>6</v>
      </c>
      <c r="AF12" s="906">
        <v>3</v>
      </c>
      <c r="AG12" s="906">
        <v>4</v>
      </c>
      <c r="AH12" s="906">
        <v>7</v>
      </c>
      <c r="AI12" s="907">
        <v>2</v>
      </c>
      <c r="AJ12" s="907">
        <v>2</v>
      </c>
      <c r="AK12" s="907">
        <v>2</v>
      </c>
      <c r="AL12" s="907">
        <v>1</v>
      </c>
      <c r="AM12" s="907">
        <v>1</v>
      </c>
      <c r="AN12" s="907">
        <v>2</v>
      </c>
      <c r="AO12" s="907">
        <v>2</v>
      </c>
      <c r="AP12" s="907">
        <v>0</v>
      </c>
      <c r="AQ12" s="907">
        <v>0</v>
      </c>
      <c r="AR12" s="907">
        <v>0</v>
      </c>
      <c r="AS12" s="907">
        <v>0</v>
      </c>
      <c r="AT12" s="907">
        <v>1</v>
      </c>
      <c r="AU12" s="907">
        <v>0</v>
      </c>
    </row>
    <row r="13" spans="1:47" hidden="1">
      <c r="A13" s="898">
        <v>12</v>
      </c>
      <c r="B13" s="899">
        <v>1</v>
      </c>
      <c r="C13" s="900">
        <v>0</v>
      </c>
      <c r="D13" s="900">
        <v>1</v>
      </c>
      <c r="E13" s="900">
        <v>0</v>
      </c>
      <c r="F13" s="900">
        <v>0</v>
      </c>
      <c r="G13" s="901">
        <v>2</v>
      </c>
      <c r="H13" s="901">
        <v>3</v>
      </c>
      <c r="I13" s="901">
        <v>4</v>
      </c>
      <c r="J13" s="901">
        <v>1</v>
      </c>
      <c r="K13" s="902">
        <v>0</v>
      </c>
      <c r="L13" s="902">
        <v>1</v>
      </c>
      <c r="M13" s="902">
        <v>0</v>
      </c>
      <c r="N13" s="902">
        <f t="shared" si="0"/>
        <v>2</v>
      </c>
      <c r="O13" s="903">
        <v>1</v>
      </c>
      <c r="P13" s="903">
        <v>0</v>
      </c>
      <c r="Q13" s="903">
        <v>0</v>
      </c>
      <c r="R13" s="903">
        <v>0</v>
      </c>
      <c r="S13" s="903">
        <f t="shared" si="1"/>
        <v>1</v>
      </c>
      <c r="T13" s="904">
        <v>1</v>
      </c>
      <c r="U13" s="905">
        <v>1</v>
      </c>
      <c r="V13" s="905">
        <v>0</v>
      </c>
      <c r="W13" s="905">
        <v>0</v>
      </c>
      <c r="X13" s="905">
        <v>1</v>
      </c>
      <c r="Y13" s="905">
        <v>0</v>
      </c>
      <c r="Z13" s="905">
        <v>0</v>
      </c>
      <c r="AA13" s="905">
        <v>0</v>
      </c>
      <c r="AB13" s="906">
        <v>5</v>
      </c>
      <c r="AC13" s="906">
        <v>7</v>
      </c>
      <c r="AD13" s="906">
        <v>1</v>
      </c>
      <c r="AE13" s="906">
        <v>6</v>
      </c>
      <c r="AF13" s="906">
        <v>2</v>
      </c>
      <c r="AG13" s="906">
        <v>3</v>
      </c>
      <c r="AH13" s="906">
        <v>4</v>
      </c>
      <c r="AI13" s="907">
        <v>1</v>
      </c>
      <c r="AJ13" s="907">
        <v>1</v>
      </c>
      <c r="AK13" s="907">
        <v>2</v>
      </c>
      <c r="AL13" s="907">
        <v>1</v>
      </c>
      <c r="AM13" s="907">
        <v>1</v>
      </c>
      <c r="AN13" s="907">
        <v>2</v>
      </c>
      <c r="AO13" s="907">
        <v>2</v>
      </c>
      <c r="AP13" s="907">
        <v>0</v>
      </c>
      <c r="AQ13" s="907">
        <v>0</v>
      </c>
      <c r="AR13" s="907">
        <v>0</v>
      </c>
      <c r="AS13" s="907">
        <v>1</v>
      </c>
      <c r="AT13" s="907">
        <v>0</v>
      </c>
      <c r="AU13" s="907">
        <v>0</v>
      </c>
    </row>
    <row r="14" spans="1:47" hidden="1">
      <c r="A14" s="898">
        <v>13</v>
      </c>
      <c r="B14" s="899">
        <v>0</v>
      </c>
      <c r="C14" s="900">
        <v>0</v>
      </c>
      <c r="D14" s="900">
        <v>1</v>
      </c>
      <c r="E14" s="900">
        <v>0</v>
      </c>
      <c r="F14" s="900">
        <v>0</v>
      </c>
      <c r="G14" s="901">
        <v>3</v>
      </c>
      <c r="H14" s="901">
        <v>2</v>
      </c>
      <c r="I14" s="901">
        <v>4</v>
      </c>
      <c r="J14" s="901">
        <v>1</v>
      </c>
      <c r="K14" s="902">
        <v>1</v>
      </c>
      <c r="L14" s="902">
        <v>0</v>
      </c>
      <c r="M14" s="902">
        <v>0</v>
      </c>
      <c r="N14" s="902">
        <f t="shared" si="0"/>
        <v>1</v>
      </c>
      <c r="O14" s="903">
        <v>0</v>
      </c>
      <c r="P14" s="903">
        <v>1</v>
      </c>
      <c r="Q14" s="903">
        <v>0</v>
      </c>
      <c r="R14" s="903">
        <v>0</v>
      </c>
      <c r="S14" s="903">
        <f t="shared" si="1"/>
        <v>2</v>
      </c>
      <c r="T14" s="904">
        <v>1</v>
      </c>
      <c r="U14" s="905">
        <v>0</v>
      </c>
      <c r="V14" s="905">
        <v>0</v>
      </c>
      <c r="W14" s="905">
        <v>0</v>
      </c>
      <c r="X14" s="905">
        <v>1</v>
      </c>
      <c r="Y14" s="905">
        <v>0</v>
      </c>
      <c r="Z14" s="905">
        <v>0</v>
      </c>
      <c r="AA14" s="905">
        <v>0</v>
      </c>
      <c r="AB14" s="906">
        <v>3</v>
      </c>
      <c r="AC14" s="906">
        <v>5</v>
      </c>
      <c r="AD14" s="906">
        <v>2</v>
      </c>
      <c r="AE14" s="906">
        <v>4</v>
      </c>
      <c r="AF14" s="906">
        <v>6</v>
      </c>
      <c r="AG14" s="906">
        <v>1</v>
      </c>
      <c r="AH14" s="906">
        <v>7</v>
      </c>
      <c r="AI14" s="907">
        <v>2</v>
      </c>
      <c r="AJ14" s="907">
        <v>1</v>
      </c>
      <c r="AK14" s="907">
        <v>2</v>
      </c>
      <c r="AL14" s="907">
        <v>2</v>
      </c>
      <c r="AM14" s="907">
        <v>1</v>
      </c>
      <c r="AN14" s="907">
        <v>1</v>
      </c>
      <c r="AO14" s="907">
        <v>3</v>
      </c>
      <c r="AP14" s="907">
        <v>0</v>
      </c>
      <c r="AQ14" s="907">
        <v>0</v>
      </c>
      <c r="AR14" s="907">
        <v>0</v>
      </c>
      <c r="AS14" s="907">
        <v>1</v>
      </c>
      <c r="AT14" s="907">
        <v>0</v>
      </c>
      <c r="AU14" s="907">
        <v>0</v>
      </c>
    </row>
    <row r="15" spans="1:47" hidden="1">
      <c r="A15" s="898">
        <v>14</v>
      </c>
      <c r="B15" s="899">
        <v>1</v>
      </c>
      <c r="C15" s="900">
        <v>0</v>
      </c>
      <c r="D15" s="900">
        <v>0</v>
      </c>
      <c r="E15" s="900">
        <v>1</v>
      </c>
      <c r="F15" s="900">
        <v>0</v>
      </c>
      <c r="G15" s="901">
        <v>3</v>
      </c>
      <c r="H15" s="901">
        <v>2</v>
      </c>
      <c r="I15" s="901">
        <v>4</v>
      </c>
      <c r="J15" s="901">
        <v>1</v>
      </c>
      <c r="K15" s="902">
        <v>1</v>
      </c>
      <c r="L15" s="902">
        <v>0</v>
      </c>
      <c r="M15" s="902">
        <v>0</v>
      </c>
      <c r="N15" s="902">
        <f t="shared" si="0"/>
        <v>1</v>
      </c>
      <c r="O15" s="903">
        <v>1</v>
      </c>
      <c r="P15" s="903">
        <v>0</v>
      </c>
      <c r="Q15" s="903">
        <v>0</v>
      </c>
      <c r="R15" s="903">
        <v>0</v>
      </c>
      <c r="S15" s="903">
        <f t="shared" si="1"/>
        <v>1</v>
      </c>
      <c r="T15" s="904">
        <v>1</v>
      </c>
      <c r="U15" s="905">
        <v>0</v>
      </c>
      <c r="V15" s="905">
        <v>0</v>
      </c>
      <c r="W15" s="905">
        <v>0</v>
      </c>
      <c r="X15" s="905">
        <v>0</v>
      </c>
      <c r="Y15" s="905">
        <v>0</v>
      </c>
      <c r="Z15" s="905">
        <v>1</v>
      </c>
      <c r="AA15" s="905">
        <v>1</v>
      </c>
      <c r="AB15" s="906">
        <v>4</v>
      </c>
      <c r="AC15" s="906">
        <v>6</v>
      </c>
      <c r="AD15" s="906">
        <v>1</v>
      </c>
      <c r="AE15" s="906">
        <v>7</v>
      </c>
      <c r="AF15" s="906">
        <v>3</v>
      </c>
      <c r="AG15" s="906">
        <v>5</v>
      </c>
      <c r="AH15" s="906">
        <v>2</v>
      </c>
      <c r="AI15" s="907">
        <v>1</v>
      </c>
      <c r="AJ15" s="907">
        <v>1</v>
      </c>
      <c r="AK15" s="907">
        <v>1</v>
      </c>
      <c r="AL15" s="907">
        <v>1</v>
      </c>
      <c r="AM15" s="907">
        <v>3</v>
      </c>
      <c r="AN15" s="907">
        <v>3</v>
      </c>
      <c r="AO15" s="907">
        <v>4</v>
      </c>
      <c r="AP15" s="907">
        <v>1</v>
      </c>
      <c r="AQ15" s="907">
        <v>0</v>
      </c>
      <c r="AR15" s="907">
        <v>0</v>
      </c>
      <c r="AS15" s="907">
        <v>0</v>
      </c>
      <c r="AT15" s="907">
        <v>0</v>
      </c>
      <c r="AU15" s="907">
        <v>0</v>
      </c>
    </row>
    <row r="16" spans="1:47">
      <c r="A16" s="898">
        <v>15</v>
      </c>
      <c r="B16" s="899">
        <v>1</v>
      </c>
      <c r="C16" s="900">
        <v>0</v>
      </c>
      <c r="D16" s="900">
        <v>0</v>
      </c>
      <c r="E16" s="900">
        <v>0</v>
      </c>
      <c r="F16" s="900">
        <v>1</v>
      </c>
      <c r="G16" s="901">
        <v>3</v>
      </c>
      <c r="H16" s="901">
        <v>2</v>
      </c>
      <c r="I16" s="901">
        <v>4</v>
      </c>
      <c r="J16" s="901">
        <v>1</v>
      </c>
      <c r="K16" s="902">
        <v>1</v>
      </c>
      <c r="L16" s="902">
        <v>0</v>
      </c>
      <c r="M16" s="902">
        <v>0</v>
      </c>
      <c r="N16" s="902">
        <f t="shared" si="0"/>
        <v>1</v>
      </c>
      <c r="O16" s="903">
        <v>1</v>
      </c>
      <c r="P16" s="903">
        <v>0</v>
      </c>
      <c r="Q16" s="903">
        <v>0</v>
      </c>
      <c r="R16" s="903">
        <v>0</v>
      </c>
      <c r="S16" s="903">
        <f t="shared" si="1"/>
        <v>1</v>
      </c>
      <c r="T16" s="904">
        <v>1</v>
      </c>
      <c r="U16" s="905">
        <v>0</v>
      </c>
      <c r="V16" s="905">
        <v>1</v>
      </c>
      <c r="W16" s="905">
        <v>0</v>
      </c>
      <c r="X16" s="905">
        <v>0</v>
      </c>
      <c r="Y16" s="905">
        <v>0</v>
      </c>
      <c r="Z16" s="905">
        <v>1</v>
      </c>
      <c r="AA16" s="905">
        <v>0</v>
      </c>
      <c r="AB16" s="906">
        <v>2</v>
      </c>
      <c r="AC16" s="906">
        <v>3</v>
      </c>
      <c r="AD16" s="906">
        <v>6</v>
      </c>
      <c r="AE16" s="906">
        <v>1</v>
      </c>
      <c r="AF16" s="906">
        <v>4</v>
      </c>
      <c r="AG16" s="906">
        <v>5</v>
      </c>
      <c r="AH16" s="906">
        <v>7</v>
      </c>
      <c r="AI16" s="907">
        <v>1</v>
      </c>
      <c r="AJ16" s="907">
        <v>2</v>
      </c>
      <c r="AK16" s="907">
        <v>1</v>
      </c>
      <c r="AL16" s="907">
        <v>1</v>
      </c>
      <c r="AM16" s="907">
        <v>3</v>
      </c>
      <c r="AN16" s="907">
        <v>3</v>
      </c>
      <c r="AO16" s="907">
        <v>4</v>
      </c>
      <c r="AP16" s="907">
        <v>0</v>
      </c>
      <c r="AQ16" s="907">
        <v>0</v>
      </c>
      <c r="AR16" s="907">
        <v>1</v>
      </c>
      <c r="AS16" s="907">
        <v>0</v>
      </c>
      <c r="AT16" s="907">
        <v>0</v>
      </c>
      <c r="AU16" s="907">
        <v>0</v>
      </c>
    </row>
    <row r="17" spans="1:48" hidden="1">
      <c r="A17" s="898">
        <v>16</v>
      </c>
      <c r="B17" s="899">
        <v>1</v>
      </c>
      <c r="C17" s="900">
        <v>0</v>
      </c>
      <c r="D17" s="900">
        <v>1</v>
      </c>
      <c r="E17" s="900">
        <v>0</v>
      </c>
      <c r="F17" s="900">
        <v>0</v>
      </c>
      <c r="G17" s="901">
        <v>3</v>
      </c>
      <c r="H17" s="901">
        <v>4</v>
      </c>
      <c r="I17" s="901">
        <v>1</v>
      </c>
      <c r="J17" s="901">
        <v>2</v>
      </c>
      <c r="K17" s="902">
        <v>0</v>
      </c>
      <c r="L17" s="902">
        <v>1</v>
      </c>
      <c r="M17" s="902">
        <v>0</v>
      </c>
      <c r="N17" s="902">
        <f t="shared" si="0"/>
        <v>2</v>
      </c>
      <c r="O17" s="903">
        <v>1</v>
      </c>
      <c r="P17" s="903">
        <v>0</v>
      </c>
      <c r="Q17" s="903">
        <v>0</v>
      </c>
      <c r="R17" s="903">
        <v>0</v>
      </c>
      <c r="S17" s="903">
        <f t="shared" si="1"/>
        <v>1</v>
      </c>
      <c r="T17" s="904">
        <v>1</v>
      </c>
      <c r="U17" s="905">
        <v>1</v>
      </c>
      <c r="V17" s="905">
        <v>0</v>
      </c>
      <c r="W17" s="905">
        <v>0</v>
      </c>
      <c r="X17" s="905">
        <v>1</v>
      </c>
      <c r="Y17" s="905">
        <v>0</v>
      </c>
      <c r="Z17" s="905">
        <v>0</v>
      </c>
      <c r="AA17" s="905">
        <v>1</v>
      </c>
      <c r="AB17" s="906">
        <v>7</v>
      </c>
      <c r="AC17" s="906">
        <v>3</v>
      </c>
      <c r="AD17" s="906">
        <v>6</v>
      </c>
      <c r="AE17" s="906">
        <v>5</v>
      </c>
      <c r="AF17" s="906">
        <v>1</v>
      </c>
      <c r="AG17" s="906">
        <v>4</v>
      </c>
      <c r="AH17" s="906">
        <v>2</v>
      </c>
      <c r="AI17" s="907">
        <v>4</v>
      </c>
      <c r="AJ17" s="907">
        <v>2</v>
      </c>
      <c r="AK17" s="907">
        <v>1</v>
      </c>
      <c r="AL17" s="907">
        <v>1</v>
      </c>
      <c r="AM17" s="907">
        <v>1</v>
      </c>
      <c r="AN17" s="907">
        <v>1</v>
      </c>
      <c r="AO17" s="907">
        <v>4</v>
      </c>
      <c r="AP17" s="907">
        <v>0</v>
      </c>
      <c r="AQ17" s="907">
        <v>1</v>
      </c>
      <c r="AR17" s="907">
        <v>0</v>
      </c>
      <c r="AS17" s="907">
        <v>0</v>
      </c>
      <c r="AT17" s="907">
        <v>0</v>
      </c>
      <c r="AU17" s="907">
        <v>0</v>
      </c>
    </row>
    <row r="18" spans="1:48" hidden="1">
      <c r="A18" s="898">
        <v>17</v>
      </c>
      <c r="B18" s="899">
        <v>1</v>
      </c>
      <c r="C18" s="900">
        <v>0</v>
      </c>
      <c r="D18" s="900">
        <v>1</v>
      </c>
      <c r="E18" s="900">
        <v>0</v>
      </c>
      <c r="F18" s="900">
        <v>0</v>
      </c>
      <c r="G18" s="901">
        <v>4</v>
      </c>
      <c r="H18" s="901">
        <v>3</v>
      </c>
      <c r="I18" s="901">
        <v>2</v>
      </c>
      <c r="J18" s="901">
        <v>1</v>
      </c>
      <c r="K18" s="902">
        <v>0</v>
      </c>
      <c r="L18" s="902">
        <v>0</v>
      </c>
      <c r="M18" s="902">
        <v>1</v>
      </c>
      <c r="N18" s="902">
        <f t="shared" si="0"/>
        <v>3</v>
      </c>
      <c r="O18" s="908">
        <v>1</v>
      </c>
      <c r="P18" s="908">
        <v>0</v>
      </c>
      <c r="Q18" s="908">
        <v>0</v>
      </c>
      <c r="R18" s="908">
        <v>0</v>
      </c>
      <c r="S18" s="903">
        <f t="shared" si="1"/>
        <v>1</v>
      </c>
      <c r="T18" s="904">
        <v>1</v>
      </c>
      <c r="U18" s="905">
        <v>1</v>
      </c>
      <c r="V18" s="905">
        <v>0</v>
      </c>
      <c r="W18" s="905">
        <v>0</v>
      </c>
      <c r="X18" s="905">
        <v>0</v>
      </c>
      <c r="Y18" s="905">
        <v>0</v>
      </c>
      <c r="Z18" s="905">
        <v>0</v>
      </c>
      <c r="AA18" s="905">
        <v>0</v>
      </c>
      <c r="AB18" s="906">
        <v>1</v>
      </c>
      <c r="AC18" s="906">
        <v>7</v>
      </c>
      <c r="AD18" s="906">
        <v>4</v>
      </c>
      <c r="AE18" s="906">
        <v>2</v>
      </c>
      <c r="AF18" s="906">
        <v>5</v>
      </c>
      <c r="AG18" s="906">
        <v>6</v>
      </c>
      <c r="AH18" s="906">
        <v>3</v>
      </c>
      <c r="AI18" s="907">
        <v>2</v>
      </c>
      <c r="AJ18" s="907">
        <v>1</v>
      </c>
      <c r="AK18" s="907">
        <v>2</v>
      </c>
      <c r="AL18" s="907">
        <v>1</v>
      </c>
      <c r="AM18" s="907">
        <v>1</v>
      </c>
      <c r="AN18" s="907">
        <v>1</v>
      </c>
      <c r="AO18" s="907">
        <v>2</v>
      </c>
      <c r="AP18" s="907">
        <v>0</v>
      </c>
      <c r="AQ18" s="907">
        <v>0</v>
      </c>
      <c r="AR18" s="907">
        <v>0</v>
      </c>
      <c r="AS18" s="907">
        <v>0</v>
      </c>
      <c r="AT18" s="907">
        <v>0</v>
      </c>
      <c r="AU18" s="907">
        <v>1</v>
      </c>
    </row>
    <row r="19" spans="1:48" hidden="1">
      <c r="A19" s="898">
        <v>18</v>
      </c>
      <c r="B19" s="899">
        <v>0</v>
      </c>
      <c r="C19" s="900">
        <v>0</v>
      </c>
      <c r="D19" s="900">
        <v>0</v>
      </c>
      <c r="E19" s="900">
        <v>1</v>
      </c>
      <c r="F19" s="900">
        <v>0</v>
      </c>
      <c r="G19" s="901">
        <v>3</v>
      </c>
      <c r="H19" s="901">
        <v>1</v>
      </c>
      <c r="I19" s="901">
        <v>4</v>
      </c>
      <c r="J19" s="901">
        <v>2</v>
      </c>
      <c r="K19" s="902">
        <v>0</v>
      </c>
      <c r="L19" s="902">
        <v>0</v>
      </c>
      <c r="M19" s="902">
        <v>1</v>
      </c>
      <c r="N19" s="902">
        <f t="shared" si="0"/>
        <v>3</v>
      </c>
      <c r="O19" s="908">
        <v>1</v>
      </c>
      <c r="P19" s="908">
        <v>0</v>
      </c>
      <c r="Q19" s="908">
        <v>0</v>
      </c>
      <c r="R19" s="908">
        <v>0</v>
      </c>
      <c r="S19" s="903">
        <f t="shared" si="1"/>
        <v>1</v>
      </c>
      <c r="T19" s="904">
        <v>1</v>
      </c>
      <c r="U19" s="905">
        <v>1</v>
      </c>
      <c r="V19" s="905">
        <v>1</v>
      </c>
      <c r="W19" s="905">
        <v>0</v>
      </c>
      <c r="X19" s="905">
        <v>0</v>
      </c>
      <c r="Y19" s="905">
        <v>1</v>
      </c>
      <c r="Z19" s="905">
        <v>0</v>
      </c>
      <c r="AA19" s="905">
        <v>1</v>
      </c>
      <c r="AB19" s="906">
        <v>4</v>
      </c>
      <c r="AC19" s="906">
        <v>7</v>
      </c>
      <c r="AD19" s="906">
        <v>3</v>
      </c>
      <c r="AE19" s="906">
        <v>5</v>
      </c>
      <c r="AF19" s="906">
        <v>1</v>
      </c>
      <c r="AG19" s="906">
        <v>2</v>
      </c>
      <c r="AH19" s="906">
        <v>6</v>
      </c>
      <c r="AI19" s="907">
        <v>2</v>
      </c>
      <c r="AJ19" s="907">
        <v>1</v>
      </c>
      <c r="AK19" s="907">
        <v>2</v>
      </c>
      <c r="AL19" s="907">
        <v>2</v>
      </c>
      <c r="AM19" s="907">
        <v>1</v>
      </c>
      <c r="AN19" s="907">
        <v>2</v>
      </c>
      <c r="AO19" s="907">
        <v>2</v>
      </c>
      <c r="AP19" s="907">
        <v>0</v>
      </c>
      <c r="AQ19" s="907">
        <v>0</v>
      </c>
      <c r="AR19" s="907">
        <v>0</v>
      </c>
      <c r="AS19" s="907">
        <v>0</v>
      </c>
      <c r="AT19" s="907">
        <v>0</v>
      </c>
      <c r="AU19" s="907">
        <v>1</v>
      </c>
    </row>
    <row r="20" spans="1:48" hidden="1">
      <c r="A20" s="898">
        <v>19</v>
      </c>
      <c r="B20" s="899">
        <v>0</v>
      </c>
      <c r="C20" s="900">
        <v>1</v>
      </c>
      <c r="D20" s="900">
        <v>0</v>
      </c>
      <c r="E20" s="900">
        <v>0</v>
      </c>
      <c r="F20" s="900">
        <v>0</v>
      </c>
      <c r="G20" s="901">
        <v>3</v>
      </c>
      <c r="H20" s="901">
        <v>1</v>
      </c>
      <c r="I20" s="901">
        <v>4</v>
      </c>
      <c r="J20" s="901">
        <v>2</v>
      </c>
      <c r="K20" s="902">
        <v>1</v>
      </c>
      <c r="L20" s="902">
        <v>0</v>
      </c>
      <c r="M20" s="902">
        <v>0</v>
      </c>
      <c r="N20" s="902">
        <f t="shared" si="0"/>
        <v>1</v>
      </c>
      <c r="O20" s="903">
        <v>0</v>
      </c>
      <c r="P20" s="903">
        <v>1</v>
      </c>
      <c r="Q20" s="903">
        <v>0</v>
      </c>
      <c r="R20" s="903">
        <v>0</v>
      </c>
      <c r="S20" s="903">
        <f t="shared" si="1"/>
        <v>2</v>
      </c>
      <c r="T20" s="904">
        <v>1</v>
      </c>
      <c r="U20" s="905">
        <v>0</v>
      </c>
      <c r="V20" s="905">
        <v>1</v>
      </c>
      <c r="W20" s="905">
        <v>0</v>
      </c>
      <c r="X20" s="905">
        <v>1</v>
      </c>
      <c r="Y20" s="905">
        <v>1</v>
      </c>
      <c r="Z20" s="905">
        <v>0</v>
      </c>
      <c r="AA20" s="905">
        <v>0</v>
      </c>
      <c r="AB20" s="906">
        <v>2</v>
      </c>
      <c r="AC20" s="906">
        <v>3</v>
      </c>
      <c r="AD20" s="906">
        <v>1</v>
      </c>
      <c r="AE20" s="906">
        <v>5</v>
      </c>
      <c r="AF20" s="906">
        <v>7</v>
      </c>
      <c r="AG20" s="906">
        <v>4</v>
      </c>
      <c r="AH20" s="906">
        <v>6</v>
      </c>
      <c r="AI20" s="907">
        <v>2</v>
      </c>
      <c r="AJ20" s="907">
        <v>2</v>
      </c>
      <c r="AK20" s="907">
        <v>3</v>
      </c>
      <c r="AL20" s="907">
        <v>3</v>
      </c>
      <c r="AM20" s="907">
        <v>1</v>
      </c>
      <c r="AN20" s="907">
        <v>1</v>
      </c>
      <c r="AO20" s="907">
        <v>3</v>
      </c>
      <c r="AP20" s="907">
        <v>0</v>
      </c>
      <c r="AQ20" s="907">
        <v>0</v>
      </c>
      <c r="AR20" s="907">
        <v>0</v>
      </c>
      <c r="AS20" s="907">
        <v>0</v>
      </c>
      <c r="AT20" s="907">
        <v>1</v>
      </c>
      <c r="AU20" s="907">
        <v>0</v>
      </c>
    </row>
    <row r="21" spans="1:48" hidden="1">
      <c r="A21" s="898">
        <v>20</v>
      </c>
      <c r="B21" s="899">
        <v>0</v>
      </c>
      <c r="C21" s="900">
        <v>0</v>
      </c>
      <c r="D21" s="900">
        <v>1</v>
      </c>
      <c r="E21" s="900">
        <v>0</v>
      </c>
      <c r="F21" s="900">
        <v>0</v>
      </c>
      <c r="G21" s="901">
        <v>4</v>
      </c>
      <c r="H21" s="901">
        <v>1</v>
      </c>
      <c r="I21" s="901">
        <v>3</v>
      </c>
      <c r="J21" s="901">
        <v>2</v>
      </c>
      <c r="K21" s="902">
        <v>1</v>
      </c>
      <c r="L21" s="902">
        <v>0</v>
      </c>
      <c r="M21" s="902">
        <v>0</v>
      </c>
      <c r="N21" s="902">
        <f t="shared" si="0"/>
        <v>1</v>
      </c>
      <c r="O21" s="903">
        <v>1</v>
      </c>
      <c r="P21" s="903">
        <v>0</v>
      </c>
      <c r="Q21" s="903">
        <v>0</v>
      </c>
      <c r="R21" s="903">
        <v>0</v>
      </c>
      <c r="S21" s="903">
        <f t="shared" si="1"/>
        <v>1</v>
      </c>
      <c r="T21" s="904">
        <v>1</v>
      </c>
      <c r="U21" s="905">
        <v>1</v>
      </c>
      <c r="V21" s="905">
        <v>0</v>
      </c>
      <c r="W21" s="905">
        <v>0</v>
      </c>
      <c r="X21" s="905">
        <v>0</v>
      </c>
      <c r="Y21" s="905">
        <v>0</v>
      </c>
      <c r="Z21" s="905">
        <v>0</v>
      </c>
      <c r="AA21" s="905">
        <v>0</v>
      </c>
      <c r="AB21" s="906">
        <v>4</v>
      </c>
      <c r="AC21" s="906">
        <v>3</v>
      </c>
      <c r="AD21" s="906">
        <v>2</v>
      </c>
      <c r="AE21" s="906">
        <v>6</v>
      </c>
      <c r="AF21" s="906">
        <v>1</v>
      </c>
      <c r="AG21" s="906">
        <v>5</v>
      </c>
      <c r="AH21" s="906">
        <v>7</v>
      </c>
      <c r="AI21" s="907">
        <v>2</v>
      </c>
      <c r="AJ21" s="907">
        <v>2</v>
      </c>
      <c r="AK21" s="907">
        <v>2</v>
      </c>
      <c r="AL21" s="907">
        <v>2</v>
      </c>
      <c r="AM21" s="907">
        <v>2</v>
      </c>
      <c r="AN21" s="907">
        <v>2</v>
      </c>
      <c r="AO21" s="907">
        <v>2</v>
      </c>
      <c r="AP21" s="907">
        <v>1</v>
      </c>
      <c r="AQ21" s="907">
        <v>0</v>
      </c>
      <c r="AR21" s="907">
        <v>0</v>
      </c>
      <c r="AS21" s="907">
        <v>0</v>
      </c>
      <c r="AT21" s="907">
        <v>0</v>
      </c>
      <c r="AU21" s="907">
        <v>0</v>
      </c>
    </row>
    <row r="22" spans="1:48" hidden="1">
      <c r="A22" s="898">
        <v>21</v>
      </c>
      <c r="B22" s="899">
        <v>0</v>
      </c>
      <c r="C22" s="900">
        <v>1</v>
      </c>
      <c r="D22" s="900">
        <v>0</v>
      </c>
      <c r="E22" s="900">
        <v>0</v>
      </c>
      <c r="F22" s="900">
        <v>0</v>
      </c>
      <c r="G22" s="901">
        <v>2</v>
      </c>
      <c r="H22" s="901">
        <v>3</v>
      </c>
      <c r="I22" s="901">
        <v>4</v>
      </c>
      <c r="J22" s="901">
        <v>1</v>
      </c>
      <c r="K22" s="902">
        <v>1</v>
      </c>
      <c r="L22" s="902">
        <v>0</v>
      </c>
      <c r="M22" s="902">
        <v>0</v>
      </c>
      <c r="N22" s="902">
        <f t="shared" si="0"/>
        <v>1</v>
      </c>
      <c r="O22" s="903">
        <v>1</v>
      </c>
      <c r="P22" s="903">
        <v>0</v>
      </c>
      <c r="Q22" s="903">
        <v>0</v>
      </c>
      <c r="R22" s="903">
        <v>0</v>
      </c>
      <c r="S22" s="903">
        <f t="shared" si="1"/>
        <v>1</v>
      </c>
      <c r="T22" s="904">
        <v>1</v>
      </c>
      <c r="U22" s="905">
        <v>0</v>
      </c>
      <c r="V22" s="905">
        <v>1</v>
      </c>
      <c r="W22" s="905">
        <v>1</v>
      </c>
      <c r="X22" s="905">
        <v>0</v>
      </c>
      <c r="Y22" s="905">
        <v>0</v>
      </c>
      <c r="Z22" s="905">
        <v>0</v>
      </c>
      <c r="AA22" s="905">
        <v>1</v>
      </c>
      <c r="AB22" s="906">
        <v>2</v>
      </c>
      <c r="AC22" s="906">
        <v>1</v>
      </c>
      <c r="AD22" s="906">
        <v>3</v>
      </c>
      <c r="AE22" s="906">
        <v>4</v>
      </c>
      <c r="AF22" s="906">
        <v>6</v>
      </c>
      <c r="AG22" s="906">
        <v>7</v>
      </c>
      <c r="AH22" s="906">
        <v>5</v>
      </c>
      <c r="AI22" s="907">
        <v>2</v>
      </c>
      <c r="AJ22" s="907">
        <v>2</v>
      </c>
      <c r="AK22" s="907">
        <v>3</v>
      </c>
      <c r="AL22" s="907">
        <v>3</v>
      </c>
      <c r="AM22" s="907">
        <v>1</v>
      </c>
      <c r="AN22" s="907">
        <v>1</v>
      </c>
      <c r="AO22" s="907">
        <v>4</v>
      </c>
      <c r="AP22" s="907">
        <v>0</v>
      </c>
      <c r="AQ22" s="907">
        <v>0</v>
      </c>
      <c r="AR22" s="907">
        <v>0</v>
      </c>
      <c r="AS22" s="907">
        <v>1</v>
      </c>
      <c r="AT22" s="907">
        <v>0</v>
      </c>
      <c r="AU22" s="907">
        <v>0</v>
      </c>
    </row>
    <row r="23" spans="1:48" hidden="1">
      <c r="A23" s="898">
        <v>22</v>
      </c>
      <c r="B23" s="899">
        <v>1</v>
      </c>
      <c r="C23" s="900">
        <v>1</v>
      </c>
      <c r="D23" s="900">
        <v>0</v>
      </c>
      <c r="E23" s="900">
        <v>0</v>
      </c>
      <c r="F23" s="900">
        <v>0</v>
      </c>
      <c r="G23" s="901">
        <v>2</v>
      </c>
      <c r="H23" s="901">
        <v>3</v>
      </c>
      <c r="I23" s="901">
        <v>4</v>
      </c>
      <c r="J23" s="901">
        <v>1</v>
      </c>
      <c r="K23" s="902">
        <v>0</v>
      </c>
      <c r="L23" s="902">
        <v>0</v>
      </c>
      <c r="M23" s="902">
        <v>1</v>
      </c>
      <c r="N23" s="902">
        <f t="shared" si="0"/>
        <v>3</v>
      </c>
      <c r="O23" s="908">
        <v>1</v>
      </c>
      <c r="P23" s="908">
        <v>0</v>
      </c>
      <c r="Q23" s="908">
        <v>0</v>
      </c>
      <c r="R23" s="908">
        <v>0</v>
      </c>
      <c r="S23" s="903">
        <f t="shared" si="1"/>
        <v>1</v>
      </c>
      <c r="T23" s="904">
        <v>1</v>
      </c>
      <c r="U23" s="905">
        <v>1</v>
      </c>
      <c r="V23" s="905">
        <v>0</v>
      </c>
      <c r="W23" s="905">
        <v>0</v>
      </c>
      <c r="X23" s="905">
        <v>1</v>
      </c>
      <c r="Y23" s="905">
        <v>0</v>
      </c>
      <c r="Z23" s="905">
        <v>0</v>
      </c>
      <c r="AA23" s="905">
        <v>0</v>
      </c>
      <c r="AB23" s="906">
        <v>6</v>
      </c>
      <c r="AC23" s="906">
        <v>5</v>
      </c>
      <c r="AD23" s="906">
        <v>7</v>
      </c>
      <c r="AE23" s="906">
        <v>3</v>
      </c>
      <c r="AF23" s="906">
        <v>1</v>
      </c>
      <c r="AG23" s="906">
        <v>4</v>
      </c>
      <c r="AH23" s="906">
        <v>2</v>
      </c>
      <c r="AI23" s="907">
        <v>2</v>
      </c>
      <c r="AJ23" s="907">
        <v>2</v>
      </c>
      <c r="AK23" s="907">
        <v>2</v>
      </c>
      <c r="AL23" s="907">
        <v>2</v>
      </c>
      <c r="AM23" s="907">
        <v>2</v>
      </c>
      <c r="AN23" s="907">
        <v>2</v>
      </c>
      <c r="AO23" s="907">
        <v>2</v>
      </c>
      <c r="AP23" s="907">
        <v>0</v>
      </c>
      <c r="AQ23" s="907">
        <v>0</v>
      </c>
      <c r="AR23" s="907">
        <v>0</v>
      </c>
      <c r="AS23" s="907">
        <v>0</v>
      </c>
      <c r="AT23" s="907">
        <v>0</v>
      </c>
      <c r="AU23" s="907">
        <v>1</v>
      </c>
    </row>
    <row r="24" spans="1:48" hidden="1">
      <c r="A24" s="898">
        <v>23</v>
      </c>
      <c r="B24" s="899">
        <v>1</v>
      </c>
      <c r="C24" s="900">
        <v>1</v>
      </c>
      <c r="D24" s="900">
        <v>0</v>
      </c>
      <c r="E24" s="900">
        <v>0</v>
      </c>
      <c r="F24" s="900">
        <v>0</v>
      </c>
      <c r="G24" s="901">
        <v>2</v>
      </c>
      <c r="H24" s="901">
        <v>3</v>
      </c>
      <c r="I24" s="901">
        <v>4</v>
      </c>
      <c r="J24" s="901">
        <v>1</v>
      </c>
      <c r="K24" s="902">
        <v>1</v>
      </c>
      <c r="L24" s="902">
        <v>0</v>
      </c>
      <c r="M24" s="902">
        <v>0</v>
      </c>
      <c r="N24" s="902">
        <f t="shared" si="0"/>
        <v>1</v>
      </c>
      <c r="O24" s="903">
        <v>1</v>
      </c>
      <c r="P24" s="903">
        <v>0</v>
      </c>
      <c r="Q24" s="903">
        <v>0</v>
      </c>
      <c r="R24" s="903">
        <v>0</v>
      </c>
      <c r="S24" s="903">
        <f t="shared" si="1"/>
        <v>1</v>
      </c>
      <c r="T24" s="904">
        <v>1</v>
      </c>
      <c r="U24" s="905">
        <v>1</v>
      </c>
      <c r="V24" s="905">
        <v>0</v>
      </c>
      <c r="W24" s="905">
        <v>0</v>
      </c>
      <c r="X24" s="905">
        <v>1</v>
      </c>
      <c r="Y24" s="905">
        <v>0</v>
      </c>
      <c r="Z24" s="905">
        <v>0</v>
      </c>
      <c r="AA24" s="905">
        <v>0</v>
      </c>
      <c r="AB24" s="906">
        <v>5</v>
      </c>
      <c r="AC24" s="906">
        <v>4</v>
      </c>
      <c r="AD24" s="906">
        <v>1</v>
      </c>
      <c r="AE24" s="906">
        <v>2</v>
      </c>
      <c r="AF24" s="906">
        <v>6</v>
      </c>
      <c r="AG24" s="906">
        <v>3</v>
      </c>
      <c r="AH24" s="906">
        <v>7</v>
      </c>
      <c r="AI24" s="907">
        <v>3</v>
      </c>
      <c r="AJ24" s="907">
        <v>1</v>
      </c>
      <c r="AK24" s="907">
        <v>1</v>
      </c>
      <c r="AL24" s="907">
        <v>1</v>
      </c>
      <c r="AM24" s="907">
        <v>2</v>
      </c>
      <c r="AN24" s="907">
        <v>3</v>
      </c>
      <c r="AO24" s="907">
        <v>1</v>
      </c>
      <c r="AP24" s="907">
        <v>1</v>
      </c>
      <c r="AQ24" s="907">
        <v>0</v>
      </c>
      <c r="AR24" s="907">
        <v>0</v>
      </c>
      <c r="AS24" s="907">
        <v>0</v>
      </c>
      <c r="AT24" s="907">
        <v>0</v>
      </c>
      <c r="AU24" s="907">
        <v>0</v>
      </c>
    </row>
    <row r="25" spans="1:48" hidden="1">
      <c r="A25" s="898">
        <v>24</v>
      </c>
      <c r="B25" s="899">
        <v>1</v>
      </c>
      <c r="C25" s="900">
        <v>1</v>
      </c>
      <c r="D25" s="900">
        <v>0</v>
      </c>
      <c r="E25" s="900">
        <v>0</v>
      </c>
      <c r="F25" s="900">
        <v>0</v>
      </c>
      <c r="G25" s="901">
        <v>4</v>
      </c>
      <c r="H25" s="901">
        <v>1</v>
      </c>
      <c r="I25" s="901">
        <v>2</v>
      </c>
      <c r="J25" s="901">
        <v>3</v>
      </c>
      <c r="K25" s="902">
        <v>0</v>
      </c>
      <c r="L25" s="902">
        <v>0</v>
      </c>
      <c r="M25" s="902">
        <v>1</v>
      </c>
      <c r="N25" s="902">
        <f t="shared" si="0"/>
        <v>3</v>
      </c>
      <c r="O25" s="908">
        <v>1</v>
      </c>
      <c r="P25" s="908">
        <v>0</v>
      </c>
      <c r="Q25" s="908">
        <v>0</v>
      </c>
      <c r="R25" s="908">
        <v>0</v>
      </c>
      <c r="S25" s="903">
        <f t="shared" si="1"/>
        <v>1</v>
      </c>
      <c r="T25" s="904">
        <v>0</v>
      </c>
      <c r="U25" s="905">
        <v>1</v>
      </c>
      <c r="V25" s="905">
        <v>0</v>
      </c>
      <c r="W25" s="905">
        <v>0</v>
      </c>
      <c r="X25" s="905">
        <v>1</v>
      </c>
      <c r="Y25" s="905">
        <v>0</v>
      </c>
      <c r="Z25" s="905">
        <v>0</v>
      </c>
      <c r="AA25" s="905">
        <v>0</v>
      </c>
      <c r="AB25" s="906">
        <v>5</v>
      </c>
      <c r="AC25" s="906">
        <v>4</v>
      </c>
      <c r="AD25" s="906">
        <v>1</v>
      </c>
      <c r="AE25" s="906">
        <v>2</v>
      </c>
      <c r="AF25" s="906">
        <v>6</v>
      </c>
      <c r="AG25" s="906">
        <v>3</v>
      </c>
      <c r="AH25" s="906">
        <v>7</v>
      </c>
      <c r="AI25" s="907">
        <v>2</v>
      </c>
      <c r="AJ25" s="907">
        <v>2</v>
      </c>
      <c r="AK25" s="907">
        <v>1</v>
      </c>
      <c r="AL25" s="907">
        <v>1</v>
      </c>
      <c r="AM25" s="907">
        <v>1</v>
      </c>
      <c r="AN25" s="907">
        <v>1</v>
      </c>
      <c r="AO25" s="907">
        <v>1</v>
      </c>
      <c r="AP25" s="907">
        <v>0</v>
      </c>
      <c r="AQ25" s="907">
        <v>0</v>
      </c>
      <c r="AR25" s="907">
        <v>0</v>
      </c>
      <c r="AS25" s="907">
        <v>0</v>
      </c>
      <c r="AT25" s="907">
        <v>1</v>
      </c>
      <c r="AU25" s="907">
        <v>0</v>
      </c>
    </row>
    <row r="26" spans="1:48">
      <c r="A26" s="898">
        <v>25</v>
      </c>
      <c r="B26" s="899">
        <v>0</v>
      </c>
      <c r="C26" s="900">
        <v>1</v>
      </c>
      <c r="D26" s="900">
        <v>0</v>
      </c>
      <c r="E26" s="900">
        <v>0</v>
      </c>
      <c r="F26" s="900">
        <v>0</v>
      </c>
      <c r="G26" s="901">
        <v>3</v>
      </c>
      <c r="H26" s="901">
        <v>2</v>
      </c>
      <c r="I26" s="901">
        <v>4</v>
      </c>
      <c r="J26" s="901">
        <v>1</v>
      </c>
      <c r="K26" s="902">
        <v>0</v>
      </c>
      <c r="L26" s="902">
        <v>1</v>
      </c>
      <c r="M26" s="902">
        <v>0</v>
      </c>
      <c r="N26" s="902">
        <f t="shared" si="0"/>
        <v>2</v>
      </c>
      <c r="O26" s="903">
        <v>1</v>
      </c>
      <c r="P26" s="903">
        <v>0</v>
      </c>
      <c r="Q26" s="903">
        <v>0</v>
      </c>
      <c r="R26" s="903">
        <v>0</v>
      </c>
      <c r="S26" s="903">
        <f t="shared" si="1"/>
        <v>1</v>
      </c>
      <c r="T26" s="904">
        <v>1</v>
      </c>
      <c r="U26" s="905">
        <v>0</v>
      </c>
      <c r="V26" s="905">
        <v>0</v>
      </c>
      <c r="W26" s="905">
        <v>1</v>
      </c>
      <c r="X26" s="905">
        <v>1</v>
      </c>
      <c r="Y26" s="905">
        <v>0</v>
      </c>
      <c r="Z26" s="905">
        <v>0</v>
      </c>
      <c r="AA26" s="905">
        <v>0</v>
      </c>
      <c r="AB26" s="906">
        <v>6</v>
      </c>
      <c r="AC26" s="906">
        <v>7</v>
      </c>
      <c r="AD26" s="906">
        <v>1</v>
      </c>
      <c r="AE26" s="906">
        <v>2</v>
      </c>
      <c r="AF26" s="906">
        <v>4</v>
      </c>
      <c r="AG26" s="906">
        <v>3</v>
      </c>
      <c r="AH26" s="906">
        <v>5</v>
      </c>
      <c r="AI26" s="907">
        <v>1</v>
      </c>
      <c r="AJ26" s="907">
        <v>2</v>
      </c>
      <c r="AK26" s="907">
        <v>2</v>
      </c>
      <c r="AL26" s="907">
        <v>2</v>
      </c>
      <c r="AM26" s="907">
        <v>1</v>
      </c>
      <c r="AN26" s="907">
        <v>1</v>
      </c>
      <c r="AO26" s="907">
        <v>2</v>
      </c>
      <c r="AP26" s="907">
        <v>1</v>
      </c>
      <c r="AQ26" s="907">
        <v>0</v>
      </c>
      <c r="AR26" s="907">
        <v>0</v>
      </c>
      <c r="AS26" s="907">
        <v>0</v>
      </c>
      <c r="AT26" s="907">
        <v>0</v>
      </c>
      <c r="AU26" s="907">
        <v>0</v>
      </c>
      <c r="AV26" s="909"/>
    </row>
    <row r="27" spans="1:48" hidden="1">
      <c r="A27" s="898">
        <v>26</v>
      </c>
      <c r="B27" s="899">
        <v>0</v>
      </c>
      <c r="C27" s="900">
        <v>0</v>
      </c>
      <c r="D27" s="900">
        <v>1</v>
      </c>
      <c r="E27" s="900">
        <v>0</v>
      </c>
      <c r="F27" s="900">
        <v>0</v>
      </c>
      <c r="G27" s="901">
        <v>4</v>
      </c>
      <c r="H27" s="901">
        <v>2</v>
      </c>
      <c r="I27" s="901">
        <v>3</v>
      </c>
      <c r="J27" s="901">
        <v>1</v>
      </c>
      <c r="K27" s="902">
        <v>0</v>
      </c>
      <c r="L27" s="902">
        <v>1</v>
      </c>
      <c r="M27" s="902">
        <v>0</v>
      </c>
      <c r="N27" s="902">
        <f t="shared" si="0"/>
        <v>2</v>
      </c>
      <c r="O27" s="903">
        <v>1</v>
      </c>
      <c r="P27" s="903">
        <v>0</v>
      </c>
      <c r="Q27" s="903">
        <v>0</v>
      </c>
      <c r="R27" s="903">
        <v>0</v>
      </c>
      <c r="S27" s="903">
        <f t="shared" si="1"/>
        <v>1</v>
      </c>
      <c r="T27" s="904">
        <v>1</v>
      </c>
      <c r="U27" s="905">
        <v>0</v>
      </c>
      <c r="V27" s="905">
        <v>0</v>
      </c>
      <c r="W27" s="905">
        <v>0</v>
      </c>
      <c r="X27" s="905">
        <v>0</v>
      </c>
      <c r="Y27" s="905">
        <v>1</v>
      </c>
      <c r="Z27" s="905">
        <v>0</v>
      </c>
      <c r="AA27" s="905">
        <v>0</v>
      </c>
      <c r="AB27" s="906">
        <v>5</v>
      </c>
      <c r="AC27" s="906">
        <v>6</v>
      </c>
      <c r="AD27" s="906">
        <v>4</v>
      </c>
      <c r="AE27" s="906">
        <v>7</v>
      </c>
      <c r="AF27" s="906">
        <v>2</v>
      </c>
      <c r="AG27" s="906">
        <v>3</v>
      </c>
      <c r="AH27" s="906">
        <v>1</v>
      </c>
      <c r="AI27" s="907">
        <v>1</v>
      </c>
      <c r="AJ27" s="907">
        <v>3</v>
      </c>
      <c r="AK27" s="907">
        <v>1</v>
      </c>
      <c r="AL27" s="907">
        <v>3</v>
      </c>
      <c r="AM27" s="907">
        <v>1</v>
      </c>
      <c r="AN27" s="907">
        <v>2</v>
      </c>
      <c r="AO27" s="907">
        <v>1</v>
      </c>
      <c r="AP27" s="907">
        <v>0</v>
      </c>
      <c r="AQ27" s="907">
        <v>0</v>
      </c>
      <c r="AR27" s="907">
        <v>0</v>
      </c>
      <c r="AS27" s="907">
        <v>1</v>
      </c>
      <c r="AT27" s="907">
        <v>0</v>
      </c>
      <c r="AU27" s="907">
        <v>0</v>
      </c>
    </row>
    <row r="28" spans="1:48" hidden="1">
      <c r="A28" s="898">
        <v>27</v>
      </c>
      <c r="B28" s="899">
        <v>1</v>
      </c>
      <c r="C28" s="900">
        <v>0</v>
      </c>
      <c r="D28" s="900">
        <v>1</v>
      </c>
      <c r="E28" s="900">
        <v>0</v>
      </c>
      <c r="F28" s="900">
        <v>0</v>
      </c>
      <c r="G28" s="901">
        <v>3</v>
      </c>
      <c r="H28" s="901">
        <v>2</v>
      </c>
      <c r="I28" s="901">
        <v>1</v>
      </c>
      <c r="J28" s="901">
        <v>4</v>
      </c>
      <c r="K28" s="902">
        <v>0</v>
      </c>
      <c r="L28" s="902">
        <v>1</v>
      </c>
      <c r="M28" s="902">
        <v>0</v>
      </c>
      <c r="N28" s="902">
        <f t="shared" si="0"/>
        <v>2</v>
      </c>
      <c r="O28" s="903">
        <v>1</v>
      </c>
      <c r="P28" s="903">
        <v>0</v>
      </c>
      <c r="Q28" s="903">
        <v>0</v>
      </c>
      <c r="R28" s="903">
        <v>0</v>
      </c>
      <c r="S28" s="903">
        <f t="shared" si="1"/>
        <v>1</v>
      </c>
      <c r="T28" s="904">
        <v>1</v>
      </c>
      <c r="U28" s="905">
        <v>0</v>
      </c>
      <c r="V28" s="905">
        <v>0</v>
      </c>
      <c r="W28" s="905">
        <v>1</v>
      </c>
      <c r="X28" s="905">
        <v>0</v>
      </c>
      <c r="Y28" s="905">
        <v>0</v>
      </c>
      <c r="Z28" s="905">
        <v>1</v>
      </c>
      <c r="AA28" s="905">
        <v>0</v>
      </c>
      <c r="AB28" s="906">
        <v>5</v>
      </c>
      <c r="AC28" s="906">
        <v>3</v>
      </c>
      <c r="AD28" s="906">
        <v>6</v>
      </c>
      <c r="AE28" s="906">
        <v>7</v>
      </c>
      <c r="AF28" s="906">
        <v>2</v>
      </c>
      <c r="AG28" s="906">
        <v>4</v>
      </c>
      <c r="AH28" s="906">
        <v>1</v>
      </c>
      <c r="AI28" s="907">
        <v>2</v>
      </c>
      <c r="AJ28" s="907">
        <v>2</v>
      </c>
      <c r="AK28" s="907">
        <v>2</v>
      </c>
      <c r="AL28" s="907">
        <v>1</v>
      </c>
      <c r="AM28" s="907">
        <v>2</v>
      </c>
      <c r="AN28" s="907">
        <v>1</v>
      </c>
      <c r="AO28" s="907">
        <v>2</v>
      </c>
      <c r="AP28" s="907">
        <v>0</v>
      </c>
      <c r="AQ28" s="907">
        <v>1</v>
      </c>
      <c r="AR28" s="907">
        <v>0</v>
      </c>
      <c r="AS28" s="907">
        <v>0</v>
      </c>
      <c r="AT28" s="907">
        <v>0</v>
      </c>
      <c r="AU28" s="907">
        <v>0</v>
      </c>
    </row>
    <row r="29" spans="1:48" hidden="1">
      <c r="A29" s="898">
        <v>28</v>
      </c>
      <c r="B29" s="899">
        <v>0</v>
      </c>
      <c r="C29" s="900">
        <v>0</v>
      </c>
      <c r="D29" s="900">
        <v>1</v>
      </c>
      <c r="E29" s="900">
        <v>0</v>
      </c>
      <c r="F29" s="900">
        <v>0</v>
      </c>
      <c r="G29" s="901">
        <v>4</v>
      </c>
      <c r="H29" s="901">
        <v>2</v>
      </c>
      <c r="I29" s="901">
        <v>3</v>
      </c>
      <c r="J29" s="901">
        <v>1</v>
      </c>
      <c r="K29" s="902">
        <v>0</v>
      </c>
      <c r="L29" s="902">
        <v>1</v>
      </c>
      <c r="M29" s="902">
        <v>0</v>
      </c>
      <c r="N29" s="902">
        <f t="shared" si="0"/>
        <v>2</v>
      </c>
      <c r="O29" s="903">
        <v>1</v>
      </c>
      <c r="P29" s="903">
        <v>0</v>
      </c>
      <c r="Q29" s="903">
        <v>0</v>
      </c>
      <c r="R29" s="903">
        <v>0</v>
      </c>
      <c r="S29" s="903">
        <f t="shared" si="1"/>
        <v>1</v>
      </c>
      <c r="T29" s="904">
        <v>1</v>
      </c>
      <c r="U29" s="905">
        <v>1</v>
      </c>
      <c r="V29" s="905">
        <v>0</v>
      </c>
      <c r="W29" s="905">
        <v>0</v>
      </c>
      <c r="X29" s="905">
        <v>1</v>
      </c>
      <c r="Y29" s="905">
        <v>1</v>
      </c>
      <c r="Z29" s="905">
        <v>0</v>
      </c>
      <c r="AA29" s="905">
        <v>0</v>
      </c>
      <c r="AB29" s="906">
        <v>2</v>
      </c>
      <c r="AC29" s="906">
        <v>7</v>
      </c>
      <c r="AD29" s="906">
        <v>4</v>
      </c>
      <c r="AE29" s="906">
        <v>5</v>
      </c>
      <c r="AF29" s="906">
        <v>1</v>
      </c>
      <c r="AG29" s="906">
        <v>3</v>
      </c>
      <c r="AH29" s="906">
        <v>4</v>
      </c>
      <c r="AI29" s="907">
        <v>2</v>
      </c>
      <c r="AJ29" s="907">
        <v>1</v>
      </c>
      <c r="AK29" s="907">
        <v>2</v>
      </c>
      <c r="AL29" s="907">
        <v>2</v>
      </c>
      <c r="AM29" s="907">
        <v>1</v>
      </c>
      <c r="AN29" s="907">
        <v>1</v>
      </c>
      <c r="AO29" s="907">
        <v>1</v>
      </c>
      <c r="AP29" s="907">
        <v>1</v>
      </c>
      <c r="AQ29" s="907">
        <v>0</v>
      </c>
      <c r="AR29" s="907">
        <v>0</v>
      </c>
      <c r="AS29" s="907">
        <v>0</v>
      </c>
      <c r="AT29" s="907">
        <v>0</v>
      </c>
      <c r="AU29" s="907">
        <v>0</v>
      </c>
    </row>
    <row r="30" spans="1:48" hidden="1">
      <c r="A30" s="898">
        <v>29</v>
      </c>
      <c r="B30" s="899">
        <v>0</v>
      </c>
      <c r="C30" s="900">
        <v>0</v>
      </c>
      <c r="D30" s="900">
        <v>0</v>
      </c>
      <c r="E30" s="900">
        <v>1</v>
      </c>
      <c r="F30" s="900">
        <v>0</v>
      </c>
      <c r="G30" s="901">
        <v>4</v>
      </c>
      <c r="H30" s="901">
        <v>2</v>
      </c>
      <c r="I30" s="901">
        <v>3</v>
      </c>
      <c r="J30" s="901">
        <v>1</v>
      </c>
      <c r="K30" s="902">
        <v>1</v>
      </c>
      <c r="L30" s="902">
        <v>0</v>
      </c>
      <c r="M30" s="902">
        <v>0</v>
      </c>
      <c r="N30" s="902">
        <f t="shared" si="0"/>
        <v>1</v>
      </c>
      <c r="O30" s="903">
        <v>0</v>
      </c>
      <c r="P30" s="903">
        <v>1</v>
      </c>
      <c r="Q30" s="903">
        <v>0</v>
      </c>
      <c r="R30" s="903">
        <v>0</v>
      </c>
      <c r="S30" s="903">
        <f t="shared" si="1"/>
        <v>2</v>
      </c>
      <c r="T30" s="904">
        <v>1</v>
      </c>
      <c r="U30" s="905">
        <v>0</v>
      </c>
      <c r="V30" s="905">
        <v>0</v>
      </c>
      <c r="W30" s="905">
        <v>1</v>
      </c>
      <c r="X30" s="905">
        <v>0</v>
      </c>
      <c r="Y30" s="905">
        <v>0</v>
      </c>
      <c r="Z30" s="905">
        <v>1</v>
      </c>
      <c r="AA30" s="905">
        <v>1</v>
      </c>
      <c r="AB30" s="906">
        <v>5</v>
      </c>
      <c r="AC30" s="906">
        <v>3</v>
      </c>
      <c r="AD30" s="906">
        <v>4</v>
      </c>
      <c r="AE30" s="906">
        <v>7</v>
      </c>
      <c r="AF30" s="906">
        <v>6</v>
      </c>
      <c r="AG30" s="906">
        <v>1</v>
      </c>
      <c r="AH30" s="906">
        <v>2</v>
      </c>
      <c r="AI30" s="907">
        <v>2</v>
      </c>
      <c r="AJ30" s="907">
        <v>3</v>
      </c>
      <c r="AK30" s="907">
        <v>4</v>
      </c>
      <c r="AL30" s="907">
        <v>4</v>
      </c>
      <c r="AM30" s="907">
        <v>4</v>
      </c>
      <c r="AN30" s="907">
        <v>4</v>
      </c>
      <c r="AO30" s="907">
        <v>4</v>
      </c>
      <c r="AP30" s="907">
        <v>0</v>
      </c>
      <c r="AQ30" s="907">
        <v>0</v>
      </c>
      <c r="AR30" s="907">
        <v>1</v>
      </c>
      <c r="AS30" s="907">
        <v>0</v>
      </c>
      <c r="AT30" s="907">
        <v>0</v>
      </c>
      <c r="AU30" s="907">
        <v>0</v>
      </c>
    </row>
    <row r="31" spans="1:48">
      <c r="A31" s="898">
        <v>30</v>
      </c>
      <c r="B31" s="899">
        <v>0</v>
      </c>
      <c r="C31" s="900">
        <v>0</v>
      </c>
      <c r="D31" s="900">
        <v>1</v>
      </c>
      <c r="E31" s="900">
        <v>0</v>
      </c>
      <c r="F31" s="900">
        <v>0</v>
      </c>
      <c r="G31" s="901">
        <v>3</v>
      </c>
      <c r="H31" s="901">
        <v>4</v>
      </c>
      <c r="I31" s="901">
        <v>2</v>
      </c>
      <c r="J31" s="901">
        <v>1</v>
      </c>
      <c r="K31" s="902">
        <v>1</v>
      </c>
      <c r="L31" s="902">
        <v>0</v>
      </c>
      <c r="M31" s="902">
        <v>0</v>
      </c>
      <c r="N31" s="902">
        <f t="shared" si="0"/>
        <v>1</v>
      </c>
      <c r="O31" s="903">
        <v>1</v>
      </c>
      <c r="P31" s="903">
        <v>0</v>
      </c>
      <c r="Q31" s="903">
        <v>0</v>
      </c>
      <c r="R31" s="903">
        <v>0</v>
      </c>
      <c r="S31" s="903">
        <f t="shared" si="1"/>
        <v>1</v>
      </c>
      <c r="T31" s="904">
        <v>1</v>
      </c>
      <c r="U31" s="905">
        <v>1</v>
      </c>
      <c r="V31" s="905">
        <v>1</v>
      </c>
      <c r="W31" s="905">
        <v>0</v>
      </c>
      <c r="X31" s="905">
        <v>0</v>
      </c>
      <c r="Y31" s="905">
        <v>1</v>
      </c>
      <c r="Z31" s="905">
        <v>1</v>
      </c>
      <c r="AA31" s="905">
        <v>0</v>
      </c>
      <c r="AB31" s="906">
        <v>7</v>
      </c>
      <c r="AC31" s="906">
        <v>1</v>
      </c>
      <c r="AD31" s="906">
        <v>6</v>
      </c>
      <c r="AE31" s="906">
        <v>3</v>
      </c>
      <c r="AF31" s="906">
        <v>4</v>
      </c>
      <c r="AG31" s="906">
        <v>2</v>
      </c>
      <c r="AH31" s="906">
        <v>5</v>
      </c>
      <c r="AI31" s="907">
        <v>2</v>
      </c>
      <c r="AJ31" s="907">
        <v>2</v>
      </c>
      <c r="AK31" s="907">
        <v>4</v>
      </c>
      <c r="AL31" s="907">
        <v>3</v>
      </c>
      <c r="AM31" s="907">
        <v>1</v>
      </c>
      <c r="AN31" s="907">
        <v>2</v>
      </c>
      <c r="AO31" s="907">
        <v>1</v>
      </c>
      <c r="AP31" s="907">
        <v>1</v>
      </c>
      <c r="AQ31" s="907">
        <v>0</v>
      </c>
      <c r="AR31" s="907">
        <v>0</v>
      </c>
      <c r="AS31" s="907">
        <v>0</v>
      </c>
      <c r="AT31" s="907">
        <v>0</v>
      </c>
      <c r="AU31" s="907">
        <v>0</v>
      </c>
    </row>
    <row r="32" spans="1:48" hidden="1">
      <c r="A32" s="898">
        <v>31</v>
      </c>
      <c r="B32" s="899">
        <v>0</v>
      </c>
      <c r="C32" s="900">
        <v>1</v>
      </c>
      <c r="D32" s="900">
        <v>0</v>
      </c>
      <c r="E32" s="900">
        <v>0</v>
      </c>
      <c r="F32" s="900">
        <v>0</v>
      </c>
      <c r="G32" s="901">
        <v>1</v>
      </c>
      <c r="H32" s="901">
        <v>3</v>
      </c>
      <c r="I32" s="901">
        <v>4</v>
      </c>
      <c r="J32" s="901">
        <v>2</v>
      </c>
      <c r="K32" s="902">
        <v>1</v>
      </c>
      <c r="L32" s="902">
        <v>0</v>
      </c>
      <c r="M32" s="902">
        <v>0</v>
      </c>
      <c r="N32" s="902">
        <f t="shared" si="0"/>
        <v>1</v>
      </c>
      <c r="O32" s="903">
        <v>1</v>
      </c>
      <c r="P32" s="903">
        <v>0</v>
      </c>
      <c r="Q32" s="903">
        <v>0</v>
      </c>
      <c r="R32" s="903">
        <v>0</v>
      </c>
      <c r="S32" s="903">
        <f t="shared" si="1"/>
        <v>1</v>
      </c>
      <c r="T32" s="904">
        <v>1</v>
      </c>
      <c r="U32" s="905">
        <v>0</v>
      </c>
      <c r="V32" s="905">
        <v>0</v>
      </c>
      <c r="W32" s="905">
        <v>0</v>
      </c>
      <c r="X32" s="905">
        <v>1</v>
      </c>
      <c r="Y32" s="905">
        <v>0</v>
      </c>
      <c r="Z32" s="905">
        <v>0</v>
      </c>
      <c r="AA32" s="905">
        <v>0</v>
      </c>
      <c r="AB32" s="906">
        <v>6</v>
      </c>
      <c r="AC32" s="906">
        <v>1</v>
      </c>
      <c r="AD32" s="906">
        <v>4</v>
      </c>
      <c r="AE32" s="906">
        <v>7</v>
      </c>
      <c r="AF32" s="906">
        <v>3</v>
      </c>
      <c r="AG32" s="906">
        <v>2</v>
      </c>
      <c r="AH32" s="906">
        <v>5</v>
      </c>
      <c r="AI32" s="907">
        <v>2</v>
      </c>
      <c r="AJ32" s="907">
        <v>1</v>
      </c>
      <c r="AK32" s="907">
        <v>4</v>
      </c>
      <c r="AL32" s="907">
        <v>3</v>
      </c>
      <c r="AM32" s="907">
        <v>1</v>
      </c>
      <c r="AN32" s="907">
        <v>2</v>
      </c>
      <c r="AO32" s="907">
        <v>2</v>
      </c>
      <c r="AP32" s="907">
        <v>0</v>
      </c>
      <c r="AQ32" s="907">
        <v>1</v>
      </c>
      <c r="AR32" s="907">
        <v>0</v>
      </c>
      <c r="AS32" s="907">
        <v>0</v>
      </c>
      <c r="AT32" s="907">
        <v>0</v>
      </c>
      <c r="AU32" s="907">
        <v>0</v>
      </c>
    </row>
    <row r="33" spans="1:47" hidden="1">
      <c r="A33" s="898">
        <v>32</v>
      </c>
      <c r="B33" s="899">
        <v>1</v>
      </c>
      <c r="C33" s="900">
        <v>0</v>
      </c>
      <c r="D33" s="900">
        <v>1</v>
      </c>
      <c r="E33" s="900">
        <v>0</v>
      </c>
      <c r="F33" s="900">
        <v>0</v>
      </c>
      <c r="G33" s="901">
        <v>3</v>
      </c>
      <c r="H33" s="901">
        <v>1</v>
      </c>
      <c r="I33" s="901">
        <v>4</v>
      </c>
      <c r="J33" s="901">
        <v>2</v>
      </c>
      <c r="K33" s="902">
        <v>0</v>
      </c>
      <c r="L33" s="902">
        <v>1</v>
      </c>
      <c r="M33" s="902">
        <v>0</v>
      </c>
      <c r="N33" s="902">
        <f t="shared" si="0"/>
        <v>2</v>
      </c>
      <c r="O33" s="903">
        <v>1</v>
      </c>
      <c r="P33" s="903">
        <v>0</v>
      </c>
      <c r="Q33" s="903">
        <v>0</v>
      </c>
      <c r="R33" s="903">
        <v>0</v>
      </c>
      <c r="S33" s="903">
        <f t="shared" si="1"/>
        <v>1</v>
      </c>
      <c r="T33" s="904">
        <v>1</v>
      </c>
      <c r="U33" s="905">
        <v>0</v>
      </c>
      <c r="V33" s="905">
        <v>1</v>
      </c>
      <c r="W33" s="905">
        <v>1</v>
      </c>
      <c r="X33" s="905">
        <v>0</v>
      </c>
      <c r="Y33" s="905">
        <v>0</v>
      </c>
      <c r="Z33" s="905">
        <v>1</v>
      </c>
      <c r="AA33" s="905">
        <v>0</v>
      </c>
      <c r="AB33" s="906">
        <v>4</v>
      </c>
      <c r="AC33" s="906">
        <v>3</v>
      </c>
      <c r="AD33" s="906">
        <v>5</v>
      </c>
      <c r="AE33" s="906">
        <v>6</v>
      </c>
      <c r="AF33" s="906">
        <v>7</v>
      </c>
      <c r="AG33" s="906">
        <v>1</v>
      </c>
      <c r="AH33" s="906">
        <v>2</v>
      </c>
      <c r="AI33" s="907">
        <v>2</v>
      </c>
      <c r="AJ33" s="907">
        <v>2</v>
      </c>
      <c r="AK33" s="907">
        <v>1</v>
      </c>
      <c r="AL33" s="907">
        <v>1</v>
      </c>
      <c r="AM33" s="907">
        <v>2</v>
      </c>
      <c r="AN33" s="907">
        <v>2</v>
      </c>
      <c r="AO33" s="907">
        <v>2</v>
      </c>
      <c r="AP33" s="907">
        <v>0</v>
      </c>
      <c r="AQ33" s="907">
        <v>0</v>
      </c>
      <c r="AR33" s="907">
        <v>0</v>
      </c>
      <c r="AS33" s="907">
        <v>1</v>
      </c>
      <c r="AT33" s="907">
        <v>0</v>
      </c>
      <c r="AU33" s="907">
        <v>0</v>
      </c>
    </row>
    <row r="34" spans="1:47">
      <c r="A34" s="898">
        <v>33</v>
      </c>
      <c r="B34" s="899">
        <v>0</v>
      </c>
      <c r="C34" s="900">
        <v>0</v>
      </c>
      <c r="D34" s="900">
        <v>1</v>
      </c>
      <c r="E34" s="900">
        <v>0</v>
      </c>
      <c r="F34" s="900">
        <v>0</v>
      </c>
      <c r="G34" s="901">
        <v>2</v>
      </c>
      <c r="H34" s="901">
        <v>4</v>
      </c>
      <c r="I34" s="901">
        <v>1</v>
      </c>
      <c r="J34" s="901">
        <v>3</v>
      </c>
      <c r="K34" s="902">
        <v>0</v>
      </c>
      <c r="L34" s="902">
        <v>1</v>
      </c>
      <c r="M34" s="902">
        <v>0</v>
      </c>
      <c r="N34" s="902">
        <f t="shared" si="0"/>
        <v>2</v>
      </c>
      <c r="O34" s="903">
        <v>1</v>
      </c>
      <c r="P34" s="903">
        <v>0</v>
      </c>
      <c r="Q34" s="903">
        <v>0</v>
      </c>
      <c r="R34" s="903">
        <v>0</v>
      </c>
      <c r="S34" s="903">
        <f t="shared" si="1"/>
        <v>1</v>
      </c>
      <c r="T34" s="904">
        <v>1</v>
      </c>
      <c r="U34" s="905">
        <v>0</v>
      </c>
      <c r="V34" s="905">
        <v>0</v>
      </c>
      <c r="W34" s="905">
        <v>1</v>
      </c>
      <c r="X34" s="905">
        <v>1</v>
      </c>
      <c r="Y34" s="905">
        <v>0</v>
      </c>
      <c r="Z34" s="905">
        <v>1</v>
      </c>
      <c r="AA34" s="905">
        <v>0</v>
      </c>
      <c r="AB34" s="906">
        <v>5</v>
      </c>
      <c r="AC34" s="906">
        <v>1</v>
      </c>
      <c r="AD34" s="906">
        <v>2</v>
      </c>
      <c r="AE34" s="906">
        <v>3</v>
      </c>
      <c r="AF34" s="906">
        <v>4</v>
      </c>
      <c r="AG34" s="906">
        <v>6</v>
      </c>
      <c r="AH34" s="906">
        <v>7</v>
      </c>
      <c r="AI34" s="907">
        <v>2</v>
      </c>
      <c r="AJ34" s="907">
        <v>2</v>
      </c>
      <c r="AK34" s="907">
        <v>1</v>
      </c>
      <c r="AL34" s="907">
        <v>3</v>
      </c>
      <c r="AM34" s="907">
        <v>1</v>
      </c>
      <c r="AN34" s="907">
        <v>2</v>
      </c>
      <c r="AO34" s="907">
        <v>1</v>
      </c>
      <c r="AP34" s="907">
        <v>1</v>
      </c>
      <c r="AQ34" s="907">
        <v>0</v>
      </c>
      <c r="AR34" s="907">
        <v>0</v>
      </c>
      <c r="AS34" s="907">
        <v>0</v>
      </c>
      <c r="AT34" s="907">
        <v>0</v>
      </c>
      <c r="AU34" s="907">
        <v>0</v>
      </c>
    </row>
    <row r="35" spans="1:47" hidden="1">
      <c r="A35" s="898">
        <v>34</v>
      </c>
      <c r="B35" s="899">
        <v>0</v>
      </c>
      <c r="C35" s="900">
        <v>0</v>
      </c>
      <c r="D35" s="900">
        <v>1</v>
      </c>
      <c r="E35" s="900">
        <v>0</v>
      </c>
      <c r="F35" s="900">
        <v>0</v>
      </c>
      <c r="G35" s="901">
        <v>3</v>
      </c>
      <c r="H35" s="901">
        <v>2</v>
      </c>
      <c r="I35" s="901">
        <v>4</v>
      </c>
      <c r="J35" s="901">
        <v>1</v>
      </c>
      <c r="K35" s="902">
        <v>1</v>
      </c>
      <c r="L35" s="902">
        <v>0</v>
      </c>
      <c r="M35" s="902">
        <v>0</v>
      </c>
      <c r="N35" s="902">
        <f t="shared" si="0"/>
        <v>1</v>
      </c>
      <c r="O35" s="903">
        <v>1</v>
      </c>
      <c r="P35" s="903">
        <v>0</v>
      </c>
      <c r="Q35" s="903">
        <v>0</v>
      </c>
      <c r="R35" s="903">
        <v>0</v>
      </c>
      <c r="S35" s="903">
        <f t="shared" si="1"/>
        <v>1</v>
      </c>
      <c r="T35" s="904">
        <v>1</v>
      </c>
      <c r="U35" s="905">
        <v>0</v>
      </c>
      <c r="V35" s="905">
        <v>1</v>
      </c>
      <c r="W35" s="905">
        <v>1</v>
      </c>
      <c r="X35" s="905">
        <v>0</v>
      </c>
      <c r="Y35" s="905">
        <v>1</v>
      </c>
      <c r="Z35" s="905">
        <v>0</v>
      </c>
      <c r="AA35" s="905">
        <v>0</v>
      </c>
      <c r="AB35" s="906">
        <v>7</v>
      </c>
      <c r="AC35" s="906">
        <v>6</v>
      </c>
      <c r="AD35" s="906">
        <v>4</v>
      </c>
      <c r="AE35" s="906">
        <v>5</v>
      </c>
      <c r="AF35" s="906">
        <v>2</v>
      </c>
      <c r="AG35" s="906">
        <v>1</v>
      </c>
      <c r="AH35" s="906">
        <v>3</v>
      </c>
      <c r="AI35" s="907">
        <v>1</v>
      </c>
      <c r="AJ35" s="907">
        <v>2</v>
      </c>
      <c r="AK35" s="907">
        <v>2</v>
      </c>
      <c r="AL35" s="907">
        <v>2</v>
      </c>
      <c r="AM35" s="907">
        <v>1</v>
      </c>
      <c r="AN35" s="907">
        <v>1</v>
      </c>
      <c r="AO35" s="907">
        <v>2</v>
      </c>
      <c r="AP35" s="907">
        <v>0</v>
      </c>
      <c r="AQ35" s="907">
        <v>0</v>
      </c>
      <c r="AR35" s="907">
        <v>0</v>
      </c>
      <c r="AS35" s="907">
        <v>0</v>
      </c>
      <c r="AT35" s="907">
        <v>0</v>
      </c>
      <c r="AU35" s="907">
        <v>1</v>
      </c>
    </row>
    <row r="36" spans="1:47">
      <c r="A36" s="898">
        <v>35</v>
      </c>
      <c r="B36" s="899">
        <v>0</v>
      </c>
      <c r="C36" s="900">
        <v>0</v>
      </c>
      <c r="D36" s="900">
        <v>1</v>
      </c>
      <c r="E36" s="900">
        <v>0</v>
      </c>
      <c r="F36" s="900">
        <v>0</v>
      </c>
      <c r="G36" s="901">
        <v>3</v>
      </c>
      <c r="H36" s="901">
        <v>2</v>
      </c>
      <c r="I36" s="901">
        <v>4</v>
      </c>
      <c r="J36" s="901">
        <v>1</v>
      </c>
      <c r="K36" s="902">
        <v>0</v>
      </c>
      <c r="L36" s="902">
        <v>0</v>
      </c>
      <c r="M36" s="902">
        <v>1</v>
      </c>
      <c r="N36" s="902">
        <f t="shared" si="0"/>
        <v>3</v>
      </c>
      <c r="O36" s="908">
        <v>1</v>
      </c>
      <c r="P36" s="908">
        <v>0</v>
      </c>
      <c r="Q36" s="908">
        <v>0</v>
      </c>
      <c r="R36" s="908">
        <v>0</v>
      </c>
      <c r="S36" s="903">
        <f t="shared" si="1"/>
        <v>1</v>
      </c>
      <c r="T36" s="904">
        <v>1</v>
      </c>
      <c r="U36" s="905">
        <v>0</v>
      </c>
      <c r="V36" s="905">
        <v>0</v>
      </c>
      <c r="W36" s="905">
        <v>1</v>
      </c>
      <c r="X36" s="905">
        <v>0</v>
      </c>
      <c r="Y36" s="905">
        <v>1</v>
      </c>
      <c r="Z36" s="905">
        <v>0</v>
      </c>
      <c r="AA36" s="905">
        <v>0</v>
      </c>
      <c r="AB36" s="906">
        <v>3</v>
      </c>
      <c r="AC36" s="906">
        <v>2</v>
      </c>
      <c r="AD36" s="906">
        <v>1</v>
      </c>
      <c r="AE36" s="906">
        <v>7</v>
      </c>
      <c r="AF36" s="906">
        <v>4</v>
      </c>
      <c r="AG36" s="906">
        <v>6</v>
      </c>
      <c r="AH36" s="906">
        <v>5</v>
      </c>
      <c r="AI36" s="907">
        <v>1</v>
      </c>
      <c r="AJ36" s="907">
        <v>3</v>
      </c>
      <c r="AK36" s="907">
        <v>2</v>
      </c>
      <c r="AL36" s="907">
        <v>2</v>
      </c>
      <c r="AM36" s="907">
        <v>1</v>
      </c>
      <c r="AN36" s="907">
        <v>2</v>
      </c>
      <c r="AO36" s="907">
        <v>2</v>
      </c>
      <c r="AP36" s="907">
        <v>0</v>
      </c>
      <c r="AQ36" s="907">
        <v>0</v>
      </c>
      <c r="AR36" s="907">
        <v>0</v>
      </c>
      <c r="AS36" s="907">
        <v>0</v>
      </c>
      <c r="AT36" s="907">
        <v>0</v>
      </c>
      <c r="AU36" s="907">
        <v>1</v>
      </c>
    </row>
    <row r="37" spans="1:47" hidden="1">
      <c r="A37" s="898">
        <v>36</v>
      </c>
      <c r="B37" s="899">
        <v>0</v>
      </c>
      <c r="C37" s="900">
        <v>0</v>
      </c>
      <c r="D37" s="900">
        <v>1</v>
      </c>
      <c r="E37" s="900">
        <v>0</v>
      </c>
      <c r="F37" s="900">
        <v>0</v>
      </c>
      <c r="G37" s="901">
        <v>3</v>
      </c>
      <c r="H37" s="901">
        <v>2</v>
      </c>
      <c r="I37" s="901">
        <v>4</v>
      </c>
      <c r="J37" s="901">
        <v>1</v>
      </c>
      <c r="K37" s="902">
        <v>1</v>
      </c>
      <c r="L37" s="902">
        <v>0</v>
      </c>
      <c r="M37" s="902">
        <v>0</v>
      </c>
      <c r="N37" s="902">
        <f t="shared" si="0"/>
        <v>1</v>
      </c>
      <c r="O37" s="903">
        <v>1</v>
      </c>
      <c r="P37" s="903">
        <v>0</v>
      </c>
      <c r="Q37" s="903">
        <v>0</v>
      </c>
      <c r="R37" s="903">
        <v>0</v>
      </c>
      <c r="S37" s="903">
        <f t="shared" si="1"/>
        <v>1</v>
      </c>
      <c r="T37" s="904">
        <v>0</v>
      </c>
      <c r="U37" s="905">
        <v>1</v>
      </c>
      <c r="V37" s="905">
        <v>0</v>
      </c>
      <c r="W37" s="905">
        <v>1</v>
      </c>
      <c r="X37" s="905">
        <v>0</v>
      </c>
      <c r="Y37" s="905">
        <v>0</v>
      </c>
      <c r="Z37" s="905">
        <v>1</v>
      </c>
      <c r="AA37" s="905">
        <v>0</v>
      </c>
      <c r="AB37" s="906">
        <v>5</v>
      </c>
      <c r="AC37" s="906">
        <v>2</v>
      </c>
      <c r="AD37" s="906">
        <v>4</v>
      </c>
      <c r="AE37" s="906">
        <v>7</v>
      </c>
      <c r="AF37" s="906">
        <v>6</v>
      </c>
      <c r="AG37" s="906">
        <v>1</v>
      </c>
      <c r="AH37" s="906">
        <v>3</v>
      </c>
      <c r="AI37" s="907">
        <v>2</v>
      </c>
      <c r="AJ37" s="907">
        <v>2</v>
      </c>
      <c r="AK37" s="907">
        <v>1</v>
      </c>
      <c r="AL37" s="907">
        <v>3</v>
      </c>
      <c r="AM37" s="907">
        <v>1</v>
      </c>
      <c r="AN37" s="907">
        <v>2</v>
      </c>
      <c r="AO37" s="907">
        <v>1</v>
      </c>
      <c r="AP37" s="907">
        <v>0</v>
      </c>
      <c r="AQ37" s="907">
        <v>0</v>
      </c>
      <c r="AR37" s="907">
        <v>0</v>
      </c>
      <c r="AS37" s="907">
        <v>0</v>
      </c>
      <c r="AT37" s="907">
        <v>1</v>
      </c>
      <c r="AU37" s="907">
        <v>0</v>
      </c>
    </row>
    <row r="38" spans="1:47" hidden="1">
      <c r="A38" s="898">
        <v>37</v>
      </c>
      <c r="B38" s="899">
        <v>0</v>
      </c>
      <c r="C38" s="900">
        <v>0</v>
      </c>
      <c r="D38" s="900">
        <v>1</v>
      </c>
      <c r="E38" s="900">
        <v>0</v>
      </c>
      <c r="F38" s="900">
        <v>0</v>
      </c>
      <c r="G38" s="901">
        <v>2</v>
      </c>
      <c r="H38" s="901">
        <v>1</v>
      </c>
      <c r="I38" s="901">
        <v>4</v>
      </c>
      <c r="J38" s="901">
        <v>3</v>
      </c>
      <c r="K38" s="902">
        <v>1</v>
      </c>
      <c r="L38" s="902">
        <v>0</v>
      </c>
      <c r="M38" s="902">
        <v>0</v>
      </c>
      <c r="N38" s="902">
        <f t="shared" si="0"/>
        <v>1</v>
      </c>
      <c r="O38" s="903">
        <v>1</v>
      </c>
      <c r="P38" s="903">
        <v>0</v>
      </c>
      <c r="Q38" s="903">
        <v>0</v>
      </c>
      <c r="R38" s="903">
        <v>0</v>
      </c>
      <c r="S38" s="903">
        <f t="shared" si="1"/>
        <v>1</v>
      </c>
      <c r="T38" s="904">
        <v>1</v>
      </c>
      <c r="U38" s="905">
        <v>1</v>
      </c>
      <c r="V38" s="905">
        <v>0</v>
      </c>
      <c r="W38" s="905">
        <v>0</v>
      </c>
      <c r="X38" s="905">
        <v>0</v>
      </c>
      <c r="Y38" s="905">
        <v>0</v>
      </c>
      <c r="Z38" s="905">
        <v>0</v>
      </c>
      <c r="AA38" s="905">
        <v>0</v>
      </c>
      <c r="AB38" s="906">
        <v>4</v>
      </c>
      <c r="AC38" s="906">
        <v>5</v>
      </c>
      <c r="AD38" s="906">
        <v>6</v>
      </c>
      <c r="AE38" s="906">
        <v>7</v>
      </c>
      <c r="AF38" s="906">
        <v>1</v>
      </c>
      <c r="AG38" s="906">
        <v>2</v>
      </c>
      <c r="AH38" s="906">
        <v>3</v>
      </c>
      <c r="AI38" s="907">
        <v>2</v>
      </c>
      <c r="AJ38" s="907">
        <v>2</v>
      </c>
      <c r="AK38" s="907">
        <v>2</v>
      </c>
      <c r="AL38" s="907">
        <v>2</v>
      </c>
      <c r="AM38" s="907">
        <v>1</v>
      </c>
      <c r="AN38" s="907">
        <v>2</v>
      </c>
      <c r="AO38" s="907">
        <v>2</v>
      </c>
      <c r="AP38" s="907">
        <v>0</v>
      </c>
      <c r="AQ38" s="907">
        <v>1</v>
      </c>
      <c r="AR38" s="907">
        <v>0</v>
      </c>
      <c r="AS38" s="907">
        <v>0</v>
      </c>
      <c r="AT38" s="907">
        <v>0</v>
      </c>
      <c r="AU38" s="907">
        <v>0</v>
      </c>
    </row>
    <row r="39" spans="1:47" hidden="1">
      <c r="A39" s="898">
        <v>38</v>
      </c>
      <c r="B39" s="899">
        <v>0</v>
      </c>
      <c r="C39" s="900">
        <v>0</v>
      </c>
      <c r="D39" s="900">
        <v>1</v>
      </c>
      <c r="E39" s="900">
        <v>0</v>
      </c>
      <c r="F39" s="900">
        <v>0</v>
      </c>
      <c r="G39" s="901">
        <v>3</v>
      </c>
      <c r="H39" s="901">
        <v>4</v>
      </c>
      <c r="I39" s="901">
        <v>2</v>
      </c>
      <c r="J39" s="901">
        <v>1</v>
      </c>
      <c r="K39" s="902">
        <v>0</v>
      </c>
      <c r="L39" s="902">
        <v>1</v>
      </c>
      <c r="M39" s="902">
        <v>0</v>
      </c>
      <c r="N39" s="902">
        <f t="shared" si="0"/>
        <v>2</v>
      </c>
      <c r="O39" s="903">
        <v>1</v>
      </c>
      <c r="P39" s="903">
        <v>0</v>
      </c>
      <c r="Q39" s="903">
        <v>0</v>
      </c>
      <c r="R39" s="903">
        <v>0</v>
      </c>
      <c r="S39" s="903">
        <f t="shared" si="1"/>
        <v>1</v>
      </c>
      <c r="T39" s="904">
        <v>0</v>
      </c>
      <c r="U39" s="905">
        <v>0</v>
      </c>
      <c r="V39" s="905">
        <v>1</v>
      </c>
      <c r="W39" s="905">
        <v>1</v>
      </c>
      <c r="X39" s="905">
        <v>0</v>
      </c>
      <c r="Y39" s="905">
        <v>0</v>
      </c>
      <c r="Z39" s="905">
        <v>0</v>
      </c>
      <c r="AA39" s="905">
        <v>0</v>
      </c>
      <c r="AB39" s="906">
        <v>7</v>
      </c>
      <c r="AC39" s="906">
        <v>4</v>
      </c>
      <c r="AD39" s="906">
        <v>6</v>
      </c>
      <c r="AE39" s="906">
        <v>5</v>
      </c>
      <c r="AF39" s="906">
        <v>2</v>
      </c>
      <c r="AG39" s="906">
        <v>1</v>
      </c>
      <c r="AH39" s="906">
        <v>3</v>
      </c>
      <c r="AI39" s="907">
        <v>1</v>
      </c>
      <c r="AJ39" s="907">
        <v>2</v>
      </c>
      <c r="AK39" s="907">
        <v>2</v>
      </c>
      <c r="AL39" s="907">
        <v>2</v>
      </c>
      <c r="AM39" s="907">
        <v>2</v>
      </c>
      <c r="AN39" s="907">
        <v>1</v>
      </c>
      <c r="AO39" s="907">
        <v>1</v>
      </c>
      <c r="AP39" s="907">
        <v>1</v>
      </c>
      <c r="AQ39" s="907">
        <v>0</v>
      </c>
      <c r="AR39" s="907">
        <v>0</v>
      </c>
      <c r="AS39" s="907">
        <v>0</v>
      </c>
      <c r="AT39" s="907">
        <v>0</v>
      </c>
      <c r="AU39" s="907">
        <v>0</v>
      </c>
    </row>
    <row r="40" spans="1:47" hidden="1">
      <c r="A40" s="898">
        <v>39</v>
      </c>
      <c r="B40" s="899">
        <v>0</v>
      </c>
      <c r="C40" s="900">
        <v>0</v>
      </c>
      <c r="D40" s="900">
        <v>1</v>
      </c>
      <c r="E40" s="900">
        <v>0</v>
      </c>
      <c r="F40" s="900">
        <v>0</v>
      </c>
      <c r="G40" s="901">
        <v>4</v>
      </c>
      <c r="H40" s="901">
        <v>2</v>
      </c>
      <c r="I40" s="901">
        <v>3</v>
      </c>
      <c r="J40" s="901">
        <v>1</v>
      </c>
      <c r="K40" s="902">
        <v>0</v>
      </c>
      <c r="L40" s="902">
        <v>1</v>
      </c>
      <c r="M40" s="902">
        <v>0</v>
      </c>
      <c r="N40" s="902">
        <f t="shared" si="0"/>
        <v>2</v>
      </c>
      <c r="O40" s="903">
        <v>1</v>
      </c>
      <c r="P40" s="903">
        <v>0</v>
      </c>
      <c r="Q40" s="903">
        <v>0</v>
      </c>
      <c r="R40" s="903">
        <v>0</v>
      </c>
      <c r="S40" s="903">
        <f t="shared" si="1"/>
        <v>1</v>
      </c>
      <c r="T40" s="904">
        <v>1</v>
      </c>
      <c r="U40" s="905">
        <v>1</v>
      </c>
      <c r="V40" s="905">
        <v>1</v>
      </c>
      <c r="W40" s="905">
        <v>1</v>
      </c>
      <c r="X40" s="905">
        <v>0</v>
      </c>
      <c r="Y40" s="905">
        <v>0</v>
      </c>
      <c r="Z40" s="905">
        <v>0</v>
      </c>
      <c r="AA40" s="905">
        <v>0</v>
      </c>
      <c r="AB40" s="906">
        <v>5</v>
      </c>
      <c r="AC40" s="906">
        <v>2</v>
      </c>
      <c r="AD40" s="906">
        <v>7</v>
      </c>
      <c r="AE40" s="906">
        <v>6</v>
      </c>
      <c r="AF40" s="906">
        <v>1</v>
      </c>
      <c r="AG40" s="906">
        <v>4</v>
      </c>
      <c r="AH40" s="906">
        <v>3</v>
      </c>
      <c r="AI40" s="907">
        <v>1</v>
      </c>
      <c r="AJ40" s="907">
        <v>1</v>
      </c>
      <c r="AK40" s="907">
        <v>2</v>
      </c>
      <c r="AL40" s="907">
        <v>2</v>
      </c>
      <c r="AM40" s="907">
        <v>1</v>
      </c>
      <c r="AN40" s="907">
        <v>1</v>
      </c>
      <c r="AO40" s="907">
        <v>2</v>
      </c>
      <c r="AP40" s="907">
        <v>0</v>
      </c>
      <c r="AQ40" s="907">
        <v>0</v>
      </c>
      <c r="AR40" s="907">
        <v>0</v>
      </c>
      <c r="AS40" s="907">
        <v>1</v>
      </c>
      <c r="AT40" s="907">
        <v>0</v>
      </c>
      <c r="AU40" s="907">
        <v>0</v>
      </c>
    </row>
    <row r="41" spans="1:47" hidden="1">
      <c r="A41" s="898">
        <v>40</v>
      </c>
      <c r="B41" s="899">
        <v>0</v>
      </c>
      <c r="C41" s="900">
        <v>0</v>
      </c>
      <c r="D41" s="900">
        <v>1</v>
      </c>
      <c r="E41" s="900">
        <v>0</v>
      </c>
      <c r="F41" s="900">
        <v>0</v>
      </c>
      <c r="G41" s="901">
        <v>2</v>
      </c>
      <c r="H41" s="901">
        <v>3</v>
      </c>
      <c r="I41" s="901">
        <v>4</v>
      </c>
      <c r="J41" s="901">
        <v>1</v>
      </c>
      <c r="K41" s="902">
        <v>1</v>
      </c>
      <c r="L41" s="902">
        <v>0</v>
      </c>
      <c r="M41" s="902">
        <v>0</v>
      </c>
      <c r="N41" s="902">
        <f t="shared" si="0"/>
        <v>1</v>
      </c>
      <c r="O41" s="903">
        <v>1</v>
      </c>
      <c r="P41" s="903">
        <v>0</v>
      </c>
      <c r="Q41" s="903">
        <v>0</v>
      </c>
      <c r="R41" s="903">
        <v>0</v>
      </c>
      <c r="S41" s="903">
        <f t="shared" si="1"/>
        <v>1</v>
      </c>
      <c r="T41" s="904">
        <v>1</v>
      </c>
      <c r="U41" s="905">
        <v>0</v>
      </c>
      <c r="V41" s="905">
        <v>1</v>
      </c>
      <c r="W41" s="905">
        <v>0</v>
      </c>
      <c r="X41" s="905">
        <v>0</v>
      </c>
      <c r="Y41" s="905">
        <v>0</v>
      </c>
      <c r="Z41" s="905">
        <v>0</v>
      </c>
      <c r="AA41" s="905">
        <v>0</v>
      </c>
      <c r="AB41" s="906">
        <v>3</v>
      </c>
      <c r="AC41" s="906">
        <v>4</v>
      </c>
      <c r="AD41" s="906">
        <v>5</v>
      </c>
      <c r="AE41" s="906">
        <v>6</v>
      </c>
      <c r="AF41" s="906">
        <v>1</v>
      </c>
      <c r="AG41" s="906">
        <v>2</v>
      </c>
      <c r="AH41" s="906">
        <v>7</v>
      </c>
      <c r="AI41" s="907">
        <v>2</v>
      </c>
      <c r="AJ41" s="907">
        <v>2</v>
      </c>
      <c r="AK41" s="907">
        <v>1</v>
      </c>
      <c r="AL41" s="907">
        <v>2</v>
      </c>
      <c r="AM41" s="907">
        <v>1</v>
      </c>
      <c r="AN41" s="907">
        <v>1</v>
      </c>
      <c r="AO41" s="907">
        <v>1</v>
      </c>
      <c r="AP41" s="907">
        <v>0</v>
      </c>
      <c r="AQ41" s="907">
        <v>1</v>
      </c>
      <c r="AR41" s="907">
        <v>0</v>
      </c>
      <c r="AS41" s="907">
        <v>0</v>
      </c>
      <c r="AT41" s="907">
        <v>0</v>
      </c>
      <c r="AU41" s="907">
        <v>0</v>
      </c>
    </row>
    <row r="42" spans="1:47" hidden="1">
      <c r="A42" s="898">
        <v>41</v>
      </c>
      <c r="B42" s="899">
        <v>1</v>
      </c>
      <c r="C42" s="900">
        <v>1</v>
      </c>
      <c r="D42" s="900">
        <v>0</v>
      </c>
      <c r="E42" s="900">
        <v>0</v>
      </c>
      <c r="F42" s="900">
        <v>0</v>
      </c>
      <c r="G42" s="901">
        <v>2</v>
      </c>
      <c r="H42" s="901">
        <v>1</v>
      </c>
      <c r="I42" s="901">
        <v>4</v>
      </c>
      <c r="J42" s="901">
        <v>3</v>
      </c>
      <c r="K42" s="902">
        <v>0</v>
      </c>
      <c r="L42" s="902">
        <v>1</v>
      </c>
      <c r="M42" s="902">
        <v>0</v>
      </c>
      <c r="N42" s="902">
        <f t="shared" si="0"/>
        <v>2</v>
      </c>
      <c r="O42" s="903">
        <v>1</v>
      </c>
      <c r="P42" s="903">
        <v>0</v>
      </c>
      <c r="Q42" s="903">
        <v>0</v>
      </c>
      <c r="R42" s="903">
        <v>0</v>
      </c>
      <c r="S42" s="903">
        <f t="shared" si="1"/>
        <v>1</v>
      </c>
      <c r="T42" s="904">
        <v>0</v>
      </c>
      <c r="U42" s="905">
        <v>0</v>
      </c>
      <c r="V42" s="905">
        <v>0</v>
      </c>
      <c r="W42" s="905">
        <v>0</v>
      </c>
      <c r="X42" s="905">
        <v>1</v>
      </c>
      <c r="Y42" s="905">
        <v>0</v>
      </c>
      <c r="Z42" s="905">
        <v>0</v>
      </c>
      <c r="AA42" s="905">
        <v>0</v>
      </c>
      <c r="AB42" s="906">
        <v>5</v>
      </c>
      <c r="AC42" s="906">
        <v>4</v>
      </c>
      <c r="AD42" s="906">
        <v>3</v>
      </c>
      <c r="AE42" s="906">
        <v>7</v>
      </c>
      <c r="AF42" s="906">
        <v>6</v>
      </c>
      <c r="AG42" s="906">
        <v>1</v>
      </c>
      <c r="AH42" s="906">
        <v>2</v>
      </c>
      <c r="AI42" s="907">
        <v>1</v>
      </c>
      <c r="AJ42" s="907">
        <v>1</v>
      </c>
      <c r="AK42" s="907">
        <v>2</v>
      </c>
      <c r="AL42" s="907">
        <v>1</v>
      </c>
      <c r="AM42" s="907">
        <v>1</v>
      </c>
      <c r="AN42" s="907">
        <v>1</v>
      </c>
      <c r="AO42" s="907">
        <v>1</v>
      </c>
      <c r="AP42" s="907">
        <v>1</v>
      </c>
      <c r="AQ42" s="907">
        <v>0</v>
      </c>
      <c r="AR42" s="907">
        <v>0</v>
      </c>
      <c r="AS42" s="907">
        <v>0</v>
      </c>
      <c r="AT42" s="907">
        <v>0</v>
      </c>
      <c r="AU42" s="907">
        <v>0</v>
      </c>
    </row>
    <row r="43" spans="1:47" hidden="1">
      <c r="A43" s="898">
        <v>42</v>
      </c>
      <c r="B43" s="899">
        <v>1</v>
      </c>
      <c r="C43" s="900">
        <v>1</v>
      </c>
      <c r="D43" s="900">
        <v>0</v>
      </c>
      <c r="E43" s="900">
        <v>0</v>
      </c>
      <c r="F43" s="900">
        <v>0</v>
      </c>
      <c r="G43" s="901">
        <v>4</v>
      </c>
      <c r="H43" s="901">
        <v>3</v>
      </c>
      <c r="I43" s="901">
        <v>1</v>
      </c>
      <c r="J43" s="901">
        <v>2</v>
      </c>
      <c r="K43" s="902">
        <v>0</v>
      </c>
      <c r="L43" s="902">
        <v>1</v>
      </c>
      <c r="M43" s="902">
        <v>0</v>
      </c>
      <c r="N43" s="902">
        <f t="shared" si="0"/>
        <v>2</v>
      </c>
      <c r="O43" s="903">
        <v>1</v>
      </c>
      <c r="P43" s="903">
        <v>0</v>
      </c>
      <c r="Q43" s="903">
        <v>0</v>
      </c>
      <c r="R43" s="903">
        <v>0</v>
      </c>
      <c r="S43" s="903">
        <f t="shared" si="1"/>
        <v>1</v>
      </c>
      <c r="T43" s="904">
        <v>1</v>
      </c>
      <c r="U43" s="905">
        <v>0</v>
      </c>
      <c r="V43" s="905">
        <v>0</v>
      </c>
      <c r="W43" s="905">
        <v>1</v>
      </c>
      <c r="X43" s="905">
        <v>0</v>
      </c>
      <c r="Y43" s="905">
        <v>0</v>
      </c>
      <c r="Z43" s="905">
        <v>1</v>
      </c>
      <c r="AA43" s="905">
        <v>0</v>
      </c>
      <c r="AB43" s="906">
        <v>6</v>
      </c>
      <c r="AC43" s="906">
        <v>4</v>
      </c>
      <c r="AD43" s="906">
        <v>5</v>
      </c>
      <c r="AE43" s="906">
        <v>7</v>
      </c>
      <c r="AF43" s="906">
        <v>3</v>
      </c>
      <c r="AG43" s="906">
        <v>1</v>
      </c>
      <c r="AH43" s="906">
        <v>2</v>
      </c>
      <c r="AI43" s="907">
        <v>2</v>
      </c>
      <c r="AJ43" s="907">
        <v>1</v>
      </c>
      <c r="AK43" s="907">
        <v>1</v>
      </c>
      <c r="AL43" s="907">
        <v>1</v>
      </c>
      <c r="AM43" s="907">
        <v>1</v>
      </c>
      <c r="AN43" s="907">
        <v>2</v>
      </c>
      <c r="AO43" s="907">
        <v>1</v>
      </c>
      <c r="AP43" s="907">
        <v>0</v>
      </c>
      <c r="AQ43" s="907">
        <v>0</v>
      </c>
      <c r="AR43" s="907">
        <v>0</v>
      </c>
      <c r="AS43" s="907">
        <v>1</v>
      </c>
      <c r="AT43" s="907">
        <v>0</v>
      </c>
      <c r="AU43" s="907">
        <v>0</v>
      </c>
    </row>
    <row r="44" spans="1:47" hidden="1">
      <c r="A44" s="898">
        <v>43</v>
      </c>
      <c r="B44" s="899">
        <v>1</v>
      </c>
      <c r="C44" s="900">
        <v>1</v>
      </c>
      <c r="D44" s="900">
        <v>0</v>
      </c>
      <c r="E44" s="900">
        <v>0</v>
      </c>
      <c r="F44" s="900">
        <v>0</v>
      </c>
      <c r="G44" s="901">
        <v>3</v>
      </c>
      <c r="H44" s="901">
        <v>2</v>
      </c>
      <c r="I44" s="901">
        <v>4</v>
      </c>
      <c r="J44" s="901">
        <v>1</v>
      </c>
      <c r="K44" s="902">
        <v>0</v>
      </c>
      <c r="L44" s="902">
        <v>1</v>
      </c>
      <c r="M44" s="902">
        <v>0</v>
      </c>
      <c r="N44" s="902">
        <f t="shared" si="0"/>
        <v>2</v>
      </c>
      <c r="O44" s="903">
        <v>1</v>
      </c>
      <c r="P44" s="903">
        <v>0</v>
      </c>
      <c r="Q44" s="903">
        <v>0</v>
      </c>
      <c r="R44" s="903">
        <v>0</v>
      </c>
      <c r="S44" s="903">
        <f t="shared" si="1"/>
        <v>1</v>
      </c>
      <c r="T44" s="904">
        <v>0</v>
      </c>
      <c r="U44" s="905">
        <v>0</v>
      </c>
      <c r="V44" s="905">
        <v>1</v>
      </c>
      <c r="W44" s="905">
        <v>0</v>
      </c>
      <c r="X44" s="905">
        <v>1</v>
      </c>
      <c r="Y44" s="905">
        <v>0</v>
      </c>
      <c r="Z44" s="905">
        <v>1</v>
      </c>
      <c r="AA44" s="905">
        <v>0</v>
      </c>
      <c r="AB44" s="906">
        <v>7</v>
      </c>
      <c r="AC44" s="906">
        <v>4</v>
      </c>
      <c r="AD44" s="906">
        <v>5</v>
      </c>
      <c r="AE44" s="906">
        <v>3</v>
      </c>
      <c r="AF44" s="906">
        <v>6</v>
      </c>
      <c r="AG44" s="906">
        <v>2</v>
      </c>
      <c r="AH44" s="906">
        <v>1</v>
      </c>
      <c r="AI44" s="907">
        <v>2</v>
      </c>
      <c r="AJ44" s="907">
        <v>1</v>
      </c>
      <c r="AK44" s="907">
        <v>1</v>
      </c>
      <c r="AL44" s="907">
        <v>1</v>
      </c>
      <c r="AM44" s="907">
        <v>2</v>
      </c>
      <c r="AN44" s="907">
        <v>1</v>
      </c>
      <c r="AO44" s="907">
        <v>1</v>
      </c>
      <c r="AP44" s="907">
        <v>0</v>
      </c>
      <c r="AQ44" s="907">
        <v>1</v>
      </c>
      <c r="AR44" s="907">
        <v>0</v>
      </c>
      <c r="AS44" s="907">
        <v>0</v>
      </c>
      <c r="AT44" s="907">
        <v>0</v>
      </c>
      <c r="AU44" s="907">
        <v>0</v>
      </c>
    </row>
    <row r="45" spans="1:47" hidden="1">
      <c r="A45" s="898">
        <v>44</v>
      </c>
      <c r="B45" s="899">
        <v>1</v>
      </c>
      <c r="C45" s="900">
        <v>0</v>
      </c>
      <c r="D45" s="900">
        <v>1</v>
      </c>
      <c r="E45" s="900">
        <v>0</v>
      </c>
      <c r="F45" s="900">
        <v>0</v>
      </c>
      <c r="G45" s="901">
        <v>4</v>
      </c>
      <c r="H45" s="901">
        <v>1</v>
      </c>
      <c r="I45" s="901">
        <v>2</v>
      </c>
      <c r="J45" s="901">
        <v>3</v>
      </c>
      <c r="K45" s="902">
        <v>0</v>
      </c>
      <c r="L45" s="902">
        <v>1</v>
      </c>
      <c r="M45" s="902">
        <v>0</v>
      </c>
      <c r="N45" s="902">
        <f t="shared" si="0"/>
        <v>2</v>
      </c>
      <c r="O45" s="903">
        <v>1</v>
      </c>
      <c r="P45" s="903">
        <v>0</v>
      </c>
      <c r="Q45" s="903">
        <v>0</v>
      </c>
      <c r="R45" s="903">
        <v>0</v>
      </c>
      <c r="S45" s="903">
        <f t="shared" si="1"/>
        <v>1</v>
      </c>
      <c r="T45" s="904">
        <v>1</v>
      </c>
      <c r="U45" s="905">
        <v>0</v>
      </c>
      <c r="V45" s="905">
        <v>0</v>
      </c>
      <c r="W45" s="905">
        <v>1</v>
      </c>
      <c r="X45" s="905">
        <v>1</v>
      </c>
      <c r="Y45" s="905">
        <v>0</v>
      </c>
      <c r="Z45" s="905">
        <v>0</v>
      </c>
      <c r="AA45" s="905">
        <v>0</v>
      </c>
      <c r="AB45" s="906">
        <v>5</v>
      </c>
      <c r="AC45" s="906">
        <v>7</v>
      </c>
      <c r="AD45" s="906">
        <v>6</v>
      </c>
      <c r="AE45" s="906">
        <v>2</v>
      </c>
      <c r="AF45" s="906">
        <v>1</v>
      </c>
      <c r="AG45" s="906">
        <v>3</v>
      </c>
      <c r="AH45" s="906">
        <v>4</v>
      </c>
      <c r="AI45" s="907">
        <v>1</v>
      </c>
      <c r="AJ45" s="907">
        <v>2</v>
      </c>
      <c r="AK45" s="907">
        <v>3</v>
      </c>
      <c r="AL45" s="907">
        <v>1</v>
      </c>
      <c r="AM45" s="907">
        <v>2</v>
      </c>
      <c r="AN45" s="907">
        <v>3</v>
      </c>
      <c r="AO45" s="907">
        <v>1</v>
      </c>
      <c r="AP45" s="907">
        <v>0</v>
      </c>
      <c r="AQ45" s="907">
        <v>1</v>
      </c>
      <c r="AR45" s="907">
        <v>0</v>
      </c>
      <c r="AS45" s="907">
        <v>0</v>
      </c>
      <c r="AT45" s="907">
        <v>0</v>
      </c>
      <c r="AU45" s="907">
        <v>0</v>
      </c>
    </row>
    <row r="46" spans="1:47" hidden="1">
      <c r="A46" s="898">
        <v>45</v>
      </c>
      <c r="B46" s="899">
        <v>1</v>
      </c>
      <c r="C46" s="900">
        <v>1</v>
      </c>
      <c r="D46" s="900">
        <v>0</v>
      </c>
      <c r="E46" s="900">
        <v>0</v>
      </c>
      <c r="F46" s="900">
        <v>0</v>
      </c>
      <c r="G46" s="901">
        <v>4</v>
      </c>
      <c r="H46" s="901">
        <v>1</v>
      </c>
      <c r="I46" s="901">
        <v>2</v>
      </c>
      <c r="J46" s="901">
        <v>3</v>
      </c>
      <c r="K46" s="902">
        <v>1</v>
      </c>
      <c r="L46" s="902">
        <v>0</v>
      </c>
      <c r="M46" s="902">
        <v>0</v>
      </c>
      <c r="N46" s="902">
        <f t="shared" si="0"/>
        <v>1</v>
      </c>
      <c r="O46" s="903">
        <v>1</v>
      </c>
      <c r="P46" s="903">
        <v>0</v>
      </c>
      <c r="Q46" s="903">
        <v>0</v>
      </c>
      <c r="R46" s="903">
        <v>0</v>
      </c>
      <c r="S46" s="903">
        <f t="shared" si="1"/>
        <v>1</v>
      </c>
      <c r="T46" s="904">
        <v>1</v>
      </c>
      <c r="U46" s="905">
        <v>1</v>
      </c>
      <c r="V46" s="905">
        <v>0</v>
      </c>
      <c r="W46" s="905">
        <v>0</v>
      </c>
      <c r="X46" s="905">
        <v>1</v>
      </c>
      <c r="Y46" s="905">
        <v>0</v>
      </c>
      <c r="Z46" s="905">
        <v>0</v>
      </c>
      <c r="AA46" s="905">
        <v>0</v>
      </c>
      <c r="AB46" s="906">
        <v>7</v>
      </c>
      <c r="AC46" s="906">
        <v>1</v>
      </c>
      <c r="AD46" s="906">
        <v>4</v>
      </c>
      <c r="AE46" s="906">
        <v>5</v>
      </c>
      <c r="AF46" s="906">
        <v>3</v>
      </c>
      <c r="AG46" s="906">
        <v>2</v>
      </c>
      <c r="AH46" s="906">
        <v>6</v>
      </c>
      <c r="AI46" s="907">
        <v>2</v>
      </c>
      <c r="AJ46" s="907">
        <v>1</v>
      </c>
      <c r="AK46" s="907">
        <v>1</v>
      </c>
      <c r="AL46" s="907">
        <v>1</v>
      </c>
      <c r="AM46" s="907">
        <v>1</v>
      </c>
      <c r="AN46" s="907">
        <v>1</v>
      </c>
      <c r="AO46" s="907">
        <v>2</v>
      </c>
      <c r="AP46" s="907">
        <v>0</v>
      </c>
      <c r="AQ46" s="907">
        <v>1</v>
      </c>
      <c r="AR46" s="907">
        <v>0</v>
      </c>
      <c r="AS46" s="907">
        <v>0</v>
      </c>
      <c r="AT46" s="907">
        <v>0</v>
      </c>
      <c r="AU46" s="907">
        <v>0</v>
      </c>
    </row>
    <row r="47" spans="1:47" hidden="1">
      <c r="A47" s="898">
        <v>46</v>
      </c>
      <c r="B47" s="899">
        <v>1</v>
      </c>
      <c r="C47" s="900">
        <v>1</v>
      </c>
      <c r="D47" s="900">
        <v>0</v>
      </c>
      <c r="E47" s="900">
        <v>0</v>
      </c>
      <c r="F47" s="900">
        <v>0</v>
      </c>
      <c r="G47" s="901">
        <v>4</v>
      </c>
      <c r="H47" s="901">
        <v>1</v>
      </c>
      <c r="I47" s="901">
        <v>3</v>
      </c>
      <c r="J47" s="901">
        <v>2</v>
      </c>
      <c r="K47" s="902">
        <v>1</v>
      </c>
      <c r="L47" s="902">
        <v>0</v>
      </c>
      <c r="M47" s="902">
        <v>0</v>
      </c>
      <c r="N47" s="902">
        <f t="shared" si="0"/>
        <v>1</v>
      </c>
      <c r="O47" s="903">
        <v>1</v>
      </c>
      <c r="P47" s="903">
        <v>0</v>
      </c>
      <c r="Q47" s="903">
        <v>0</v>
      </c>
      <c r="R47" s="903">
        <v>0</v>
      </c>
      <c r="S47" s="903">
        <f t="shared" si="1"/>
        <v>1</v>
      </c>
      <c r="T47" s="904">
        <v>1</v>
      </c>
      <c r="U47" s="905">
        <v>0</v>
      </c>
      <c r="V47" s="905">
        <v>0</v>
      </c>
      <c r="W47" s="905">
        <v>0</v>
      </c>
      <c r="X47" s="905">
        <v>1</v>
      </c>
      <c r="Y47" s="905">
        <v>0</v>
      </c>
      <c r="Z47" s="905">
        <v>0</v>
      </c>
      <c r="AA47" s="905">
        <v>0</v>
      </c>
      <c r="AB47" s="906">
        <v>6</v>
      </c>
      <c r="AC47" s="906">
        <v>1</v>
      </c>
      <c r="AD47" s="906">
        <v>3</v>
      </c>
      <c r="AE47" s="906">
        <v>4</v>
      </c>
      <c r="AF47" s="906">
        <v>7</v>
      </c>
      <c r="AG47" s="906">
        <v>5</v>
      </c>
      <c r="AH47" s="906">
        <v>2</v>
      </c>
      <c r="AI47" s="907">
        <v>2</v>
      </c>
      <c r="AJ47" s="907">
        <v>1</v>
      </c>
      <c r="AK47" s="907">
        <v>1</v>
      </c>
      <c r="AL47" s="907">
        <v>1</v>
      </c>
      <c r="AM47" s="907">
        <v>1</v>
      </c>
      <c r="AN47" s="907">
        <v>1</v>
      </c>
      <c r="AO47" s="907">
        <v>1</v>
      </c>
      <c r="AP47" s="907">
        <v>0</v>
      </c>
      <c r="AQ47" s="907">
        <v>1</v>
      </c>
      <c r="AR47" s="907">
        <v>0</v>
      </c>
      <c r="AS47" s="907">
        <v>0</v>
      </c>
      <c r="AT47" s="907">
        <v>0</v>
      </c>
      <c r="AU47" s="907">
        <v>0</v>
      </c>
    </row>
    <row r="48" spans="1:47" hidden="1">
      <c r="A48" s="898">
        <v>47</v>
      </c>
      <c r="B48" s="899">
        <v>1</v>
      </c>
      <c r="C48" s="900">
        <v>0</v>
      </c>
      <c r="D48" s="900">
        <v>1</v>
      </c>
      <c r="E48" s="900">
        <v>0</v>
      </c>
      <c r="F48" s="900">
        <v>0</v>
      </c>
      <c r="G48" s="901">
        <v>3</v>
      </c>
      <c r="H48" s="901">
        <v>2</v>
      </c>
      <c r="I48" s="901">
        <v>4</v>
      </c>
      <c r="J48" s="901">
        <v>1</v>
      </c>
      <c r="K48" s="902">
        <v>1</v>
      </c>
      <c r="L48" s="902">
        <v>0</v>
      </c>
      <c r="M48" s="902">
        <v>0</v>
      </c>
      <c r="N48" s="902">
        <f t="shared" si="0"/>
        <v>1</v>
      </c>
      <c r="O48" s="903">
        <v>1</v>
      </c>
      <c r="P48" s="903">
        <v>0</v>
      </c>
      <c r="Q48" s="903">
        <v>0</v>
      </c>
      <c r="R48" s="903">
        <v>0</v>
      </c>
      <c r="S48" s="903">
        <f t="shared" si="1"/>
        <v>1</v>
      </c>
      <c r="T48" s="904">
        <v>1</v>
      </c>
      <c r="U48" s="905">
        <v>0</v>
      </c>
      <c r="V48" s="905">
        <v>0</v>
      </c>
      <c r="W48" s="905">
        <v>0</v>
      </c>
      <c r="X48" s="905">
        <v>1</v>
      </c>
      <c r="Y48" s="905">
        <v>0</v>
      </c>
      <c r="Z48" s="905">
        <v>0</v>
      </c>
      <c r="AA48" s="905">
        <v>1</v>
      </c>
      <c r="AB48" s="906">
        <v>2</v>
      </c>
      <c r="AC48" s="906">
        <v>3</v>
      </c>
      <c r="AD48" s="906">
        <v>4</v>
      </c>
      <c r="AE48" s="906">
        <v>1</v>
      </c>
      <c r="AF48" s="906">
        <v>7</v>
      </c>
      <c r="AG48" s="906">
        <v>6</v>
      </c>
      <c r="AH48" s="906">
        <v>5</v>
      </c>
      <c r="AI48" s="907">
        <v>2</v>
      </c>
      <c r="AJ48" s="907">
        <v>2</v>
      </c>
      <c r="AK48" s="907">
        <v>1</v>
      </c>
      <c r="AL48" s="907">
        <v>1</v>
      </c>
      <c r="AM48" s="907">
        <v>1</v>
      </c>
      <c r="AN48" s="907">
        <v>1</v>
      </c>
      <c r="AO48" s="907">
        <v>2</v>
      </c>
      <c r="AP48" s="907">
        <v>0</v>
      </c>
      <c r="AQ48" s="907">
        <v>1</v>
      </c>
      <c r="AR48" s="907">
        <v>0</v>
      </c>
      <c r="AS48" s="907">
        <v>0</v>
      </c>
      <c r="AT48" s="907">
        <v>0</v>
      </c>
      <c r="AU48" s="907">
        <v>0</v>
      </c>
    </row>
    <row r="49" spans="1:47" hidden="1">
      <c r="A49" s="910">
        <v>48</v>
      </c>
      <c r="B49" s="899">
        <v>0</v>
      </c>
      <c r="C49" s="900">
        <v>0</v>
      </c>
      <c r="D49" s="900">
        <v>0</v>
      </c>
      <c r="E49" s="900">
        <v>1</v>
      </c>
      <c r="F49" s="900">
        <v>0</v>
      </c>
      <c r="G49" s="901">
        <v>4</v>
      </c>
      <c r="H49" s="901">
        <v>2</v>
      </c>
      <c r="I49" s="901">
        <v>3</v>
      </c>
      <c r="J49" s="901">
        <v>1</v>
      </c>
      <c r="K49" s="902">
        <v>1</v>
      </c>
      <c r="L49" s="902">
        <v>0</v>
      </c>
      <c r="M49" s="902">
        <v>0</v>
      </c>
      <c r="N49" s="902">
        <f t="shared" si="0"/>
        <v>1</v>
      </c>
      <c r="O49" s="903">
        <v>1</v>
      </c>
      <c r="P49" s="903">
        <v>0</v>
      </c>
      <c r="Q49" s="903">
        <v>0</v>
      </c>
      <c r="R49" s="903">
        <v>0</v>
      </c>
      <c r="S49" s="903">
        <f t="shared" si="1"/>
        <v>1</v>
      </c>
      <c r="T49" s="904">
        <v>1</v>
      </c>
      <c r="U49" s="905">
        <v>1</v>
      </c>
      <c r="V49" s="905">
        <v>0</v>
      </c>
      <c r="W49" s="905">
        <v>0</v>
      </c>
      <c r="X49" s="905">
        <v>1</v>
      </c>
      <c r="Y49" s="905">
        <v>0</v>
      </c>
      <c r="Z49" s="905">
        <v>0</v>
      </c>
      <c r="AA49" s="905">
        <v>1</v>
      </c>
      <c r="AB49" s="906">
        <v>2</v>
      </c>
      <c r="AC49" s="906">
        <v>6</v>
      </c>
      <c r="AD49" s="906">
        <v>5</v>
      </c>
      <c r="AE49" s="906">
        <v>3</v>
      </c>
      <c r="AF49" s="906">
        <v>1</v>
      </c>
      <c r="AG49" s="906">
        <v>7</v>
      </c>
      <c r="AH49" s="906">
        <v>4</v>
      </c>
      <c r="AI49" s="907">
        <v>2</v>
      </c>
      <c r="AJ49" s="907">
        <v>2</v>
      </c>
      <c r="AK49" s="907">
        <v>1</v>
      </c>
      <c r="AL49" s="907">
        <v>1</v>
      </c>
      <c r="AM49" s="907">
        <v>1</v>
      </c>
      <c r="AN49" s="907">
        <v>1</v>
      </c>
      <c r="AO49" s="907">
        <v>4</v>
      </c>
      <c r="AP49" s="907">
        <v>0</v>
      </c>
      <c r="AQ49" s="907">
        <v>0</v>
      </c>
      <c r="AR49" s="907">
        <v>1</v>
      </c>
      <c r="AS49" s="907">
        <v>0</v>
      </c>
      <c r="AT49" s="907">
        <v>0</v>
      </c>
      <c r="AU49" s="907">
        <v>0</v>
      </c>
    </row>
    <row r="50" spans="1:47" hidden="1">
      <c r="A50" s="898">
        <v>49</v>
      </c>
      <c r="B50" s="899">
        <v>1</v>
      </c>
      <c r="C50" s="900">
        <v>0</v>
      </c>
      <c r="D50" s="900">
        <v>0</v>
      </c>
      <c r="E50" s="900">
        <v>0</v>
      </c>
      <c r="F50" s="900">
        <v>1</v>
      </c>
      <c r="G50" s="901">
        <v>1</v>
      </c>
      <c r="H50" s="901">
        <v>2</v>
      </c>
      <c r="I50" s="901">
        <v>4</v>
      </c>
      <c r="J50" s="901">
        <v>3</v>
      </c>
      <c r="K50" s="902">
        <v>1</v>
      </c>
      <c r="L50" s="902">
        <v>0</v>
      </c>
      <c r="M50" s="902">
        <v>0</v>
      </c>
      <c r="N50" s="902">
        <f t="shared" si="0"/>
        <v>1</v>
      </c>
      <c r="O50" s="903">
        <v>1</v>
      </c>
      <c r="P50" s="903">
        <v>0</v>
      </c>
      <c r="Q50" s="903">
        <v>0</v>
      </c>
      <c r="R50" s="903">
        <v>0</v>
      </c>
      <c r="S50" s="903">
        <f t="shared" si="1"/>
        <v>1</v>
      </c>
      <c r="T50" s="904">
        <v>1</v>
      </c>
      <c r="U50" s="905">
        <v>0</v>
      </c>
      <c r="V50" s="905">
        <v>0</v>
      </c>
      <c r="W50" s="905">
        <v>1</v>
      </c>
      <c r="X50" s="905">
        <v>0</v>
      </c>
      <c r="Y50" s="905">
        <v>0</v>
      </c>
      <c r="Z50" s="905">
        <v>1</v>
      </c>
      <c r="AA50" s="905">
        <v>0</v>
      </c>
      <c r="AB50" s="906">
        <v>3</v>
      </c>
      <c r="AC50" s="906">
        <v>6</v>
      </c>
      <c r="AD50" s="906">
        <v>7</v>
      </c>
      <c r="AE50" s="906">
        <v>2</v>
      </c>
      <c r="AF50" s="906">
        <v>5</v>
      </c>
      <c r="AG50" s="906">
        <v>1</v>
      </c>
      <c r="AH50" s="906">
        <v>4</v>
      </c>
      <c r="AI50" s="907">
        <v>2</v>
      </c>
      <c r="AJ50" s="907">
        <v>2</v>
      </c>
      <c r="AK50" s="907">
        <v>2</v>
      </c>
      <c r="AL50" s="907">
        <v>1</v>
      </c>
      <c r="AM50" s="907">
        <v>1</v>
      </c>
      <c r="AN50" s="907">
        <v>1</v>
      </c>
      <c r="AO50" s="907">
        <v>2</v>
      </c>
      <c r="AP50" s="907">
        <v>0</v>
      </c>
      <c r="AQ50" s="907">
        <v>0</v>
      </c>
      <c r="AR50" s="907">
        <v>0</v>
      </c>
      <c r="AS50" s="907">
        <v>0</v>
      </c>
      <c r="AT50" s="907">
        <v>0</v>
      </c>
      <c r="AU50" s="907">
        <v>1</v>
      </c>
    </row>
    <row r="51" spans="1:47" hidden="1">
      <c r="A51" s="898">
        <v>50</v>
      </c>
      <c r="B51" s="899">
        <v>0</v>
      </c>
      <c r="C51" s="900">
        <v>0</v>
      </c>
      <c r="D51" s="900">
        <v>0</v>
      </c>
      <c r="E51" s="900">
        <v>0</v>
      </c>
      <c r="F51" s="900">
        <v>1</v>
      </c>
      <c r="G51" s="901">
        <v>2</v>
      </c>
      <c r="H51" s="901">
        <v>3</v>
      </c>
      <c r="I51" s="901">
        <v>4</v>
      </c>
      <c r="J51" s="901">
        <v>1</v>
      </c>
      <c r="K51" s="902">
        <v>0</v>
      </c>
      <c r="L51" s="902">
        <v>1</v>
      </c>
      <c r="M51" s="902">
        <v>0</v>
      </c>
      <c r="N51" s="902">
        <f t="shared" si="0"/>
        <v>2</v>
      </c>
      <c r="O51" s="903">
        <v>1</v>
      </c>
      <c r="P51" s="903">
        <v>0</v>
      </c>
      <c r="Q51" s="903">
        <v>0</v>
      </c>
      <c r="R51" s="903">
        <v>0</v>
      </c>
      <c r="S51" s="903">
        <f t="shared" si="1"/>
        <v>1</v>
      </c>
      <c r="T51" s="904">
        <v>0</v>
      </c>
      <c r="U51" s="905">
        <v>0</v>
      </c>
      <c r="V51" s="905">
        <v>0</v>
      </c>
      <c r="W51" s="905">
        <v>1</v>
      </c>
      <c r="X51" s="905">
        <v>0</v>
      </c>
      <c r="Y51" s="905">
        <v>1</v>
      </c>
      <c r="Z51" s="905">
        <v>0</v>
      </c>
      <c r="AA51" s="905">
        <v>0</v>
      </c>
      <c r="AB51" s="906">
        <v>5</v>
      </c>
      <c r="AC51" s="906">
        <v>4</v>
      </c>
      <c r="AD51" s="906">
        <v>3</v>
      </c>
      <c r="AE51" s="906">
        <v>6</v>
      </c>
      <c r="AF51" s="906">
        <v>2</v>
      </c>
      <c r="AG51" s="906">
        <v>1</v>
      </c>
      <c r="AH51" s="906">
        <v>7</v>
      </c>
      <c r="AI51" s="907">
        <v>2</v>
      </c>
      <c r="AJ51" s="907">
        <v>2</v>
      </c>
      <c r="AK51" s="907">
        <v>2</v>
      </c>
      <c r="AL51" s="907">
        <v>1</v>
      </c>
      <c r="AM51" s="907">
        <v>1</v>
      </c>
      <c r="AN51" s="907">
        <v>3</v>
      </c>
      <c r="AO51" s="907">
        <v>0</v>
      </c>
      <c r="AP51" s="907">
        <v>0</v>
      </c>
      <c r="AQ51" s="907">
        <v>0</v>
      </c>
      <c r="AR51" s="907">
        <v>0</v>
      </c>
      <c r="AS51" s="907">
        <v>0</v>
      </c>
      <c r="AT51" s="907">
        <v>1</v>
      </c>
      <c r="AU51" s="907">
        <v>0</v>
      </c>
    </row>
    <row r="52" spans="1:47" hidden="1">
      <c r="A52" s="898">
        <v>51</v>
      </c>
      <c r="B52" s="899">
        <v>0</v>
      </c>
      <c r="C52" s="900">
        <v>0</v>
      </c>
      <c r="D52" s="900">
        <v>1</v>
      </c>
      <c r="E52" s="900">
        <v>0</v>
      </c>
      <c r="F52" s="900">
        <v>0</v>
      </c>
      <c r="G52" s="901">
        <v>3</v>
      </c>
      <c r="H52" s="901">
        <v>2</v>
      </c>
      <c r="I52" s="901">
        <v>4</v>
      </c>
      <c r="J52" s="901">
        <v>1</v>
      </c>
      <c r="K52" s="902">
        <v>0</v>
      </c>
      <c r="L52" s="902">
        <v>1</v>
      </c>
      <c r="M52" s="902">
        <v>0</v>
      </c>
      <c r="N52" s="902">
        <f t="shared" si="0"/>
        <v>2</v>
      </c>
      <c r="O52" s="903">
        <v>1</v>
      </c>
      <c r="P52" s="903">
        <v>0</v>
      </c>
      <c r="Q52" s="903">
        <v>0</v>
      </c>
      <c r="R52" s="903">
        <v>0</v>
      </c>
      <c r="S52" s="903">
        <f t="shared" si="1"/>
        <v>1</v>
      </c>
      <c r="T52" s="904">
        <v>0</v>
      </c>
      <c r="U52" s="905">
        <v>0</v>
      </c>
      <c r="V52" s="905">
        <v>0</v>
      </c>
      <c r="W52" s="905">
        <v>1</v>
      </c>
      <c r="X52" s="905">
        <v>1</v>
      </c>
      <c r="Y52" s="905">
        <v>0</v>
      </c>
      <c r="Z52" s="905">
        <v>1</v>
      </c>
      <c r="AA52" s="905">
        <v>0</v>
      </c>
      <c r="AB52" s="906">
        <v>6</v>
      </c>
      <c r="AC52" s="906">
        <v>7</v>
      </c>
      <c r="AD52" s="906">
        <v>4</v>
      </c>
      <c r="AE52" s="906">
        <v>1</v>
      </c>
      <c r="AF52" s="906">
        <v>3</v>
      </c>
      <c r="AG52" s="906">
        <v>5</v>
      </c>
      <c r="AH52" s="906">
        <v>2</v>
      </c>
      <c r="AI52" s="907">
        <v>2</v>
      </c>
      <c r="AJ52" s="907">
        <v>2</v>
      </c>
      <c r="AK52" s="907">
        <v>3</v>
      </c>
      <c r="AL52" s="907">
        <v>4</v>
      </c>
      <c r="AM52" s="907">
        <v>1</v>
      </c>
      <c r="AN52" s="907">
        <v>1</v>
      </c>
      <c r="AO52" s="907">
        <v>2</v>
      </c>
      <c r="AP52" s="907">
        <v>0</v>
      </c>
      <c r="AQ52" s="907">
        <v>0</v>
      </c>
      <c r="AR52" s="907">
        <v>1</v>
      </c>
      <c r="AS52" s="907">
        <v>1</v>
      </c>
      <c r="AT52" s="907">
        <v>1</v>
      </c>
      <c r="AU52" s="907">
        <v>0</v>
      </c>
    </row>
    <row r="53" spans="1:47" hidden="1">
      <c r="A53" s="898">
        <v>52</v>
      </c>
      <c r="B53" s="899">
        <v>1</v>
      </c>
      <c r="C53" s="900">
        <v>0</v>
      </c>
      <c r="D53" s="900">
        <v>1</v>
      </c>
      <c r="E53" s="900">
        <v>0</v>
      </c>
      <c r="F53" s="900">
        <v>0</v>
      </c>
      <c r="G53" s="901">
        <v>3</v>
      </c>
      <c r="H53" s="901">
        <v>2</v>
      </c>
      <c r="I53" s="901">
        <v>4</v>
      </c>
      <c r="J53" s="901">
        <v>1</v>
      </c>
      <c r="K53" s="902">
        <v>1</v>
      </c>
      <c r="L53" s="902">
        <v>0</v>
      </c>
      <c r="M53" s="902">
        <v>0</v>
      </c>
      <c r="N53" s="902">
        <f t="shared" si="0"/>
        <v>1</v>
      </c>
      <c r="O53" s="903">
        <v>1</v>
      </c>
      <c r="P53" s="903">
        <v>0</v>
      </c>
      <c r="Q53" s="903">
        <v>0</v>
      </c>
      <c r="R53" s="903">
        <v>0</v>
      </c>
      <c r="S53" s="903">
        <f t="shared" si="1"/>
        <v>1</v>
      </c>
      <c r="T53" s="904">
        <v>0</v>
      </c>
      <c r="U53" s="905">
        <v>0</v>
      </c>
      <c r="V53" s="905">
        <v>1</v>
      </c>
      <c r="W53" s="905">
        <v>1</v>
      </c>
      <c r="X53" s="905">
        <v>1</v>
      </c>
      <c r="Y53" s="905">
        <v>0</v>
      </c>
      <c r="Z53" s="905">
        <v>1</v>
      </c>
      <c r="AA53" s="905">
        <v>0</v>
      </c>
      <c r="AB53" s="906">
        <v>1</v>
      </c>
      <c r="AC53" s="906">
        <v>3</v>
      </c>
      <c r="AD53" s="906">
        <v>5</v>
      </c>
      <c r="AE53" s="906">
        <v>6</v>
      </c>
      <c r="AF53" s="906">
        <v>2</v>
      </c>
      <c r="AG53" s="906">
        <v>4</v>
      </c>
      <c r="AH53" s="906">
        <v>7</v>
      </c>
      <c r="AI53" s="907">
        <v>1</v>
      </c>
      <c r="AJ53" s="907">
        <v>1</v>
      </c>
      <c r="AK53" s="907">
        <v>1</v>
      </c>
      <c r="AL53" s="907">
        <v>1</v>
      </c>
      <c r="AM53" s="907">
        <v>1</v>
      </c>
      <c r="AN53" s="907">
        <v>2</v>
      </c>
      <c r="AO53" s="907">
        <v>1</v>
      </c>
      <c r="AP53" s="907">
        <v>0</v>
      </c>
      <c r="AQ53" s="907">
        <v>0</v>
      </c>
      <c r="AR53" s="907">
        <v>0</v>
      </c>
      <c r="AS53" s="907">
        <v>0</v>
      </c>
      <c r="AT53" s="907">
        <v>0</v>
      </c>
      <c r="AU53" s="907">
        <v>0</v>
      </c>
    </row>
    <row r="54" spans="1:47" hidden="1">
      <c r="A54" s="898">
        <v>53</v>
      </c>
      <c r="B54" s="899">
        <v>1</v>
      </c>
      <c r="C54" s="900">
        <v>1</v>
      </c>
      <c r="D54" s="900">
        <v>0</v>
      </c>
      <c r="E54" s="900">
        <v>0</v>
      </c>
      <c r="F54" s="900">
        <v>0</v>
      </c>
      <c r="G54" s="901">
        <v>1</v>
      </c>
      <c r="H54" s="901">
        <v>3</v>
      </c>
      <c r="I54" s="901">
        <v>2</v>
      </c>
      <c r="J54" s="901">
        <v>4</v>
      </c>
      <c r="K54" s="902">
        <v>1</v>
      </c>
      <c r="L54" s="902">
        <v>0</v>
      </c>
      <c r="M54" s="902">
        <v>0</v>
      </c>
      <c r="N54" s="902">
        <f t="shared" si="0"/>
        <v>1</v>
      </c>
      <c r="O54" s="903">
        <v>1</v>
      </c>
      <c r="P54" s="903">
        <v>0</v>
      </c>
      <c r="Q54" s="903">
        <v>0</v>
      </c>
      <c r="R54" s="903">
        <v>0</v>
      </c>
      <c r="S54" s="903">
        <f t="shared" si="1"/>
        <v>1</v>
      </c>
      <c r="T54" s="904">
        <v>1</v>
      </c>
      <c r="U54" s="905">
        <v>0</v>
      </c>
      <c r="V54" s="905">
        <v>0</v>
      </c>
      <c r="W54" s="905">
        <v>0</v>
      </c>
      <c r="X54" s="905">
        <v>0</v>
      </c>
      <c r="Y54" s="905">
        <v>0</v>
      </c>
      <c r="Z54" s="905">
        <v>1</v>
      </c>
      <c r="AA54" s="905">
        <v>0</v>
      </c>
      <c r="AB54" s="906">
        <v>7</v>
      </c>
      <c r="AC54" s="906">
        <v>5</v>
      </c>
      <c r="AD54" s="906">
        <v>2</v>
      </c>
      <c r="AE54" s="906">
        <v>6</v>
      </c>
      <c r="AF54" s="906">
        <v>1</v>
      </c>
      <c r="AG54" s="906">
        <v>4</v>
      </c>
      <c r="AH54" s="906">
        <v>3</v>
      </c>
      <c r="AI54" s="907">
        <v>1</v>
      </c>
      <c r="AJ54" s="907">
        <v>1</v>
      </c>
      <c r="AK54" s="907">
        <v>1</v>
      </c>
      <c r="AL54" s="907">
        <v>1</v>
      </c>
      <c r="AM54" s="907">
        <v>1</v>
      </c>
      <c r="AN54" s="907">
        <v>1</v>
      </c>
      <c r="AO54" s="907">
        <v>1</v>
      </c>
      <c r="AP54" s="907">
        <v>1</v>
      </c>
      <c r="AQ54" s="907">
        <v>0</v>
      </c>
      <c r="AR54" s="907">
        <v>1</v>
      </c>
      <c r="AS54" s="907">
        <v>0</v>
      </c>
      <c r="AT54" s="907">
        <v>0</v>
      </c>
      <c r="AU54" s="907">
        <v>0</v>
      </c>
    </row>
    <row r="55" spans="1:47" hidden="1">
      <c r="A55" s="898">
        <v>54</v>
      </c>
      <c r="B55" s="899">
        <v>1</v>
      </c>
      <c r="C55" s="900">
        <v>0</v>
      </c>
      <c r="D55" s="900">
        <v>1</v>
      </c>
      <c r="E55" s="900">
        <v>0</v>
      </c>
      <c r="F55" s="900">
        <v>0</v>
      </c>
      <c r="G55" s="901">
        <v>3</v>
      </c>
      <c r="H55" s="901">
        <v>2</v>
      </c>
      <c r="I55" s="901">
        <v>1</v>
      </c>
      <c r="J55" s="901">
        <v>4</v>
      </c>
      <c r="K55" s="902">
        <v>1</v>
      </c>
      <c r="L55" s="902">
        <v>0</v>
      </c>
      <c r="M55" s="902">
        <v>0</v>
      </c>
      <c r="N55" s="902">
        <f t="shared" si="0"/>
        <v>1</v>
      </c>
      <c r="O55" s="903">
        <v>1</v>
      </c>
      <c r="P55" s="903">
        <v>0</v>
      </c>
      <c r="Q55" s="903">
        <v>0</v>
      </c>
      <c r="R55" s="903">
        <v>0</v>
      </c>
      <c r="S55" s="903">
        <f t="shared" si="1"/>
        <v>1</v>
      </c>
      <c r="T55" s="904">
        <v>1</v>
      </c>
      <c r="U55" s="905">
        <v>1</v>
      </c>
      <c r="V55" s="905">
        <v>1</v>
      </c>
      <c r="W55" s="905">
        <v>0</v>
      </c>
      <c r="X55" s="905">
        <v>1</v>
      </c>
      <c r="Y55" s="905">
        <v>0</v>
      </c>
      <c r="Z55" s="905">
        <v>1</v>
      </c>
      <c r="AA55" s="905">
        <v>0</v>
      </c>
      <c r="AB55" s="906">
        <v>6</v>
      </c>
      <c r="AC55" s="906">
        <v>3</v>
      </c>
      <c r="AD55" s="906">
        <v>4</v>
      </c>
      <c r="AE55" s="906">
        <v>7</v>
      </c>
      <c r="AF55" s="906">
        <v>2</v>
      </c>
      <c r="AG55" s="906">
        <v>1</v>
      </c>
      <c r="AH55" s="906">
        <v>5</v>
      </c>
      <c r="AI55" s="907">
        <v>1</v>
      </c>
      <c r="AJ55" s="907">
        <v>1</v>
      </c>
      <c r="AK55" s="907">
        <v>1</v>
      </c>
      <c r="AL55" s="907">
        <v>1</v>
      </c>
      <c r="AM55" s="907">
        <v>1</v>
      </c>
      <c r="AN55" s="907">
        <v>1</v>
      </c>
      <c r="AO55" s="907">
        <v>2</v>
      </c>
      <c r="AP55" s="907">
        <v>0</v>
      </c>
      <c r="AQ55" s="907">
        <v>0</v>
      </c>
      <c r="AR55" s="907">
        <v>1</v>
      </c>
      <c r="AS55" s="907">
        <v>1</v>
      </c>
      <c r="AT55" s="907">
        <v>0</v>
      </c>
      <c r="AU55" s="907">
        <v>0</v>
      </c>
    </row>
    <row r="56" spans="1:47" hidden="1">
      <c r="A56" s="898">
        <v>55</v>
      </c>
      <c r="B56" s="899">
        <v>0</v>
      </c>
      <c r="C56" s="900">
        <v>1</v>
      </c>
      <c r="D56" s="900">
        <v>0</v>
      </c>
      <c r="E56" s="900">
        <v>0</v>
      </c>
      <c r="F56" s="900">
        <v>0</v>
      </c>
      <c r="G56" s="901">
        <v>1</v>
      </c>
      <c r="H56" s="901">
        <v>2</v>
      </c>
      <c r="I56" s="901">
        <v>4</v>
      </c>
      <c r="J56" s="901">
        <v>3</v>
      </c>
      <c r="K56" s="902">
        <v>1</v>
      </c>
      <c r="L56" s="902">
        <v>0</v>
      </c>
      <c r="M56" s="902">
        <v>0</v>
      </c>
      <c r="N56" s="902">
        <f t="shared" si="0"/>
        <v>1</v>
      </c>
      <c r="O56" s="903">
        <v>1</v>
      </c>
      <c r="P56" s="903">
        <v>0</v>
      </c>
      <c r="Q56" s="903">
        <v>0</v>
      </c>
      <c r="R56" s="903">
        <v>0</v>
      </c>
      <c r="S56" s="903">
        <f t="shared" si="1"/>
        <v>1</v>
      </c>
      <c r="T56" s="904">
        <v>1</v>
      </c>
      <c r="U56" s="905">
        <v>0</v>
      </c>
      <c r="V56" s="905">
        <v>1</v>
      </c>
      <c r="W56" s="905">
        <v>1</v>
      </c>
      <c r="X56" s="905">
        <v>0</v>
      </c>
      <c r="Y56" s="905">
        <v>1</v>
      </c>
      <c r="Z56" s="905">
        <v>1</v>
      </c>
      <c r="AA56" s="905">
        <v>0</v>
      </c>
      <c r="AB56" s="906">
        <v>5</v>
      </c>
      <c r="AC56" s="906">
        <v>4</v>
      </c>
      <c r="AD56" s="906">
        <v>3</v>
      </c>
      <c r="AE56" s="906">
        <v>6</v>
      </c>
      <c r="AF56" s="906">
        <v>1</v>
      </c>
      <c r="AG56" s="906">
        <v>2</v>
      </c>
      <c r="AH56" s="906">
        <v>7</v>
      </c>
      <c r="AI56" s="907">
        <v>2</v>
      </c>
      <c r="AJ56" s="907">
        <v>2</v>
      </c>
      <c r="AK56" s="907">
        <v>2</v>
      </c>
      <c r="AL56" s="907">
        <v>2</v>
      </c>
      <c r="AM56" s="907">
        <v>1</v>
      </c>
      <c r="AN56" s="907">
        <v>2</v>
      </c>
      <c r="AO56" s="907">
        <v>2</v>
      </c>
      <c r="AP56" s="907">
        <v>0</v>
      </c>
      <c r="AQ56" s="907">
        <v>0</v>
      </c>
      <c r="AR56" s="907">
        <v>0</v>
      </c>
      <c r="AS56" s="907">
        <v>0</v>
      </c>
      <c r="AT56" s="907">
        <v>1</v>
      </c>
      <c r="AU56" s="907">
        <v>0</v>
      </c>
    </row>
    <row r="57" spans="1:47" hidden="1">
      <c r="A57" s="898">
        <v>56</v>
      </c>
      <c r="B57" s="899">
        <v>1</v>
      </c>
      <c r="C57" s="900">
        <v>0</v>
      </c>
      <c r="D57" s="900">
        <v>1</v>
      </c>
      <c r="E57" s="900">
        <v>0</v>
      </c>
      <c r="F57" s="900">
        <v>0</v>
      </c>
      <c r="G57" s="901">
        <v>4</v>
      </c>
      <c r="H57" s="901">
        <v>1</v>
      </c>
      <c r="I57" s="901">
        <v>2</v>
      </c>
      <c r="J57" s="901">
        <v>3</v>
      </c>
      <c r="K57" s="902">
        <v>1</v>
      </c>
      <c r="L57" s="902">
        <v>0</v>
      </c>
      <c r="M57" s="902">
        <v>0</v>
      </c>
      <c r="N57" s="902">
        <f t="shared" si="0"/>
        <v>1</v>
      </c>
      <c r="O57" s="903">
        <v>0</v>
      </c>
      <c r="P57" s="903">
        <v>1</v>
      </c>
      <c r="Q57" s="903">
        <v>0</v>
      </c>
      <c r="R57" s="903">
        <v>0</v>
      </c>
      <c r="S57" s="903">
        <f t="shared" si="1"/>
        <v>2</v>
      </c>
      <c r="T57" s="904">
        <v>1</v>
      </c>
      <c r="U57" s="905">
        <v>0</v>
      </c>
      <c r="V57" s="905">
        <v>0</v>
      </c>
      <c r="W57" s="905">
        <v>0</v>
      </c>
      <c r="X57" s="905">
        <v>1</v>
      </c>
      <c r="Y57" s="905">
        <v>0</v>
      </c>
      <c r="Z57" s="905">
        <v>1</v>
      </c>
      <c r="AA57" s="905">
        <v>0</v>
      </c>
      <c r="AB57" s="906">
        <v>6</v>
      </c>
      <c r="AC57" s="906">
        <v>3</v>
      </c>
      <c r="AD57" s="906">
        <v>7</v>
      </c>
      <c r="AE57" s="906">
        <v>4</v>
      </c>
      <c r="AF57" s="906">
        <v>1</v>
      </c>
      <c r="AG57" s="906">
        <v>5</v>
      </c>
      <c r="AH57" s="906">
        <v>2</v>
      </c>
      <c r="AI57" s="907">
        <v>2</v>
      </c>
      <c r="AJ57" s="907">
        <v>2</v>
      </c>
      <c r="AK57" s="907">
        <v>1</v>
      </c>
      <c r="AL57" s="907">
        <v>1</v>
      </c>
      <c r="AM57" s="907">
        <v>2</v>
      </c>
      <c r="AN57" s="907">
        <v>1</v>
      </c>
      <c r="AO57" s="907">
        <v>2</v>
      </c>
      <c r="AP57" s="907">
        <v>0</v>
      </c>
      <c r="AQ57" s="907">
        <v>0</v>
      </c>
      <c r="AR57" s="907">
        <v>0</v>
      </c>
      <c r="AS57" s="907">
        <v>1</v>
      </c>
      <c r="AT57" s="907">
        <v>0</v>
      </c>
      <c r="AU57" s="907">
        <v>0</v>
      </c>
    </row>
    <row r="58" spans="1:47" hidden="1">
      <c r="A58" s="898">
        <v>57</v>
      </c>
      <c r="B58" s="899">
        <v>0</v>
      </c>
      <c r="C58" s="900">
        <v>0</v>
      </c>
      <c r="D58" s="900">
        <v>1</v>
      </c>
      <c r="E58" s="900">
        <v>0</v>
      </c>
      <c r="F58" s="900">
        <v>0</v>
      </c>
      <c r="G58" s="901">
        <v>2</v>
      </c>
      <c r="H58" s="901">
        <v>3</v>
      </c>
      <c r="I58" s="901">
        <v>1</v>
      </c>
      <c r="J58" s="901">
        <v>4</v>
      </c>
      <c r="K58" s="902">
        <v>1</v>
      </c>
      <c r="L58" s="902">
        <v>0</v>
      </c>
      <c r="M58" s="902">
        <v>0</v>
      </c>
      <c r="N58" s="902">
        <f t="shared" si="0"/>
        <v>1</v>
      </c>
      <c r="O58" s="903">
        <v>1</v>
      </c>
      <c r="P58" s="903">
        <v>0</v>
      </c>
      <c r="Q58" s="903">
        <v>0</v>
      </c>
      <c r="R58" s="903">
        <v>0</v>
      </c>
      <c r="S58" s="903">
        <f t="shared" si="1"/>
        <v>1</v>
      </c>
      <c r="T58" s="904">
        <v>1</v>
      </c>
      <c r="U58" s="905">
        <v>0</v>
      </c>
      <c r="V58" s="905">
        <v>1</v>
      </c>
      <c r="W58" s="905">
        <v>1</v>
      </c>
      <c r="X58" s="905">
        <v>0</v>
      </c>
      <c r="Y58" s="905">
        <v>1</v>
      </c>
      <c r="Z58" s="905">
        <v>0</v>
      </c>
      <c r="AA58" s="905">
        <v>0</v>
      </c>
      <c r="AB58" s="906">
        <v>7</v>
      </c>
      <c r="AC58" s="906">
        <v>1</v>
      </c>
      <c r="AD58" s="906">
        <v>6</v>
      </c>
      <c r="AE58" s="906">
        <v>4</v>
      </c>
      <c r="AF58" s="906">
        <v>3</v>
      </c>
      <c r="AG58" s="906">
        <v>5</v>
      </c>
      <c r="AH58" s="906">
        <v>2</v>
      </c>
      <c r="AI58" s="907">
        <v>1</v>
      </c>
      <c r="AJ58" s="907">
        <v>2</v>
      </c>
      <c r="AK58" s="907">
        <v>2</v>
      </c>
      <c r="AL58" s="907">
        <v>2</v>
      </c>
      <c r="AM58" s="907">
        <v>1</v>
      </c>
      <c r="AN58" s="907">
        <v>1</v>
      </c>
      <c r="AO58" s="907">
        <v>1</v>
      </c>
      <c r="AP58" s="907">
        <v>1</v>
      </c>
      <c r="AQ58" s="907">
        <v>0</v>
      </c>
      <c r="AR58" s="907">
        <v>1</v>
      </c>
      <c r="AS58" s="907">
        <v>0</v>
      </c>
      <c r="AT58" s="907">
        <v>1</v>
      </c>
      <c r="AU58" s="907">
        <v>0</v>
      </c>
    </row>
    <row r="59" spans="1:47" hidden="1">
      <c r="A59" s="898">
        <v>58</v>
      </c>
      <c r="B59" s="899">
        <v>0</v>
      </c>
      <c r="C59" s="900">
        <v>1</v>
      </c>
      <c r="D59" s="900">
        <v>0</v>
      </c>
      <c r="E59" s="900">
        <v>0</v>
      </c>
      <c r="F59" s="900">
        <v>0</v>
      </c>
      <c r="G59" s="901">
        <v>3</v>
      </c>
      <c r="H59" s="901">
        <v>2</v>
      </c>
      <c r="I59" s="901">
        <v>4</v>
      </c>
      <c r="J59" s="901">
        <v>1</v>
      </c>
      <c r="K59" s="902">
        <v>1</v>
      </c>
      <c r="L59" s="902">
        <v>0</v>
      </c>
      <c r="M59" s="902">
        <v>0</v>
      </c>
      <c r="N59" s="902">
        <f t="shared" si="0"/>
        <v>1</v>
      </c>
      <c r="O59" s="903">
        <v>1</v>
      </c>
      <c r="P59" s="903">
        <v>0</v>
      </c>
      <c r="Q59" s="903">
        <v>0</v>
      </c>
      <c r="R59" s="903">
        <v>0</v>
      </c>
      <c r="S59" s="903">
        <f t="shared" si="1"/>
        <v>1</v>
      </c>
      <c r="T59" s="904">
        <v>0</v>
      </c>
      <c r="U59" s="905">
        <v>0</v>
      </c>
      <c r="V59" s="905">
        <v>1</v>
      </c>
      <c r="W59" s="905">
        <v>0</v>
      </c>
      <c r="X59" s="905">
        <v>0</v>
      </c>
      <c r="Y59" s="905">
        <v>0</v>
      </c>
      <c r="Z59" s="905">
        <v>0</v>
      </c>
      <c r="AA59" s="905">
        <v>0</v>
      </c>
      <c r="AB59" s="906">
        <v>6</v>
      </c>
      <c r="AC59" s="906">
        <v>5</v>
      </c>
      <c r="AD59" s="906">
        <v>7</v>
      </c>
      <c r="AE59" s="906">
        <v>4</v>
      </c>
      <c r="AF59" s="906">
        <v>1</v>
      </c>
      <c r="AG59" s="906">
        <v>2</v>
      </c>
      <c r="AH59" s="906">
        <v>3</v>
      </c>
      <c r="AI59" s="907">
        <v>2</v>
      </c>
      <c r="AJ59" s="907">
        <v>2</v>
      </c>
      <c r="AK59" s="907">
        <v>3</v>
      </c>
      <c r="AL59" s="907">
        <v>4</v>
      </c>
      <c r="AM59" s="907">
        <v>1</v>
      </c>
      <c r="AN59" s="907">
        <v>1</v>
      </c>
      <c r="AO59" s="907">
        <v>1</v>
      </c>
      <c r="AP59" s="907">
        <v>0</v>
      </c>
      <c r="AQ59" s="907">
        <v>0</v>
      </c>
      <c r="AR59" s="907">
        <v>0</v>
      </c>
      <c r="AS59" s="907">
        <v>1</v>
      </c>
      <c r="AT59" s="907">
        <v>1</v>
      </c>
      <c r="AU59" s="907">
        <v>0</v>
      </c>
    </row>
    <row r="60" spans="1:47" hidden="1">
      <c r="A60" s="898">
        <v>59</v>
      </c>
      <c r="B60" s="899">
        <v>0</v>
      </c>
      <c r="C60" s="900">
        <v>1</v>
      </c>
      <c r="D60" s="900">
        <v>0</v>
      </c>
      <c r="E60" s="900">
        <v>0</v>
      </c>
      <c r="F60" s="900">
        <v>0</v>
      </c>
      <c r="G60" s="901">
        <v>3</v>
      </c>
      <c r="H60" s="901">
        <v>1</v>
      </c>
      <c r="I60" s="901">
        <v>4</v>
      </c>
      <c r="J60" s="901">
        <v>2</v>
      </c>
      <c r="K60" s="902">
        <v>0</v>
      </c>
      <c r="L60" s="902">
        <v>1</v>
      </c>
      <c r="M60" s="902">
        <v>0</v>
      </c>
      <c r="N60" s="902">
        <f t="shared" si="0"/>
        <v>2</v>
      </c>
      <c r="O60" s="903">
        <v>1</v>
      </c>
      <c r="P60" s="903">
        <v>0</v>
      </c>
      <c r="Q60" s="903">
        <v>0</v>
      </c>
      <c r="R60" s="903">
        <v>0</v>
      </c>
      <c r="S60" s="903">
        <f t="shared" si="1"/>
        <v>1</v>
      </c>
      <c r="T60" s="904">
        <v>1</v>
      </c>
      <c r="U60" s="905">
        <v>0</v>
      </c>
      <c r="V60" s="905">
        <v>0</v>
      </c>
      <c r="W60" s="905">
        <v>1</v>
      </c>
      <c r="X60" s="905">
        <v>1</v>
      </c>
      <c r="Y60" s="905">
        <v>1</v>
      </c>
      <c r="Z60" s="905">
        <v>0</v>
      </c>
      <c r="AA60" s="905">
        <v>1</v>
      </c>
      <c r="AB60" s="906">
        <v>4</v>
      </c>
      <c r="AC60" s="906">
        <v>5</v>
      </c>
      <c r="AD60" s="906">
        <v>3</v>
      </c>
      <c r="AE60" s="906">
        <v>7</v>
      </c>
      <c r="AF60" s="906">
        <v>1</v>
      </c>
      <c r="AG60" s="906">
        <v>2</v>
      </c>
      <c r="AH60" s="906">
        <v>6</v>
      </c>
      <c r="AI60" s="907">
        <v>1</v>
      </c>
      <c r="AJ60" s="907">
        <v>1</v>
      </c>
      <c r="AK60" s="907">
        <v>2</v>
      </c>
      <c r="AL60" s="907">
        <v>2</v>
      </c>
      <c r="AM60" s="907">
        <v>1</v>
      </c>
      <c r="AN60" s="907">
        <v>1</v>
      </c>
      <c r="AO60" s="907">
        <v>2</v>
      </c>
      <c r="AP60" s="907">
        <v>0</v>
      </c>
      <c r="AQ60" s="907">
        <v>1</v>
      </c>
      <c r="AR60" s="907">
        <v>0</v>
      </c>
      <c r="AS60" s="907">
        <v>0</v>
      </c>
      <c r="AT60" s="907">
        <v>0</v>
      </c>
      <c r="AU60" s="907">
        <v>1</v>
      </c>
    </row>
    <row r="61" spans="1:47">
      <c r="A61" s="898">
        <v>60</v>
      </c>
      <c r="B61" s="899">
        <v>0</v>
      </c>
      <c r="C61" s="900">
        <v>1</v>
      </c>
      <c r="D61" s="900">
        <v>0</v>
      </c>
      <c r="E61" s="900">
        <v>0</v>
      </c>
      <c r="F61" s="900">
        <v>0</v>
      </c>
      <c r="G61" s="901">
        <v>1</v>
      </c>
      <c r="H61" s="901">
        <v>3</v>
      </c>
      <c r="I61" s="901">
        <v>2</v>
      </c>
      <c r="J61" s="901">
        <v>4</v>
      </c>
      <c r="K61" s="902">
        <v>1</v>
      </c>
      <c r="L61" s="902">
        <v>0</v>
      </c>
      <c r="M61" s="902">
        <v>0</v>
      </c>
      <c r="N61" s="902">
        <f t="shared" si="0"/>
        <v>1</v>
      </c>
      <c r="O61" s="903">
        <v>1</v>
      </c>
      <c r="P61" s="903">
        <v>0</v>
      </c>
      <c r="Q61" s="903">
        <v>0</v>
      </c>
      <c r="R61" s="903">
        <v>0</v>
      </c>
      <c r="S61" s="903">
        <f t="shared" si="1"/>
        <v>1</v>
      </c>
      <c r="T61" s="904">
        <v>1</v>
      </c>
      <c r="U61" s="905">
        <v>0</v>
      </c>
      <c r="V61" s="905">
        <v>0</v>
      </c>
      <c r="W61" s="905">
        <v>0</v>
      </c>
      <c r="X61" s="905">
        <v>1</v>
      </c>
      <c r="Y61" s="905">
        <v>1</v>
      </c>
      <c r="Z61" s="905">
        <v>0</v>
      </c>
      <c r="AA61" s="905">
        <v>1</v>
      </c>
      <c r="AB61" s="906">
        <v>2</v>
      </c>
      <c r="AC61" s="906">
        <v>5</v>
      </c>
      <c r="AD61" s="906">
        <v>1</v>
      </c>
      <c r="AE61" s="906">
        <v>3</v>
      </c>
      <c r="AF61" s="906">
        <v>4</v>
      </c>
      <c r="AG61" s="906">
        <v>6</v>
      </c>
      <c r="AH61" s="906">
        <v>7</v>
      </c>
      <c r="AI61" s="907">
        <v>1</v>
      </c>
      <c r="AJ61" s="907">
        <v>2</v>
      </c>
      <c r="AK61" s="907">
        <v>2</v>
      </c>
      <c r="AL61" s="907">
        <v>2</v>
      </c>
      <c r="AM61" s="907">
        <v>1</v>
      </c>
      <c r="AN61" s="907">
        <v>2</v>
      </c>
      <c r="AO61" s="907">
        <v>2</v>
      </c>
      <c r="AP61" s="907">
        <v>0</v>
      </c>
      <c r="AQ61" s="907">
        <v>0</v>
      </c>
      <c r="AR61" s="907">
        <v>1</v>
      </c>
      <c r="AS61" s="907">
        <v>0</v>
      </c>
      <c r="AT61" s="907">
        <v>1</v>
      </c>
      <c r="AU61" s="907">
        <v>0</v>
      </c>
    </row>
    <row r="62" spans="1:47" hidden="1">
      <c r="A62" s="898">
        <v>61</v>
      </c>
      <c r="B62" s="899">
        <v>1</v>
      </c>
      <c r="C62" s="900">
        <v>0</v>
      </c>
      <c r="D62" s="900">
        <v>1</v>
      </c>
      <c r="E62" s="900">
        <v>0</v>
      </c>
      <c r="F62" s="900">
        <v>0</v>
      </c>
      <c r="G62" s="901">
        <v>1</v>
      </c>
      <c r="H62" s="901">
        <v>3</v>
      </c>
      <c r="I62" s="901">
        <v>4</v>
      </c>
      <c r="J62" s="901">
        <v>2</v>
      </c>
      <c r="K62" s="902">
        <v>0</v>
      </c>
      <c r="L62" s="902">
        <v>1</v>
      </c>
      <c r="M62" s="902">
        <v>0</v>
      </c>
      <c r="N62" s="902">
        <f t="shared" si="0"/>
        <v>2</v>
      </c>
      <c r="O62" s="903">
        <v>2</v>
      </c>
      <c r="P62" s="903">
        <v>0</v>
      </c>
      <c r="Q62" s="903">
        <v>0</v>
      </c>
      <c r="R62" s="903">
        <v>0</v>
      </c>
      <c r="S62" s="903">
        <f t="shared" si="1"/>
        <v>2</v>
      </c>
      <c r="T62" s="904">
        <v>1</v>
      </c>
      <c r="U62" s="905">
        <v>0</v>
      </c>
      <c r="V62" s="905">
        <v>0</v>
      </c>
      <c r="W62" s="905">
        <v>0</v>
      </c>
      <c r="X62" s="905">
        <v>0</v>
      </c>
      <c r="Y62" s="905">
        <v>0</v>
      </c>
      <c r="Z62" s="905">
        <v>1</v>
      </c>
      <c r="AA62" s="905">
        <v>0</v>
      </c>
      <c r="AB62" s="906">
        <v>5</v>
      </c>
      <c r="AC62" s="906">
        <v>6</v>
      </c>
      <c r="AD62" s="906">
        <v>1</v>
      </c>
      <c r="AE62" s="906">
        <v>4</v>
      </c>
      <c r="AF62" s="906">
        <v>7</v>
      </c>
      <c r="AG62" s="906">
        <v>2</v>
      </c>
      <c r="AH62" s="906">
        <v>3</v>
      </c>
      <c r="AI62" s="907">
        <v>1</v>
      </c>
      <c r="AJ62" s="907">
        <v>1</v>
      </c>
      <c r="AK62" s="907">
        <v>1</v>
      </c>
      <c r="AL62" s="907">
        <v>1</v>
      </c>
      <c r="AM62" s="907">
        <v>1</v>
      </c>
      <c r="AN62" s="907">
        <v>1</v>
      </c>
      <c r="AO62" s="907">
        <v>1</v>
      </c>
      <c r="AP62" s="907">
        <v>0</v>
      </c>
      <c r="AQ62" s="907">
        <v>0</v>
      </c>
      <c r="AR62" s="907">
        <v>0</v>
      </c>
      <c r="AS62" s="907">
        <v>0</v>
      </c>
      <c r="AT62" s="907">
        <v>1</v>
      </c>
      <c r="AU62" s="907">
        <v>0</v>
      </c>
    </row>
    <row r="63" spans="1:47" hidden="1">
      <c r="A63" s="898">
        <v>62</v>
      </c>
      <c r="B63" s="899">
        <v>1</v>
      </c>
      <c r="C63" s="900">
        <v>1</v>
      </c>
      <c r="D63" s="900">
        <v>0</v>
      </c>
      <c r="E63" s="900">
        <v>0</v>
      </c>
      <c r="F63" s="900">
        <v>0</v>
      </c>
      <c r="G63" s="901">
        <v>2</v>
      </c>
      <c r="H63" s="901">
        <v>4</v>
      </c>
      <c r="I63" s="901">
        <v>3</v>
      </c>
      <c r="J63" s="901">
        <v>1</v>
      </c>
      <c r="K63" s="902">
        <v>1</v>
      </c>
      <c r="L63" s="902">
        <v>0</v>
      </c>
      <c r="M63" s="902">
        <v>0</v>
      </c>
      <c r="N63" s="902">
        <f t="shared" si="0"/>
        <v>1</v>
      </c>
      <c r="O63" s="903">
        <v>1</v>
      </c>
      <c r="P63" s="903">
        <v>0</v>
      </c>
      <c r="Q63" s="903">
        <v>0</v>
      </c>
      <c r="R63" s="903">
        <v>0</v>
      </c>
      <c r="S63" s="903">
        <f t="shared" si="1"/>
        <v>1</v>
      </c>
      <c r="T63" s="904">
        <v>1</v>
      </c>
      <c r="U63" s="905">
        <v>1</v>
      </c>
      <c r="V63" s="905">
        <v>1</v>
      </c>
      <c r="W63" s="905">
        <v>1</v>
      </c>
      <c r="X63" s="905">
        <v>1</v>
      </c>
      <c r="Y63" s="905">
        <v>1</v>
      </c>
      <c r="Z63" s="905">
        <v>0</v>
      </c>
      <c r="AA63" s="905">
        <v>0</v>
      </c>
      <c r="AB63" s="906">
        <v>6</v>
      </c>
      <c r="AC63" s="906">
        <v>1</v>
      </c>
      <c r="AD63" s="906">
        <v>2</v>
      </c>
      <c r="AE63" s="906">
        <v>3</v>
      </c>
      <c r="AF63" s="906">
        <v>7</v>
      </c>
      <c r="AG63" s="906">
        <v>4</v>
      </c>
      <c r="AH63" s="906">
        <v>5</v>
      </c>
      <c r="AI63" s="907">
        <v>2</v>
      </c>
      <c r="AJ63" s="907">
        <v>2</v>
      </c>
      <c r="AK63" s="907">
        <v>2</v>
      </c>
      <c r="AL63" s="907">
        <v>1</v>
      </c>
      <c r="AM63" s="907">
        <v>2</v>
      </c>
      <c r="AN63" s="907">
        <v>1</v>
      </c>
      <c r="AO63" s="907">
        <v>1</v>
      </c>
      <c r="AP63" s="907">
        <v>1</v>
      </c>
      <c r="AQ63" s="907">
        <v>0</v>
      </c>
      <c r="AR63" s="907">
        <v>1</v>
      </c>
      <c r="AS63" s="907">
        <v>1</v>
      </c>
      <c r="AT63" s="907">
        <v>0</v>
      </c>
      <c r="AU63" s="907">
        <v>0</v>
      </c>
    </row>
    <row r="64" spans="1:47" hidden="1">
      <c r="A64" s="898">
        <v>63</v>
      </c>
      <c r="B64" s="899">
        <v>0</v>
      </c>
      <c r="C64" s="900">
        <v>0</v>
      </c>
      <c r="D64" s="900">
        <v>1</v>
      </c>
      <c r="E64" s="900">
        <v>0</v>
      </c>
      <c r="F64" s="900">
        <v>0</v>
      </c>
      <c r="G64" s="901">
        <v>1</v>
      </c>
      <c r="H64" s="901">
        <v>4</v>
      </c>
      <c r="I64" s="901">
        <v>2</v>
      </c>
      <c r="J64" s="901">
        <v>3</v>
      </c>
      <c r="K64" s="902">
        <v>1</v>
      </c>
      <c r="L64" s="902">
        <v>0</v>
      </c>
      <c r="M64" s="902">
        <v>0</v>
      </c>
      <c r="N64" s="902">
        <f t="shared" si="0"/>
        <v>1</v>
      </c>
      <c r="O64" s="903">
        <v>1</v>
      </c>
      <c r="P64" s="903">
        <v>0</v>
      </c>
      <c r="Q64" s="903">
        <v>0</v>
      </c>
      <c r="R64" s="903">
        <v>0</v>
      </c>
      <c r="S64" s="903">
        <f t="shared" si="1"/>
        <v>1</v>
      </c>
      <c r="T64" s="904">
        <v>1</v>
      </c>
      <c r="U64" s="905">
        <v>0</v>
      </c>
      <c r="V64" s="905">
        <v>0</v>
      </c>
      <c r="W64" s="905">
        <v>0</v>
      </c>
      <c r="X64" s="905">
        <v>0</v>
      </c>
      <c r="Y64" s="905">
        <v>1</v>
      </c>
      <c r="Z64" s="905">
        <v>0</v>
      </c>
      <c r="AA64" s="905">
        <v>0</v>
      </c>
      <c r="AB64" s="906">
        <v>6</v>
      </c>
      <c r="AC64" s="906">
        <v>2</v>
      </c>
      <c r="AD64" s="906">
        <v>7</v>
      </c>
      <c r="AE64" s="906">
        <v>5</v>
      </c>
      <c r="AF64" s="906">
        <v>1</v>
      </c>
      <c r="AG64" s="906">
        <v>4</v>
      </c>
      <c r="AH64" s="906">
        <v>3</v>
      </c>
      <c r="AI64" s="907">
        <v>2</v>
      </c>
      <c r="AJ64" s="907">
        <v>1</v>
      </c>
      <c r="AK64" s="907">
        <v>1</v>
      </c>
      <c r="AL64" s="907">
        <v>1</v>
      </c>
      <c r="AM64" s="907">
        <v>1</v>
      </c>
      <c r="AN64" s="907">
        <v>1</v>
      </c>
      <c r="AO64" s="907">
        <v>2</v>
      </c>
      <c r="AP64" s="907">
        <v>0</v>
      </c>
      <c r="AQ64" s="907">
        <v>1</v>
      </c>
      <c r="AR64" s="907">
        <v>0</v>
      </c>
      <c r="AS64" s="907">
        <v>0</v>
      </c>
      <c r="AT64" s="907">
        <v>0</v>
      </c>
      <c r="AU64" s="907">
        <v>0</v>
      </c>
    </row>
    <row r="65" spans="1:47" hidden="1">
      <c r="A65" s="898">
        <v>64</v>
      </c>
      <c r="B65" s="899">
        <v>1</v>
      </c>
      <c r="C65" s="900">
        <v>0</v>
      </c>
      <c r="D65" s="900">
        <v>1</v>
      </c>
      <c r="E65" s="900">
        <v>0</v>
      </c>
      <c r="F65" s="900">
        <v>0</v>
      </c>
      <c r="G65" s="901">
        <v>1</v>
      </c>
      <c r="H65" s="901">
        <v>2</v>
      </c>
      <c r="I65" s="901">
        <v>3</v>
      </c>
      <c r="J65" s="901">
        <v>4</v>
      </c>
      <c r="K65" s="902">
        <v>1</v>
      </c>
      <c r="L65" s="902">
        <v>0</v>
      </c>
      <c r="M65" s="902">
        <v>0</v>
      </c>
      <c r="N65" s="902">
        <f t="shared" si="0"/>
        <v>1</v>
      </c>
      <c r="O65" s="903">
        <v>1</v>
      </c>
      <c r="P65" s="903">
        <v>0</v>
      </c>
      <c r="Q65" s="903">
        <v>0</v>
      </c>
      <c r="R65" s="903">
        <v>0</v>
      </c>
      <c r="S65" s="903">
        <f t="shared" si="1"/>
        <v>1</v>
      </c>
      <c r="T65" s="904">
        <v>1</v>
      </c>
      <c r="U65" s="905">
        <v>0</v>
      </c>
      <c r="V65" s="905">
        <v>1</v>
      </c>
      <c r="W65" s="905">
        <v>0</v>
      </c>
      <c r="X65" s="905">
        <v>0</v>
      </c>
      <c r="Y65" s="905">
        <v>0</v>
      </c>
      <c r="Z65" s="905">
        <v>0</v>
      </c>
      <c r="AA65" s="905">
        <v>0</v>
      </c>
      <c r="AB65" s="906">
        <v>5</v>
      </c>
      <c r="AC65" s="906">
        <v>3</v>
      </c>
      <c r="AD65" s="906">
        <v>2</v>
      </c>
      <c r="AE65" s="906">
        <v>4</v>
      </c>
      <c r="AF65" s="906">
        <v>1</v>
      </c>
      <c r="AG65" s="906">
        <v>7</v>
      </c>
      <c r="AH65" s="906">
        <v>6</v>
      </c>
      <c r="AI65" s="907">
        <v>1</v>
      </c>
      <c r="AJ65" s="907">
        <v>4</v>
      </c>
      <c r="AK65" s="907">
        <v>1</v>
      </c>
      <c r="AL65" s="907">
        <v>1</v>
      </c>
      <c r="AM65" s="907">
        <v>1</v>
      </c>
      <c r="AN65" s="907">
        <v>1</v>
      </c>
      <c r="AO65" s="907">
        <v>1</v>
      </c>
      <c r="AP65" s="907">
        <v>0</v>
      </c>
      <c r="AQ65" s="907">
        <v>0</v>
      </c>
      <c r="AR65" s="907">
        <v>0</v>
      </c>
      <c r="AS65" s="907">
        <v>1</v>
      </c>
      <c r="AT65" s="907">
        <v>0</v>
      </c>
      <c r="AU65" s="907">
        <v>0</v>
      </c>
    </row>
    <row r="66" spans="1:47">
      <c r="A66" s="898">
        <v>65</v>
      </c>
      <c r="B66" s="899">
        <v>0</v>
      </c>
      <c r="C66" s="900">
        <v>0</v>
      </c>
      <c r="D66" s="900">
        <v>1</v>
      </c>
      <c r="E66" s="900">
        <v>0</v>
      </c>
      <c r="F66" s="900">
        <v>0</v>
      </c>
      <c r="G66" s="901">
        <v>2</v>
      </c>
      <c r="H66" s="901">
        <v>4</v>
      </c>
      <c r="I66" s="901">
        <v>3</v>
      </c>
      <c r="J66" s="901">
        <v>1</v>
      </c>
      <c r="K66" s="902">
        <v>1</v>
      </c>
      <c r="L66" s="902">
        <v>0</v>
      </c>
      <c r="M66" s="902">
        <v>0</v>
      </c>
      <c r="N66" s="902">
        <f t="shared" ref="N66:N129" si="2">+(K66*1)+(L66*2)+(M66*3)</f>
        <v>1</v>
      </c>
      <c r="O66" s="903">
        <v>1</v>
      </c>
      <c r="P66" s="903">
        <v>0</v>
      </c>
      <c r="Q66" s="903">
        <v>0</v>
      </c>
      <c r="R66" s="903">
        <v>0</v>
      </c>
      <c r="S66" s="903">
        <f t="shared" si="1"/>
        <v>1</v>
      </c>
      <c r="T66" s="904">
        <v>1</v>
      </c>
      <c r="U66" s="905">
        <v>0</v>
      </c>
      <c r="V66" s="905">
        <v>0</v>
      </c>
      <c r="W66" s="905">
        <v>1</v>
      </c>
      <c r="X66" s="905">
        <v>0</v>
      </c>
      <c r="Y66" s="905">
        <v>1</v>
      </c>
      <c r="Z66" s="905">
        <v>0</v>
      </c>
      <c r="AA66" s="905">
        <v>0</v>
      </c>
      <c r="AB66" s="906">
        <v>3</v>
      </c>
      <c r="AC66" s="906">
        <v>2</v>
      </c>
      <c r="AD66" s="906">
        <v>6</v>
      </c>
      <c r="AE66" s="906">
        <v>5</v>
      </c>
      <c r="AF66" s="906">
        <v>4</v>
      </c>
      <c r="AG66" s="906">
        <v>1</v>
      </c>
      <c r="AH66" s="906">
        <v>7</v>
      </c>
      <c r="AI66" s="907">
        <v>2</v>
      </c>
      <c r="AJ66" s="907">
        <v>2</v>
      </c>
      <c r="AK66" s="907">
        <v>3</v>
      </c>
      <c r="AL66" s="907">
        <v>3</v>
      </c>
      <c r="AM66" s="907">
        <v>1</v>
      </c>
      <c r="AN66" s="907">
        <v>1</v>
      </c>
      <c r="AO66" s="907">
        <v>4</v>
      </c>
      <c r="AP66" s="907">
        <v>0</v>
      </c>
      <c r="AQ66" s="907">
        <v>0</v>
      </c>
      <c r="AR66" s="907">
        <v>0</v>
      </c>
      <c r="AS66" s="907">
        <v>1</v>
      </c>
      <c r="AT66" s="907">
        <v>0</v>
      </c>
      <c r="AU66" s="907">
        <v>0</v>
      </c>
    </row>
    <row r="67" spans="1:47" hidden="1">
      <c r="A67" s="898">
        <v>66</v>
      </c>
      <c r="B67" s="899">
        <v>1</v>
      </c>
      <c r="C67" s="900">
        <v>0</v>
      </c>
      <c r="D67" s="900">
        <v>0</v>
      </c>
      <c r="E67" s="900">
        <v>0</v>
      </c>
      <c r="F67" s="900">
        <v>1</v>
      </c>
      <c r="G67" s="901">
        <v>4</v>
      </c>
      <c r="H67" s="901">
        <v>1</v>
      </c>
      <c r="I67" s="901">
        <v>3</v>
      </c>
      <c r="J67" s="901">
        <v>2</v>
      </c>
      <c r="K67" s="902">
        <v>0</v>
      </c>
      <c r="L67" s="902">
        <v>1</v>
      </c>
      <c r="M67" s="902">
        <v>0</v>
      </c>
      <c r="N67" s="902">
        <f t="shared" si="2"/>
        <v>2</v>
      </c>
      <c r="O67" s="903">
        <v>1</v>
      </c>
      <c r="P67" s="903">
        <v>0</v>
      </c>
      <c r="Q67" s="903">
        <v>0</v>
      </c>
      <c r="R67" s="903">
        <v>0</v>
      </c>
      <c r="S67" s="903">
        <f t="shared" ref="S67:S130" si="3">+(O67*1)+(P67*2)+(Q67*3)+(R67*4)</f>
        <v>1</v>
      </c>
      <c r="T67" s="904">
        <v>1</v>
      </c>
      <c r="U67" s="905">
        <v>0</v>
      </c>
      <c r="V67" s="905">
        <v>0</v>
      </c>
      <c r="W67" s="905">
        <v>1</v>
      </c>
      <c r="X67" s="905">
        <v>0</v>
      </c>
      <c r="Y67" s="905">
        <v>0</v>
      </c>
      <c r="Z67" s="905">
        <v>0</v>
      </c>
      <c r="AA67" s="905">
        <v>0</v>
      </c>
      <c r="AB67" s="906">
        <v>3</v>
      </c>
      <c r="AC67" s="906">
        <v>1</v>
      </c>
      <c r="AD67" s="906">
        <v>6</v>
      </c>
      <c r="AE67" s="906">
        <v>5</v>
      </c>
      <c r="AF67" s="906">
        <v>7</v>
      </c>
      <c r="AG67" s="906">
        <v>2</v>
      </c>
      <c r="AH67" s="906">
        <v>4</v>
      </c>
      <c r="AI67" s="907">
        <v>1</v>
      </c>
      <c r="AJ67" s="907">
        <v>2</v>
      </c>
      <c r="AK67" s="907">
        <v>1</v>
      </c>
      <c r="AL67" s="907">
        <v>1</v>
      </c>
      <c r="AM67" s="907">
        <v>2</v>
      </c>
      <c r="AN67" s="907">
        <v>1</v>
      </c>
      <c r="AO67" s="907">
        <v>1</v>
      </c>
      <c r="AP67" s="907">
        <v>0</v>
      </c>
      <c r="AQ67" s="907">
        <v>0</v>
      </c>
      <c r="AR67" s="907">
        <v>0</v>
      </c>
      <c r="AS67" s="907">
        <v>1</v>
      </c>
      <c r="AT67" s="907">
        <v>0</v>
      </c>
      <c r="AU67" s="907">
        <v>1</v>
      </c>
    </row>
    <row r="68" spans="1:47">
      <c r="A68" s="898">
        <v>67</v>
      </c>
      <c r="B68" s="899">
        <v>0</v>
      </c>
      <c r="C68" s="900">
        <v>0</v>
      </c>
      <c r="D68" s="900">
        <v>1</v>
      </c>
      <c r="E68" s="900">
        <v>0</v>
      </c>
      <c r="F68" s="900">
        <v>0</v>
      </c>
      <c r="G68" s="901">
        <v>1</v>
      </c>
      <c r="H68" s="901">
        <v>3</v>
      </c>
      <c r="I68" s="901">
        <v>4</v>
      </c>
      <c r="J68" s="901">
        <v>2</v>
      </c>
      <c r="K68" s="902">
        <v>1</v>
      </c>
      <c r="L68" s="902">
        <v>0</v>
      </c>
      <c r="M68" s="902">
        <v>0</v>
      </c>
      <c r="N68" s="902">
        <f t="shared" si="2"/>
        <v>1</v>
      </c>
      <c r="O68" s="903">
        <v>0</v>
      </c>
      <c r="P68" s="903">
        <v>0</v>
      </c>
      <c r="Q68" s="903">
        <v>1</v>
      </c>
      <c r="R68" s="903">
        <v>0</v>
      </c>
      <c r="S68" s="903">
        <f t="shared" si="3"/>
        <v>3</v>
      </c>
      <c r="T68" s="904">
        <v>1</v>
      </c>
      <c r="U68" s="905">
        <v>0</v>
      </c>
      <c r="V68" s="905">
        <v>0</v>
      </c>
      <c r="W68" s="905">
        <v>0</v>
      </c>
      <c r="X68" s="905">
        <v>0</v>
      </c>
      <c r="Y68" s="905">
        <v>1</v>
      </c>
      <c r="Z68" s="905">
        <v>0</v>
      </c>
      <c r="AA68" s="905">
        <v>0</v>
      </c>
      <c r="AB68" s="906">
        <v>3</v>
      </c>
      <c r="AC68" s="906">
        <v>7</v>
      </c>
      <c r="AD68" s="906">
        <v>5</v>
      </c>
      <c r="AE68" s="906">
        <v>2</v>
      </c>
      <c r="AF68" s="906">
        <v>4</v>
      </c>
      <c r="AG68" s="906">
        <v>1</v>
      </c>
      <c r="AH68" s="906">
        <v>6</v>
      </c>
      <c r="AI68" s="907">
        <v>2</v>
      </c>
      <c r="AJ68" s="907">
        <v>2</v>
      </c>
      <c r="AK68" s="907">
        <v>1</v>
      </c>
      <c r="AL68" s="907">
        <v>3</v>
      </c>
      <c r="AM68" s="907">
        <v>1</v>
      </c>
      <c r="AN68" s="907">
        <v>1</v>
      </c>
      <c r="AO68" s="907">
        <v>1</v>
      </c>
      <c r="AP68" s="907">
        <v>0</v>
      </c>
      <c r="AQ68" s="907">
        <v>0</v>
      </c>
      <c r="AR68" s="907">
        <v>1</v>
      </c>
      <c r="AS68" s="907">
        <v>0</v>
      </c>
      <c r="AT68" s="907">
        <v>0</v>
      </c>
      <c r="AU68" s="907">
        <v>0</v>
      </c>
    </row>
    <row r="69" spans="1:47">
      <c r="A69" s="898">
        <v>68</v>
      </c>
      <c r="B69" s="899">
        <v>1</v>
      </c>
      <c r="C69" s="900">
        <v>0</v>
      </c>
      <c r="D69" s="900">
        <v>1</v>
      </c>
      <c r="E69" s="900">
        <v>0</v>
      </c>
      <c r="F69" s="900">
        <v>0</v>
      </c>
      <c r="G69" s="901">
        <v>2</v>
      </c>
      <c r="H69" s="901">
        <v>1</v>
      </c>
      <c r="I69" s="901">
        <v>3</v>
      </c>
      <c r="J69" s="901">
        <v>4</v>
      </c>
      <c r="K69" s="902">
        <v>0</v>
      </c>
      <c r="L69" s="902">
        <v>1</v>
      </c>
      <c r="M69" s="902">
        <v>0</v>
      </c>
      <c r="N69" s="902">
        <f t="shared" si="2"/>
        <v>2</v>
      </c>
      <c r="O69" s="903">
        <v>1</v>
      </c>
      <c r="P69" s="903">
        <v>0</v>
      </c>
      <c r="Q69" s="903">
        <v>0</v>
      </c>
      <c r="R69" s="903">
        <v>0</v>
      </c>
      <c r="S69" s="903">
        <f t="shared" si="3"/>
        <v>1</v>
      </c>
      <c r="T69" s="904">
        <v>1</v>
      </c>
      <c r="U69" s="905">
        <v>0</v>
      </c>
      <c r="V69" s="905"/>
      <c r="W69" s="905">
        <v>1</v>
      </c>
      <c r="X69" s="905">
        <v>0</v>
      </c>
      <c r="Y69" s="905">
        <v>0</v>
      </c>
      <c r="Z69" s="905">
        <v>0</v>
      </c>
      <c r="AA69" s="905">
        <v>0</v>
      </c>
      <c r="AB69" s="906">
        <v>5</v>
      </c>
      <c r="AC69" s="906">
        <v>7</v>
      </c>
      <c r="AD69" s="906">
        <v>1</v>
      </c>
      <c r="AE69" s="906">
        <v>2</v>
      </c>
      <c r="AF69" s="906">
        <v>4</v>
      </c>
      <c r="AG69" s="906">
        <v>3</v>
      </c>
      <c r="AH69" s="906">
        <v>6</v>
      </c>
      <c r="AI69" s="907">
        <v>2</v>
      </c>
      <c r="AJ69" s="907">
        <v>2</v>
      </c>
      <c r="AK69" s="907">
        <v>1</v>
      </c>
      <c r="AL69" s="907">
        <v>1</v>
      </c>
      <c r="AM69" s="907">
        <v>2</v>
      </c>
      <c r="AN69" s="907">
        <v>1</v>
      </c>
      <c r="AO69" s="907">
        <v>2</v>
      </c>
      <c r="AP69" s="907">
        <v>0</v>
      </c>
      <c r="AQ69" s="907">
        <v>0</v>
      </c>
      <c r="AR69" s="907">
        <v>0</v>
      </c>
      <c r="AS69" s="907">
        <v>0</v>
      </c>
      <c r="AT69" s="907">
        <v>0</v>
      </c>
      <c r="AU69" s="907">
        <v>1</v>
      </c>
    </row>
    <row r="70" spans="1:47" hidden="1">
      <c r="A70" s="898">
        <v>69</v>
      </c>
      <c r="B70" s="899">
        <v>1</v>
      </c>
      <c r="C70" s="900">
        <v>0</v>
      </c>
      <c r="D70" s="900">
        <v>0</v>
      </c>
      <c r="E70" s="900">
        <v>0</v>
      </c>
      <c r="F70" s="900">
        <v>1</v>
      </c>
      <c r="G70" s="901">
        <v>2</v>
      </c>
      <c r="H70" s="901">
        <v>3</v>
      </c>
      <c r="I70" s="901">
        <v>4</v>
      </c>
      <c r="J70" s="901">
        <v>1</v>
      </c>
      <c r="K70" s="902">
        <v>0</v>
      </c>
      <c r="L70" s="902">
        <v>0</v>
      </c>
      <c r="M70" s="902">
        <v>1</v>
      </c>
      <c r="N70" s="902">
        <f t="shared" si="2"/>
        <v>3</v>
      </c>
      <c r="O70" s="908">
        <v>1</v>
      </c>
      <c r="P70" s="908">
        <v>0</v>
      </c>
      <c r="Q70" s="908">
        <v>0</v>
      </c>
      <c r="R70" s="908">
        <v>0</v>
      </c>
      <c r="S70" s="903">
        <f t="shared" si="3"/>
        <v>1</v>
      </c>
      <c r="T70" s="904">
        <v>1</v>
      </c>
      <c r="U70" s="905">
        <v>0</v>
      </c>
      <c r="V70" s="905">
        <v>0</v>
      </c>
      <c r="W70" s="905">
        <v>1</v>
      </c>
      <c r="X70" s="905">
        <v>0</v>
      </c>
      <c r="Y70" s="905">
        <v>0</v>
      </c>
      <c r="Z70" s="905">
        <v>0</v>
      </c>
      <c r="AA70" s="905">
        <v>1</v>
      </c>
      <c r="AB70" s="906">
        <v>1</v>
      </c>
      <c r="AC70" s="906">
        <v>3</v>
      </c>
      <c r="AD70" s="906">
        <v>2</v>
      </c>
      <c r="AE70" s="906">
        <v>4</v>
      </c>
      <c r="AF70" s="906">
        <v>5</v>
      </c>
      <c r="AG70" s="906">
        <v>6</v>
      </c>
      <c r="AH70" s="906">
        <v>7</v>
      </c>
      <c r="AI70" s="907">
        <v>2</v>
      </c>
      <c r="AJ70" s="907">
        <v>1</v>
      </c>
      <c r="AK70" s="907">
        <v>1</v>
      </c>
      <c r="AL70" s="907">
        <v>2</v>
      </c>
      <c r="AM70" s="907">
        <v>2</v>
      </c>
      <c r="AN70" s="907">
        <v>2</v>
      </c>
      <c r="AO70" s="907">
        <v>0</v>
      </c>
      <c r="AP70" s="907">
        <v>0</v>
      </c>
      <c r="AQ70" s="907">
        <v>0</v>
      </c>
      <c r="AR70" s="907">
        <v>0</v>
      </c>
      <c r="AS70" s="907">
        <v>1</v>
      </c>
      <c r="AT70" s="907">
        <v>0</v>
      </c>
      <c r="AU70" s="907">
        <v>0</v>
      </c>
    </row>
    <row r="71" spans="1:47" hidden="1">
      <c r="A71" s="898">
        <v>70</v>
      </c>
      <c r="B71" s="899">
        <v>0</v>
      </c>
      <c r="C71" s="900">
        <v>0</v>
      </c>
      <c r="D71" s="900">
        <v>0</v>
      </c>
      <c r="E71" s="900">
        <v>1</v>
      </c>
      <c r="F71" s="900">
        <v>0</v>
      </c>
      <c r="G71" s="901">
        <v>4</v>
      </c>
      <c r="H71" s="901">
        <v>2</v>
      </c>
      <c r="I71" s="901">
        <v>3</v>
      </c>
      <c r="J71" s="901">
        <v>1</v>
      </c>
      <c r="K71" s="902">
        <v>0</v>
      </c>
      <c r="L71" s="902">
        <v>1</v>
      </c>
      <c r="M71" s="902">
        <v>0</v>
      </c>
      <c r="N71" s="902">
        <f t="shared" si="2"/>
        <v>2</v>
      </c>
      <c r="O71" s="903">
        <v>1</v>
      </c>
      <c r="P71" s="903">
        <v>0</v>
      </c>
      <c r="Q71" s="903">
        <v>0</v>
      </c>
      <c r="R71" s="903">
        <v>0</v>
      </c>
      <c r="S71" s="903">
        <f t="shared" si="3"/>
        <v>1</v>
      </c>
      <c r="T71" s="904">
        <v>1</v>
      </c>
      <c r="U71" s="905">
        <v>0</v>
      </c>
      <c r="V71" s="905">
        <v>0</v>
      </c>
      <c r="W71" s="905">
        <v>1</v>
      </c>
      <c r="X71" s="905">
        <v>0</v>
      </c>
      <c r="Y71" s="905">
        <v>0</v>
      </c>
      <c r="Z71" s="905">
        <v>0</v>
      </c>
      <c r="AA71" s="905">
        <v>0</v>
      </c>
      <c r="AB71" s="906">
        <v>5</v>
      </c>
      <c r="AC71" s="906">
        <v>7</v>
      </c>
      <c r="AD71" s="906">
        <v>3</v>
      </c>
      <c r="AE71" s="906">
        <v>4</v>
      </c>
      <c r="AF71" s="906">
        <v>1</v>
      </c>
      <c r="AG71" s="906">
        <v>2</v>
      </c>
      <c r="AH71" s="906">
        <v>6</v>
      </c>
      <c r="AI71" s="907">
        <v>2</v>
      </c>
      <c r="AJ71" s="907">
        <v>2</v>
      </c>
      <c r="AK71" s="907">
        <v>2</v>
      </c>
      <c r="AL71" s="907">
        <v>1</v>
      </c>
      <c r="AM71" s="907">
        <v>1</v>
      </c>
      <c r="AN71" s="907">
        <v>1</v>
      </c>
      <c r="AO71" s="907">
        <v>1</v>
      </c>
      <c r="AP71" s="907">
        <v>0</v>
      </c>
      <c r="AQ71" s="907">
        <v>0</v>
      </c>
      <c r="AR71" s="907">
        <v>0</v>
      </c>
      <c r="AS71" s="907">
        <v>1</v>
      </c>
      <c r="AT71" s="907">
        <v>1</v>
      </c>
      <c r="AU71" s="907">
        <v>0</v>
      </c>
    </row>
    <row r="72" spans="1:47" hidden="1">
      <c r="A72" s="898">
        <v>71</v>
      </c>
      <c r="B72" s="899">
        <v>1</v>
      </c>
      <c r="C72" s="900">
        <v>0</v>
      </c>
      <c r="D72" s="900">
        <v>1</v>
      </c>
      <c r="E72" s="900">
        <v>0</v>
      </c>
      <c r="F72" s="900">
        <v>0</v>
      </c>
      <c r="G72" s="901">
        <v>3</v>
      </c>
      <c r="H72" s="901">
        <v>2</v>
      </c>
      <c r="I72" s="901">
        <v>4</v>
      </c>
      <c r="J72" s="901">
        <v>1</v>
      </c>
      <c r="K72" s="902">
        <v>1</v>
      </c>
      <c r="L72" s="902">
        <v>0</v>
      </c>
      <c r="M72" s="902">
        <v>0</v>
      </c>
      <c r="N72" s="902">
        <f t="shared" si="2"/>
        <v>1</v>
      </c>
      <c r="O72" s="903">
        <v>1</v>
      </c>
      <c r="P72" s="903">
        <v>0</v>
      </c>
      <c r="Q72" s="903">
        <v>0</v>
      </c>
      <c r="R72" s="903">
        <v>0</v>
      </c>
      <c r="S72" s="903">
        <f t="shared" si="3"/>
        <v>1</v>
      </c>
      <c r="T72" s="904">
        <v>1</v>
      </c>
      <c r="U72" s="905">
        <v>0</v>
      </c>
      <c r="V72" s="905">
        <v>0</v>
      </c>
      <c r="W72" s="905">
        <v>0</v>
      </c>
      <c r="X72" s="905">
        <v>0</v>
      </c>
      <c r="Y72" s="905">
        <v>0</v>
      </c>
      <c r="Z72" s="905">
        <v>1</v>
      </c>
      <c r="AA72" s="905">
        <v>1</v>
      </c>
      <c r="AB72" s="906">
        <v>7</v>
      </c>
      <c r="AC72" s="906">
        <v>5</v>
      </c>
      <c r="AD72" s="906">
        <v>3</v>
      </c>
      <c r="AE72" s="906">
        <v>2</v>
      </c>
      <c r="AF72" s="906">
        <v>6</v>
      </c>
      <c r="AG72" s="906">
        <v>1</v>
      </c>
      <c r="AH72" s="906">
        <v>4</v>
      </c>
      <c r="AI72" s="907">
        <v>2</v>
      </c>
      <c r="AJ72" s="907">
        <v>2</v>
      </c>
      <c r="AK72" s="907">
        <v>1</v>
      </c>
      <c r="AL72" s="907">
        <v>1</v>
      </c>
      <c r="AM72" s="907">
        <v>1</v>
      </c>
      <c r="AN72" s="907">
        <v>1</v>
      </c>
      <c r="AO72" s="907">
        <v>3</v>
      </c>
      <c r="AP72" s="907">
        <v>1</v>
      </c>
      <c r="AQ72" s="907">
        <v>0</v>
      </c>
      <c r="AR72" s="907">
        <v>0</v>
      </c>
      <c r="AS72" s="907">
        <v>0</v>
      </c>
      <c r="AT72" s="907">
        <v>0</v>
      </c>
      <c r="AU72" s="907">
        <v>0</v>
      </c>
    </row>
    <row r="73" spans="1:47" hidden="1">
      <c r="A73" s="898">
        <v>72</v>
      </c>
      <c r="B73" s="899">
        <v>1</v>
      </c>
      <c r="C73" s="900">
        <v>0</v>
      </c>
      <c r="D73" s="900">
        <v>0</v>
      </c>
      <c r="E73" s="900">
        <v>0</v>
      </c>
      <c r="F73" s="900">
        <v>1</v>
      </c>
      <c r="G73" s="901">
        <v>2</v>
      </c>
      <c r="H73" s="901">
        <v>3</v>
      </c>
      <c r="I73" s="901">
        <v>4</v>
      </c>
      <c r="J73" s="901">
        <v>1</v>
      </c>
      <c r="K73" s="902">
        <v>1</v>
      </c>
      <c r="L73" s="902">
        <v>0</v>
      </c>
      <c r="M73" s="902">
        <v>0</v>
      </c>
      <c r="N73" s="902">
        <f t="shared" si="2"/>
        <v>1</v>
      </c>
      <c r="O73" s="903">
        <v>1</v>
      </c>
      <c r="P73" s="903">
        <v>0</v>
      </c>
      <c r="Q73" s="903">
        <v>0</v>
      </c>
      <c r="R73" s="903">
        <v>0</v>
      </c>
      <c r="S73" s="903">
        <f t="shared" si="3"/>
        <v>1</v>
      </c>
      <c r="T73" s="904">
        <v>1</v>
      </c>
      <c r="U73" s="905">
        <v>1</v>
      </c>
      <c r="V73" s="905">
        <v>0</v>
      </c>
      <c r="W73" s="905">
        <v>0</v>
      </c>
      <c r="X73" s="905">
        <v>0</v>
      </c>
      <c r="Y73" s="905">
        <v>0</v>
      </c>
      <c r="Z73" s="905">
        <v>0</v>
      </c>
      <c r="AA73" s="905">
        <v>1</v>
      </c>
      <c r="AB73" s="906">
        <v>3</v>
      </c>
      <c r="AC73" s="906">
        <v>4</v>
      </c>
      <c r="AD73" s="906">
        <v>5</v>
      </c>
      <c r="AE73" s="906">
        <v>2</v>
      </c>
      <c r="AF73" s="906">
        <v>1</v>
      </c>
      <c r="AG73" s="906">
        <v>7</v>
      </c>
      <c r="AH73" s="906">
        <v>6</v>
      </c>
      <c r="AI73" s="907">
        <v>2</v>
      </c>
      <c r="AJ73" s="907">
        <v>2</v>
      </c>
      <c r="AK73" s="907">
        <v>1</v>
      </c>
      <c r="AL73" s="907">
        <v>1</v>
      </c>
      <c r="AM73" s="907">
        <v>2</v>
      </c>
      <c r="AN73" s="907">
        <v>1</v>
      </c>
      <c r="AO73" s="907">
        <v>4</v>
      </c>
      <c r="AP73" s="907">
        <v>0</v>
      </c>
      <c r="AQ73" s="907">
        <v>0</v>
      </c>
      <c r="AR73" s="907">
        <v>0</v>
      </c>
      <c r="AS73" s="907">
        <v>0</v>
      </c>
      <c r="AT73" s="907">
        <v>1</v>
      </c>
      <c r="AU73" s="907">
        <v>0</v>
      </c>
    </row>
    <row r="74" spans="1:47" hidden="1">
      <c r="A74" s="898">
        <v>73</v>
      </c>
      <c r="B74" s="899">
        <v>0</v>
      </c>
      <c r="C74" s="900">
        <v>1</v>
      </c>
      <c r="D74" s="900">
        <v>0</v>
      </c>
      <c r="E74" s="900">
        <v>0</v>
      </c>
      <c r="F74" s="900">
        <v>0</v>
      </c>
      <c r="G74" s="901">
        <v>2</v>
      </c>
      <c r="H74" s="901">
        <v>4</v>
      </c>
      <c r="I74" s="901">
        <v>3</v>
      </c>
      <c r="J74" s="901">
        <v>1</v>
      </c>
      <c r="K74" s="902">
        <v>1</v>
      </c>
      <c r="L74" s="902">
        <v>0</v>
      </c>
      <c r="M74" s="902">
        <v>0</v>
      </c>
      <c r="N74" s="902">
        <f t="shared" si="2"/>
        <v>1</v>
      </c>
      <c r="O74" s="903">
        <v>0</v>
      </c>
      <c r="P74" s="903">
        <v>0</v>
      </c>
      <c r="Q74" s="903">
        <v>1</v>
      </c>
      <c r="R74" s="903">
        <v>0</v>
      </c>
      <c r="S74" s="903">
        <f t="shared" si="3"/>
        <v>3</v>
      </c>
      <c r="T74" s="904">
        <v>1</v>
      </c>
      <c r="U74" s="905">
        <v>0</v>
      </c>
      <c r="V74" s="905">
        <v>0</v>
      </c>
      <c r="W74" s="905">
        <v>0</v>
      </c>
      <c r="X74" s="905">
        <v>1</v>
      </c>
      <c r="Y74" s="905">
        <v>1</v>
      </c>
      <c r="Z74" s="905">
        <v>0</v>
      </c>
      <c r="AA74" s="905">
        <v>0</v>
      </c>
      <c r="AB74" s="906">
        <v>3</v>
      </c>
      <c r="AC74" s="906">
        <v>5</v>
      </c>
      <c r="AD74" s="906">
        <v>1</v>
      </c>
      <c r="AE74" s="906">
        <v>7</v>
      </c>
      <c r="AF74" s="906">
        <v>2</v>
      </c>
      <c r="AG74" s="906">
        <v>4</v>
      </c>
      <c r="AH74" s="906">
        <v>6</v>
      </c>
      <c r="AI74" s="907">
        <v>2</v>
      </c>
      <c r="AJ74" s="907">
        <v>2</v>
      </c>
      <c r="AK74" s="907">
        <v>4</v>
      </c>
      <c r="AL74" s="907">
        <v>4</v>
      </c>
      <c r="AM74" s="907">
        <v>1</v>
      </c>
      <c r="AN74" s="907">
        <v>1</v>
      </c>
      <c r="AO74" s="907">
        <v>4</v>
      </c>
      <c r="AP74" s="907">
        <v>1</v>
      </c>
      <c r="AQ74" s="907">
        <v>0</v>
      </c>
      <c r="AR74" s="907">
        <v>0</v>
      </c>
      <c r="AS74" s="907">
        <v>0</v>
      </c>
      <c r="AT74" s="907">
        <v>0</v>
      </c>
      <c r="AU74" s="907">
        <v>0</v>
      </c>
    </row>
    <row r="75" spans="1:47" hidden="1">
      <c r="A75" s="898">
        <v>74</v>
      </c>
      <c r="B75" s="899">
        <v>0</v>
      </c>
      <c r="C75" s="900">
        <v>0</v>
      </c>
      <c r="D75" s="900">
        <v>1</v>
      </c>
      <c r="E75" s="900">
        <v>0</v>
      </c>
      <c r="F75" s="900">
        <v>0</v>
      </c>
      <c r="G75" s="901">
        <v>3</v>
      </c>
      <c r="H75" s="901">
        <v>1</v>
      </c>
      <c r="I75" s="901">
        <v>4</v>
      </c>
      <c r="J75" s="901">
        <v>2</v>
      </c>
      <c r="K75" s="902">
        <v>1</v>
      </c>
      <c r="L75" s="902">
        <v>0</v>
      </c>
      <c r="M75" s="902">
        <v>0</v>
      </c>
      <c r="N75" s="902">
        <f t="shared" si="2"/>
        <v>1</v>
      </c>
      <c r="O75" s="903">
        <v>0</v>
      </c>
      <c r="P75" s="903">
        <v>1</v>
      </c>
      <c r="Q75" s="903">
        <v>0</v>
      </c>
      <c r="R75" s="903">
        <v>0</v>
      </c>
      <c r="S75" s="903">
        <f t="shared" si="3"/>
        <v>2</v>
      </c>
      <c r="T75" s="904">
        <v>0</v>
      </c>
      <c r="U75" s="905">
        <v>0</v>
      </c>
      <c r="V75" s="905">
        <v>0</v>
      </c>
      <c r="W75" s="905">
        <v>0</v>
      </c>
      <c r="X75" s="905">
        <v>0</v>
      </c>
      <c r="Y75" s="905">
        <v>1</v>
      </c>
      <c r="Z75" s="905">
        <v>0</v>
      </c>
      <c r="AA75" s="905">
        <v>0</v>
      </c>
      <c r="AB75" s="906">
        <v>2</v>
      </c>
      <c r="AC75" s="906">
        <v>7</v>
      </c>
      <c r="AD75" s="906">
        <v>6</v>
      </c>
      <c r="AE75" s="906">
        <v>3</v>
      </c>
      <c r="AF75" s="906">
        <v>1</v>
      </c>
      <c r="AG75" s="906">
        <v>5</v>
      </c>
      <c r="AH75" s="906">
        <v>4</v>
      </c>
      <c r="AI75" s="907">
        <v>1</v>
      </c>
      <c r="AJ75" s="907">
        <v>2</v>
      </c>
      <c r="AK75" s="907">
        <v>2</v>
      </c>
      <c r="AL75" s="907">
        <v>2</v>
      </c>
      <c r="AM75" s="907">
        <v>1</v>
      </c>
      <c r="AN75" s="907">
        <v>1</v>
      </c>
      <c r="AO75" s="907">
        <v>2</v>
      </c>
      <c r="AP75" s="907">
        <v>0</v>
      </c>
      <c r="AQ75" s="907">
        <v>0</v>
      </c>
      <c r="AR75" s="907">
        <v>0</v>
      </c>
      <c r="AS75" s="907">
        <v>0</v>
      </c>
      <c r="AT75" s="907">
        <v>1</v>
      </c>
      <c r="AU75" s="907">
        <v>0</v>
      </c>
    </row>
    <row r="76" spans="1:47" hidden="1">
      <c r="A76" s="898">
        <v>75</v>
      </c>
      <c r="B76" s="899">
        <v>1</v>
      </c>
      <c r="C76" s="900">
        <v>0</v>
      </c>
      <c r="D76" s="900">
        <v>1</v>
      </c>
      <c r="E76" s="900">
        <v>0</v>
      </c>
      <c r="F76" s="900">
        <v>0</v>
      </c>
      <c r="G76" s="901">
        <v>3</v>
      </c>
      <c r="H76" s="901">
        <v>2</v>
      </c>
      <c r="I76" s="901">
        <v>4</v>
      </c>
      <c r="J76" s="901">
        <v>1</v>
      </c>
      <c r="K76" s="902">
        <v>1</v>
      </c>
      <c r="L76" s="902">
        <v>0</v>
      </c>
      <c r="M76" s="902">
        <v>0</v>
      </c>
      <c r="N76" s="902">
        <f t="shared" si="2"/>
        <v>1</v>
      </c>
      <c r="O76" s="903">
        <v>1</v>
      </c>
      <c r="P76" s="903">
        <v>0</v>
      </c>
      <c r="Q76" s="903">
        <v>0</v>
      </c>
      <c r="R76" s="903">
        <v>0</v>
      </c>
      <c r="S76" s="903">
        <f t="shared" si="3"/>
        <v>1</v>
      </c>
      <c r="T76" s="904">
        <v>1</v>
      </c>
      <c r="U76" s="905">
        <v>1</v>
      </c>
      <c r="V76" s="905">
        <v>0</v>
      </c>
      <c r="W76" s="905">
        <v>0</v>
      </c>
      <c r="X76" s="905">
        <v>0</v>
      </c>
      <c r="Y76" s="905">
        <v>0</v>
      </c>
      <c r="Z76" s="905">
        <v>0</v>
      </c>
      <c r="AA76" s="905">
        <v>0</v>
      </c>
      <c r="AB76" s="906">
        <v>2</v>
      </c>
      <c r="AC76" s="906">
        <v>4</v>
      </c>
      <c r="AD76" s="906">
        <v>6</v>
      </c>
      <c r="AE76" s="906">
        <v>3</v>
      </c>
      <c r="AF76" s="906">
        <v>1</v>
      </c>
      <c r="AG76" s="906">
        <v>5</v>
      </c>
      <c r="AH76" s="906">
        <v>7</v>
      </c>
      <c r="AI76" s="907">
        <v>2</v>
      </c>
      <c r="AJ76" s="907">
        <v>1</v>
      </c>
      <c r="AK76" s="907">
        <v>1</v>
      </c>
      <c r="AL76" s="907">
        <v>1</v>
      </c>
      <c r="AM76" s="907">
        <v>1</v>
      </c>
      <c r="AN76" s="907">
        <v>1</v>
      </c>
      <c r="AO76" s="907">
        <v>2</v>
      </c>
      <c r="AP76" s="907">
        <v>0</v>
      </c>
      <c r="AQ76" s="907">
        <v>0</v>
      </c>
      <c r="AR76" s="907">
        <v>0</v>
      </c>
      <c r="AS76" s="907">
        <v>1</v>
      </c>
      <c r="AT76" s="907">
        <v>0</v>
      </c>
      <c r="AU76" s="907">
        <v>0</v>
      </c>
    </row>
    <row r="77" spans="1:47" hidden="1">
      <c r="A77" s="898">
        <v>76</v>
      </c>
      <c r="B77" s="899">
        <v>0</v>
      </c>
      <c r="C77" s="900">
        <v>1</v>
      </c>
      <c r="D77" s="900">
        <v>0</v>
      </c>
      <c r="E77" s="900">
        <v>0</v>
      </c>
      <c r="F77" s="900">
        <v>0</v>
      </c>
      <c r="G77" s="901">
        <v>2</v>
      </c>
      <c r="H77" s="901">
        <v>1</v>
      </c>
      <c r="I77" s="901">
        <v>3</v>
      </c>
      <c r="J77" s="901">
        <v>4</v>
      </c>
      <c r="K77" s="902">
        <v>1</v>
      </c>
      <c r="L77" s="902">
        <v>0</v>
      </c>
      <c r="M77" s="902">
        <v>0</v>
      </c>
      <c r="N77" s="902">
        <f t="shared" si="2"/>
        <v>1</v>
      </c>
      <c r="O77" s="903">
        <v>1</v>
      </c>
      <c r="P77" s="903">
        <v>0</v>
      </c>
      <c r="Q77" s="903">
        <v>0</v>
      </c>
      <c r="R77" s="903">
        <v>0</v>
      </c>
      <c r="S77" s="903">
        <f t="shared" si="3"/>
        <v>1</v>
      </c>
      <c r="T77" s="904">
        <v>1</v>
      </c>
      <c r="U77" s="905">
        <v>1</v>
      </c>
      <c r="V77" s="905">
        <v>0</v>
      </c>
      <c r="W77" s="905">
        <v>0</v>
      </c>
      <c r="X77" s="905">
        <v>0</v>
      </c>
      <c r="Y77" s="905">
        <v>1</v>
      </c>
      <c r="Z77" s="905">
        <v>0</v>
      </c>
      <c r="AA77" s="905">
        <v>0</v>
      </c>
      <c r="AB77" s="906">
        <v>3</v>
      </c>
      <c r="AC77" s="906">
        <v>2</v>
      </c>
      <c r="AD77" s="906">
        <v>4</v>
      </c>
      <c r="AE77" s="906">
        <v>7</v>
      </c>
      <c r="AF77" s="906">
        <v>1</v>
      </c>
      <c r="AG77" s="906">
        <v>6</v>
      </c>
      <c r="AH77" s="906">
        <v>5</v>
      </c>
      <c r="AI77" s="907">
        <v>2</v>
      </c>
      <c r="AJ77" s="907">
        <v>2</v>
      </c>
      <c r="AK77" s="907">
        <v>2</v>
      </c>
      <c r="AL77" s="907">
        <v>1</v>
      </c>
      <c r="AM77" s="907">
        <v>1</v>
      </c>
      <c r="AN77" s="907">
        <v>1</v>
      </c>
      <c r="AO77" s="907">
        <v>3</v>
      </c>
      <c r="AP77" s="907">
        <v>0</v>
      </c>
      <c r="AQ77" s="907">
        <v>1</v>
      </c>
      <c r="AR77" s="907">
        <v>0</v>
      </c>
      <c r="AS77" s="907">
        <v>0</v>
      </c>
      <c r="AT77" s="907">
        <v>0</v>
      </c>
      <c r="AU77" s="907">
        <v>0</v>
      </c>
    </row>
    <row r="78" spans="1:47" hidden="1">
      <c r="A78" s="898">
        <v>77</v>
      </c>
      <c r="B78" s="899">
        <v>1</v>
      </c>
      <c r="C78" s="900">
        <v>0</v>
      </c>
      <c r="D78" s="900">
        <v>0</v>
      </c>
      <c r="E78" s="900">
        <v>1</v>
      </c>
      <c r="F78" s="900">
        <v>0</v>
      </c>
      <c r="G78" s="901">
        <v>1</v>
      </c>
      <c r="H78" s="901">
        <v>3</v>
      </c>
      <c r="I78" s="901">
        <v>2</v>
      </c>
      <c r="J78" s="901">
        <v>4</v>
      </c>
      <c r="K78" s="902">
        <v>1</v>
      </c>
      <c r="L78" s="902">
        <v>0</v>
      </c>
      <c r="M78" s="902">
        <v>0</v>
      </c>
      <c r="N78" s="902">
        <f t="shared" si="2"/>
        <v>1</v>
      </c>
      <c r="O78" s="903">
        <v>1</v>
      </c>
      <c r="P78" s="903">
        <v>0</v>
      </c>
      <c r="Q78" s="903">
        <v>0</v>
      </c>
      <c r="R78" s="903">
        <v>0</v>
      </c>
      <c r="S78" s="903">
        <f t="shared" si="3"/>
        <v>1</v>
      </c>
      <c r="T78" s="904">
        <v>1</v>
      </c>
      <c r="U78" s="905">
        <v>0</v>
      </c>
      <c r="V78" s="905">
        <v>1</v>
      </c>
      <c r="W78" s="905">
        <v>0</v>
      </c>
      <c r="X78" s="905">
        <v>0</v>
      </c>
      <c r="Y78" s="905">
        <v>0</v>
      </c>
      <c r="Z78" s="905">
        <v>0</v>
      </c>
      <c r="AA78" s="905">
        <v>0</v>
      </c>
      <c r="AB78" s="906">
        <v>3</v>
      </c>
      <c r="AC78" s="906">
        <v>6</v>
      </c>
      <c r="AD78" s="906">
        <v>4</v>
      </c>
      <c r="AE78" s="906">
        <v>2</v>
      </c>
      <c r="AF78" s="906">
        <v>1</v>
      </c>
      <c r="AG78" s="906">
        <v>5</v>
      </c>
      <c r="AH78" s="906">
        <v>7</v>
      </c>
      <c r="AI78" s="907">
        <v>4</v>
      </c>
      <c r="AJ78" s="907">
        <v>2</v>
      </c>
      <c r="AK78" s="907">
        <v>1</v>
      </c>
      <c r="AL78" s="907">
        <v>1</v>
      </c>
      <c r="AM78" s="907">
        <v>3</v>
      </c>
      <c r="AN78" s="907">
        <v>1</v>
      </c>
      <c r="AO78" s="907">
        <v>1</v>
      </c>
      <c r="AP78" s="907">
        <v>0</v>
      </c>
      <c r="AQ78" s="907">
        <v>0</v>
      </c>
      <c r="AR78" s="907">
        <v>0</v>
      </c>
      <c r="AS78" s="907">
        <v>0</v>
      </c>
      <c r="AT78" s="907">
        <v>1</v>
      </c>
      <c r="AU78" s="907">
        <v>0</v>
      </c>
    </row>
    <row r="79" spans="1:47" hidden="1">
      <c r="A79" s="898">
        <v>78</v>
      </c>
      <c r="B79" s="899">
        <v>0</v>
      </c>
      <c r="C79" s="900">
        <v>1</v>
      </c>
      <c r="D79" s="900">
        <v>0</v>
      </c>
      <c r="E79" s="900">
        <v>0</v>
      </c>
      <c r="F79" s="900">
        <v>0</v>
      </c>
      <c r="G79" s="901">
        <v>3</v>
      </c>
      <c r="H79" s="901">
        <v>2</v>
      </c>
      <c r="I79" s="901">
        <v>4</v>
      </c>
      <c r="J79" s="901">
        <v>1</v>
      </c>
      <c r="K79" s="902">
        <v>0</v>
      </c>
      <c r="L79" s="902">
        <v>0</v>
      </c>
      <c r="M79" s="902">
        <v>1</v>
      </c>
      <c r="N79" s="902">
        <f t="shared" si="2"/>
        <v>3</v>
      </c>
      <c r="O79" s="908">
        <v>1</v>
      </c>
      <c r="P79" s="908">
        <v>0</v>
      </c>
      <c r="Q79" s="908">
        <v>0</v>
      </c>
      <c r="R79" s="908">
        <v>0</v>
      </c>
      <c r="S79" s="903">
        <f t="shared" si="3"/>
        <v>1</v>
      </c>
      <c r="T79" s="904">
        <v>1</v>
      </c>
      <c r="U79" s="905">
        <v>1</v>
      </c>
      <c r="V79" s="905">
        <v>0</v>
      </c>
      <c r="W79" s="905">
        <v>0</v>
      </c>
      <c r="X79" s="905">
        <v>0</v>
      </c>
      <c r="Y79" s="905">
        <v>0</v>
      </c>
      <c r="Z79" s="905">
        <v>0</v>
      </c>
      <c r="AA79" s="905">
        <v>1</v>
      </c>
      <c r="AB79" s="906">
        <v>1</v>
      </c>
      <c r="AC79" s="906">
        <v>7</v>
      </c>
      <c r="AD79" s="906">
        <v>5</v>
      </c>
      <c r="AE79" s="906">
        <v>4</v>
      </c>
      <c r="AF79" s="906">
        <v>3</v>
      </c>
      <c r="AG79" s="906">
        <v>2</v>
      </c>
      <c r="AH79" s="906">
        <v>6</v>
      </c>
      <c r="AI79" s="907">
        <v>2</v>
      </c>
      <c r="AJ79" s="907">
        <v>1</v>
      </c>
      <c r="AK79" s="907">
        <v>1</v>
      </c>
      <c r="AL79" s="907">
        <v>2</v>
      </c>
      <c r="AM79" s="907">
        <v>1</v>
      </c>
      <c r="AN79" s="907">
        <v>1</v>
      </c>
      <c r="AO79" s="907">
        <v>2</v>
      </c>
      <c r="AP79" s="907">
        <v>0</v>
      </c>
      <c r="AQ79" s="907">
        <v>0</v>
      </c>
      <c r="AR79" s="907">
        <v>0</v>
      </c>
      <c r="AS79" s="907">
        <v>0</v>
      </c>
      <c r="AT79" s="907">
        <v>0</v>
      </c>
      <c r="AU79" s="907">
        <v>1</v>
      </c>
    </row>
    <row r="80" spans="1:47" hidden="1">
      <c r="A80" s="898">
        <v>79</v>
      </c>
      <c r="B80" s="899">
        <v>1</v>
      </c>
      <c r="C80" s="900">
        <v>0</v>
      </c>
      <c r="D80" s="900">
        <v>0</v>
      </c>
      <c r="E80" s="900">
        <v>1</v>
      </c>
      <c r="F80" s="900">
        <v>0</v>
      </c>
      <c r="G80" s="901">
        <v>3</v>
      </c>
      <c r="H80" s="901">
        <v>4</v>
      </c>
      <c r="I80" s="901">
        <v>1</v>
      </c>
      <c r="J80" s="901">
        <v>2</v>
      </c>
      <c r="K80" s="902">
        <v>0</v>
      </c>
      <c r="L80" s="902">
        <v>1</v>
      </c>
      <c r="M80" s="902">
        <v>0</v>
      </c>
      <c r="N80" s="902">
        <f t="shared" si="2"/>
        <v>2</v>
      </c>
      <c r="O80" s="903">
        <v>1</v>
      </c>
      <c r="P80" s="903">
        <v>0</v>
      </c>
      <c r="Q80" s="903">
        <v>0</v>
      </c>
      <c r="R80" s="903">
        <v>0</v>
      </c>
      <c r="S80" s="903">
        <f t="shared" si="3"/>
        <v>1</v>
      </c>
      <c r="T80" s="904">
        <v>1</v>
      </c>
      <c r="U80" s="905">
        <v>0</v>
      </c>
      <c r="V80" s="905">
        <v>0</v>
      </c>
      <c r="W80" s="905">
        <v>1</v>
      </c>
      <c r="X80" s="905">
        <v>0</v>
      </c>
      <c r="Y80" s="905">
        <v>0</v>
      </c>
      <c r="Z80" s="905">
        <v>0</v>
      </c>
      <c r="AA80" s="905">
        <v>1</v>
      </c>
      <c r="AB80" s="906">
        <v>7</v>
      </c>
      <c r="AC80" s="906">
        <v>5</v>
      </c>
      <c r="AD80" s="906">
        <v>4</v>
      </c>
      <c r="AE80" s="906">
        <v>6</v>
      </c>
      <c r="AF80" s="906">
        <v>2</v>
      </c>
      <c r="AG80" s="906">
        <v>1</v>
      </c>
      <c r="AH80" s="906">
        <v>3</v>
      </c>
      <c r="AI80" s="907">
        <v>3</v>
      </c>
      <c r="AJ80" s="907">
        <v>2</v>
      </c>
      <c r="AK80" s="907">
        <v>1</v>
      </c>
      <c r="AL80" s="907">
        <v>1</v>
      </c>
      <c r="AM80" s="907">
        <v>1</v>
      </c>
      <c r="AN80" s="907">
        <v>1</v>
      </c>
      <c r="AO80" s="907">
        <v>2</v>
      </c>
      <c r="AP80" s="907">
        <v>0</v>
      </c>
      <c r="AQ80" s="907">
        <v>0</v>
      </c>
      <c r="AR80" s="907">
        <v>0</v>
      </c>
      <c r="AS80" s="907">
        <v>0</v>
      </c>
      <c r="AT80" s="907">
        <v>0</v>
      </c>
      <c r="AU80" s="907">
        <v>1</v>
      </c>
    </row>
    <row r="81" spans="1:47" hidden="1">
      <c r="A81" s="898">
        <v>80</v>
      </c>
      <c r="B81" s="899">
        <v>0</v>
      </c>
      <c r="C81" s="900">
        <v>0</v>
      </c>
      <c r="D81" s="900">
        <v>0</v>
      </c>
      <c r="E81" s="900">
        <v>1</v>
      </c>
      <c r="F81" s="900">
        <v>0</v>
      </c>
      <c r="G81" s="901">
        <v>2</v>
      </c>
      <c r="H81" s="901">
        <v>3</v>
      </c>
      <c r="I81" s="901">
        <v>4</v>
      </c>
      <c r="J81" s="901">
        <v>1</v>
      </c>
      <c r="K81" s="902">
        <v>0</v>
      </c>
      <c r="L81" s="902">
        <v>1</v>
      </c>
      <c r="M81" s="902">
        <v>0</v>
      </c>
      <c r="N81" s="902">
        <f t="shared" si="2"/>
        <v>2</v>
      </c>
      <c r="O81" s="903">
        <v>1</v>
      </c>
      <c r="P81" s="903">
        <v>0</v>
      </c>
      <c r="Q81" s="903">
        <v>0</v>
      </c>
      <c r="R81" s="903">
        <v>0</v>
      </c>
      <c r="S81" s="903">
        <f t="shared" si="3"/>
        <v>1</v>
      </c>
      <c r="T81" s="904">
        <v>1</v>
      </c>
      <c r="U81" s="905">
        <v>0</v>
      </c>
      <c r="V81" s="905">
        <v>1</v>
      </c>
      <c r="W81" s="905">
        <v>0</v>
      </c>
      <c r="X81" s="905">
        <v>0</v>
      </c>
      <c r="Y81" s="905">
        <v>0</v>
      </c>
      <c r="Z81" s="905">
        <v>0</v>
      </c>
      <c r="AA81" s="905">
        <v>0</v>
      </c>
      <c r="AB81" s="906">
        <v>2</v>
      </c>
      <c r="AC81" s="906">
        <v>1</v>
      </c>
      <c r="AD81" s="906">
        <v>3</v>
      </c>
      <c r="AE81" s="906">
        <v>4</v>
      </c>
      <c r="AF81" s="906">
        <v>5</v>
      </c>
      <c r="AG81" s="906">
        <v>6</v>
      </c>
      <c r="AH81" s="906">
        <v>7</v>
      </c>
      <c r="AI81" s="907">
        <v>1</v>
      </c>
      <c r="AJ81" s="907">
        <v>1</v>
      </c>
      <c r="AK81" s="907">
        <v>1</v>
      </c>
      <c r="AL81" s="907">
        <v>1</v>
      </c>
      <c r="AM81" s="907">
        <v>1</v>
      </c>
      <c r="AN81" s="907">
        <v>1</v>
      </c>
      <c r="AO81" s="907">
        <v>2</v>
      </c>
      <c r="AP81" s="907">
        <v>1</v>
      </c>
      <c r="AQ81" s="907">
        <v>0</v>
      </c>
      <c r="AR81" s="907">
        <v>0</v>
      </c>
      <c r="AS81" s="907">
        <v>0</v>
      </c>
      <c r="AT81" s="907">
        <v>1</v>
      </c>
      <c r="AU81" s="907">
        <v>0</v>
      </c>
    </row>
    <row r="82" spans="1:47">
      <c r="A82" s="898">
        <v>81</v>
      </c>
      <c r="B82" s="899">
        <v>0</v>
      </c>
      <c r="C82" s="900">
        <v>1</v>
      </c>
      <c r="D82" s="900">
        <v>0</v>
      </c>
      <c r="E82" s="900">
        <v>0</v>
      </c>
      <c r="F82" s="900">
        <v>0</v>
      </c>
      <c r="G82" s="901">
        <v>3</v>
      </c>
      <c r="H82" s="901">
        <v>4</v>
      </c>
      <c r="I82" s="901">
        <v>1</v>
      </c>
      <c r="J82" s="901">
        <v>2</v>
      </c>
      <c r="K82" s="902">
        <v>1</v>
      </c>
      <c r="L82" s="902">
        <v>0</v>
      </c>
      <c r="M82" s="902">
        <v>0</v>
      </c>
      <c r="N82" s="902">
        <f t="shared" si="2"/>
        <v>1</v>
      </c>
      <c r="O82" s="903">
        <v>1</v>
      </c>
      <c r="P82" s="903">
        <v>0</v>
      </c>
      <c r="Q82" s="903">
        <v>0</v>
      </c>
      <c r="R82" s="903">
        <v>0</v>
      </c>
      <c r="S82" s="903">
        <f t="shared" si="3"/>
        <v>1</v>
      </c>
      <c r="T82" s="904">
        <v>1</v>
      </c>
      <c r="U82" s="905">
        <v>1</v>
      </c>
      <c r="V82" s="905">
        <v>0</v>
      </c>
      <c r="W82" s="905">
        <v>0</v>
      </c>
      <c r="X82" s="905">
        <v>1</v>
      </c>
      <c r="Y82" s="905">
        <v>1</v>
      </c>
      <c r="Z82" s="905">
        <v>0</v>
      </c>
      <c r="AA82" s="905">
        <v>1</v>
      </c>
      <c r="AB82" s="906">
        <v>1</v>
      </c>
      <c r="AC82" s="906">
        <v>6</v>
      </c>
      <c r="AD82" s="906">
        <v>2</v>
      </c>
      <c r="AE82" s="906">
        <v>3</v>
      </c>
      <c r="AF82" s="906">
        <v>4</v>
      </c>
      <c r="AG82" s="906">
        <v>5</v>
      </c>
      <c r="AH82" s="906">
        <v>7</v>
      </c>
      <c r="AI82" s="907">
        <v>2</v>
      </c>
      <c r="AJ82" s="907">
        <v>2</v>
      </c>
      <c r="AK82" s="907">
        <v>3</v>
      </c>
      <c r="AL82" s="907">
        <v>2</v>
      </c>
      <c r="AM82" s="907">
        <v>1</v>
      </c>
      <c r="AN82" s="907">
        <v>1</v>
      </c>
      <c r="AO82" s="907">
        <v>3</v>
      </c>
      <c r="AP82" s="907">
        <v>0</v>
      </c>
      <c r="AQ82" s="907">
        <v>1</v>
      </c>
      <c r="AR82" s="907">
        <v>0</v>
      </c>
      <c r="AS82" s="907">
        <v>1</v>
      </c>
      <c r="AT82" s="907">
        <v>0</v>
      </c>
      <c r="AU82" s="907">
        <v>1</v>
      </c>
    </row>
    <row r="83" spans="1:47" hidden="1">
      <c r="A83" s="898">
        <v>82</v>
      </c>
      <c r="B83" s="899">
        <v>0</v>
      </c>
      <c r="C83" s="900">
        <v>1</v>
      </c>
      <c r="D83" s="900">
        <v>0</v>
      </c>
      <c r="E83" s="900">
        <v>0</v>
      </c>
      <c r="F83" s="900">
        <v>0</v>
      </c>
      <c r="G83" s="901">
        <v>1</v>
      </c>
      <c r="H83" s="901">
        <v>4</v>
      </c>
      <c r="I83" s="901">
        <v>3</v>
      </c>
      <c r="J83" s="901">
        <v>2</v>
      </c>
      <c r="K83" s="902">
        <v>1</v>
      </c>
      <c r="L83" s="902">
        <v>0</v>
      </c>
      <c r="M83" s="902">
        <v>0</v>
      </c>
      <c r="N83" s="902">
        <f t="shared" si="2"/>
        <v>1</v>
      </c>
      <c r="O83" s="903">
        <v>0</v>
      </c>
      <c r="P83" s="903">
        <v>0</v>
      </c>
      <c r="Q83" s="903">
        <v>1</v>
      </c>
      <c r="R83" s="903">
        <v>0</v>
      </c>
      <c r="S83" s="903">
        <f t="shared" si="3"/>
        <v>3</v>
      </c>
      <c r="T83" s="904">
        <v>1</v>
      </c>
      <c r="U83" s="905">
        <v>0</v>
      </c>
      <c r="V83" s="905">
        <v>0</v>
      </c>
      <c r="W83" s="905">
        <v>0</v>
      </c>
      <c r="X83" s="905">
        <v>0</v>
      </c>
      <c r="Y83" s="905">
        <v>0</v>
      </c>
      <c r="Z83" s="905">
        <v>0</v>
      </c>
      <c r="AA83" s="905">
        <v>0</v>
      </c>
      <c r="AB83" s="906">
        <v>1</v>
      </c>
      <c r="AC83" s="906">
        <v>4</v>
      </c>
      <c r="AD83" s="906">
        <v>5</v>
      </c>
      <c r="AE83" s="906">
        <v>7</v>
      </c>
      <c r="AF83" s="906">
        <v>2</v>
      </c>
      <c r="AG83" s="906">
        <v>3</v>
      </c>
      <c r="AH83" s="906">
        <v>6</v>
      </c>
      <c r="AI83" s="907">
        <v>1</v>
      </c>
      <c r="AJ83" s="907">
        <v>1</v>
      </c>
      <c r="AK83" s="907">
        <v>2</v>
      </c>
      <c r="AL83" s="907">
        <v>2</v>
      </c>
      <c r="AM83" s="907">
        <v>1</v>
      </c>
      <c r="AN83" s="907">
        <v>4</v>
      </c>
      <c r="AO83" s="907">
        <v>1</v>
      </c>
      <c r="AP83" s="907">
        <v>0</v>
      </c>
      <c r="AQ83" s="907">
        <v>0</v>
      </c>
      <c r="AR83" s="907">
        <v>1</v>
      </c>
      <c r="AS83" s="907">
        <v>0</v>
      </c>
      <c r="AT83" s="907">
        <v>0</v>
      </c>
      <c r="AU83" s="907">
        <v>0</v>
      </c>
    </row>
    <row r="84" spans="1:47" hidden="1">
      <c r="A84" s="898">
        <v>83</v>
      </c>
      <c r="B84" s="899">
        <v>0</v>
      </c>
      <c r="C84" s="900">
        <v>0</v>
      </c>
      <c r="D84" s="900">
        <v>1</v>
      </c>
      <c r="E84" s="900">
        <v>0</v>
      </c>
      <c r="F84" s="900">
        <v>0</v>
      </c>
      <c r="G84" s="901">
        <v>4</v>
      </c>
      <c r="H84" s="901">
        <v>3</v>
      </c>
      <c r="I84" s="901">
        <v>2</v>
      </c>
      <c r="J84" s="901">
        <v>1</v>
      </c>
      <c r="K84" s="902">
        <v>1</v>
      </c>
      <c r="L84" s="902">
        <v>0</v>
      </c>
      <c r="M84" s="902">
        <v>0</v>
      </c>
      <c r="N84" s="902">
        <f t="shared" si="2"/>
        <v>1</v>
      </c>
      <c r="O84" s="903">
        <v>0</v>
      </c>
      <c r="P84" s="903">
        <v>1</v>
      </c>
      <c r="Q84" s="903">
        <v>0</v>
      </c>
      <c r="R84" s="903">
        <v>0</v>
      </c>
      <c r="S84" s="903">
        <f t="shared" si="3"/>
        <v>2</v>
      </c>
      <c r="T84" s="904">
        <v>1</v>
      </c>
      <c r="U84" s="905">
        <v>0</v>
      </c>
      <c r="V84" s="905">
        <v>1</v>
      </c>
      <c r="W84" s="905">
        <v>1</v>
      </c>
      <c r="X84" s="905">
        <v>0</v>
      </c>
      <c r="Y84" s="905">
        <v>0</v>
      </c>
      <c r="Z84" s="905">
        <v>0</v>
      </c>
      <c r="AA84" s="905">
        <v>0</v>
      </c>
      <c r="AB84" s="906">
        <v>1</v>
      </c>
      <c r="AC84" s="906">
        <v>5</v>
      </c>
      <c r="AD84" s="906">
        <v>2</v>
      </c>
      <c r="AE84" s="906">
        <v>7</v>
      </c>
      <c r="AF84" s="906">
        <v>3</v>
      </c>
      <c r="AG84" s="906">
        <v>4</v>
      </c>
      <c r="AH84" s="906">
        <v>6</v>
      </c>
      <c r="AI84" s="907">
        <v>2</v>
      </c>
      <c r="AJ84" s="907">
        <v>3</v>
      </c>
      <c r="AK84" s="907">
        <v>2</v>
      </c>
      <c r="AL84" s="907">
        <v>1</v>
      </c>
      <c r="AM84" s="907">
        <v>1</v>
      </c>
      <c r="AN84" s="907">
        <v>2</v>
      </c>
      <c r="AO84" s="907">
        <v>1</v>
      </c>
      <c r="AP84" s="907">
        <v>1</v>
      </c>
      <c r="AQ84" s="907">
        <v>0</v>
      </c>
      <c r="AR84" s="907">
        <v>0</v>
      </c>
      <c r="AS84" s="907">
        <v>0</v>
      </c>
      <c r="AT84" s="907">
        <v>0</v>
      </c>
      <c r="AU84" s="907">
        <v>1</v>
      </c>
    </row>
    <row r="85" spans="1:47" hidden="1">
      <c r="A85" s="898">
        <v>84</v>
      </c>
      <c r="B85" s="899">
        <v>0</v>
      </c>
      <c r="C85" s="900">
        <v>0</v>
      </c>
      <c r="D85" s="900">
        <v>1</v>
      </c>
      <c r="E85" s="900">
        <v>0</v>
      </c>
      <c r="F85" s="900">
        <v>0</v>
      </c>
      <c r="G85" s="901">
        <v>3</v>
      </c>
      <c r="H85" s="901">
        <v>4</v>
      </c>
      <c r="I85" s="901">
        <v>1</v>
      </c>
      <c r="J85" s="901">
        <v>2</v>
      </c>
      <c r="K85" s="902">
        <v>1</v>
      </c>
      <c r="L85" s="902">
        <v>0</v>
      </c>
      <c r="M85" s="902">
        <v>0</v>
      </c>
      <c r="N85" s="902">
        <f t="shared" si="2"/>
        <v>1</v>
      </c>
      <c r="O85" s="903">
        <v>1</v>
      </c>
      <c r="P85" s="903">
        <v>0</v>
      </c>
      <c r="Q85" s="903">
        <v>0</v>
      </c>
      <c r="R85" s="903">
        <v>0</v>
      </c>
      <c r="S85" s="903">
        <f t="shared" si="3"/>
        <v>1</v>
      </c>
      <c r="T85" s="904">
        <v>1</v>
      </c>
      <c r="U85" s="905">
        <v>0</v>
      </c>
      <c r="V85" s="905">
        <v>0</v>
      </c>
      <c r="W85" s="905">
        <v>0</v>
      </c>
      <c r="X85" s="905">
        <v>0</v>
      </c>
      <c r="Y85" s="905">
        <v>1</v>
      </c>
      <c r="Z85" s="905">
        <v>0</v>
      </c>
      <c r="AA85" s="905">
        <v>0</v>
      </c>
      <c r="AB85" s="906">
        <v>4</v>
      </c>
      <c r="AC85" s="906">
        <v>5</v>
      </c>
      <c r="AD85" s="906">
        <v>3</v>
      </c>
      <c r="AE85" s="906">
        <v>6</v>
      </c>
      <c r="AF85" s="906">
        <v>7</v>
      </c>
      <c r="AG85" s="906">
        <v>2</v>
      </c>
      <c r="AH85" s="906">
        <v>1</v>
      </c>
      <c r="AI85" s="907">
        <v>1</v>
      </c>
      <c r="AJ85" s="907">
        <v>2</v>
      </c>
      <c r="AK85" s="907">
        <v>1</v>
      </c>
      <c r="AL85" s="907">
        <v>2</v>
      </c>
      <c r="AM85" s="907">
        <v>1</v>
      </c>
      <c r="AN85" s="907">
        <v>1</v>
      </c>
      <c r="AO85" s="907">
        <v>2</v>
      </c>
      <c r="AP85" s="907">
        <v>0</v>
      </c>
      <c r="AQ85" s="907">
        <v>0</v>
      </c>
      <c r="AR85" s="907">
        <v>0</v>
      </c>
      <c r="AS85" s="907">
        <v>1</v>
      </c>
      <c r="AT85" s="907">
        <v>0</v>
      </c>
      <c r="AU85" s="907">
        <v>0</v>
      </c>
    </row>
    <row r="86" spans="1:47" hidden="1">
      <c r="A86" s="898">
        <v>85</v>
      </c>
      <c r="B86" s="899">
        <v>1</v>
      </c>
      <c r="C86" s="900">
        <v>0</v>
      </c>
      <c r="D86" s="900">
        <v>1</v>
      </c>
      <c r="E86" s="900">
        <v>0</v>
      </c>
      <c r="F86" s="900">
        <v>0</v>
      </c>
      <c r="G86" s="901">
        <v>1</v>
      </c>
      <c r="H86" s="901">
        <v>4</v>
      </c>
      <c r="I86" s="901">
        <v>2</v>
      </c>
      <c r="J86" s="901">
        <v>3</v>
      </c>
      <c r="K86" s="902">
        <v>0</v>
      </c>
      <c r="L86" s="902">
        <v>1</v>
      </c>
      <c r="M86" s="902">
        <v>0</v>
      </c>
      <c r="N86" s="902">
        <f t="shared" si="2"/>
        <v>2</v>
      </c>
      <c r="O86" s="903">
        <v>1</v>
      </c>
      <c r="P86" s="903">
        <v>0</v>
      </c>
      <c r="Q86" s="903">
        <v>0</v>
      </c>
      <c r="R86" s="903">
        <v>0</v>
      </c>
      <c r="S86" s="903">
        <f t="shared" si="3"/>
        <v>1</v>
      </c>
      <c r="T86" s="904">
        <v>1</v>
      </c>
      <c r="U86" s="905">
        <v>0</v>
      </c>
      <c r="V86" s="905">
        <v>1</v>
      </c>
      <c r="W86" s="905">
        <v>1</v>
      </c>
      <c r="X86" s="905">
        <v>0</v>
      </c>
      <c r="Y86" s="905">
        <v>0</v>
      </c>
      <c r="Z86" s="905">
        <v>0</v>
      </c>
      <c r="AA86" s="905">
        <v>0</v>
      </c>
      <c r="AB86" s="906">
        <v>5</v>
      </c>
      <c r="AC86" s="906">
        <v>4</v>
      </c>
      <c r="AD86" s="906">
        <v>6</v>
      </c>
      <c r="AE86" s="906">
        <v>7</v>
      </c>
      <c r="AF86" s="906">
        <v>3</v>
      </c>
      <c r="AG86" s="906">
        <v>1</v>
      </c>
      <c r="AH86" s="906">
        <v>2</v>
      </c>
      <c r="AI86" s="907">
        <v>2</v>
      </c>
      <c r="AJ86" s="907">
        <v>1</v>
      </c>
      <c r="AK86" s="907">
        <v>1</v>
      </c>
      <c r="AL86" s="907">
        <v>1</v>
      </c>
      <c r="AM86" s="907">
        <v>1</v>
      </c>
      <c r="AN86" s="907">
        <v>1</v>
      </c>
      <c r="AO86" s="907">
        <v>1</v>
      </c>
      <c r="AP86" s="907">
        <v>0</v>
      </c>
      <c r="AQ86" s="907">
        <v>0</v>
      </c>
      <c r="AR86" s="907">
        <v>0</v>
      </c>
      <c r="AS86" s="907">
        <v>1</v>
      </c>
      <c r="AT86" s="907">
        <v>0</v>
      </c>
      <c r="AU86" s="907">
        <v>0</v>
      </c>
    </row>
    <row r="87" spans="1:47" hidden="1">
      <c r="A87" s="898">
        <v>86</v>
      </c>
      <c r="B87" s="899">
        <v>0</v>
      </c>
      <c r="C87" s="900">
        <v>0</v>
      </c>
      <c r="D87" s="900">
        <v>0</v>
      </c>
      <c r="E87" s="900">
        <v>0</v>
      </c>
      <c r="F87" s="900">
        <v>1</v>
      </c>
      <c r="G87" s="901">
        <v>2</v>
      </c>
      <c r="H87" s="901">
        <v>1</v>
      </c>
      <c r="I87" s="901">
        <v>4</v>
      </c>
      <c r="J87" s="901">
        <v>3</v>
      </c>
      <c r="K87" s="902">
        <v>0</v>
      </c>
      <c r="L87" s="902">
        <v>0</v>
      </c>
      <c r="M87" s="902">
        <v>1</v>
      </c>
      <c r="N87" s="902">
        <f t="shared" si="2"/>
        <v>3</v>
      </c>
      <c r="O87" s="908">
        <v>1</v>
      </c>
      <c r="P87" s="908">
        <v>0</v>
      </c>
      <c r="Q87" s="908">
        <v>0</v>
      </c>
      <c r="R87" s="908">
        <v>0</v>
      </c>
      <c r="S87" s="903">
        <f t="shared" si="3"/>
        <v>1</v>
      </c>
      <c r="T87" s="904">
        <v>1</v>
      </c>
      <c r="U87" s="905">
        <v>0</v>
      </c>
      <c r="V87" s="905">
        <v>0</v>
      </c>
      <c r="W87" s="905">
        <v>1</v>
      </c>
      <c r="X87" s="905">
        <v>0</v>
      </c>
      <c r="Y87" s="905">
        <v>0</v>
      </c>
      <c r="Z87" s="905">
        <v>0</v>
      </c>
      <c r="AA87" s="905">
        <v>0</v>
      </c>
      <c r="AB87" s="906">
        <v>6</v>
      </c>
      <c r="AC87" s="906">
        <v>3</v>
      </c>
      <c r="AD87" s="906">
        <v>5</v>
      </c>
      <c r="AE87" s="906">
        <v>7</v>
      </c>
      <c r="AF87" s="906">
        <v>1</v>
      </c>
      <c r="AG87" s="906">
        <v>2</v>
      </c>
      <c r="AH87" s="906">
        <v>4</v>
      </c>
      <c r="AI87" s="907">
        <v>1</v>
      </c>
      <c r="AJ87" s="907">
        <v>2</v>
      </c>
      <c r="AK87" s="907">
        <v>2</v>
      </c>
      <c r="AL87" s="907">
        <v>2</v>
      </c>
      <c r="AM87" s="907">
        <v>1</v>
      </c>
      <c r="AN87" s="907">
        <v>1</v>
      </c>
      <c r="AO87" s="907">
        <v>1</v>
      </c>
      <c r="AP87" s="907">
        <v>0</v>
      </c>
      <c r="AQ87" s="907">
        <v>1</v>
      </c>
      <c r="AR87" s="907">
        <v>0</v>
      </c>
      <c r="AS87" s="907">
        <v>0</v>
      </c>
      <c r="AT87" s="907">
        <v>0</v>
      </c>
      <c r="AU87" s="907">
        <v>0</v>
      </c>
    </row>
    <row r="88" spans="1:47" hidden="1">
      <c r="A88" s="898">
        <v>87</v>
      </c>
      <c r="B88" s="899">
        <v>1</v>
      </c>
      <c r="C88" s="900">
        <v>0</v>
      </c>
      <c r="D88" s="900">
        <v>0</v>
      </c>
      <c r="E88" s="900">
        <v>1</v>
      </c>
      <c r="F88" s="900">
        <v>0</v>
      </c>
      <c r="G88" s="901">
        <v>1</v>
      </c>
      <c r="H88" s="901">
        <v>2</v>
      </c>
      <c r="I88" s="901">
        <v>3</v>
      </c>
      <c r="J88" s="901">
        <v>4</v>
      </c>
      <c r="K88" s="902">
        <v>1</v>
      </c>
      <c r="L88" s="902">
        <v>0</v>
      </c>
      <c r="M88" s="902">
        <v>0</v>
      </c>
      <c r="N88" s="902">
        <f t="shared" si="2"/>
        <v>1</v>
      </c>
      <c r="O88" s="903">
        <v>1</v>
      </c>
      <c r="P88" s="903">
        <v>0</v>
      </c>
      <c r="Q88" s="903">
        <v>0</v>
      </c>
      <c r="R88" s="903">
        <v>0</v>
      </c>
      <c r="S88" s="903">
        <f t="shared" si="3"/>
        <v>1</v>
      </c>
      <c r="T88" s="904">
        <v>0</v>
      </c>
      <c r="U88" s="905">
        <v>1</v>
      </c>
      <c r="V88" s="905">
        <v>0</v>
      </c>
      <c r="W88" s="905">
        <v>0</v>
      </c>
      <c r="X88" s="905">
        <v>0</v>
      </c>
      <c r="Y88" s="905">
        <v>1</v>
      </c>
      <c r="Z88" s="905">
        <v>1</v>
      </c>
      <c r="AA88" s="905">
        <v>1</v>
      </c>
      <c r="AB88" s="906">
        <v>5</v>
      </c>
      <c r="AC88" s="906">
        <v>6</v>
      </c>
      <c r="AD88" s="906">
        <v>3</v>
      </c>
      <c r="AE88" s="906">
        <v>4</v>
      </c>
      <c r="AF88" s="906">
        <v>7</v>
      </c>
      <c r="AG88" s="906">
        <v>1</v>
      </c>
      <c r="AH88" s="906">
        <v>2</v>
      </c>
      <c r="AI88" s="907">
        <v>2</v>
      </c>
      <c r="AJ88" s="907">
        <v>2</v>
      </c>
      <c r="AK88" s="907">
        <v>2</v>
      </c>
      <c r="AL88" s="907">
        <v>1</v>
      </c>
      <c r="AM88" s="907">
        <v>1</v>
      </c>
      <c r="AN88" s="907">
        <v>1</v>
      </c>
      <c r="AO88" s="907">
        <v>2</v>
      </c>
      <c r="AP88" s="907">
        <v>0</v>
      </c>
      <c r="AQ88" s="907">
        <v>0</v>
      </c>
      <c r="AR88" s="907">
        <v>0</v>
      </c>
      <c r="AS88" s="907">
        <v>1</v>
      </c>
      <c r="AT88" s="907">
        <v>0</v>
      </c>
      <c r="AU88" s="907">
        <v>0</v>
      </c>
    </row>
    <row r="89" spans="1:47" hidden="1">
      <c r="A89" s="898">
        <v>88</v>
      </c>
      <c r="B89" s="899">
        <v>1</v>
      </c>
      <c r="C89" s="900">
        <v>0</v>
      </c>
      <c r="D89" s="900">
        <v>1</v>
      </c>
      <c r="E89" s="900">
        <v>0</v>
      </c>
      <c r="F89" s="900">
        <v>0</v>
      </c>
      <c r="G89" s="901">
        <v>4</v>
      </c>
      <c r="H89" s="901">
        <v>1</v>
      </c>
      <c r="I89" s="901">
        <v>2</v>
      </c>
      <c r="J89" s="901">
        <v>3</v>
      </c>
      <c r="K89" s="902">
        <v>1</v>
      </c>
      <c r="L89" s="902">
        <v>0</v>
      </c>
      <c r="M89" s="902">
        <v>0</v>
      </c>
      <c r="N89" s="902">
        <f t="shared" si="2"/>
        <v>1</v>
      </c>
      <c r="O89" s="903">
        <v>1</v>
      </c>
      <c r="P89" s="903">
        <v>0</v>
      </c>
      <c r="Q89" s="903">
        <v>0</v>
      </c>
      <c r="R89" s="903">
        <v>0</v>
      </c>
      <c r="S89" s="903">
        <f t="shared" si="3"/>
        <v>1</v>
      </c>
      <c r="T89" s="904">
        <v>1</v>
      </c>
      <c r="U89" s="905">
        <v>1</v>
      </c>
      <c r="V89" s="905">
        <v>0</v>
      </c>
      <c r="W89" s="905">
        <v>1</v>
      </c>
      <c r="X89" s="905">
        <v>0</v>
      </c>
      <c r="Y89" s="905">
        <v>0</v>
      </c>
      <c r="Z89" s="905">
        <v>0</v>
      </c>
      <c r="AA89" s="905">
        <v>0</v>
      </c>
      <c r="AB89" s="906">
        <v>3</v>
      </c>
      <c r="AC89" s="906">
        <v>5</v>
      </c>
      <c r="AD89" s="906">
        <v>6</v>
      </c>
      <c r="AE89" s="906">
        <v>7</v>
      </c>
      <c r="AF89" s="906">
        <v>1</v>
      </c>
      <c r="AG89" s="906">
        <v>2</v>
      </c>
      <c r="AH89" s="906">
        <v>4</v>
      </c>
      <c r="AI89" s="907">
        <v>2</v>
      </c>
      <c r="AJ89" s="907">
        <v>2</v>
      </c>
      <c r="AK89" s="907">
        <v>2</v>
      </c>
      <c r="AL89" s="907">
        <v>2</v>
      </c>
      <c r="AM89" s="907">
        <v>1</v>
      </c>
      <c r="AN89" s="907">
        <v>2</v>
      </c>
      <c r="AO89" s="907">
        <v>2</v>
      </c>
      <c r="AP89" s="907">
        <v>0</v>
      </c>
      <c r="AQ89" s="907">
        <v>0</v>
      </c>
      <c r="AR89" s="907">
        <v>0</v>
      </c>
      <c r="AS89" s="907">
        <v>0</v>
      </c>
      <c r="AT89" s="907">
        <v>0</v>
      </c>
      <c r="AU89" s="907">
        <v>1</v>
      </c>
    </row>
    <row r="90" spans="1:47" hidden="1">
      <c r="A90" s="898">
        <v>89</v>
      </c>
      <c r="B90" s="899">
        <v>1</v>
      </c>
      <c r="C90" s="900">
        <v>0</v>
      </c>
      <c r="D90" s="900">
        <v>0</v>
      </c>
      <c r="E90" s="900">
        <v>1</v>
      </c>
      <c r="F90" s="900">
        <v>0</v>
      </c>
      <c r="G90" s="901">
        <v>2</v>
      </c>
      <c r="H90" s="901">
        <v>1</v>
      </c>
      <c r="I90" s="901">
        <v>3</v>
      </c>
      <c r="J90" s="901">
        <v>4</v>
      </c>
      <c r="K90" s="902">
        <v>0</v>
      </c>
      <c r="L90" s="902">
        <v>1</v>
      </c>
      <c r="M90" s="902">
        <v>0</v>
      </c>
      <c r="N90" s="902">
        <f t="shared" si="2"/>
        <v>2</v>
      </c>
      <c r="O90" s="903">
        <v>1</v>
      </c>
      <c r="P90" s="903">
        <v>0</v>
      </c>
      <c r="Q90" s="903">
        <v>0</v>
      </c>
      <c r="R90" s="903">
        <v>0</v>
      </c>
      <c r="S90" s="903">
        <f t="shared" si="3"/>
        <v>1</v>
      </c>
      <c r="T90" s="904">
        <v>1</v>
      </c>
      <c r="U90" s="905">
        <v>1</v>
      </c>
      <c r="V90" s="905">
        <v>0</v>
      </c>
      <c r="W90" s="905">
        <v>1</v>
      </c>
      <c r="X90" s="905">
        <v>0</v>
      </c>
      <c r="Y90" s="905">
        <v>0</v>
      </c>
      <c r="Z90" s="905">
        <v>0</v>
      </c>
      <c r="AA90" s="905">
        <v>0</v>
      </c>
      <c r="AB90" s="906">
        <v>5</v>
      </c>
      <c r="AC90" s="906">
        <v>4</v>
      </c>
      <c r="AD90" s="906">
        <v>6</v>
      </c>
      <c r="AE90" s="906">
        <v>7</v>
      </c>
      <c r="AF90" s="906">
        <v>1</v>
      </c>
      <c r="AG90" s="906">
        <v>2</v>
      </c>
      <c r="AH90" s="906">
        <v>3</v>
      </c>
      <c r="AI90" s="907">
        <v>2</v>
      </c>
      <c r="AJ90" s="907">
        <v>2</v>
      </c>
      <c r="AK90" s="907">
        <v>3</v>
      </c>
      <c r="AL90" s="907">
        <v>2</v>
      </c>
      <c r="AM90" s="907">
        <v>1</v>
      </c>
      <c r="AN90" s="907">
        <v>2</v>
      </c>
      <c r="AO90" s="907">
        <v>1</v>
      </c>
      <c r="AP90" s="907">
        <v>0</v>
      </c>
      <c r="AQ90" s="907">
        <v>1</v>
      </c>
      <c r="AR90" s="907">
        <v>0</v>
      </c>
      <c r="AS90" s="907">
        <v>1</v>
      </c>
      <c r="AT90" s="907">
        <v>0</v>
      </c>
      <c r="AU90" s="907">
        <v>0</v>
      </c>
    </row>
    <row r="91" spans="1:47" hidden="1">
      <c r="A91" s="898">
        <v>90</v>
      </c>
      <c r="B91" s="899">
        <v>1</v>
      </c>
      <c r="C91" s="900">
        <v>0</v>
      </c>
      <c r="D91" s="900">
        <v>0</v>
      </c>
      <c r="E91" s="900">
        <v>1</v>
      </c>
      <c r="F91" s="900">
        <v>0</v>
      </c>
      <c r="G91" s="901">
        <v>3</v>
      </c>
      <c r="H91" s="901">
        <v>4</v>
      </c>
      <c r="I91" s="901">
        <v>1</v>
      </c>
      <c r="J91" s="901">
        <v>2</v>
      </c>
      <c r="K91" s="902">
        <v>1</v>
      </c>
      <c r="L91" s="902">
        <v>0</v>
      </c>
      <c r="M91" s="902">
        <v>0</v>
      </c>
      <c r="N91" s="902">
        <f t="shared" si="2"/>
        <v>1</v>
      </c>
      <c r="O91" s="903">
        <v>1</v>
      </c>
      <c r="P91" s="903">
        <v>0</v>
      </c>
      <c r="Q91" s="903">
        <v>0</v>
      </c>
      <c r="R91" s="903">
        <v>0</v>
      </c>
      <c r="S91" s="903">
        <f t="shared" si="3"/>
        <v>1</v>
      </c>
      <c r="T91" s="904">
        <v>1</v>
      </c>
      <c r="U91" s="905">
        <v>0</v>
      </c>
      <c r="V91" s="905">
        <v>0</v>
      </c>
      <c r="W91" s="905">
        <v>0</v>
      </c>
      <c r="X91" s="905">
        <v>0</v>
      </c>
      <c r="Y91" s="905">
        <v>1</v>
      </c>
      <c r="Z91" s="905">
        <v>0</v>
      </c>
      <c r="AA91" s="905">
        <v>0</v>
      </c>
      <c r="AB91" s="906">
        <v>3</v>
      </c>
      <c r="AC91" s="906">
        <v>1</v>
      </c>
      <c r="AD91" s="906">
        <v>5</v>
      </c>
      <c r="AE91" s="906">
        <v>7</v>
      </c>
      <c r="AF91" s="906">
        <v>6</v>
      </c>
      <c r="AG91" s="906">
        <v>4</v>
      </c>
      <c r="AH91" s="906">
        <v>2</v>
      </c>
      <c r="AI91" s="907">
        <v>1</v>
      </c>
      <c r="AJ91" s="907">
        <v>2</v>
      </c>
      <c r="AK91" s="907">
        <v>1</v>
      </c>
      <c r="AL91" s="907">
        <v>1</v>
      </c>
      <c r="AM91" s="907">
        <v>1</v>
      </c>
      <c r="AN91" s="907">
        <v>1</v>
      </c>
      <c r="AO91" s="907">
        <v>1</v>
      </c>
      <c r="AP91" s="907">
        <v>0</v>
      </c>
      <c r="AQ91" s="907">
        <v>0</v>
      </c>
      <c r="AR91" s="907">
        <v>0</v>
      </c>
      <c r="AS91" s="907">
        <v>0</v>
      </c>
      <c r="AT91" s="907">
        <v>1</v>
      </c>
      <c r="AU91" s="907">
        <v>0</v>
      </c>
    </row>
    <row r="92" spans="1:47" hidden="1">
      <c r="A92" s="898">
        <v>91</v>
      </c>
      <c r="B92" s="899">
        <v>0</v>
      </c>
      <c r="C92" s="900">
        <v>0</v>
      </c>
      <c r="D92" s="900">
        <v>0</v>
      </c>
      <c r="E92" s="900">
        <v>0</v>
      </c>
      <c r="F92" s="900">
        <v>1</v>
      </c>
      <c r="G92" s="901">
        <v>2</v>
      </c>
      <c r="H92" s="901">
        <v>1</v>
      </c>
      <c r="I92" s="901">
        <v>3</v>
      </c>
      <c r="J92" s="901">
        <v>4</v>
      </c>
      <c r="K92" s="902">
        <v>0</v>
      </c>
      <c r="L92" s="902">
        <v>0</v>
      </c>
      <c r="M92" s="902">
        <v>1</v>
      </c>
      <c r="N92" s="902">
        <f t="shared" si="2"/>
        <v>3</v>
      </c>
      <c r="O92" s="908">
        <v>1</v>
      </c>
      <c r="P92" s="908">
        <v>0</v>
      </c>
      <c r="Q92" s="908">
        <v>0</v>
      </c>
      <c r="R92" s="908">
        <v>0</v>
      </c>
      <c r="S92" s="903">
        <f t="shared" si="3"/>
        <v>1</v>
      </c>
      <c r="T92" s="904">
        <v>1</v>
      </c>
      <c r="U92" s="905">
        <v>0</v>
      </c>
      <c r="V92" s="905">
        <v>0</v>
      </c>
      <c r="W92" s="905">
        <v>1</v>
      </c>
      <c r="X92" s="905">
        <v>0</v>
      </c>
      <c r="Y92" s="905">
        <v>0</v>
      </c>
      <c r="Z92" s="905">
        <v>0</v>
      </c>
      <c r="AA92" s="905">
        <v>0</v>
      </c>
      <c r="AB92" s="906">
        <v>6</v>
      </c>
      <c r="AC92" s="906">
        <v>4</v>
      </c>
      <c r="AD92" s="906">
        <v>5</v>
      </c>
      <c r="AE92" s="906">
        <v>7</v>
      </c>
      <c r="AF92" s="906">
        <v>1</v>
      </c>
      <c r="AG92" s="906">
        <v>2</v>
      </c>
      <c r="AH92" s="906">
        <v>3</v>
      </c>
      <c r="AI92" s="907">
        <v>1</v>
      </c>
      <c r="AJ92" s="907">
        <v>2</v>
      </c>
      <c r="AK92" s="907">
        <v>2</v>
      </c>
      <c r="AL92" s="907">
        <v>2</v>
      </c>
      <c r="AM92" s="907">
        <v>1</v>
      </c>
      <c r="AN92" s="907">
        <v>1</v>
      </c>
      <c r="AO92" s="907">
        <v>1</v>
      </c>
      <c r="AP92" s="907">
        <v>0</v>
      </c>
      <c r="AQ92" s="907">
        <v>0</v>
      </c>
      <c r="AR92" s="907">
        <v>0</v>
      </c>
      <c r="AS92" s="907">
        <v>0</v>
      </c>
      <c r="AT92" s="907">
        <v>1</v>
      </c>
      <c r="AU92" s="907">
        <v>0</v>
      </c>
    </row>
    <row r="93" spans="1:47" hidden="1">
      <c r="A93" s="898">
        <v>92</v>
      </c>
      <c r="B93" s="899">
        <v>1</v>
      </c>
      <c r="C93" s="900">
        <v>1</v>
      </c>
      <c r="D93" s="900">
        <v>0</v>
      </c>
      <c r="E93" s="900">
        <v>0</v>
      </c>
      <c r="F93" s="900">
        <v>0</v>
      </c>
      <c r="G93" s="901">
        <v>4</v>
      </c>
      <c r="H93" s="901">
        <v>2</v>
      </c>
      <c r="I93" s="901">
        <v>3</v>
      </c>
      <c r="J93" s="901">
        <v>1</v>
      </c>
      <c r="K93" s="902">
        <v>1</v>
      </c>
      <c r="L93" s="902">
        <v>0</v>
      </c>
      <c r="M93" s="902">
        <v>0</v>
      </c>
      <c r="N93" s="902">
        <f t="shared" si="2"/>
        <v>1</v>
      </c>
      <c r="O93" s="903">
        <v>1</v>
      </c>
      <c r="P93" s="903">
        <v>0</v>
      </c>
      <c r="Q93" s="903">
        <v>0</v>
      </c>
      <c r="R93" s="903">
        <v>0</v>
      </c>
      <c r="S93" s="903">
        <f t="shared" si="3"/>
        <v>1</v>
      </c>
      <c r="T93" s="904">
        <v>1</v>
      </c>
      <c r="U93" s="905">
        <v>0</v>
      </c>
      <c r="V93" s="905">
        <v>0</v>
      </c>
      <c r="W93" s="905">
        <v>1</v>
      </c>
      <c r="X93" s="905">
        <v>0</v>
      </c>
      <c r="Y93" s="905">
        <v>0</v>
      </c>
      <c r="Z93" s="905">
        <v>1</v>
      </c>
      <c r="AA93" s="905">
        <v>0</v>
      </c>
      <c r="AB93" s="906">
        <v>3</v>
      </c>
      <c r="AC93" s="906">
        <v>4</v>
      </c>
      <c r="AD93" s="906">
        <v>5</v>
      </c>
      <c r="AE93" s="906">
        <v>6</v>
      </c>
      <c r="AF93" s="906">
        <v>7</v>
      </c>
      <c r="AG93" s="906">
        <v>1</v>
      </c>
      <c r="AH93" s="906">
        <v>2</v>
      </c>
      <c r="AI93" s="907">
        <v>3</v>
      </c>
      <c r="AJ93" s="907">
        <v>2</v>
      </c>
      <c r="AK93" s="907">
        <v>2</v>
      </c>
      <c r="AL93" s="907">
        <v>2</v>
      </c>
      <c r="AM93" s="907">
        <v>2</v>
      </c>
      <c r="AN93" s="907">
        <v>2</v>
      </c>
      <c r="AO93" s="907">
        <v>2</v>
      </c>
      <c r="AP93" s="907">
        <v>1</v>
      </c>
      <c r="AQ93" s="907">
        <v>0</v>
      </c>
      <c r="AR93" s="907">
        <v>0</v>
      </c>
      <c r="AS93" s="907">
        <v>0</v>
      </c>
      <c r="AT93" s="907">
        <v>0</v>
      </c>
      <c r="AU93" s="907">
        <v>0</v>
      </c>
    </row>
    <row r="94" spans="1:47">
      <c r="A94" s="898">
        <v>93</v>
      </c>
      <c r="B94" s="899">
        <v>0</v>
      </c>
      <c r="C94" s="900">
        <v>0</v>
      </c>
      <c r="D94" s="900">
        <v>1</v>
      </c>
      <c r="E94" s="900">
        <v>0</v>
      </c>
      <c r="F94" s="900">
        <v>0</v>
      </c>
      <c r="G94" s="901">
        <v>4</v>
      </c>
      <c r="H94" s="901">
        <v>2</v>
      </c>
      <c r="I94" s="901">
        <v>3</v>
      </c>
      <c r="J94" s="901">
        <v>1</v>
      </c>
      <c r="K94" s="902">
        <v>0</v>
      </c>
      <c r="L94" s="902">
        <v>1</v>
      </c>
      <c r="M94" s="902">
        <v>0</v>
      </c>
      <c r="N94" s="902">
        <f t="shared" si="2"/>
        <v>2</v>
      </c>
      <c r="O94" s="903">
        <v>1</v>
      </c>
      <c r="P94" s="903">
        <v>0</v>
      </c>
      <c r="Q94" s="903">
        <v>0</v>
      </c>
      <c r="R94" s="903">
        <v>0</v>
      </c>
      <c r="S94" s="903">
        <f t="shared" si="3"/>
        <v>1</v>
      </c>
      <c r="T94" s="904">
        <v>1</v>
      </c>
      <c r="U94" s="905">
        <v>0</v>
      </c>
      <c r="V94" s="905">
        <v>0</v>
      </c>
      <c r="W94" s="905">
        <v>0</v>
      </c>
      <c r="X94" s="905">
        <v>1</v>
      </c>
      <c r="Y94" s="905">
        <v>0</v>
      </c>
      <c r="Z94" s="905">
        <v>0</v>
      </c>
      <c r="AA94" s="905">
        <v>0</v>
      </c>
      <c r="AB94" s="906">
        <v>1</v>
      </c>
      <c r="AC94" s="906">
        <v>5</v>
      </c>
      <c r="AD94" s="906">
        <v>2</v>
      </c>
      <c r="AE94" s="906">
        <v>6</v>
      </c>
      <c r="AF94" s="906">
        <v>4</v>
      </c>
      <c r="AG94" s="906">
        <v>3</v>
      </c>
      <c r="AH94" s="906">
        <v>7</v>
      </c>
      <c r="AI94" s="907">
        <v>2</v>
      </c>
      <c r="AJ94" s="907">
        <v>2</v>
      </c>
      <c r="AK94" s="907">
        <v>2</v>
      </c>
      <c r="AL94" s="907">
        <v>3</v>
      </c>
      <c r="AM94" s="907">
        <v>1</v>
      </c>
      <c r="AN94" s="907">
        <v>1</v>
      </c>
      <c r="AO94" s="907">
        <v>4</v>
      </c>
      <c r="AP94" s="907">
        <v>0</v>
      </c>
      <c r="AQ94" s="907">
        <v>0</v>
      </c>
      <c r="AR94" s="907">
        <v>0</v>
      </c>
      <c r="AS94" s="907">
        <v>1</v>
      </c>
      <c r="AT94" s="907">
        <v>0</v>
      </c>
      <c r="AU94" s="907">
        <v>0</v>
      </c>
    </row>
    <row r="95" spans="1:47" hidden="1">
      <c r="A95" s="898">
        <v>94</v>
      </c>
      <c r="B95" s="899">
        <v>1</v>
      </c>
      <c r="C95" s="900">
        <v>0</v>
      </c>
      <c r="D95" s="900">
        <v>1</v>
      </c>
      <c r="E95" s="900">
        <v>0</v>
      </c>
      <c r="F95" s="900">
        <v>0</v>
      </c>
      <c r="G95" s="901">
        <v>4</v>
      </c>
      <c r="H95" s="901">
        <v>1</v>
      </c>
      <c r="I95" s="901">
        <v>2</v>
      </c>
      <c r="J95" s="901">
        <v>3</v>
      </c>
      <c r="K95" s="902">
        <v>1</v>
      </c>
      <c r="L95" s="902">
        <v>0</v>
      </c>
      <c r="M95" s="902">
        <v>0</v>
      </c>
      <c r="N95" s="902">
        <f t="shared" si="2"/>
        <v>1</v>
      </c>
      <c r="O95" s="903">
        <v>1</v>
      </c>
      <c r="P95" s="903">
        <v>0</v>
      </c>
      <c r="Q95" s="903">
        <v>0</v>
      </c>
      <c r="R95" s="903">
        <v>0</v>
      </c>
      <c r="S95" s="903">
        <f t="shared" si="3"/>
        <v>1</v>
      </c>
      <c r="T95" s="904">
        <v>1</v>
      </c>
      <c r="U95" s="905">
        <v>0</v>
      </c>
      <c r="V95" s="905">
        <v>1</v>
      </c>
      <c r="W95" s="905">
        <v>1</v>
      </c>
      <c r="X95" s="905">
        <v>1</v>
      </c>
      <c r="Y95" s="905">
        <v>0</v>
      </c>
      <c r="Z95" s="905">
        <v>1</v>
      </c>
      <c r="AA95" s="905">
        <v>0</v>
      </c>
      <c r="AB95" s="906">
        <v>7</v>
      </c>
      <c r="AC95" s="906">
        <v>5</v>
      </c>
      <c r="AD95" s="906">
        <v>2</v>
      </c>
      <c r="AE95" s="906">
        <v>1</v>
      </c>
      <c r="AF95" s="906">
        <v>6</v>
      </c>
      <c r="AG95" s="906">
        <v>4</v>
      </c>
      <c r="AH95" s="906">
        <v>3</v>
      </c>
      <c r="AI95" s="907">
        <v>2</v>
      </c>
      <c r="AJ95" s="907">
        <v>1</v>
      </c>
      <c r="AK95" s="907">
        <v>2</v>
      </c>
      <c r="AL95" s="907">
        <v>1</v>
      </c>
      <c r="AM95" s="907">
        <v>1</v>
      </c>
      <c r="AN95" s="907">
        <v>1</v>
      </c>
      <c r="AO95" s="907">
        <v>1</v>
      </c>
      <c r="AP95" s="907">
        <v>0</v>
      </c>
      <c r="AQ95" s="907">
        <v>0</v>
      </c>
      <c r="AR95" s="907">
        <v>0</v>
      </c>
      <c r="AS95" s="907">
        <v>0</v>
      </c>
      <c r="AT95" s="907">
        <v>1</v>
      </c>
      <c r="AU95" s="907">
        <v>0</v>
      </c>
    </row>
    <row r="96" spans="1:47">
      <c r="A96" s="898">
        <v>95</v>
      </c>
      <c r="B96" s="899">
        <v>0</v>
      </c>
      <c r="C96" s="900">
        <v>0</v>
      </c>
      <c r="D96" s="900">
        <v>1</v>
      </c>
      <c r="E96" s="900">
        <v>0</v>
      </c>
      <c r="F96" s="900">
        <v>0</v>
      </c>
      <c r="G96" s="901">
        <v>2</v>
      </c>
      <c r="H96" s="901">
        <v>1</v>
      </c>
      <c r="I96" s="901">
        <v>3</v>
      </c>
      <c r="J96" s="901">
        <v>4</v>
      </c>
      <c r="K96" s="902">
        <v>1</v>
      </c>
      <c r="L96" s="902">
        <v>0</v>
      </c>
      <c r="M96" s="902">
        <v>0</v>
      </c>
      <c r="N96" s="902">
        <f t="shared" si="2"/>
        <v>1</v>
      </c>
      <c r="O96" s="903">
        <v>0</v>
      </c>
      <c r="P96" s="903">
        <v>0</v>
      </c>
      <c r="Q96" s="903">
        <v>0</v>
      </c>
      <c r="R96" s="903">
        <v>1</v>
      </c>
      <c r="S96" s="903">
        <f t="shared" si="3"/>
        <v>4</v>
      </c>
      <c r="T96" s="904">
        <v>0</v>
      </c>
      <c r="U96" s="905">
        <v>0</v>
      </c>
      <c r="V96" s="905">
        <v>1</v>
      </c>
      <c r="W96" s="905">
        <v>1</v>
      </c>
      <c r="X96" s="905">
        <v>1</v>
      </c>
      <c r="Y96" s="905">
        <v>0</v>
      </c>
      <c r="Z96" s="905">
        <v>0</v>
      </c>
      <c r="AA96" s="905">
        <v>7</v>
      </c>
      <c r="AB96" s="906">
        <v>7</v>
      </c>
      <c r="AC96" s="906">
        <v>6</v>
      </c>
      <c r="AD96" s="906">
        <v>1</v>
      </c>
      <c r="AE96" s="906">
        <v>2</v>
      </c>
      <c r="AF96" s="906">
        <v>4</v>
      </c>
      <c r="AG96" s="906">
        <v>3</v>
      </c>
      <c r="AH96" s="906">
        <v>5</v>
      </c>
      <c r="AI96" s="907">
        <v>2</v>
      </c>
      <c r="AJ96" s="907">
        <v>2</v>
      </c>
      <c r="AK96" s="907">
        <v>2</v>
      </c>
      <c r="AL96" s="907">
        <v>1</v>
      </c>
      <c r="AM96" s="907">
        <v>1</v>
      </c>
      <c r="AN96" s="907">
        <v>1</v>
      </c>
      <c r="AO96" s="907">
        <v>1</v>
      </c>
      <c r="AP96" s="907">
        <v>0</v>
      </c>
      <c r="AQ96" s="907">
        <v>1</v>
      </c>
      <c r="AR96" s="907">
        <v>0</v>
      </c>
      <c r="AS96" s="907">
        <v>0</v>
      </c>
      <c r="AT96" s="907">
        <v>0</v>
      </c>
      <c r="AU96" s="907">
        <v>0</v>
      </c>
    </row>
    <row r="97" spans="1:48" hidden="1">
      <c r="A97" s="898">
        <v>96</v>
      </c>
      <c r="B97" s="899">
        <v>1</v>
      </c>
      <c r="C97" s="900">
        <v>0</v>
      </c>
      <c r="D97" s="900">
        <v>1</v>
      </c>
      <c r="E97" s="900">
        <v>0</v>
      </c>
      <c r="F97" s="900">
        <v>0</v>
      </c>
      <c r="G97" s="901">
        <v>3</v>
      </c>
      <c r="H97" s="901">
        <v>2</v>
      </c>
      <c r="I97" s="901">
        <v>4</v>
      </c>
      <c r="J97" s="901">
        <v>1</v>
      </c>
      <c r="K97" s="902">
        <v>1</v>
      </c>
      <c r="L97" s="902">
        <v>0</v>
      </c>
      <c r="M97" s="902">
        <v>0</v>
      </c>
      <c r="N97" s="902">
        <f t="shared" si="2"/>
        <v>1</v>
      </c>
      <c r="O97" s="903">
        <v>1</v>
      </c>
      <c r="P97" s="903">
        <v>0</v>
      </c>
      <c r="Q97" s="903">
        <v>0</v>
      </c>
      <c r="R97" s="903">
        <v>0</v>
      </c>
      <c r="S97" s="903">
        <f t="shared" si="3"/>
        <v>1</v>
      </c>
      <c r="T97" s="904">
        <v>1</v>
      </c>
      <c r="U97" s="905">
        <v>0</v>
      </c>
      <c r="V97" s="905">
        <v>0</v>
      </c>
      <c r="W97" s="905">
        <v>0</v>
      </c>
      <c r="X97" s="905">
        <v>0</v>
      </c>
      <c r="Y97" s="905">
        <v>0</v>
      </c>
      <c r="Z97" s="905">
        <v>1</v>
      </c>
      <c r="AA97" s="905">
        <v>0</v>
      </c>
      <c r="AB97" s="906">
        <v>7</v>
      </c>
      <c r="AC97" s="906">
        <v>5</v>
      </c>
      <c r="AD97" s="906">
        <v>1</v>
      </c>
      <c r="AE97" s="906">
        <v>2</v>
      </c>
      <c r="AF97" s="906">
        <v>3</v>
      </c>
      <c r="AG97" s="906">
        <v>4</v>
      </c>
      <c r="AH97" s="906">
        <v>6</v>
      </c>
      <c r="AI97" s="907">
        <v>1</v>
      </c>
      <c r="AJ97" s="907">
        <v>1</v>
      </c>
      <c r="AK97" s="907">
        <v>2</v>
      </c>
      <c r="AL97" s="907">
        <v>1</v>
      </c>
      <c r="AM97" s="907">
        <v>2</v>
      </c>
      <c r="AN97" s="907">
        <v>1</v>
      </c>
      <c r="AO97" s="907">
        <v>2</v>
      </c>
      <c r="AP97" s="907">
        <v>0</v>
      </c>
      <c r="AQ97" s="907">
        <v>0</v>
      </c>
      <c r="AR97" s="907">
        <v>0</v>
      </c>
      <c r="AS97" s="907">
        <v>1</v>
      </c>
      <c r="AT97" s="907">
        <v>0</v>
      </c>
      <c r="AU97" s="907">
        <v>0</v>
      </c>
    </row>
    <row r="98" spans="1:48" hidden="1">
      <c r="A98" s="898">
        <v>97</v>
      </c>
      <c r="B98" s="899">
        <v>0</v>
      </c>
      <c r="C98" s="900">
        <v>0</v>
      </c>
      <c r="D98" s="900">
        <v>1</v>
      </c>
      <c r="E98" s="900">
        <v>0</v>
      </c>
      <c r="F98" s="900">
        <v>0</v>
      </c>
      <c r="G98" s="901">
        <v>3</v>
      </c>
      <c r="H98" s="901">
        <v>2</v>
      </c>
      <c r="I98" s="901">
        <v>4</v>
      </c>
      <c r="J98" s="901">
        <v>1</v>
      </c>
      <c r="K98" s="902">
        <v>1</v>
      </c>
      <c r="L98" s="902">
        <v>0</v>
      </c>
      <c r="M98" s="902">
        <v>0</v>
      </c>
      <c r="N98" s="902">
        <f t="shared" si="2"/>
        <v>1</v>
      </c>
      <c r="O98" s="903">
        <v>0</v>
      </c>
      <c r="P98" s="903">
        <v>1</v>
      </c>
      <c r="Q98" s="903">
        <v>0</v>
      </c>
      <c r="R98" s="903">
        <v>0</v>
      </c>
      <c r="S98" s="903">
        <f t="shared" si="3"/>
        <v>2</v>
      </c>
      <c r="T98" s="904">
        <v>1</v>
      </c>
      <c r="U98" s="905">
        <v>0</v>
      </c>
      <c r="V98" s="905">
        <v>0</v>
      </c>
      <c r="W98" s="905">
        <v>1</v>
      </c>
      <c r="X98" s="905">
        <v>1</v>
      </c>
      <c r="Y98" s="905">
        <v>1</v>
      </c>
      <c r="Z98" s="905">
        <v>0</v>
      </c>
      <c r="AA98" s="905">
        <v>1</v>
      </c>
      <c r="AB98" s="906">
        <v>2</v>
      </c>
      <c r="AC98" s="906">
        <v>5</v>
      </c>
      <c r="AD98" s="906">
        <v>1</v>
      </c>
      <c r="AE98" s="906">
        <v>3</v>
      </c>
      <c r="AF98" s="906">
        <v>7</v>
      </c>
      <c r="AG98" s="906">
        <v>6</v>
      </c>
      <c r="AH98" s="906">
        <v>4</v>
      </c>
      <c r="AI98" s="907">
        <v>1</v>
      </c>
      <c r="AJ98" s="907">
        <v>2</v>
      </c>
      <c r="AK98" s="907">
        <v>2</v>
      </c>
      <c r="AL98" s="907">
        <v>3</v>
      </c>
      <c r="AM98" s="907">
        <v>1</v>
      </c>
      <c r="AN98" s="907">
        <v>1</v>
      </c>
      <c r="AO98" s="907">
        <v>2</v>
      </c>
      <c r="AP98" s="907">
        <v>1</v>
      </c>
      <c r="AQ98" s="907">
        <v>1</v>
      </c>
      <c r="AR98" s="907">
        <v>0</v>
      </c>
      <c r="AS98" s="907">
        <v>0</v>
      </c>
      <c r="AT98" s="907">
        <v>1</v>
      </c>
      <c r="AU98" s="907">
        <v>0</v>
      </c>
    </row>
    <row r="99" spans="1:48">
      <c r="A99" s="898">
        <v>98</v>
      </c>
      <c r="B99" s="899">
        <v>0</v>
      </c>
      <c r="C99" s="900">
        <v>0</v>
      </c>
      <c r="D99" s="900">
        <v>0</v>
      </c>
      <c r="E99" s="900">
        <v>0</v>
      </c>
      <c r="F99" s="900">
        <v>1</v>
      </c>
      <c r="G99" s="901">
        <v>4</v>
      </c>
      <c r="H99" s="901">
        <v>2</v>
      </c>
      <c r="I99" s="901">
        <v>3</v>
      </c>
      <c r="J99" s="901">
        <v>1</v>
      </c>
      <c r="K99" s="902">
        <v>1</v>
      </c>
      <c r="L99" s="902">
        <v>0</v>
      </c>
      <c r="M99" s="902">
        <v>0</v>
      </c>
      <c r="N99" s="902">
        <f t="shared" si="2"/>
        <v>1</v>
      </c>
      <c r="O99" s="903">
        <v>1</v>
      </c>
      <c r="P99" s="903">
        <v>0</v>
      </c>
      <c r="Q99" s="903">
        <v>0</v>
      </c>
      <c r="R99" s="903">
        <v>0</v>
      </c>
      <c r="S99" s="903">
        <f t="shared" si="3"/>
        <v>1</v>
      </c>
      <c r="T99" s="904">
        <v>1</v>
      </c>
      <c r="U99" s="905">
        <v>0</v>
      </c>
      <c r="V99" s="905">
        <v>0</v>
      </c>
      <c r="W99" s="905">
        <v>1</v>
      </c>
      <c r="X99" s="905">
        <v>0</v>
      </c>
      <c r="Y99" s="905">
        <v>0</v>
      </c>
      <c r="Z99" s="905">
        <v>0</v>
      </c>
      <c r="AA99" s="905">
        <v>0</v>
      </c>
      <c r="AB99" s="906">
        <v>7</v>
      </c>
      <c r="AC99" s="906">
        <v>2</v>
      </c>
      <c r="AD99" s="906">
        <v>3</v>
      </c>
      <c r="AE99" s="906">
        <v>5</v>
      </c>
      <c r="AF99" s="906">
        <v>4</v>
      </c>
      <c r="AG99" s="906">
        <v>1</v>
      </c>
      <c r="AH99" s="906">
        <v>6</v>
      </c>
      <c r="AI99" s="907">
        <v>1</v>
      </c>
      <c r="AJ99" s="907">
        <v>2</v>
      </c>
      <c r="AK99" s="907">
        <v>2</v>
      </c>
      <c r="AL99" s="907">
        <v>2</v>
      </c>
      <c r="AM99" s="907">
        <v>1</v>
      </c>
      <c r="AN99" s="907">
        <v>1</v>
      </c>
      <c r="AO99" s="907">
        <v>2</v>
      </c>
      <c r="AP99" s="907">
        <v>0</v>
      </c>
      <c r="AQ99" s="907">
        <v>0</v>
      </c>
      <c r="AR99" s="907">
        <v>0</v>
      </c>
      <c r="AS99" s="907">
        <v>1</v>
      </c>
      <c r="AT99" s="907">
        <v>0</v>
      </c>
      <c r="AU99" s="907">
        <v>0</v>
      </c>
    </row>
    <row r="100" spans="1:48" hidden="1">
      <c r="A100" s="898">
        <v>99</v>
      </c>
      <c r="B100" s="899">
        <v>0</v>
      </c>
      <c r="C100" s="900">
        <v>0</v>
      </c>
      <c r="D100" s="900">
        <v>1</v>
      </c>
      <c r="E100" s="900">
        <v>0</v>
      </c>
      <c r="F100" s="900">
        <v>0</v>
      </c>
      <c r="G100" s="901">
        <v>2</v>
      </c>
      <c r="H100" s="901">
        <v>3</v>
      </c>
      <c r="I100" s="901">
        <v>4</v>
      </c>
      <c r="J100" s="901">
        <v>1</v>
      </c>
      <c r="K100" s="902">
        <v>0</v>
      </c>
      <c r="L100" s="902">
        <v>0</v>
      </c>
      <c r="M100" s="902">
        <v>1</v>
      </c>
      <c r="N100" s="902">
        <f t="shared" si="2"/>
        <v>3</v>
      </c>
      <c r="O100" s="908">
        <v>1</v>
      </c>
      <c r="P100" s="908">
        <v>0</v>
      </c>
      <c r="Q100" s="908">
        <v>0</v>
      </c>
      <c r="R100" s="908">
        <v>0</v>
      </c>
      <c r="S100" s="903">
        <f t="shared" si="3"/>
        <v>1</v>
      </c>
      <c r="T100" s="904">
        <v>1</v>
      </c>
      <c r="U100" s="905">
        <v>0</v>
      </c>
      <c r="V100" s="905">
        <v>1</v>
      </c>
      <c r="W100" s="905">
        <v>1</v>
      </c>
      <c r="X100" s="905">
        <v>0</v>
      </c>
      <c r="Y100" s="905">
        <v>1</v>
      </c>
      <c r="Z100" s="905">
        <v>1</v>
      </c>
      <c r="AA100" s="905">
        <v>0</v>
      </c>
      <c r="AB100" s="906">
        <v>6</v>
      </c>
      <c r="AC100" s="906">
        <v>4</v>
      </c>
      <c r="AD100" s="906">
        <v>5</v>
      </c>
      <c r="AE100" s="906">
        <v>7</v>
      </c>
      <c r="AF100" s="906">
        <v>1</v>
      </c>
      <c r="AG100" s="906">
        <v>2</v>
      </c>
      <c r="AH100" s="906">
        <v>3</v>
      </c>
      <c r="AI100" s="907">
        <v>1</v>
      </c>
      <c r="AJ100" s="907">
        <v>2</v>
      </c>
      <c r="AK100" s="907">
        <v>2</v>
      </c>
      <c r="AL100" s="907">
        <v>2</v>
      </c>
      <c r="AM100" s="907">
        <v>1</v>
      </c>
      <c r="AN100" s="907">
        <v>1</v>
      </c>
      <c r="AO100" s="907">
        <v>1</v>
      </c>
      <c r="AP100" s="907">
        <v>0</v>
      </c>
      <c r="AQ100" s="907">
        <v>0</v>
      </c>
      <c r="AR100" s="907">
        <v>0</v>
      </c>
      <c r="AS100" s="907">
        <v>0</v>
      </c>
      <c r="AT100" s="907">
        <v>1</v>
      </c>
      <c r="AU100" s="907">
        <v>0</v>
      </c>
    </row>
    <row r="101" spans="1:48" hidden="1">
      <c r="A101" s="898">
        <v>100</v>
      </c>
      <c r="B101" s="899">
        <v>0</v>
      </c>
      <c r="C101" s="900">
        <v>1</v>
      </c>
      <c r="D101" s="900">
        <v>0</v>
      </c>
      <c r="E101" s="900">
        <v>0</v>
      </c>
      <c r="F101" s="900">
        <v>0</v>
      </c>
      <c r="G101" s="901">
        <v>3</v>
      </c>
      <c r="H101" s="901">
        <v>4</v>
      </c>
      <c r="I101" s="901">
        <v>2</v>
      </c>
      <c r="J101" s="901">
        <v>1</v>
      </c>
      <c r="K101" s="902">
        <v>1</v>
      </c>
      <c r="L101" s="902">
        <v>0</v>
      </c>
      <c r="M101" s="902">
        <v>0</v>
      </c>
      <c r="N101" s="902">
        <f t="shared" si="2"/>
        <v>1</v>
      </c>
      <c r="O101" s="903">
        <v>0</v>
      </c>
      <c r="P101" s="903">
        <v>0</v>
      </c>
      <c r="Q101" s="903">
        <v>1</v>
      </c>
      <c r="R101" s="903">
        <v>0</v>
      </c>
      <c r="S101" s="903">
        <f t="shared" si="3"/>
        <v>3</v>
      </c>
      <c r="T101" s="904">
        <v>1</v>
      </c>
      <c r="U101" s="905">
        <v>0</v>
      </c>
      <c r="V101" s="905">
        <v>0</v>
      </c>
      <c r="W101" s="905">
        <v>1</v>
      </c>
      <c r="X101" s="905">
        <v>0</v>
      </c>
      <c r="Y101" s="905">
        <v>0</v>
      </c>
      <c r="Z101" s="905">
        <v>1</v>
      </c>
      <c r="AA101" s="905">
        <v>0</v>
      </c>
      <c r="AB101" s="906">
        <v>2</v>
      </c>
      <c r="AC101" s="906">
        <v>7</v>
      </c>
      <c r="AD101" s="906">
        <v>1</v>
      </c>
      <c r="AE101" s="906">
        <v>5</v>
      </c>
      <c r="AF101" s="906">
        <v>3</v>
      </c>
      <c r="AG101" s="906">
        <v>4</v>
      </c>
      <c r="AH101" s="906">
        <v>6</v>
      </c>
      <c r="AI101" s="907">
        <v>2</v>
      </c>
      <c r="AJ101" s="907">
        <v>1</v>
      </c>
      <c r="AK101" s="907">
        <v>3</v>
      </c>
      <c r="AL101" s="907">
        <v>3</v>
      </c>
      <c r="AM101" s="907">
        <v>1</v>
      </c>
      <c r="AN101" s="907">
        <v>1</v>
      </c>
      <c r="AO101" s="907">
        <v>2</v>
      </c>
      <c r="AP101" s="907">
        <v>0</v>
      </c>
      <c r="AQ101" s="907">
        <v>0</v>
      </c>
      <c r="AR101" s="907">
        <v>0</v>
      </c>
      <c r="AS101" s="907">
        <v>1</v>
      </c>
      <c r="AT101" s="907">
        <v>0</v>
      </c>
      <c r="AU101" s="907">
        <v>0</v>
      </c>
    </row>
    <row r="102" spans="1:48" hidden="1">
      <c r="A102" s="898">
        <v>101</v>
      </c>
      <c r="B102" s="899">
        <v>1</v>
      </c>
      <c r="C102" s="900">
        <v>0</v>
      </c>
      <c r="D102" s="900">
        <v>0</v>
      </c>
      <c r="E102" s="900">
        <v>1</v>
      </c>
      <c r="F102" s="900">
        <v>0</v>
      </c>
      <c r="G102" s="901">
        <v>1</v>
      </c>
      <c r="H102" s="901">
        <v>2</v>
      </c>
      <c r="I102" s="901">
        <v>3</v>
      </c>
      <c r="J102" s="901">
        <v>4</v>
      </c>
      <c r="K102" s="902">
        <v>1</v>
      </c>
      <c r="L102" s="902">
        <v>0</v>
      </c>
      <c r="M102" s="902">
        <v>0</v>
      </c>
      <c r="N102" s="902">
        <f t="shared" si="2"/>
        <v>1</v>
      </c>
      <c r="O102" s="903">
        <v>1</v>
      </c>
      <c r="P102" s="903">
        <v>0</v>
      </c>
      <c r="Q102" s="903">
        <v>0</v>
      </c>
      <c r="R102" s="903">
        <v>0</v>
      </c>
      <c r="S102" s="903">
        <f t="shared" si="3"/>
        <v>1</v>
      </c>
      <c r="T102" s="904">
        <v>1</v>
      </c>
      <c r="U102" s="905">
        <v>0</v>
      </c>
      <c r="V102" s="905">
        <v>0</v>
      </c>
      <c r="W102" s="905">
        <v>0</v>
      </c>
      <c r="X102" s="905">
        <v>0</v>
      </c>
      <c r="Y102" s="905">
        <v>0</v>
      </c>
      <c r="Z102" s="905">
        <v>1</v>
      </c>
      <c r="AA102" s="905">
        <v>0</v>
      </c>
      <c r="AB102" s="906">
        <v>3</v>
      </c>
      <c r="AC102" s="906">
        <v>4</v>
      </c>
      <c r="AD102" s="906">
        <v>5</v>
      </c>
      <c r="AE102" s="906">
        <v>7</v>
      </c>
      <c r="AF102" s="906">
        <v>2</v>
      </c>
      <c r="AG102" s="906">
        <v>1</v>
      </c>
      <c r="AH102" s="906">
        <v>6</v>
      </c>
      <c r="AI102" s="907">
        <v>2</v>
      </c>
      <c r="AJ102" s="907">
        <v>2</v>
      </c>
      <c r="AK102" s="907">
        <v>2</v>
      </c>
      <c r="AL102" s="907">
        <v>1</v>
      </c>
      <c r="AM102" s="907">
        <v>2</v>
      </c>
      <c r="AN102" s="907">
        <v>2</v>
      </c>
      <c r="AO102" s="907">
        <v>2</v>
      </c>
      <c r="AP102" s="907">
        <v>0</v>
      </c>
      <c r="AQ102" s="907">
        <v>1</v>
      </c>
      <c r="AR102" s="907">
        <v>0</v>
      </c>
      <c r="AS102" s="907">
        <v>0</v>
      </c>
      <c r="AT102" s="907">
        <v>0</v>
      </c>
      <c r="AU102" s="907">
        <v>0</v>
      </c>
      <c r="AV102" s="909"/>
    </row>
    <row r="103" spans="1:48" hidden="1">
      <c r="A103" s="898">
        <v>102</v>
      </c>
      <c r="B103" s="899">
        <v>1</v>
      </c>
      <c r="C103" s="900">
        <v>0</v>
      </c>
      <c r="D103" s="900">
        <v>1</v>
      </c>
      <c r="E103" s="900">
        <v>0</v>
      </c>
      <c r="F103" s="900">
        <v>0</v>
      </c>
      <c r="G103" s="901">
        <v>1</v>
      </c>
      <c r="H103" s="901">
        <v>3</v>
      </c>
      <c r="I103" s="901">
        <v>4</v>
      </c>
      <c r="J103" s="901">
        <v>2</v>
      </c>
      <c r="K103" s="902">
        <v>1</v>
      </c>
      <c r="L103" s="902">
        <v>0</v>
      </c>
      <c r="M103" s="902">
        <v>0</v>
      </c>
      <c r="N103" s="902">
        <f t="shared" si="2"/>
        <v>1</v>
      </c>
      <c r="O103" s="903">
        <v>0</v>
      </c>
      <c r="P103" s="903">
        <v>1</v>
      </c>
      <c r="Q103" s="903">
        <v>0</v>
      </c>
      <c r="R103" s="903">
        <v>0</v>
      </c>
      <c r="S103" s="903">
        <f t="shared" si="3"/>
        <v>2</v>
      </c>
      <c r="T103" s="904">
        <v>1</v>
      </c>
      <c r="U103" s="905">
        <v>1</v>
      </c>
      <c r="V103" s="905">
        <v>0</v>
      </c>
      <c r="W103" s="905">
        <v>0</v>
      </c>
      <c r="X103" s="905">
        <v>0</v>
      </c>
      <c r="Y103" s="905">
        <v>0</v>
      </c>
      <c r="Z103" s="905">
        <v>0</v>
      </c>
      <c r="AA103" s="905">
        <v>0</v>
      </c>
      <c r="AB103" s="906">
        <v>7</v>
      </c>
      <c r="AC103" s="906">
        <v>4</v>
      </c>
      <c r="AD103" s="906">
        <v>5</v>
      </c>
      <c r="AE103" s="906">
        <v>1</v>
      </c>
      <c r="AF103" s="906">
        <v>2</v>
      </c>
      <c r="AG103" s="906">
        <v>3</v>
      </c>
      <c r="AH103" s="906">
        <v>6</v>
      </c>
      <c r="AI103" s="907">
        <v>2</v>
      </c>
      <c r="AJ103" s="907">
        <v>1</v>
      </c>
      <c r="AK103" s="907">
        <v>1</v>
      </c>
      <c r="AL103" s="907">
        <v>1</v>
      </c>
      <c r="AM103" s="907">
        <v>1</v>
      </c>
      <c r="AN103" s="907">
        <v>1</v>
      </c>
      <c r="AO103" s="907">
        <v>1</v>
      </c>
      <c r="AP103" s="907">
        <v>0</v>
      </c>
      <c r="AQ103" s="907">
        <v>0</v>
      </c>
      <c r="AR103" s="907">
        <v>0</v>
      </c>
      <c r="AS103" s="907">
        <v>0</v>
      </c>
      <c r="AT103" s="907">
        <v>0</v>
      </c>
      <c r="AU103" s="907">
        <v>1</v>
      </c>
    </row>
    <row r="104" spans="1:48" hidden="1">
      <c r="A104" s="898">
        <v>103</v>
      </c>
      <c r="B104" s="899">
        <v>0</v>
      </c>
      <c r="C104" s="900">
        <v>1</v>
      </c>
      <c r="D104" s="900">
        <v>0</v>
      </c>
      <c r="E104" s="900">
        <v>0</v>
      </c>
      <c r="F104" s="900">
        <v>0</v>
      </c>
      <c r="G104" s="901">
        <v>3</v>
      </c>
      <c r="H104" s="901">
        <v>2</v>
      </c>
      <c r="I104" s="901">
        <v>4</v>
      </c>
      <c r="J104" s="901">
        <v>1</v>
      </c>
      <c r="K104" s="902">
        <v>0</v>
      </c>
      <c r="L104" s="902">
        <v>1</v>
      </c>
      <c r="M104" s="902">
        <v>0</v>
      </c>
      <c r="N104" s="902">
        <f t="shared" si="2"/>
        <v>2</v>
      </c>
      <c r="O104" s="903">
        <v>1</v>
      </c>
      <c r="P104" s="903">
        <v>0</v>
      </c>
      <c r="Q104" s="903">
        <v>0</v>
      </c>
      <c r="R104" s="903">
        <v>0</v>
      </c>
      <c r="S104" s="903">
        <f t="shared" si="3"/>
        <v>1</v>
      </c>
      <c r="T104" s="904">
        <v>1</v>
      </c>
      <c r="U104" s="905">
        <v>0</v>
      </c>
      <c r="V104" s="905">
        <v>0</v>
      </c>
      <c r="W104" s="905">
        <v>0</v>
      </c>
      <c r="X104" s="905">
        <v>0</v>
      </c>
      <c r="Y104" s="905">
        <v>1</v>
      </c>
      <c r="Z104" s="905">
        <v>0</v>
      </c>
      <c r="AA104" s="905">
        <v>0</v>
      </c>
      <c r="AB104" s="906">
        <v>3</v>
      </c>
      <c r="AC104" s="906">
        <v>4</v>
      </c>
      <c r="AD104" s="906">
        <v>6</v>
      </c>
      <c r="AE104" s="906">
        <v>2</v>
      </c>
      <c r="AF104" s="906">
        <v>1</v>
      </c>
      <c r="AG104" s="906">
        <v>5</v>
      </c>
      <c r="AH104" s="906">
        <v>7</v>
      </c>
      <c r="AI104" s="907">
        <v>2</v>
      </c>
      <c r="AJ104" s="907">
        <v>2</v>
      </c>
      <c r="AK104" s="907">
        <v>4</v>
      </c>
      <c r="AL104" s="907">
        <v>4</v>
      </c>
      <c r="AM104" s="907">
        <v>1</v>
      </c>
      <c r="AN104" s="907">
        <v>1</v>
      </c>
      <c r="AO104" s="907">
        <v>3</v>
      </c>
      <c r="AP104" s="907">
        <v>0</v>
      </c>
      <c r="AQ104" s="907">
        <v>0</v>
      </c>
      <c r="AR104" s="907">
        <v>0</v>
      </c>
      <c r="AS104" s="907">
        <v>0</v>
      </c>
      <c r="AT104" s="907">
        <v>0</v>
      </c>
      <c r="AU104" s="907">
        <v>1</v>
      </c>
    </row>
    <row r="105" spans="1:48" hidden="1">
      <c r="A105" s="898">
        <v>104</v>
      </c>
      <c r="B105" s="899">
        <v>0</v>
      </c>
      <c r="C105" s="900">
        <v>0</v>
      </c>
      <c r="D105" s="900">
        <v>1</v>
      </c>
      <c r="E105" s="900">
        <v>0</v>
      </c>
      <c r="F105" s="900">
        <v>0</v>
      </c>
      <c r="G105" s="901">
        <v>1</v>
      </c>
      <c r="H105" s="901">
        <v>2</v>
      </c>
      <c r="I105" s="901">
        <v>3</v>
      </c>
      <c r="J105" s="901">
        <v>4</v>
      </c>
      <c r="K105" s="902">
        <v>0</v>
      </c>
      <c r="L105" s="902">
        <v>1</v>
      </c>
      <c r="M105" s="902">
        <v>0</v>
      </c>
      <c r="N105" s="902">
        <f t="shared" si="2"/>
        <v>2</v>
      </c>
      <c r="O105" s="903">
        <v>1</v>
      </c>
      <c r="P105" s="903">
        <v>0</v>
      </c>
      <c r="Q105" s="903">
        <v>0</v>
      </c>
      <c r="R105" s="903">
        <v>0</v>
      </c>
      <c r="S105" s="903">
        <f t="shared" si="3"/>
        <v>1</v>
      </c>
      <c r="T105" s="904">
        <v>1</v>
      </c>
      <c r="U105" s="905">
        <v>0</v>
      </c>
      <c r="V105" s="905">
        <v>1</v>
      </c>
      <c r="W105" s="905">
        <v>1</v>
      </c>
      <c r="X105" s="905">
        <v>0</v>
      </c>
      <c r="Y105" s="905">
        <v>0</v>
      </c>
      <c r="Z105" s="905">
        <v>0</v>
      </c>
      <c r="AA105" s="905">
        <v>0</v>
      </c>
      <c r="AB105" s="906">
        <v>4</v>
      </c>
      <c r="AC105" s="906">
        <v>1</v>
      </c>
      <c r="AD105" s="906">
        <v>5</v>
      </c>
      <c r="AE105" s="906">
        <v>7</v>
      </c>
      <c r="AF105" s="906">
        <v>3</v>
      </c>
      <c r="AG105" s="906">
        <v>2</v>
      </c>
      <c r="AH105" s="906">
        <v>6</v>
      </c>
      <c r="AI105" s="907">
        <v>2</v>
      </c>
      <c r="AJ105" s="907">
        <v>2</v>
      </c>
      <c r="AK105" s="907">
        <v>3</v>
      </c>
      <c r="AL105" s="907">
        <v>2</v>
      </c>
      <c r="AM105" s="907">
        <v>1</v>
      </c>
      <c r="AN105" s="907">
        <v>1</v>
      </c>
      <c r="AO105" s="907">
        <v>2</v>
      </c>
      <c r="AP105" s="907">
        <v>0</v>
      </c>
      <c r="AQ105" s="907">
        <v>0</v>
      </c>
      <c r="AR105" s="907">
        <v>0</v>
      </c>
      <c r="AS105" s="907">
        <v>1</v>
      </c>
      <c r="AT105" s="907">
        <v>0</v>
      </c>
      <c r="AU105" s="907">
        <v>0</v>
      </c>
    </row>
    <row r="106" spans="1:48">
      <c r="A106" s="898">
        <v>105</v>
      </c>
      <c r="B106" s="899">
        <v>1</v>
      </c>
      <c r="C106" s="900">
        <v>0</v>
      </c>
      <c r="D106" s="900">
        <v>0</v>
      </c>
      <c r="E106" s="900">
        <v>0</v>
      </c>
      <c r="F106" s="900">
        <v>1</v>
      </c>
      <c r="G106" s="901">
        <v>2</v>
      </c>
      <c r="H106" s="901">
        <v>3</v>
      </c>
      <c r="I106" s="901">
        <v>4</v>
      </c>
      <c r="J106" s="901">
        <v>1</v>
      </c>
      <c r="K106" s="902">
        <v>1</v>
      </c>
      <c r="L106" s="902">
        <v>0</v>
      </c>
      <c r="M106" s="902">
        <v>0</v>
      </c>
      <c r="N106" s="902">
        <f t="shared" si="2"/>
        <v>1</v>
      </c>
      <c r="O106" s="903">
        <v>1</v>
      </c>
      <c r="P106" s="903">
        <v>0</v>
      </c>
      <c r="Q106" s="903">
        <v>0</v>
      </c>
      <c r="R106" s="903">
        <v>0</v>
      </c>
      <c r="S106" s="903">
        <f t="shared" si="3"/>
        <v>1</v>
      </c>
      <c r="T106" s="904">
        <v>1</v>
      </c>
      <c r="U106" s="905">
        <v>0</v>
      </c>
      <c r="V106" s="905">
        <v>0</v>
      </c>
      <c r="W106" s="905">
        <v>1</v>
      </c>
      <c r="X106" s="905">
        <v>0</v>
      </c>
      <c r="Y106" s="905">
        <v>0</v>
      </c>
      <c r="Z106" s="905">
        <v>0</v>
      </c>
      <c r="AA106" s="905">
        <v>1</v>
      </c>
      <c r="AB106" s="906">
        <v>7</v>
      </c>
      <c r="AC106" s="906">
        <v>3</v>
      </c>
      <c r="AD106" s="906">
        <v>6</v>
      </c>
      <c r="AE106" s="906">
        <v>2</v>
      </c>
      <c r="AF106" s="906">
        <v>4</v>
      </c>
      <c r="AG106" s="906">
        <v>1</v>
      </c>
      <c r="AH106" s="906">
        <v>5</v>
      </c>
      <c r="AI106" s="907">
        <v>2</v>
      </c>
      <c r="AJ106" s="907">
        <v>2</v>
      </c>
      <c r="AK106" s="907">
        <v>1</v>
      </c>
      <c r="AL106" s="907">
        <v>1</v>
      </c>
      <c r="AM106" s="907">
        <v>1</v>
      </c>
      <c r="AN106" s="907">
        <v>1</v>
      </c>
      <c r="AO106" s="907">
        <v>2</v>
      </c>
      <c r="AP106" s="907">
        <v>0</v>
      </c>
      <c r="AQ106" s="907">
        <v>0</v>
      </c>
      <c r="AR106" s="907">
        <v>0</v>
      </c>
      <c r="AS106" s="907">
        <v>1</v>
      </c>
      <c r="AT106" s="907">
        <v>0</v>
      </c>
      <c r="AU106" s="907">
        <v>0</v>
      </c>
    </row>
    <row r="107" spans="1:48">
      <c r="A107" s="898">
        <v>106</v>
      </c>
      <c r="B107" s="899">
        <v>1</v>
      </c>
      <c r="C107" s="900">
        <v>0</v>
      </c>
      <c r="D107" s="900">
        <v>1</v>
      </c>
      <c r="E107" s="900">
        <v>0</v>
      </c>
      <c r="F107" s="900">
        <v>0</v>
      </c>
      <c r="G107" s="901">
        <v>4</v>
      </c>
      <c r="H107" s="901">
        <v>3</v>
      </c>
      <c r="I107" s="901">
        <v>2</v>
      </c>
      <c r="J107" s="901">
        <v>1</v>
      </c>
      <c r="K107" s="902">
        <v>0</v>
      </c>
      <c r="L107" s="902">
        <v>1</v>
      </c>
      <c r="M107" s="902">
        <v>0</v>
      </c>
      <c r="N107" s="902">
        <f t="shared" si="2"/>
        <v>2</v>
      </c>
      <c r="O107" s="903">
        <v>1</v>
      </c>
      <c r="P107" s="903">
        <v>0</v>
      </c>
      <c r="Q107" s="903">
        <v>0</v>
      </c>
      <c r="R107" s="903">
        <v>0</v>
      </c>
      <c r="S107" s="903">
        <f t="shared" si="3"/>
        <v>1</v>
      </c>
      <c r="T107" s="904">
        <v>1</v>
      </c>
      <c r="U107" s="905">
        <v>0</v>
      </c>
      <c r="V107" s="905">
        <v>0</v>
      </c>
      <c r="W107" s="905">
        <v>0</v>
      </c>
      <c r="X107" s="905">
        <v>1</v>
      </c>
      <c r="Y107" s="905">
        <v>0</v>
      </c>
      <c r="Z107" s="905">
        <v>0</v>
      </c>
      <c r="AA107" s="905">
        <v>1</v>
      </c>
      <c r="AB107" s="906">
        <v>3</v>
      </c>
      <c r="AC107" s="906">
        <v>2</v>
      </c>
      <c r="AD107" s="906">
        <v>1</v>
      </c>
      <c r="AE107" s="906">
        <v>6</v>
      </c>
      <c r="AF107" s="906">
        <v>4</v>
      </c>
      <c r="AG107" s="906">
        <v>5</v>
      </c>
      <c r="AH107" s="906">
        <v>7</v>
      </c>
      <c r="AI107" s="907">
        <v>2</v>
      </c>
      <c r="AJ107" s="907">
        <v>2</v>
      </c>
      <c r="AK107" s="907">
        <v>1</v>
      </c>
      <c r="AL107" s="907">
        <v>1</v>
      </c>
      <c r="AM107" s="907">
        <v>1</v>
      </c>
      <c r="AN107" s="907">
        <v>1</v>
      </c>
      <c r="AO107" s="907">
        <v>2</v>
      </c>
      <c r="AP107" s="907">
        <v>0</v>
      </c>
      <c r="AQ107" s="907">
        <v>0</v>
      </c>
      <c r="AR107" s="907">
        <v>0</v>
      </c>
      <c r="AS107" s="907">
        <v>1</v>
      </c>
      <c r="AT107" s="907">
        <v>0</v>
      </c>
      <c r="AU107" s="907">
        <v>0</v>
      </c>
    </row>
    <row r="108" spans="1:48" hidden="1">
      <c r="A108" s="898">
        <v>107</v>
      </c>
      <c r="B108" s="899">
        <v>1</v>
      </c>
      <c r="C108" s="900">
        <v>0</v>
      </c>
      <c r="D108" s="900">
        <v>1</v>
      </c>
      <c r="E108" s="900">
        <v>0</v>
      </c>
      <c r="F108" s="900">
        <v>0</v>
      </c>
      <c r="G108" s="901">
        <v>2</v>
      </c>
      <c r="H108" s="901">
        <v>3</v>
      </c>
      <c r="I108" s="901">
        <v>2</v>
      </c>
      <c r="J108" s="901">
        <v>1</v>
      </c>
      <c r="K108" s="902">
        <v>0</v>
      </c>
      <c r="L108" s="902">
        <v>1</v>
      </c>
      <c r="M108" s="902">
        <v>0</v>
      </c>
      <c r="N108" s="902">
        <f t="shared" si="2"/>
        <v>2</v>
      </c>
      <c r="O108" s="903">
        <v>1</v>
      </c>
      <c r="P108" s="903">
        <v>0</v>
      </c>
      <c r="Q108" s="903">
        <v>0</v>
      </c>
      <c r="R108" s="903">
        <v>0</v>
      </c>
      <c r="S108" s="903">
        <f t="shared" si="3"/>
        <v>1</v>
      </c>
      <c r="T108" s="904">
        <v>1</v>
      </c>
      <c r="U108" s="905">
        <v>0</v>
      </c>
      <c r="V108" s="905">
        <v>1</v>
      </c>
      <c r="W108" s="905">
        <v>0</v>
      </c>
      <c r="X108" s="905">
        <v>0</v>
      </c>
      <c r="Y108" s="905">
        <v>0</v>
      </c>
      <c r="Z108" s="905">
        <v>0</v>
      </c>
      <c r="AA108" s="905">
        <v>0</v>
      </c>
      <c r="AB108" s="906">
        <v>3</v>
      </c>
      <c r="AC108" s="906">
        <v>2</v>
      </c>
      <c r="AD108" s="906">
        <v>4</v>
      </c>
      <c r="AE108" s="906">
        <v>7</v>
      </c>
      <c r="AF108" s="906">
        <v>1</v>
      </c>
      <c r="AG108" s="906">
        <v>6</v>
      </c>
      <c r="AH108" s="906">
        <v>5</v>
      </c>
      <c r="AI108" s="907">
        <v>3</v>
      </c>
      <c r="AJ108" s="907">
        <v>1</v>
      </c>
      <c r="AK108" s="907">
        <v>1</v>
      </c>
      <c r="AL108" s="907">
        <v>1</v>
      </c>
      <c r="AM108" s="907">
        <v>1</v>
      </c>
      <c r="AN108" s="907">
        <v>1</v>
      </c>
      <c r="AO108" s="907">
        <v>1</v>
      </c>
      <c r="AP108" s="907">
        <v>0</v>
      </c>
      <c r="AQ108" s="907">
        <v>0</v>
      </c>
      <c r="AR108" s="907">
        <v>0</v>
      </c>
      <c r="AS108" s="907">
        <v>0</v>
      </c>
      <c r="AT108" s="907">
        <v>0</v>
      </c>
      <c r="AU108" s="907">
        <v>1</v>
      </c>
    </row>
    <row r="109" spans="1:48" hidden="1">
      <c r="A109" s="898">
        <v>108</v>
      </c>
      <c r="B109" s="899">
        <v>1</v>
      </c>
      <c r="C109" s="900">
        <v>0</v>
      </c>
      <c r="D109" s="900">
        <v>0</v>
      </c>
      <c r="E109" s="900">
        <v>0</v>
      </c>
      <c r="F109" s="900">
        <v>1</v>
      </c>
      <c r="G109" s="901">
        <v>2</v>
      </c>
      <c r="H109" s="901">
        <v>4</v>
      </c>
      <c r="I109" s="901">
        <v>3</v>
      </c>
      <c r="J109" s="901">
        <v>1</v>
      </c>
      <c r="K109" s="902">
        <v>0</v>
      </c>
      <c r="L109" s="902">
        <v>1</v>
      </c>
      <c r="M109" s="902">
        <v>0</v>
      </c>
      <c r="N109" s="902">
        <f t="shared" si="2"/>
        <v>2</v>
      </c>
      <c r="O109" s="903">
        <v>1</v>
      </c>
      <c r="P109" s="903">
        <v>0</v>
      </c>
      <c r="Q109" s="903">
        <v>0</v>
      </c>
      <c r="R109" s="903">
        <v>0</v>
      </c>
      <c r="S109" s="903">
        <f t="shared" si="3"/>
        <v>1</v>
      </c>
      <c r="T109" s="904">
        <v>1</v>
      </c>
      <c r="U109" s="905">
        <v>0</v>
      </c>
      <c r="V109" s="905">
        <v>1</v>
      </c>
      <c r="W109" s="905">
        <v>0</v>
      </c>
      <c r="X109" s="905">
        <v>0</v>
      </c>
      <c r="Y109" s="905">
        <v>0</v>
      </c>
      <c r="Z109" s="905">
        <v>0</v>
      </c>
      <c r="AA109" s="905">
        <v>0</v>
      </c>
      <c r="AB109" s="906">
        <v>1</v>
      </c>
      <c r="AC109" s="906">
        <v>6</v>
      </c>
      <c r="AD109" s="906">
        <v>2</v>
      </c>
      <c r="AE109" s="906">
        <v>4</v>
      </c>
      <c r="AF109" s="906">
        <v>3</v>
      </c>
      <c r="AG109" s="906">
        <v>5</v>
      </c>
      <c r="AH109" s="906">
        <v>7</v>
      </c>
      <c r="AI109" s="907">
        <v>1</v>
      </c>
      <c r="AJ109" s="907">
        <v>2</v>
      </c>
      <c r="AK109" s="907">
        <v>1</v>
      </c>
      <c r="AL109" s="907">
        <v>1</v>
      </c>
      <c r="AM109" s="907">
        <v>1</v>
      </c>
      <c r="AN109" s="907">
        <v>2</v>
      </c>
      <c r="AO109" s="907">
        <v>1</v>
      </c>
      <c r="AP109" s="907">
        <v>0</v>
      </c>
      <c r="AQ109" s="907">
        <v>0</v>
      </c>
      <c r="AR109" s="907">
        <v>0</v>
      </c>
      <c r="AS109" s="907">
        <v>0</v>
      </c>
      <c r="AT109" s="907">
        <v>0</v>
      </c>
      <c r="AU109" s="907">
        <v>1</v>
      </c>
    </row>
    <row r="110" spans="1:48" hidden="1">
      <c r="A110" s="898">
        <v>109</v>
      </c>
      <c r="B110" s="899">
        <v>1</v>
      </c>
      <c r="C110" s="900">
        <v>0</v>
      </c>
      <c r="D110" s="900">
        <v>0</v>
      </c>
      <c r="E110" s="900">
        <v>0</v>
      </c>
      <c r="F110" s="900">
        <v>1</v>
      </c>
      <c r="G110" s="901">
        <v>2</v>
      </c>
      <c r="H110" s="901">
        <v>4</v>
      </c>
      <c r="I110" s="901">
        <v>3</v>
      </c>
      <c r="J110" s="901">
        <v>1</v>
      </c>
      <c r="K110" s="902">
        <v>0</v>
      </c>
      <c r="L110" s="902">
        <v>1</v>
      </c>
      <c r="M110" s="902">
        <v>0</v>
      </c>
      <c r="N110" s="902">
        <f t="shared" si="2"/>
        <v>2</v>
      </c>
      <c r="O110" s="903">
        <v>1</v>
      </c>
      <c r="P110" s="903">
        <v>0</v>
      </c>
      <c r="Q110" s="903">
        <v>0</v>
      </c>
      <c r="R110" s="903">
        <v>0</v>
      </c>
      <c r="S110" s="903">
        <f t="shared" si="3"/>
        <v>1</v>
      </c>
      <c r="T110" s="904">
        <v>1</v>
      </c>
      <c r="U110" s="905">
        <v>0</v>
      </c>
      <c r="V110" s="905">
        <v>1</v>
      </c>
      <c r="W110" s="905">
        <v>0</v>
      </c>
      <c r="X110" s="905">
        <v>0</v>
      </c>
      <c r="Y110" s="905">
        <v>0</v>
      </c>
      <c r="Z110" s="905">
        <v>0</v>
      </c>
      <c r="AA110" s="905">
        <v>0</v>
      </c>
      <c r="AB110" s="906">
        <v>7</v>
      </c>
      <c r="AC110" s="906">
        <v>5</v>
      </c>
      <c r="AD110" s="906">
        <v>3</v>
      </c>
      <c r="AE110" s="906">
        <v>2</v>
      </c>
      <c r="AF110" s="906">
        <v>1</v>
      </c>
      <c r="AG110" s="906">
        <v>4</v>
      </c>
      <c r="AH110" s="906">
        <v>6</v>
      </c>
      <c r="AI110" s="907">
        <v>2</v>
      </c>
      <c r="AJ110" s="907">
        <v>2</v>
      </c>
      <c r="AK110" s="907">
        <v>1</v>
      </c>
      <c r="AL110" s="907">
        <v>1</v>
      </c>
      <c r="AM110" s="907">
        <v>1</v>
      </c>
      <c r="AN110" s="907">
        <v>1</v>
      </c>
      <c r="AO110" s="907">
        <v>1</v>
      </c>
      <c r="AP110" s="907">
        <v>0</v>
      </c>
      <c r="AQ110" s="907">
        <v>0</v>
      </c>
      <c r="AR110" s="907">
        <v>0</v>
      </c>
      <c r="AS110" s="907">
        <v>0</v>
      </c>
      <c r="AT110" s="907">
        <v>1</v>
      </c>
      <c r="AU110" s="907">
        <v>0</v>
      </c>
    </row>
    <row r="111" spans="1:48" hidden="1">
      <c r="A111" s="898">
        <v>110</v>
      </c>
      <c r="B111" s="899">
        <v>0</v>
      </c>
      <c r="C111" s="900">
        <v>0</v>
      </c>
      <c r="D111" s="900">
        <v>1</v>
      </c>
      <c r="E111" s="900">
        <v>0</v>
      </c>
      <c r="F111" s="900">
        <v>0</v>
      </c>
      <c r="G111" s="901">
        <v>1</v>
      </c>
      <c r="H111" s="901">
        <v>2</v>
      </c>
      <c r="I111" s="901">
        <v>4</v>
      </c>
      <c r="J111" s="901">
        <v>3</v>
      </c>
      <c r="K111" s="902">
        <v>0</v>
      </c>
      <c r="L111" s="902">
        <v>1</v>
      </c>
      <c r="M111" s="902">
        <v>0</v>
      </c>
      <c r="N111" s="902">
        <f t="shared" si="2"/>
        <v>2</v>
      </c>
      <c r="O111" s="903">
        <v>1</v>
      </c>
      <c r="P111" s="903">
        <v>0</v>
      </c>
      <c r="Q111" s="903">
        <v>0</v>
      </c>
      <c r="R111" s="903">
        <v>0</v>
      </c>
      <c r="S111" s="903">
        <f t="shared" si="3"/>
        <v>1</v>
      </c>
      <c r="T111" s="904">
        <v>1</v>
      </c>
      <c r="U111" s="905">
        <v>1</v>
      </c>
      <c r="V111" s="905">
        <v>0</v>
      </c>
      <c r="W111" s="905">
        <v>1</v>
      </c>
      <c r="X111" s="905">
        <v>0</v>
      </c>
      <c r="Y111" s="905">
        <v>0</v>
      </c>
      <c r="Z111" s="905">
        <v>0</v>
      </c>
      <c r="AA111" s="905">
        <v>0</v>
      </c>
      <c r="AB111" s="906">
        <v>4</v>
      </c>
      <c r="AC111" s="906">
        <v>2</v>
      </c>
      <c r="AD111" s="906">
        <v>5</v>
      </c>
      <c r="AE111" s="906">
        <v>6</v>
      </c>
      <c r="AF111" s="906">
        <v>3</v>
      </c>
      <c r="AG111" s="906">
        <v>1</v>
      </c>
      <c r="AH111" s="906">
        <v>7</v>
      </c>
      <c r="AI111" s="907">
        <v>2</v>
      </c>
      <c r="AJ111" s="907">
        <v>2</v>
      </c>
      <c r="AK111" s="907">
        <v>2</v>
      </c>
      <c r="AL111" s="907">
        <v>2</v>
      </c>
      <c r="AM111" s="907">
        <v>1</v>
      </c>
      <c r="AN111" s="907">
        <v>2</v>
      </c>
      <c r="AO111" s="907">
        <v>1</v>
      </c>
      <c r="AP111" s="907">
        <v>0</v>
      </c>
      <c r="AQ111" s="907">
        <v>0</v>
      </c>
      <c r="AR111" s="907">
        <v>0</v>
      </c>
      <c r="AS111" s="907">
        <v>0</v>
      </c>
      <c r="AT111" s="907">
        <v>0</v>
      </c>
      <c r="AU111" s="907">
        <v>1</v>
      </c>
    </row>
    <row r="112" spans="1:48" hidden="1">
      <c r="A112" s="898">
        <v>111</v>
      </c>
      <c r="B112" s="899">
        <v>0</v>
      </c>
      <c r="C112" s="900">
        <v>0</v>
      </c>
      <c r="D112" s="900">
        <v>1</v>
      </c>
      <c r="E112" s="900">
        <v>0</v>
      </c>
      <c r="F112" s="900">
        <v>0</v>
      </c>
      <c r="G112" s="901">
        <v>2</v>
      </c>
      <c r="H112" s="901">
        <v>4</v>
      </c>
      <c r="I112" s="901">
        <v>1</v>
      </c>
      <c r="J112" s="901">
        <v>3</v>
      </c>
      <c r="K112" s="902">
        <v>0</v>
      </c>
      <c r="L112" s="902">
        <v>1</v>
      </c>
      <c r="M112" s="902">
        <v>0</v>
      </c>
      <c r="N112" s="902">
        <f t="shared" si="2"/>
        <v>2</v>
      </c>
      <c r="O112" s="903">
        <v>1</v>
      </c>
      <c r="P112" s="903">
        <v>0</v>
      </c>
      <c r="Q112" s="903">
        <v>0</v>
      </c>
      <c r="R112" s="903">
        <v>0</v>
      </c>
      <c r="S112" s="903">
        <f t="shared" si="3"/>
        <v>1</v>
      </c>
      <c r="T112" s="904">
        <v>1</v>
      </c>
      <c r="U112" s="905">
        <v>0</v>
      </c>
      <c r="V112" s="905">
        <v>0</v>
      </c>
      <c r="W112" s="905">
        <v>1</v>
      </c>
      <c r="X112" s="905">
        <v>0</v>
      </c>
      <c r="Y112" s="905">
        <v>0</v>
      </c>
      <c r="Z112" s="905">
        <v>0</v>
      </c>
      <c r="AA112" s="905">
        <v>0</v>
      </c>
      <c r="AB112" s="906">
        <v>5</v>
      </c>
      <c r="AC112" s="906">
        <v>4</v>
      </c>
      <c r="AD112" s="906">
        <v>3</v>
      </c>
      <c r="AE112" s="906">
        <v>7</v>
      </c>
      <c r="AF112" s="906">
        <v>1</v>
      </c>
      <c r="AG112" s="906">
        <v>2</v>
      </c>
      <c r="AH112" s="906">
        <v>6</v>
      </c>
      <c r="AI112" s="907">
        <v>1</v>
      </c>
      <c r="AJ112" s="907">
        <v>2</v>
      </c>
      <c r="AK112" s="907">
        <v>2</v>
      </c>
      <c r="AL112" s="907">
        <v>2</v>
      </c>
      <c r="AM112" s="907">
        <v>1</v>
      </c>
      <c r="AN112" s="907">
        <v>1</v>
      </c>
      <c r="AO112" s="907">
        <v>1</v>
      </c>
      <c r="AP112" s="907">
        <v>0</v>
      </c>
      <c r="AQ112" s="907">
        <v>0</v>
      </c>
      <c r="AR112" s="907">
        <v>0</v>
      </c>
      <c r="AS112" s="907">
        <v>0</v>
      </c>
      <c r="AT112" s="907">
        <v>0</v>
      </c>
      <c r="AU112" s="907">
        <v>1</v>
      </c>
    </row>
    <row r="113" spans="1:47">
      <c r="A113" s="898">
        <v>112</v>
      </c>
      <c r="B113" s="899">
        <v>0</v>
      </c>
      <c r="C113" s="900">
        <v>0</v>
      </c>
      <c r="D113" s="900">
        <v>0</v>
      </c>
      <c r="E113" s="900">
        <v>1</v>
      </c>
      <c r="F113" s="900">
        <v>0</v>
      </c>
      <c r="G113" s="901">
        <v>3</v>
      </c>
      <c r="H113" s="901">
        <v>1</v>
      </c>
      <c r="I113" s="901">
        <v>4</v>
      </c>
      <c r="J113" s="901">
        <v>2</v>
      </c>
      <c r="K113" s="902">
        <v>1</v>
      </c>
      <c r="L113" s="902">
        <v>0</v>
      </c>
      <c r="M113" s="902">
        <v>0</v>
      </c>
      <c r="N113" s="902">
        <f t="shared" si="2"/>
        <v>1</v>
      </c>
      <c r="O113" s="903">
        <v>1</v>
      </c>
      <c r="P113" s="903">
        <v>0</v>
      </c>
      <c r="Q113" s="903">
        <v>0</v>
      </c>
      <c r="R113" s="903">
        <v>0</v>
      </c>
      <c r="S113" s="903">
        <f t="shared" si="3"/>
        <v>1</v>
      </c>
      <c r="T113" s="904">
        <v>1</v>
      </c>
      <c r="U113" s="905">
        <v>1</v>
      </c>
      <c r="V113" s="905">
        <v>0</v>
      </c>
      <c r="W113" s="905">
        <v>1</v>
      </c>
      <c r="X113" s="905">
        <v>0</v>
      </c>
      <c r="Y113" s="905">
        <v>0</v>
      </c>
      <c r="Z113" s="905">
        <v>0</v>
      </c>
      <c r="AA113" s="905">
        <v>0</v>
      </c>
      <c r="AB113" s="906">
        <v>2</v>
      </c>
      <c r="AC113" s="906">
        <v>1</v>
      </c>
      <c r="AD113" s="906">
        <v>3</v>
      </c>
      <c r="AE113" s="906">
        <v>5</v>
      </c>
      <c r="AF113" s="906">
        <v>4</v>
      </c>
      <c r="AG113" s="906">
        <v>7</v>
      </c>
      <c r="AH113" s="906">
        <v>6</v>
      </c>
      <c r="AI113" s="907">
        <v>2</v>
      </c>
      <c r="AJ113" s="907">
        <v>2</v>
      </c>
      <c r="AK113" s="907">
        <v>2</v>
      </c>
      <c r="AL113" s="907">
        <v>1</v>
      </c>
      <c r="AM113" s="907">
        <v>1</v>
      </c>
      <c r="AN113" s="907">
        <v>3</v>
      </c>
      <c r="AO113" s="907">
        <v>1</v>
      </c>
      <c r="AP113" s="907">
        <v>0</v>
      </c>
      <c r="AQ113" s="907">
        <v>0</v>
      </c>
      <c r="AR113" s="907">
        <v>0</v>
      </c>
      <c r="AS113" s="907">
        <v>1</v>
      </c>
      <c r="AT113" s="907">
        <v>0</v>
      </c>
      <c r="AU113" s="907">
        <v>0</v>
      </c>
    </row>
    <row r="114" spans="1:47" hidden="1">
      <c r="A114" s="898">
        <v>113</v>
      </c>
      <c r="B114" s="899">
        <v>1</v>
      </c>
      <c r="C114" s="900">
        <v>0</v>
      </c>
      <c r="D114" s="900">
        <v>1</v>
      </c>
      <c r="E114" s="900">
        <v>0</v>
      </c>
      <c r="F114" s="900">
        <v>0</v>
      </c>
      <c r="G114" s="901">
        <v>3</v>
      </c>
      <c r="H114" s="901">
        <v>2</v>
      </c>
      <c r="I114" s="901">
        <v>4</v>
      </c>
      <c r="J114" s="901">
        <v>1</v>
      </c>
      <c r="K114" s="902">
        <v>1</v>
      </c>
      <c r="L114" s="902">
        <v>0</v>
      </c>
      <c r="M114" s="902">
        <v>0</v>
      </c>
      <c r="N114" s="902">
        <f t="shared" si="2"/>
        <v>1</v>
      </c>
      <c r="O114" s="903">
        <v>1</v>
      </c>
      <c r="P114" s="903">
        <v>0</v>
      </c>
      <c r="Q114" s="903">
        <v>0</v>
      </c>
      <c r="R114" s="903">
        <v>0</v>
      </c>
      <c r="S114" s="903">
        <f t="shared" si="3"/>
        <v>1</v>
      </c>
      <c r="T114" s="904">
        <v>1</v>
      </c>
      <c r="U114" s="905">
        <v>0</v>
      </c>
      <c r="V114" s="905">
        <v>1</v>
      </c>
      <c r="W114" s="905">
        <v>0</v>
      </c>
      <c r="X114" s="905">
        <v>0</v>
      </c>
      <c r="Y114" s="905">
        <v>1</v>
      </c>
      <c r="Z114" s="905">
        <v>0</v>
      </c>
      <c r="AA114" s="905">
        <v>0</v>
      </c>
      <c r="AB114" s="906">
        <v>3</v>
      </c>
      <c r="AC114" s="906">
        <v>7</v>
      </c>
      <c r="AD114" s="906">
        <v>1</v>
      </c>
      <c r="AE114" s="906">
        <v>2</v>
      </c>
      <c r="AF114" s="906">
        <v>6</v>
      </c>
      <c r="AG114" s="906">
        <v>4</v>
      </c>
      <c r="AH114" s="906">
        <v>5</v>
      </c>
      <c r="AI114" s="907">
        <v>4</v>
      </c>
      <c r="AJ114" s="907">
        <v>1</v>
      </c>
      <c r="AK114" s="907">
        <v>1</v>
      </c>
      <c r="AL114" s="907">
        <v>1</v>
      </c>
      <c r="AM114" s="907">
        <v>4</v>
      </c>
      <c r="AN114" s="907">
        <v>4</v>
      </c>
      <c r="AO114" s="907">
        <v>1</v>
      </c>
      <c r="AP114" s="907">
        <v>0</v>
      </c>
      <c r="AQ114" s="907">
        <v>0</v>
      </c>
      <c r="AR114" s="907">
        <v>1</v>
      </c>
      <c r="AS114" s="907">
        <v>0</v>
      </c>
      <c r="AT114" s="907">
        <v>0</v>
      </c>
      <c r="AU114" s="907">
        <v>0</v>
      </c>
    </row>
    <row r="115" spans="1:47" hidden="1">
      <c r="A115" s="898">
        <v>114</v>
      </c>
      <c r="B115" s="899">
        <v>1</v>
      </c>
      <c r="C115" s="900">
        <v>0</v>
      </c>
      <c r="D115" s="900">
        <v>0</v>
      </c>
      <c r="E115" s="900">
        <v>1</v>
      </c>
      <c r="F115" s="900">
        <v>0</v>
      </c>
      <c r="G115" s="901">
        <v>3</v>
      </c>
      <c r="H115" s="901">
        <v>1</v>
      </c>
      <c r="I115" s="901">
        <v>4</v>
      </c>
      <c r="J115" s="901">
        <v>2</v>
      </c>
      <c r="K115" s="902">
        <v>1</v>
      </c>
      <c r="L115" s="902">
        <v>0</v>
      </c>
      <c r="M115" s="902">
        <v>0</v>
      </c>
      <c r="N115" s="902">
        <f t="shared" si="2"/>
        <v>1</v>
      </c>
      <c r="O115" s="903">
        <v>0</v>
      </c>
      <c r="P115" s="903">
        <v>0</v>
      </c>
      <c r="Q115" s="903">
        <v>0</v>
      </c>
      <c r="R115" s="903">
        <v>1</v>
      </c>
      <c r="S115" s="903">
        <f t="shared" si="3"/>
        <v>4</v>
      </c>
      <c r="T115" s="904">
        <v>1</v>
      </c>
      <c r="U115" s="905">
        <v>0</v>
      </c>
      <c r="V115" s="905">
        <v>1</v>
      </c>
      <c r="W115" s="905">
        <v>0</v>
      </c>
      <c r="X115" s="905">
        <v>0</v>
      </c>
      <c r="Y115" s="905">
        <v>0</v>
      </c>
      <c r="Z115" s="905">
        <v>0</v>
      </c>
      <c r="AA115" s="905">
        <v>1</v>
      </c>
      <c r="AB115" s="906">
        <v>7</v>
      </c>
      <c r="AC115" s="906">
        <v>4</v>
      </c>
      <c r="AD115" s="906">
        <v>6</v>
      </c>
      <c r="AE115" s="906">
        <v>2</v>
      </c>
      <c r="AF115" s="906">
        <v>1</v>
      </c>
      <c r="AG115" s="906">
        <v>5</v>
      </c>
      <c r="AH115" s="906">
        <v>3</v>
      </c>
      <c r="AI115" s="907">
        <v>2</v>
      </c>
      <c r="AJ115" s="907">
        <v>1</v>
      </c>
      <c r="AK115" s="907">
        <v>4</v>
      </c>
      <c r="AL115" s="907">
        <v>1</v>
      </c>
      <c r="AM115" s="907">
        <v>1</v>
      </c>
      <c r="AN115" s="907">
        <v>2</v>
      </c>
      <c r="AO115" s="907">
        <v>4</v>
      </c>
      <c r="AP115" s="907">
        <v>1</v>
      </c>
      <c r="AQ115" s="907">
        <v>0</v>
      </c>
      <c r="AR115" s="907">
        <v>0</v>
      </c>
      <c r="AS115" s="907">
        <v>0</v>
      </c>
      <c r="AT115" s="907">
        <v>0</v>
      </c>
      <c r="AU115" s="907">
        <v>0</v>
      </c>
    </row>
    <row r="116" spans="1:47" hidden="1">
      <c r="A116" s="898">
        <v>115</v>
      </c>
      <c r="B116" s="899">
        <v>1</v>
      </c>
      <c r="C116" s="900">
        <v>0</v>
      </c>
      <c r="D116" s="900">
        <v>0</v>
      </c>
      <c r="E116" s="900">
        <v>0</v>
      </c>
      <c r="F116" s="900">
        <v>1</v>
      </c>
      <c r="G116" s="901">
        <v>2</v>
      </c>
      <c r="H116" s="901">
        <v>4</v>
      </c>
      <c r="I116" s="901">
        <v>3</v>
      </c>
      <c r="J116" s="901">
        <v>1</v>
      </c>
      <c r="K116" s="902">
        <v>0</v>
      </c>
      <c r="L116" s="902">
        <v>0</v>
      </c>
      <c r="M116" s="902">
        <v>1</v>
      </c>
      <c r="N116" s="902">
        <f t="shared" si="2"/>
        <v>3</v>
      </c>
      <c r="O116" s="908">
        <v>1</v>
      </c>
      <c r="P116" s="908">
        <v>0</v>
      </c>
      <c r="Q116" s="908">
        <v>0</v>
      </c>
      <c r="R116" s="908">
        <v>0</v>
      </c>
      <c r="S116" s="903">
        <f t="shared" si="3"/>
        <v>1</v>
      </c>
      <c r="T116" s="904">
        <v>1</v>
      </c>
      <c r="U116" s="905">
        <v>0</v>
      </c>
      <c r="V116" s="905">
        <v>0</v>
      </c>
      <c r="W116" s="905">
        <v>0</v>
      </c>
      <c r="X116" s="905">
        <v>0</v>
      </c>
      <c r="Y116" s="905">
        <v>0</v>
      </c>
      <c r="Z116" s="905">
        <v>0</v>
      </c>
      <c r="AA116" s="905">
        <v>1</v>
      </c>
      <c r="AB116" s="906">
        <v>4</v>
      </c>
      <c r="AC116" s="906">
        <v>2</v>
      </c>
      <c r="AD116" s="906">
        <v>3</v>
      </c>
      <c r="AE116" s="906">
        <v>7</v>
      </c>
      <c r="AF116" s="906">
        <v>1</v>
      </c>
      <c r="AG116" s="906">
        <v>5</v>
      </c>
      <c r="AH116" s="906">
        <v>6</v>
      </c>
      <c r="AI116" s="907">
        <v>1</v>
      </c>
      <c r="AJ116" s="907">
        <v>1</v>
      </c>
      <c r="AK116" s="907">
        <v>1</v>
      </c>
      <c r="AL116" s="907">
        <v>2</v>
      </c>
      <c r="AM116" s="907">
        <v>2</v>
      </c>
      <c r="AN116" s="907">
        <v>1</v>
      </c>
      <c r="AO116" s="907">
        <v>2</v>
      </c>
      <c r="AP116" s="907">
        <v>0</v>
      </c>
      <c r="AQ116" s="907">
        <v>0</v>
      </c>
      <c r="AR116" s="907">
        <v>0</v>
      </c>
      <c r="AS116" s="907">
        <v>1</v>
      </c>
      <c r="AT116" s="907">
        <v>0</v>
      </c>
      <c r="AU116" s="907">
        <v>0</v>
      </c>
    </row>
    <row r="117" spans="1:47" hidden="1">
      <c r="A117" s="898">
        <v>116</v>
      </c>
      <c r="B117" s="899">
        <v>0</v>
      </c>
      <c r="C117" s="900">
        <v>0</v>
      </c>
      <c r="D117" s="900">
        <v>1</v>
      </c>
      <c r="E117" s="900">
        <v>0</v>
      </c>
      <c r="F117" s="900">
        <v>0</v>
      </c>
      <c r="G117" s="901">
        <v>4</v>
      </c>
      <c r="H117" s="901">
        <v>2</v>
      </c>
      <c r="I117" s="901">
        <v>3</v>
      </c>
      <c r="J117" s="901">
        <v>1</v>
      </c>
      <c r="K117" s="902">
        <v>1</v>
      </c>
      <c r="L117" s="902">
        <v>0</v>
      </c>
      <c r="M117" s="902">
        <v>0</v>
      </c>
      <c r="N117" s="902">
        <f t="shared" si="2"/>
        <v>1</v>
      </c>
      <c r="O117" s="903">
        <v>1</v>
      </c>
      <c r="P117" s="903">
        <v>0</v>
      </c>
      <c r="Q117" s="903">
        <v>0</v>
      </c>
      <c r="R117" s="903">
        <v>0</v>
      </c>
      <c r="S117" s="903">
        <f t="shared" si="3"/>
        <v>1</v>
      </c>
      <c r="T117" s="904">
        <v>1</v>
      </c>
      <c r="U117" s="905">
        <v>1</v>
      </c>
      <c r="V117" s="905">
        <v>0</v>
      </c>
      <c r="W117" s="905">
        <v>0</v>
      </c>
      <c r="X117" s="905">
        <v>0</v>
      </c>
      <c r="Y117" s="905">
        <v>0</v>
      </c>
      <c r="Z117" s="905">
        <v>0</v>
      </c>
      <c r="AA117" s="905">
        <v>0</v>
      </c>
      <c r="AB117" s="906">
        <v>6</v>
      </c>
      <c r="AC117" s="906">
        <v>7</v>
      </c>
      <c r="AD117" s="906">
        <v>5</v>
      </c>
      <c r="AE117" s="906">
        <v>1</v>
      </c>
      <c r="AF117" s="906">
        <v>2</v>
      </c>
      <c r="AG117" s="906">
        <v>3</v>
      </c>
      <c r="AH117" s="906">
        <v>4</v>
      </c>
      <c r="AI117" s="907">
        <v>2</v>
      </c>
      <c r="AJ117" s="907">
        <v>1</v>
      </c>
      <c r="AK117" s="907">
        <v>2</v>
      </c>
      <c r="AL117" s="907">
        <v>2</v>
      </c>
      <c r="AM117" s="907">
        <v>1</v>
      </c>
      <c r="AN117" s="907">
        <v>2</v>
      </c>
      <c r="AO117" s="907">
        <v>1</v>
      </c>
      <c r="AP117" s="907">
        <v>0</v>
      </c>
      <c r="AQ117" s="907">
        <v>0</v>
      </c>
      <c r="AR117" s="907">
        <v>0</v>
      </c>
      <c r="AS117" s="907">
        <v>0</v>
      </c>
      <c r="AT117" s="907">
        <v>0</v>
      </c>
      <c r="AU117" s="907">
        <v>1</v>
      </c>
    </row>
    <row r="118" spans="1:47" hidden="1">
      <c r="A118" s="898">
        <v>117</v>
      </c>
      <c r="B118" s="899">
        <v>1</v>
      </c>
      <c r="C118" s="900">
        <v>1</v>
      </c>
      <c r="D118" s="900">
        <v>0</v>
      </c>
      <c r="E118" s="900">
        <v>0</v>
      </c>
      <c r="F118" s="900">
        <v>0</v>
      </c>
      <c r="G118" s="901">
        <v>2</v>
      </c>
      <c r="H118" s="901">
        <v>1</v>
      </c>
      <c r="I118" s="901">
        <v>4</v>
      </c>
      <c r="J118" s="901">
        <v>3</v>
      </c>
      <c r="K118" s="902">
        <v>0</v>
      </c>
      <c r="L118" s="902">
        <v>1</v>
      </c>
      <c r="M118" s="902">
        <v>0</v>
      </c>
      <c r="N118" s="902">
        <f t="shared" si="2"/>
        <v>2</v>
      </c>
      <c r="O118" s="903">
        <v>0</v>
      </c>
      <c r="P118" s="903">
        <v>1</v>
      </c>
      <c r="Q118" s="903">
        <v>0</v>
      </c>
      <c r="R118" s="903">
        <v>0</v>
      </c>
      <c r="S118" s="903">
        <f t="shared" si="3"/>
        <v>2</v>
      </c>
      <c r="T118" s="904">
        <v>1</v>
      </c>
      <c r="U118" s="905">
        <v>0</v>
      </c>
      <c r="V118" s="905">
        <v>0</v>
      </c>
      <c r="W118" s="905">
        <v>1</v>
      </c>
      <c r="X118" s="905">
        <v>0</v>
      </c>
      <c r="Y118" s="905">
        <v>0</v>
      </c>
      <c r="Z118" s="905">
        <v>0</v>
      </c>
      <c r="AA118" s="905">
        <v>0</v>
      </c>
      <c r="AB118" s="906">
        <v>3</v>
      </c>
      <c r="AC118" s="906">
        <v>1</v>
      </c>
      <c r="AD118" s="906">
        <v>2</v>
      </c>
      <c r="AE118" s="906">
        <v>4</v>
      </c>
      <c r="AF118" s="906">
        <v>6</v>
      </c>
      <c r="AG118" s="906">
        <v>5</v>
      </c>
      <c r="AH118" s="906">
        <v>7</v>
      </c>
      <c r="AI118" s="907">
        <v>2</v>
      </c>
      <c r="AJ118" s="907">
        <v>1</v>
      </c>
      <c r="AK118" s="907">
        <v>1</v>
      </c>
      <c r="AL118" s="907">
        <v>1</v>
      </c>
      <c r="AM118" s="907">
        <v>1</v>
      </c>
      <c r="AN118" s="907">
        <v>1</v>
      </c>
      <c r="AO118" s="907">
        <v>2</v>
      </c>
      <c r="AP118" s="907">
        <v>0</v>
      </c>
      <c r="AQ118" s="907">
        <v>1</v>
      </c>
      <c r="AR118" s="907">
        <v>0</v>
      </c>
      <c r="AS118" s="907">
        <v>0</v>
      </c>
      <c r="AT118" s="907">
        <v>0</v>
      </c>
      <c r="AU118" s="907">
        <v>0</v>
      </c>
    </row>
    <row r="119" spans="1:47" hidden="1">
      <c r="A119" s="898">
        <v>118</v>
      </c>
      <c r="B119" s="899">
        <v>0</v>
      </c>
      <c r="C119" s="900">
        <v>0</v>
      </c>
      <c r="D119" s="900">
        <v>0</v>
      </c>
      <c r="E119" s="900">
        <v>0</v>
      </c>
      <c r="F119" s="900">
        <v>1</v>
      </c>
      <c r="G119" s="901">
        <v>1</v>
      </c>
      <c r="H119" s="901">
        <v>2</v>
      </c>
      <c r="I119" s="901">
        <v>4</v>
      </c>
      <c r="J119" s="901">
        <v>3</v>
      </c>
      <c r="K119" s="902">
        <v>1</v>
      </c>
      <c r="L119" s="902">
        <v>0</v>
      </c>
      <c r="M119" s="902">
        <v>0</v>
      </c>
      <c r="N119" s="902">
        <f t="shared" si="2"/>
        <v>1</v>
      </c>
      <c r="O119" s="903">
        <v>0</v>
      </c>
      <c r="P119" s="903">
        <v>1</v>
      </c>
      <c r="Q119" s="903">
        <v>0</v>
      </c>
      <c r="R119" s="903">
        <v>0</v>
      </c>
      <c r="S119" s="903">
        <f t="shared" si="3"/>
        <v>2</v>
      </c>
      <c r="T119" s="904">
        <v>1</v>
      </c>
      <c r="U119" s="905">
        <v>0</v>
      </c>
      <c r="V119" s="905">
        <v>0</v>
      </c>
      <c r="W119" s="905">
        <v>1</v>
      </c>
      <c r="X119" s="905">
        <v>0</v>
      </c>
      <c r="Y119" s="905">
        <v>0</v>
      </c>
      <c r="Z119" s="905">
        <v>0</v>
      </c>
      <c r="AA119" s="905">
        <v>1</v>
      </c>
      <c r="AB119" s="906">
        <v>6</v>
      </c>
      <c r="AC119" s="906">
        <v>5</v>
      </c>
      <c r="AD119" s="906">
        <v>7</v>
      </c>
      <c r="AE119" s="906">
        <v>3</v>
      </c>
      <c r="AF119" s="906">
        <v>1</v>
      </c>
      <c r="AG119" s="906">
        <v>2</v>
      </c>
      <c r="AH119" s="906">
        <v>4</v>
      </c>
      <c r="AI119" s="907">
        <v>2</v>
      </c>
      <c r="AJ119" s="907">
        <v>2</v>
      </c>
      <c r="AK119" s="907">
        <v>4</v>
      </c>
      <c r="AL119" s="907">
        <v>4</v>
      </c>
      <c r="AM119" s="907">
        <v>1</v>
      </c>
      <c r="AN119" s="907">
        <v>1</v>
      </c>
      <c r="AO119" s="907">
        <v>2</v>
      </c>
      <c r="AP119" s="907">
        <v>0</v>
      </c>
      <c r="AQ119" s="907">
        <v>0</v>
      </c>
      <c r="AR119" s="907">
        <v>0</v>
      </c>
      <c r="AS119" s="907">
        <v>1</v>
      </c>
      <c r="AT119" s="907">
        <v>0</v>
      </c>
      <c r="AU119" s="907">
        <v>0</v>
      </c>
    </row>
    <row r="120" spans="1:47" hidden="1">
      <c r="A120" s="898">
        <v>119</v>
      </c>
      <c r="B120" s="899">
        <v>0</v>
      </c>
      <c r="C120" s="900">
        <v>0</v>
      </c>
      <c r="D120" s="900">
        <v>0</v>
      </c>
      <c r="E120" s="900">
        <v>1</v>
      </c>
      <c r="F120" s="900">
        <v>0</v>
      </c>
      <c r="G120" s="901">
        <v>2</v>
      </c>
      <c r="H120" s="901">
        <v>1</v>
      </c>
      <c r="I120" s="901">
        <v>4</v>
      </c>
      <c r="J120" s="901">
        <v>3</v>
      </c>
      <c r="K120" s="902">
        <v>1</v>
      </c>
      <c r="L120" s="902">
        <v>0</v>
      </c>
      <c r="M120" s="902">
        <v>0</v>
      </c>
      <c r="N120" s="902">
        <f t="shared" si="2"/>
        <v>1</v>
      </c>
      <c r="O120" s="903">
        <v>1</v>
      </c>
      <c r="P120" s="903">
        <v>0</v>
      </c>
      <c r="Q120" s="903">
        <v>0</v>
      </c>
      <c r="R120" s="903">
        <v>0</v>
      </c>
      <c r="S120" s="903">
        <f t="shared" si="3"/>
        <v>1</v>
      </c>
      <c r="T120" s="904">
        <v>0</v>
      </c>
      <c r="U120" s="905">
        <v>1</v>
      </c>
      <c r="V120" s="905">
        <v>1</v>
      </c>
      <c r="W120" s="905">
        <v>0</v>
      </c>
      <c r="X120" s="905">
        <v>0</v>
      </c>
      <c r="Y120" s="905">
        <v>0</v>
      </c>
      <c r="Z120" s="905">
        <v>0</v>
      </c>
      <c r="AA120" s="905">
        <v>0</v>
      </c>
      <c r="AB120" s="906">
        <v>5</v>
      </c>
      <c r="AC120" s="906">
        <v>6</v>
      </c>
      <c r="AD120" s="906">
        <v>7</v>
      </c>
      <c r="AE120" s="906">
        <v>3</v>
      </c>
      <c r="AF120" s="906">
        <v>2</v>
      </c>
      <c r="AG120" s="906">
        <v>1</v>
      </c>
      <c r="AH120" s="906">
        <v>4</v>
      </c>
      <c r="AI120" s="907">
        <v>2</v>
      </c>
      <c r="AJ120" s="907">
        <v>2</v>
      </c>
      <c r="AK120" s="907">
        <v>2</v>
      </c>
      <c r="AL120" s="907">
        <v>2</v>
      </c>
      <c r="AM120" s="907">
        <v>1</v>
      </c>
      <c r="AN120" s="907">
        <v>1</v>
      </c>
      <c r="AO120" s="907">
        <v>3</v>
      </c>
      <c r="AP120" s="907">
        <v>0</v>
      </c>
      <c r="AQ120" s="907">
        <v>0</v>
      </c>
      <c r="AR120" s="907">
        <v>0</v>
      </c>
      <c r="AS120" s="907">
        <v>0</v>
      </c>
      <c r="AT120" s="907">
        <v>0</v>
      </c>
      <c r="AU120" s="907">
        <v>1</v>
      </c>
    </row>
    <row r="121" spans="1:47" hidden="1">
      <c r="A121" s="898">
        <v>120</v>
      </c>
      <c r="B121" s="899">
        <v>0</v>
      </c>
      <c r="C121" s="900">
        <v>1</v>
      </c>
      <c r="D121" s="900">
        <v>0</v>
      </c>
      <c r="E121" s="900">
        <v>0</v>
      </c>
      <c r="F121" s="900">
        <v>0</v>
      </c>
      <c r="G121" s="901">
        <v>1</v>
      </c>
      <c r="H121" s="901">
        <v>2</v>
      </c>
      <c r="I121" s="901">
        <v>4</v>
      </c>
      <c r="J121" s="901">
        <v>3</v>
      </c>
      <c r="K121" s="902">
        <v>0</v>
      </c>
      <c r="L121" s="902">
        <v>1</v>
      </c>
      <c r="M121" s="902">
        <v>0</v>
      </c>
      <c r="N121" s="902">
        <f t="shared" si="2"/>
        <v>2</v>
      </c>
      <c r="O121" s="903">
        <v>1</v>
      </c>
      <c r="P121" s="903">
        <v>0</v>
      </c>
      <c r="Q121" s="903">
        <v>0</v>
      </c>
      <c r="R121" s="903">
        <v>0</v>
      </c>
      <c r="S121" s="903">
        <f t="shared" si="3"/>
        <v>1</v>
      </c>
      <c r="T121" s="904">
        <v>1</v>
      </c>
      <c r="U121" s="905">
        <v>1</v>
      </c>
      <c r="V121" s="905">
        <v>0</v>
      </c>
      <c r="W121" s="905">
        <v>0</v>
      </c>
      <c r="X121" s="905">
        <v>0</v>
      </c>
      <c r="Y121" s="905">
        <v>1</v>
      </c>
      <c r="Z121" s="905">
        <v>0</v>
      </c>
      <c r="AA121" s="905">
        <v>1</v>
      </c>
      <c r="AB121" s="906">
        <v>4</v>
      </c>
      <c r="AC121" s="906">
        <v>7</v>
      </c>
      <c r="AD121" s="906">
        <v>3</v>
      </c>
      <c r="AE121" s="906">
        <v>6</v>
      </c>
      <c r="AF121" s="906">
        <v>2</v>
      </c>
      <c r="AG121" s="906">
        <v>1</v>
      </c>
      <c r="AH121" s="906">
        <v>5</v>
      </c>
      <c r="AI121" s="907">
        <v>1</v>
      </c>
      <c r="AJ121" s="907">
        <v>2</v>
      </c>
      <c r="AK121" s="907">
        <v>1</v>
      </c>
      <c r="AL121" s="907">
        <v>2</v>
      </c>
      <c r="AM121" s="907">
        <v>1</v>
      </c>
      <c r="AN121" s="907">
        <v>1</v>
      </c>
      <c r="AO121" s="907">
        <v>2</v>
      </c>
      <c r="AP121" s="907">
        <v>0</v>
      </c>
      <c r="AQ121" s="907">
        <v>0</v>
      </c>
      <c r="AR121" s="907">
        <v>0</v>
      </c>
      <c r="AS121" s="907">
        <v>0</v>
      </c>
      <c r="AT121" s="907">
        <v>1</v>
      </c>
      <c r="AU121" s="907">
        <v>0</v>
      </c>
    </row>
    <row r="122" spans="1:47" hidden="1">
      <c r="A122" s="898">
        <v>121</v>
      </c>
      <c r="B122" s="899">
        <v>1</v>
      </c>
      <c r="C122" s="900">
        <v>1</v>
      </c>
      <c r="D122" s="900">
        <v>0</v>
      </c>
      <c r="E122" s="900">
        <v>0</v>
      </c>
      <c r="F122" s="900">
        <v>0</v>
      </c>
      <c r="G122" s="901">
        <v>2</v>
      </c>
      <c r="H122" s="901">
        <v>1</v>
      </c>
      <c r="I122" s="901">
        <v>3</v>
      </c>
      <c r="J122" s="901">
        <v>4</v>
      </c>
      <c r="K122" s="902">
        <v>1</v>
      </c>
      <c r="L122" s="902">
        <v>0</v>
      </c>
      <c r="M122" s="902">
        <v>0</v>
      </c>
      <c r="N122" s="902">
        <f t="shared" si="2"/>
        <v>1</v>
      </c>
      <c r="O122" s="903">
        <v>1</v>
      </c>
      <c r="P122" s="903">
        <v>0</v>
      </c>
      <c r="Q122" s="903">
        <v>0</v>
      </c>
      <c r="R122" s="903">
        <v>0</v>
      </c>
      <c r="S122" s="903">
        <f t="shared" si="3"/>
        <v>1</v>
      </c>
      <c r="T122" s="904">
        <v>1</v>
      </c>
      <c r="U122" s="905">
        <v>1</v>
      </c>
      <c r="V122" s="905">
        <v>0</v>
      </c>
      <c r="W122" s="905">
        <v>0</v>
      </c>
      <c r="X122" s="905">
        <v>0</v>
      </c>
      <c r="Y122" s="905">
        <v>0</v>
      </c>
      <c r="Z122" s="905">
        <v>0</v>
      </c>
      <c r="AA122" s="905">
        <v>0</v>
      </c>
      <c r="AB122" s="906">
        <v>6</v>
      </c>
      <c r="AC122" s="906">
        <v>3</v>
      </c>
      <c r="AD122" s="906">
        <v>4</v>
      </c>
      <c r="AE122" s="906">
        <v>7</v>
      </c>
      <c r="AF122" s="906">
        <v>1</v>
      </c>
      <c r="AG122" s="906">
        <v>2</v>
      </c>
      <c r="AH122" s="906">
        <v>5</v>
      </c>
      <c r="AI122" s="907">
        <v>2</v>
      </c>
      <c r="AJ122" s="907">
        <v>2</v>
      </c>
      <c r="AK122" s="907">
        <v>1</v>
      </c>
      <c r="AL122" s="907">
        <v>1</v>
      </c>
      <c r="AM122" s="907">
        <v>1</v>
      </c>
      <c r="AN122" s="907">
        <v>1</v>
      </c>
      <c r="AO122" s="907">
        <v>2</v>
      </c>
      <c r="AP122" s="907">
        <v>0</v>
      </c>
      <c r="AQ122" s="907">
        <v>0</v>
      </c>
      <c r="AR122" s="907">
        <v>0</v>
      </c>
      <c r="AS122" s="907">
        <v>1</v>
      </c>
      <c r="AT122" s="907">
        <v>0</v>
      </c>
      <c r="AU122" s="907">
        <v>0</v>
      </c>
    </row>
    <row r="123" spans="1:47" hidden="1">
      <c r="A123" s="898">
        <v>122</v>
      </c>
      <c r="B123" s="899">
        <v>0</v>
      </c>
      <c r="C123" s="900">
        <v>0</v>
      </c>
      <c r="D123" s="900">
        <v>1</v>
      </c>
      <c r="E123" s="900">
        <v>0</v>
      </c>
      <c r="F123" s="900">
        <v>0</v>
      </c>
      <c r="G123" s="901">
        <v>4</v>
      </c>
      <c r="H123" s="901">
        <v>3</v>
      </c>
      <c r="I123" s="901">
        <v>2</v>
      </c>
      <c r="J123" s="901">
        <v>1</v>
      </c>
      <c r="K123" s="902">
        <v>1</v>
      </c>
      <c r="L123" s="902">
        <v>0</v>
      </c>
      <c r="M123" s="902">
        <v>0</v>
      </c>
      <c r="N123" s="902">
        <f t="shared" si="2"/>
        <v>1</v>
      </c>
      <c r="O123" s="903">
        <v>1</v>
      </c>
      <c r="P123" s="903">
        <v>0</v>
      </c>
      <c r="Q123" s="903">
        <v>0</v>
      </c>
      <c r="R123" s="903">
        <v>0</v>
      </c>
      <c r="S123" s="903">
        <f t="shared" si="3"/>
        <v>1</v>
      </c>
      <c r="T123" s="904">
        <v>1</v>
      </c>
      <c r="U123" s="905">
        <v>0</v>
      </c>
      <c r="V123" s="905">
        <v>0</v>
      </c>
      <c r="W123" s="905">
        <v>0</v>
      </c>
      <c r="X123" s="905">
        <v>0</v>
      </c>
      <c r="Y123" s="905">
        <v>1</v>
      </c>
      <c r="Z123" s="905">
        <v>0</v>
      </c>
      <c r="AA123" s="905">
        <v>0</v>
      </c>
      <c r="AB123" s="906">
        <v>1</v>
      </c>
      <c r="AC123" s="906">
        <v>3</v>
      </c>
      <c r="AD123" s="906">
        <v>5</v>
      </c>
      <c r="AE123" s="906">
        <v>6</v>
      </c>
      <c r="AF123" s="906">
        <v>2</v>
      </c>
      <c r="AG123" s="906">
        <v>4</v>
      </c>
      <c r="AH123" s="906">
        <v>7</v>
      </c>
      <c r="AI123" s="907">
        <v>2</v>
      </c>
      <c r="AJ123" s="907">
        <v>1</v>
      </c>
      <c r="AK123" s="907">
        <v>2</v>
      </c>
      <c r="AL123" s="907">
        <v>2</v>
      </c>
      <c r="AM123" s="907">
        <v>1</v>
      </c>
      <c r="AN123" s="907">
        <v>2</v>
      </c>
      <c r="AO123" s="907">
        <v>1</v>
      </c>
      <c r="AP123" s="907">
        <v>0</v>
      </c>
      <c r="AQ123" s="907">
        <v>0</v>
      </c>
      <c r="AR123" s="907">
        <v>0</v>
      </c>
      <c r="AS123" s="907">
        <v>0</v>
      </c>
      <c r="AT123" s="907">
        <v>0</v>
      </c>
      <c r="AU123" s="907">
        <v>1</v>
      </c>
    </row>
    <row r="124" spans="1:47" hidden="1">
      <c r="A124" s="898">
        <v>123</v>
      </c>
      <c r="B124" s="899">
        <v>0</v>
      </c>
      <c r="C124" s="900">
        <v>1</v>
      </c>
      <c r="D124" s="900">
        <v>0</v>
      </c>
      <c r="E124" s="900">
        <v>0</v>
      </c>
      <c r="F124" s="900">
        <v>0</v>
      </c>
      <c r="G124" s="901">
        <v>4</v>
      </c>
      <c r="H124" s="901">
        <v>1</v>
      </c>
      <c r="I124" s="901">
        <v>3</v>
      </c>
      <c r="J124" s="901">
        <v>2</v>
      </c>
      <c r="K124" s="902">
        <v>0</v>
      </c>
      <c r="L124" s="902">
        <v>1</v>
      </c>
      <c r="M124" s="902">
        <v>0</v>
      </c>
      <c r="N124" s="902">
        <f t="shared" si="2"/>
        <v>2</v>
      </c>
      <c r="O124" s="903">
        <v>1</v>
      </c>
      <c r="P124" s="903">
        <v>0</v>
      </c>
      <c r="Q124" s="903">
        <v>0</v>
      </c>
      <c r="R124" s="903">
        <v>0</v>
      </c>
      <c r="S124" s="903">
        <f t="shared" si="3"/>
        <v>1</v>
      </c>
      <c r="T124" s="904">
        <v>1</v>
      </c>
      <c r="U124" s="905">
        <v>0</v>
      </c>
      <c r="V124" s="905">
        <v>0</v>
      </c>
      <c r="W124" s="905">
        <v>0</v>
      </c>
      <c r="X124" s="905">
        <v>0</v>
      </c>
      <c r="Y124" s="905">
        <v>1</v>
      </c>
      <c r="Z124" s="905">
        <v>0</v>
      </c>
      <c r="AA124" s="905">
        <v>0</v>
      </c>
      <c r="AB124" s="906">
        <v>3</v>
      </c>
      <c r="AC124" s="906">
        <v>1</v>
      </c>
      <c r="AD124" s="906">
        <v>5</v>
      </c>
      <c r="AE124" s="906">
        <v>7</v>
      </c>
      <c r="AF124" s="906">
        <v>2</v>
      </c>
      <c r="AG124" s="906">
        <v>4</v>
      </c>
      <c r="AH124" s="906">
        <v>6</v>
      </c>
      <c r="AI124" s="907">
        <v>1</v>
      </c>
      <c r="AJ124" s="907">
        <v>1</v>
      </c>
      <c r="AK124" s="907">
        <v>2</v>
      </c>
      <c r="AL124" s="907">
        <v>1</v>
      </c>
      <c r="AM124" s="907">
        <v>1</v>
      </c>
      <c r="AN124" s="907">
        <v>2</v>
      </c>
      <c r="AO124" s="907">
        <v>2</v>
      </c>
      <c r="AP124" s="907">
        <v>0</v>
      </c>
      <c r="AQ124" s="907">
        <v>0</v>
      </c>
      <c r="AR124" s="907">
        <v>0</v>
      </c>
      <c r="AS124" s="907">
        <v>1</v>
      </c>
      <c r="AT124" s="907">
        <v>0</v>
      </c>
      <c r="AU124" s="907">
        <v>0</v>
      </c>
    </row>
    <row r="125" spans="1:47" hidden="1">
      <c r="A125" s="898">
        <v>124</v>
      </c>
      <c r="B125" s="899">
        <v>0</v>
      </c>
      <c r="C125" s="900">
        <v>1</v>
      </c>
      <c r="D125" s="900">
        <v>0</v>
      </c>
      <c r="E125" s="900">
        <v>0</v>
      </c>
      <c r="F125" s="900">
        <v>0</v>
      </c>
      <c r="G125" s="901">
        <v>3</v>
      </c>
      <c r="H125" s="901">
        <v>2</v>
      </c>
      <c r="I125" s="901">
        <v>4</v>
      </c>
      <c r="J125" s="901">
        <v>1</v>
      </c>
      <c r="K125" s="902">
        <v>1</v>
      </c>
      <c r="L125" s="902">
        <v>0</v>
      </c>
      <c r="M125" s="902">
        <v>0</v>
      </c>
      <c r="N125" s="902">
        <f t="shared" si="2"/>
        <v>1</v>
      </c>
      <c r="O125" s="903">
        <v>0</v>
      </c>
      <c r="P125" s="903">
        <v>1</v>
      </c>
      <c r="Q125" s="903">
        <v>0</v>
      </c>
      <c r="R125" s="903">
        <v>0</v>
      </c>
      <c r="S125" s="903">
        <f t="shared" si="3"/>
        <v>2</v>
      </c>
      <c r="T125" s="904">
        <v>0</v>
      </c>
      <c r="U125" s="905">
        <v>0</v>
      </c>
      <c r="V125" s="905">
        <v>0</v>
      </c>
      <c r="W125" s="905">
        <v>0</v>
      </c>
      <c r="X125" s="905">
        <v>0</v>
      </c>
      <c r="Y125" s="905">
        <v>1</v>
      </c>
      <c r="Z125" s="905">
        <v>0</v>
      </c>
      <c r="AA125" s="905">
        <v>0</v>
      </c>
      <c r="AB125" s="906">
        <v>1</v>
      </c>
      <c r="AC125" s="906">
        <v>2</v>
      </c>
      <c r="AD125" s="906">
        <v>3</v>
      </c>
      <c r="AE125" s="906">
        <v>4</v>
      </c>
      <c r="AF125" s="906">
        <v>5</v>
      </c>
      <c r="AG125" s="906">
        <v>6</v>
      </c>
      <c r="AH125" s="906">
        <v>7</v>
      </c>
      <c r="AI125" s="907">
        <v>3</v>
      </c>
      <c r="AJ125" s="907">
        <v>2</v>
      </c>
      <c r="AK125" s="907">
        <v>3</v>
      </c>
      <c r="AL125" s="907">
        <v>1</v>
      </c>
      <c r="AM125" s="907">
        <v>2</v>
      </c>
      <c r="AN125" s="907">
        <v>1</v>
      </c>
      <c r="AO125" s="907">
        <v>3</v>
      </c>
      <c r="AP125" s="907">
        <v>0</v>
      </c>
      <c r="AQ125" s="907">
        <v>0</v>
      </c>
      <c r="AR125" s="907">
        <v>1</v>
      </c>
      <c r="AS125" s="907">
        <v>0</v>
      </c>
      <c r="AT125" s="907">
        <v>0</v>
      </c>
      <c r="AU125" s="907">
        <v>0</v>
      </c>
    </row>
    <row r="126" spans="1:47" hidden="1">
      <c r="A126" s="898">
        <v>125</v>
      </c>
      <c r="B126" s="899">
        <v>0</v>
      </c>
      <c r="C126" s="900">
        <v>1</v>
      </c>
      <c r="D126" s="900">
        <v>0</v>
      </c>
      <c r="E126" s="900">
        <v>0</v>
      </c>
      <c r="F126" s="900">
        <v>0</v>
      </c>
      <c r="G126" s="901">
        <v>4</v>
      </c>
      <c r="H126" s="901">
        <v>3</v>
      </c>
      <c r="I126" s="901">
        <v>2</v>
      </c>
      <c r="J126" s="901">
        <v>1</v>
      </c>
      <c r="K126" s="902">
        <v>1</v>
      </c>
      <c r="L126" s="902">
        <v>0</v>
      </c>
      <c r="M126" s="902">
        <v>0</v>
      </c>
      <c r="N126" s="902">
        <f t="shared" si="2"/>
        <v>1</v>
      </c>
      <c r="O126" s="903">
        <v>1</v>
      </c>
      <c r="P126" s="903">
        <v>0</v>
      </c>
      <c r="Q126" s="903">
        <v>0</v>
      </c>
      <c r="R126" s="903">
        <v>0</v>
      </c>
      <c r="S126" s="903">
        <f t="shared" si="3"/>
        <v>1</v>
      </c>
      <c r="T126" s="904">
        <v>0</v>
      </c>
      <c r="U126" s="905">
        <v>0</v>
      </c>
      <c r="V126" s="905">
        <v>0</v>
      </c>
      <c r="W126" s="905">
        <v>1</v>
      </c>
      <c r="X126" s="905">
        <v>1</v>
      </c>
      <c r="Y126" s="905">
        <v>1</v>
      </c>
      <c r="Z126" s="905">
        <v>0</v>
      </c>
      <c r="AA126" s="905">
        <v>0</v>
      </c>
      <c r="AB126" s="906">
        <v>4</v>
      </c>
      <c r="AC126" s="906">
        <v>2</v>
      </c>
      <c r="AD126" s="906">
        <v>3</v>
      </c>
      <c r="AE126" s="906">
        <v>1</v>
      </c>
      <c r="AF126" s="906">
        <v>5</v>
      </c>
      <c r="AG126" s="906">
        <v>6</v>
      </c>
      <c r="AH126" s="906">
        <v>7</v>
      </c>
      <c r="AI126" s="907">
        <v>3</v>
      </c>
      <c r="AJ126" s="907">
        <v>1</v>
      </c>
      <c r="AK126" s="907">
        <v>3</v>
      </c>
      <c r="AL126" s="907">
        <v>2</v>
      </c>
      <c r="AM126" s="907">
        <v>3</v>
      </c>
      <c r="AN126" s="907">
        <v>1</v>
      </c>
      <c r="AO126" s="907">
        <v>2</v>
      </c>
      <c r="AP126" s="907">
        <v>0</v>
      </c>
      <c r="AQ126" s="907">
        <v>0</v>
      </c>
      <c r="AR126" s="907">
        <v>0</v>
      </c>
      <c r="AS126" s="907">
        <v>1</v>
      </c>
      <c r="AT126" s="907">
        <v>0</v>
      </c>
      <c r="AU126" s="907">
        <v>0</v>
      </c>
    </row>
    <row r="127" spans="1:47" hidden="1">
      <c r="A127" s="898">
        <v>126</v>
      </c>
      <c r="B127" s="899">
        <v>0</v>
      </c>
      <c r="C127" s="900">
        <v>1</v>
      </c>
      <c r="D127" s="900">
        <v>0</v>
      </c>
      <c r="E127" s="900">
        <v>0</v>
      </c>
      <c r="F127" s="900">
        <v>0</v>
      </c>
      <c r="G127" s="901">
        <v>2</v>
      </c>
      <c r="H127" s="901">
        <v>4</v>
      </c>
      <c r="I127" s="901">
        <v>3</v>
      </c>
      <c r="J127" s="901">
        <v>1</v>
      </c>
      <c r="K127" s="902">
        <v>1</v>
      </c>
      <c r="L127" s="902">
        <v>0</v>
      </c>
      <c r="M127" s="902">
        <v>0</v>
      </c>
      <c r="N127" s="902">
        <f t="shared" si="2"/>
        <v>1</v>
      </c>
      <c r="O127" s="903">
        <v>0</v>
      </c>
      <c r="P127" s="903">
        <v>1</v>
      </c>
      <c r="Q127" s="903">
        <v>0</v>
      </c>
      <c r="R127" s="903">
        <v>0</v>
      </c>
      <c r="S127" s="903">
        <f t="shared" si="3"/>
        <v>2</v>
      </c>
      <c r="T127" s="904">
        <v>0</v>
      </c>
      <c r="U127" s="905">
        <v>0</v>
      </c>
      <c r="V127" s="905">
        <v>0</v>
      </c>
      <c r="W127" s="905">
        <v>1</v>
      </c>
      <c r="X127" s="905">
        <v>1</v>
      </c>
      <c r="Y127" s="905">
        <v>1</v>
      </c>
      <c r="Z127" s="905">
        <v>0</v>
      </c>
      <c r="AA127" s="905">
        <v>0</v>
      </c>
      <c r="AB127" s="906">
        <v>1</v>
      </c>
      <c r="AC127" s="906">
        <v>5</v>
      </c>
      <c r="AD127" s="906">
        <v>4</v>
      </c>
      <c r="AE127" s="906">
        <v>7</v>
      </c>
      <c r="AF127" s="906">
        <v>2</v>
      </c>
      <c r="AG127" s="906">
        <v>4</v>
      </c>
      <c r="AH127" s="906">
        <v>6</v>
      </c>
      <c r="AI127" s="907">
        <v>2</v>
      </c>
      <c r="AJ127" s="907">
        <v>2</v>
      </c>
      <c r="AK127" s="907">
        <v>2</v>
      </c>
      <c r="AL127" s="907">
        <v>2</v>
      </c>
      <c r="AM127" s="907">
        <v>2</v>
      </c>
      <c r="AN127" s="907">
        <v>2</v>
      </c>
      <c r="AO127" s="907">
        <v>2</v>
      </c>
      <c r="AP127" s="907">
        <v>0</v>
      </c>
      <c r="AQ127" s="907">
        <v>0</v>
      </c>
      <c r="AR127" s="907">
        <v>0</v>
      </c>
      <c r="AS127" s="907">
        <v>0</v>
      </c>
      <c r="AT127" s="907">
        <v>1</v>
      </c>
      <c r="AU127" s="907">
        <v>0</v>
      </c>
    </row>
    <row r="128" spans="1:47" hidden="1">
      <c r="A128" s="898">
        <v>127</v>
      </c>
      <c r="B128" s="899">
        <v>0</v>
      </c>
      <c r="C128" s="900">
        <v>1</v>
      </c>
      <c r="D128" s="900">
        <v>0</v>
      </c>
      <c r="E128" s="900">
        <v>0</v>
      </c>
      <c r="F128" s="900">
        <v>0</v>
      </c>
      <c r="G128" s="901">
        <v>2</v>
      </c>
      <c r="H128" s="901">
        <v>4</v>
      </c>
      <c r="I128" s="901">
        <v>3</v>
      </c>
      <c r="J128" s="901">
        <v>1</v>
      </c>
      <c r="K128" s="902">
        <v>1</v>
      </c>
      <c r="L128" s="902">
        <v>0</v>
      </c>
      <c r="M128" s="902">
        <v>0</v>
      </c>
      <c r="N128" s="902">
        <f t="shared" si="2"/>
        <v>1</v>
      </c>
      <c r="O128" s="903">
        <v>0</v>
      </c>
      <c r="P128" s="903">
        <v>1</v>
      </c>
      <c r="Q128" s="903">
        <v>0</v>
      </c>
      <c r="R128" s="903">
        <v>0</v>
      </c>
      <c r="S128" s="903">
        <f t="shared" si="3"/>
        <v>2</v>
      </c>
      <c r="T128" s="904">
        <v>1</v>
      </c>
      <c r="U128" s="905">
        <v>0</v>
      </c>
      <c r="V128" s="905">
        <v>0</v>
      </c>
      <c r="W128" s="905">
        <v>0</v>
      </c>
      <c r="X128" s="905">
        <v>1</v>
      </c>
      <c r="Y128" s="905">
        <v>1</v>
      </c>
      <c r="Z128" s="905">
        <v>0</v>
      </c>
      <c r="AA128" s="905">
        <v>0</v>
      </c>
      <c r="AB128" s="906">
        <v>5</v>
      </c>
      <c r="AC128" s="906">
        <v>7</v>
      </c>
      <c r="AD128" s="906">
        <v>2</v>
      </c>
      <c r="AE128" s="906">
        <v>3</v>
      </c>
      <c r="AF128" s="906">
        <v>1</v>
      </c>
      <c r="AG128" s="906">
        <v>4</v>
      </c>
      <c r="AH128" s="906">
        <v>6</v>
      </c>
      <c r="AI128" s="907">
        <v>2</v>
      </c>
      <c r="AJ128" s="907">
        <v>2</v>
      </c>
      <c r="AK128" s="907">
        <v>3</v>
      </c>
      <c r="AL128" s="907">
        <v>2</v>
      </c>
      <c r="AM128" s="907">
        <v>1</v>
      </c>
      <c r="AN128" s="907">
        <v>1</v>
      </c>
      <c r="AO128" s="907">
        <v>4</v>
      </c>
      <c r="AP128" s="907">
        <v>0</v>
      </c>
      <c r="AQ128" s="907">
        <v>0</v>
      </c>
      <c r="AR128" s="907">
        <v>0</v>
      </c>
      <c r="AS128" s="907">
        <v>1</v>
      </c>
      <c r="AT128" s="907">
        <v>0</v>
      </c>
      <c r="AU128" s="907">
        <v>0</v>
      </c>
    </row>
    <row r="129" spans="1:48">
      <c r="A129" s="898">
        <v>128</v>
      </c>
      <c r="B129" s="899">
        <v>0</v>
      </c>
      <c r="C129" s="900">
        <v>1</v>
      </c>
      <c r="D129" s="900">
        <v>0</v>
      </c>
      <c r="E129" s="900">
        <v>0</v>
      </c>
      <c r="F129" s="900">
        <v>0</v>
      </c>
      <c r="G129" s="901">
        <v>2</v>
      </c>
      <c r="H129" s="901">
        <v>4</v>
      </c>
      <c r="I129" s="901">
        <v>1</v>
      </c>
      <c r="J129" s="901">
        <v>3</v>
      </c>
      <c r="K129" s="902">
        <v>1</v>
      </c>
      <c r="L129" s="902">
        <v>0</v>
      </c>
      <c r="M129" s="902">
        <v>0</v>
      </c>
      <c r="N129" s="902">
        <f t="shared" si="2"/>
        <v>1</v>
      </c>
      <c r="O129" s="903">
        <v>1</v>
      </c>
      <c r="P129" s="903">
        <v>0</v>
      </c>
      <c r="Q129" s="903">
        <v>0</v>
      </c>
      <c r="R129" s="903">
        <v>0</v>
      </c>
      <c r="S129" s="903">
        <f t="shared" si="3"/>
        <v>1</v>
      </c>
      <c r="T129" s="904">
        <v>0</v>
      </c>
      <c r="U129" s="905">
        <v>0</v>
      </c>
      <c r="V129" s="905">
        <v>0</v>
      </c>
      <c r="W129" s="905">
        <v>0</v>
      </c>
      <c r="X129" s="905">
        <v>0</v>
      </c>
      <c r="Y129" s="905">
        <v>1</v>
      </c>
      <c r="Z129" s="905">
        <v>0</v>
      </c>
      <c r="AA129" s="905">
        <v>0</v>
      </c>
      <c r="AB129" s="906">
        <v>5</v>
      </c>
      <c r="AC129" s="906">
        <v>7</v>
      </c>
      <c r="AD129" s="906">
        <v>3</v>
      </c>
      <c r="AE129" s="906">
        <v>1</v>
      </c>
      <c r="AF129" s="906">
        <v>4</v>
      </c>
      <c r="AG129" s="906">
        <v>5</v>
      </c>
      <c r="AH129" s="906">
        <v>6</v>
      </c>
      <c r="AI129" s="907">
        <v>2</v>
      </c>
      <c r="AJ129" s="907">
        <v>2</v>
      </c>
      <c r="AK129" s="907">
        <v>1</v>
      </c>
      <c r="AL129" s="907">
        <v>2</v>
      </c>
      <c r="AM129" s="907">
        <v>1</v>
      </c>
      <c r="AN129" s="907">
        <v>1</v>
      </c>
      <c r="AO129" s="907">
        <v>1</v>
      </c>
      <c r="AP129" s="907">
        <v>0</v>
      </c>
      <c r="AQ129" s="907">
        <v>0</v>
      </c>
      <c r="AR129" s="907">
        <v>0</v>
      </c>
      <c r="AS129" s="907">
        <v>1</v>
      </c>
      <c r="AT129" s="907">
        <v>0</v>
      </c>
      <c r="AU129" s="907">
        <v>0</v>
      </c>
    </row>
    <row r="130" spans="1:48" hidden="1">
      <c r="A130" s="898">
        <v>129</v>
      </c>
      <c r="B130" s="899">
        <v>0</v>
      </c>
      <c r="C130" s="900">
        <v>1</v>
      </c>
      <c r="D130" s="900">
        <v>0</v>
      </c>
      <c r="E130" s="900">
        <v>0</v>
      </c>
      <c r="F130" s="900">
        <v>0</v>
      </c>
      <c r="G130" s="901">
        <v>3</v>
      </c>
      <c r="H130" s="901">
        <v>2</v>
      </c>
      <c r="I130" s="901">
        <v>4</v>
      </c>
      <c r="J130" s="901">
        <v>1</v>
      </c>
      <c r="K130" s="902">
        <v>1</v>
      </c>
      <c r="L130" s="902">
        <v>0</v>
      </c>
      <c r="M130" s="902">
        <v>0</v>
      </c>
      <c r="N130" s="902">
        <f t="shared" ref="N130:N193" si="4">+(K130*1)+(L130*2)+(M130*3)</f>
        <v>1</v>
      </c>
      <c r="O130" s="903">
        <v>0</v>
      </c>
      <c r="P130" s="903">
        <v>1</v>
      </c>
      <c r="Q130" s="903">
        <v>0</v>
      </c>
      <c r="R130" s="903">
        <v>0</v>
      </c>
      <c r="S130" s="903">
        <f t="shared" si="3"/>
        <v>2</v>
      </c>
      <c r="T130" s="904">
        <v>0</v>
      </c>
      <c r="U130" s="905">
        <v>1</v>
      </c>
      <c r="V130" s="905">
        <v>1</v>
      </c>
      <c r="W130" s="905">
        <v>1</v>
      </c>
      <c r="X130" s="905">
        <v>1</v>
      </c>
      <c r="Y130" s="905">
        <v>1</v>
      </c>
      <c r="Z130" s="905">
        <v>1</v>
      </c>
      <c r="AA130" s="905">
        <v>1</v>
      </c>
      <c r="AB130" s="906">
        <v>5</v>
      </c>
      <c r="AC130" s="906">
        <v>2</v>
      </c>
      <c r="AD130" s="906">
        <v>4</v>
      </c>
      <c r="AE130" s="906">
        <v>1</v>
      </c>
      <c r="AF130" s="906">
        <v>6</v>
      </c>
      <c r="AG130" s="906">
        <v>3</v>
      </c>
      <c r="AH130" s="906">
        <v>7</v>
      </c>
      <c r="AI130" s="907">
        <v>2</v>
      </c>
      <c r="AJ130" s="907">
        <v>2</v>
      </c>
      <c r="AK130" s="907">
        <v>2</v>
      </c>
      <c r="AL130" s="907">
        <v>2</v>
      </c>
      <c r="AM130" s="907">
        <v>2</v>
      </c>
      <c r="AN130" s="907">
        <v>1</v>
      </c>
      <c r="AO130" s="907">
        <v>2</v>
      </c>
      <c r="AP130" s="907">
        <v>1</v>
      </c>
      <c r="AQ130" s="907">
        <v>0</v>
      </c>
      <c r="AR130" s="907">
        <v>0</v>
      </c>
      <c r="AS130" s="907">
        <v>0</v>
      </c>
      <c r="AT130" s="907">
        <v>0</v>
      </c>
      <c r="AU130" s="907">
        <v>0</v>
      </c>
    </row>
    <row r="131" spans="1:48" hidden="1">
      <c r="A131" s="898">
        <v>130</v>
      </c>
      <c r="B131" s="899">
        <v>1</v>
      </c>
      <c r="C131" s="900">
        <v>0</v>
      </c>
      <c r="D131" s="900">
        <v>1</v>
      </c>
      <c r="E131" s="900">
        <v>0</v>
      </c>
      <c r="F131" s="900">
        <v>0</v>
      </c>
      <c r="G131" s="901">
        <v>4</v>
      </c>
      <c r="H131" s="901">
        <v>1</v>
      </c>
      <c r="I131" s="901">
        <v>2</v>
      </c>
      <c r="J131" s="901">
        <v>3</v>
      </c>
      <c r="K131" s="902">
        <v>1</v>
      </c>
      <c r="L131" s="902">
        <v>0</v>
      </c>
      <c r="M131" s="902">
        <v>0</v>
      </c>
      <c r="N131" s="902">
        <f t="shared" si="4"/>
        <v>1</v>
      </c>
      <c r="O131" s="903">
        <v>1</v>
      </c>
      <c r="P131" s="903">
        <v>0</v>
      </c>
      <c r="Q131" s="903">
        <v>0</v>
      </c>
      <c r="R131" s="903">
        <v>0</v>
      </c>
      <c r="S131" s="903">
        <f t="shared" ref="S131:S194" si="5">+(O131*1)+(P131*2)+(Q131*3)+(R131*4)</f>
        <v>1</v>
      </c>
      <c r="T131" s="904">
        <v>1</v>
      </c>
      <c r="U131" s="905">
        <v>0</v>
      </c>
      <c r="V131" s="905">
        <v>0</v>
      </c>
      <c r="W131" s="905">
        <v>0</v>
      </c>
      <c r="X131" s="905">
        <v>1</v>
      </c>
      <c r="Y131" s="905">
        <v>0</v>
      </c>
      <c r="Z131" s="905">
        <v>1</v>
      </c>
      <c r="AA131" s="905">
        <v>1</v>
      </c>
      <c r="AB131" s="906">
        <v>3</v>
      </c>
      <c r="AC131" s="906">
        <v>4</v>
      </c>
      <c r="AD131" s="906">
        <v>5</v>
      </c>
      <c r="AE131" s="906">
        <v>6</v>
      </c>
      <c r="AF131" s="906">
        <v>7</v>
      </c>
      <c r="AG131" s="906">
        <v>1</v>
      </c>
      <c r="AH131" s="906">
        <v>2</v>
      </c>
      <c r="AI131" s="907">
        <v>2</v>
      </c>
      <c r="AJ131" s="907">
        <v>2</v>
      </c>
      <c r="AK131" s="907">
        <v>1</v>
      </c>
      <c r="AL131" s="907">
        <v>1</v>
      </c>
      <c r="AM131" s="907">
        <v>2</v>
      </c>
      <c r="AN131" s="907">
        <v>1</v>
      </c>
      <c r="AO131" s="907">
        <v>2</v>
      </c>
      <c r="AP131" s="907">
        <v>1</v>
      </c>
      <c r="AQ131" s="907">
        <v>0</v>
      </c>
      <c r="AR131" s="907">
        <v>0</v>
      </c>
      <c r="AS131" s="907">
        <v>0</v>
      </c>
      <c r="AT131" s="907">
        <v>0</v>
      </c>
      <c r="AU131" s="907">
        <v>0</v>
      </c>
    </row>
    <row r="132" spans="1:48" hidden="1">
      <c r="A132" s="898">
        <v>131</v>
      </c>
      <c r="B132" s="899">
        <v>0</v>
      </c>
      <c r="C132" s="900">
        <v>1</v>
      </c>
      <c r="D132" s="900">
        <v>0</v>
      </c>
      <c r="E132" s="900">
        <v>0</v>
      </c>
      <c r="F132" s="900">
        <v>0</v>
      </c>
      <c r="G132" s="901">
        <v>1</v>
      </c>
      <c r="H132" s="901">
        <v>2</v>
      </c>
      <c r="I132" s="901">
        <v>3</v>
      </c>
      <c r="J132" s="901">
        <v>4</v>
      </c>
      <c r="K132" s="902">
        <v>0</v>
      </c>
      <c r="L132" s="902">
        <v>1</v>
      </c>
      <c r="M132" s="902">
        <v>0</v>
      </c>
      <c r="N132" s="902">
        <f t="shared" si="4"/>
        <v>2</v>
      </c>
      <c r="O132" s="903">
        <v>1</v>
      </c>
      <c r="P132" s="903">
        <v>0</v>
      </c>
      <c r="Q132" s="903">
        <v>0</v>
      </c>
      <c r="R132" s="903">
        <v>0</v>
      </c>
      <c r="S132" s="903">
        <f t="shared" si="5"/>
        <v>1</v>
      </c>
      <c r="T132" s="904">
        <v>1</v>
      </c>
      <c r="U132" s="905">
        <v>0</v>
      </c>
      <c r="V132" s="905">
        <v>0</v>
      </c>
      <c r="W132" s="905">
        <v>0</v>
      </c>
      <c r="X132" s="905">
        <v>0</v>
      </c>
      <c r="Y132" s="905">
        <v>1</v>
      </c>
      <c r="Z132" s="905">
        <v>0</v>
      </c>
      <c r="AA132" s="905">
        <v>0</v>
      </c>
      <c r="AB132" s="906">
        <v>4</v>
      </c>
      <c r="AC132" s="906">
        <v>6</v>
      </c>
      <c r="AD132" s="906">
        <v>1</v>
      </c>
      <c r="AE132" s="906">
        <v>7</v>
      </c>
      <c r="AF132" s="906">
        <v>5</v>
      </c>
      <c r="AG132" s="906">
        <v>3</v>
      </c>
      <c r="AH132" s="906">
        <v>2</v>
      </c>
      <c r="AI132" s="907">
        <v>1</v>
      </c>
      <c r="AJ132" s="907">
        <v>1</v>
      </c>
      <c r="AK132" s="907">
        <v>2</v>
      </c>
      <c r="AL132" s="907">
        <v>2</v>
      </c>
      <c r="AM132" s="907">
        <v>1</v>
      </c>
      <c r="AN132" s="907">
        <v>1</v>
      </c>
      <c r="AO132" s="907">
        <v>1</v>
      </c>
      <c r="AP132" s="907">
        <v>1</v>
      </c>
      <c r="AQ132" s="907">
        <v>1</v>
      </c>
      <c r="AR132" s="907">
        <v>0</v>
      </c>
      <c r="AS132" s="907">
        <v>0</v>
      </c>
      <c r="AT132" s="907">
        <v>0</v>
      </c>
      <c r="AU132" s="907">
        <v>0</v>
      </c>
    </row>
    <row r="133" spans="1:48" hidden="1">
      <c r="A133" s="898">
        <v>132</v>
      </c>
      <c r="B133" s="899">
        <v>1</v>
      </c>
      <c r="C133" s="900">
        <v>0</v>
      </c>
      <c r="D133" s="900">
        <v>0</v>
      </c>
      <c r="E133" s="900">
        <v>1</v>
      </c>
      <c r="F133" s="900">
        <v>0</v>
      </c>
      <c r="G133" s="901">
        <v>3</v>
      </c>
      <c r="H133" s="901">
        <v>2</v>
      </c>
      <c r="I133" s="901">
        <v>4</v>
      </c>
      <c r="J133" s="901">
        <v>1</v>
      </c>
      <c r="K133" s="902">
        <v>1</v>
      </c>
      <c r="L133" s="902">
        <v>0</v>
      </c>
      <c r="M133" s="902">
        <v>0</v>
      </c>
      <c r="N133" s="902">
        <f t="shared" si="4"/>
        <v>1</v>
      </c>
      <c r="O133" s="903">
        <v>1</v>
      </c>
      <c r="P133" s="903">
        <v>0</v>
      </c>
      <c r="Q133" s="903">
        <v>0</v>
      </c>
      <c r="R133" s="903">
        <v>0</v>
      </c>
      <c r="S133" s="903">
        <f t="shared" si="5"/>
        <v>1</v>
      </c>
      <c r="T133" s="904">
        <v>1</v>
      </c>
      <c r="U133" s="905">
        <v>1</v>
      </c>
      <c r="V133" s="905">
        <v>0</v>
      </c>
      <c r="W133" s="905">
        <v>1</v>
      </c>
      <c r="X133" s="905">
        <v>0</v>
      </c>
      <c r="Y133" s="905">
        <v>0</v>
      </c>
      <c r="Z133" s="905">
        <v>1</v>
      </c>
      <c r="AA133" s="905">
        <v>0</v>
      </c>
      <c r="AB133" s="906">
        <v>7</v>
      </c>
      <c r="AC133" s="906">
        <v>4</v>
      </c>
      <c r="AD133" s="906">
        <v>6</v>
      </c>
      <c r="AE133" s="906">
        <v>5</v>
      </c>
      <c r="AF133" s="906">
        <v>2</v>
      </c>
      <c r="AG133" s="906">
        <v>1</v>
      </c>
      <c r="AH133" s="906">
        <v>3</v>
      </c>
      <c r="AI133" s="907">
        <v>2</v>
      </c>
      <c r="AJ133" s="907">
        <v>2</v>
      </c>
      <c r="AK133" s="907">
        <v>1</v>
      </c>
      <c r="AL133" s="907">
        <v>1</v>
      </c>
      <c r="AM133" s="907">
        <v>2</v>
      </c>
      <c r="AN133" s="907">
        <v>2</v>
      </c>
      <c r="AO133" s="907">
        <v>1</v>
      </c>
      <c r="AP133" s="907">
        <v>0</v>
      </c>
      <c r="AQ133" s="907">
        <v>1</v>
      </c>
      <c r="AR133" s="907">
        <v>0</v>
      </c>
      <c r="AS133" s="907">
        <v>0</v>
      </c>
      <c r="AT133" s="907">
        <v>0</v>
      </c>
      <c r="AU133" s="907">
        <v>0</v>
      </c>
      <c r="AV133" s="911"/>
    </row>
    <row r="134" spans="1:48" hidden="1">
      <c r="A134" s="898">
        <v>133</v>
      </c>
      <c r="B134" s="899">
        <v>1</v>
      </c>
      <c r="C134" s="900">
        <v>0</v>
      </c>
      <c r="D134" s="900">
        <v>1</v>
      </c>
      <c r="E134" s="900">
        <v>0</v>
      </c>
      <c r="F134" s="900">
        <v>0</v>
      </c>
      <c r="G134" s="901">
        <v>2</v>
      </c>
      <c r="H134" s="901">
        <v>3</v>
      </c>
      <c r="I134" s="901">
        <v>4</v>
      </c>
      <c r="J134" s="901">
        <v>1</v>
      </c>
      <c r="K134" s="902">
        <v>1</v>
      </c>
      <c r="L134" s="902">
        <v>0</v>
      </c>
      <c r="M134" s="902">
        <v>0</v>
      </c>
      <c r="N134" s="902">
        <f t="shared" si="4"/>
        <v>1</v>
      </c>
      <c r="O134" s="903">
        <v>1</v>
      </c>
      <c r="P134" s="903">
        <v>0</v>
      </c>
      <c r="Q134" s="903">
        <v>0</v>
      </c>
      <c r="R134" s="903">
        <v>0</v>
      </c>
      <c r="S134" s="903">
        <f t="shared" si="5"/>
        <v>1</v>
      </c>
      <c r="T134" s="904">
        <v>1</v>
      </c>
      <c r="U134" s="905">
        <v>0</v>
      </c>
      <c r="V134" s="905">
        <v>0</v>
      </c>
      <c r="W134" s="905">
        <v>0</v>
      </c>
      <c r="X134" s="905">
        <v>1</v>
      </c>
      <c r="Y134" s="905">
        <v>0</v>
      </c>
      <c r="Z134" s="905">
        <v>1</v>
      </c>
      <c r="AA134" s="905">
        <v>1</v>
      </c>
      <c r="AB134" s="906">
        <v>3</v>
      </c>
      <c r="AC134" s="906">
        <v>4</v>
      </c>
      <c r="AD134" s="906">
        <v>6</v>
      </c>
      <c r="AE134" s="906">
        <v>2</v>
      </c>
      <c r="AF134" s="906">
        <v>1</v>
      </c>
      <c r="AG134" s="906">
        <v>5</v>
      </c>
      <c r="AH134" s="906">
        <v>7</v>
      </c>
      <c r="AI134" s="907">
        <v>1</v>
      </c>
      <c r="AJ134" s="907">
        <v>1</v>
      </c>
      <c r="AK134" s="907">
        <v>1</v>
      </c>
      <c r="AL134" s="907">
        <v>1</v>
      </c>
      <c r="AM134" s="907">
        <v>2</v>
      </c>
      <c r="AN134" s="907">
        <v>2</v>
      </c>
      <c r="AO134" s="907">
        <v>4</v>
      </c>
      <c r="AP134" s="907">
        <v>1</v>
      </c>
      <c r="AQ134" s="907">
        <v>0</v>
      </c>
      <c r="AR134" s="907">
        <v>0</v>
      </c>
      <c r="AS134" s="907">
        <v>0</v>
      </c>
      <c r="AT134" s="907">
        <v>0</v>
      </c>
      <c r="AU134" s="907">
        <v>0</v>
      </c>
    </row>
    <row r="135" spans="1:48" hidden="1">
      <c r="A135" s="898">
        <v>134</v>
      </c>
      <c r="B135" s="899">
        <v>1</v>
      </c>
      <c r="C135" s="900">
        <v>0</v>
      </c>
      <c r="D135" s="900">
        <v>0</v>
      </c>
      <c r="E135" s="900">
        <v>1</v>
      </c>
      <c r="F135" s="900">
        <v>0</v>
      </c>
      <c r="G135" s="901">
        <v>4</v>
      </c>
      <c r="H135" s="901">
        <v>2</v>
      </c>
      <c r="I135" s="901">
        <v>3</v>
      </c>
      <c r="J135" s="901">
        <v>1</v>
      </c>
      <c r="K135" s="902">
        <v>1</v>
      </c>
      <c r="L135" s="902">
        <v>0</v>
      </c>
      <c r="M135" s="902">
        <v>0</v>
      </c>
      <c r="N135" s="902">
        <f t="shared" si="4"/>
        <v>1</v>
      </c>
      <c r="O135" s="903">
        <v>1</v>
      </c>
      <c r="P135" s="903">
        <v>0</v>
      </c>
      <c r="Q135" s="903">
        <v>0</v>
      </c>
      <c r="R135" s="903">
        <v>0</v>
      </c>
      <c r="S135" s="903">
        <f t="shared" si="5"/>
        <v>1</v>
      </c>
      <c r="T135" s="904">
        <v>1</v>
      </c>
      <c r="U135" s="905">
        <v>0</v>
      </c>
      <c r="V135" s="905">
        <v>0</v>
      </c>
      <c r="W135" s="905">
        <v>1</v>
      </c>
      <c r="X135" s="905">
        <v>0</v>
      </c>
      <c r="Y135" s="905">
        <v>0</v>
      </c>
      <c r="Z135" s="905">
        <v>1</v>
      </c>
      <c r="AA135" s="905">
        <v>1</v>
      </c>
      <c r="AB135" s="906">
        <v>7</v>
      </c>
      <c r="AC135" s="906">
        <v>6</v>
      </c>
      <c r="AD135" s="906">
        <v>5</v>
      </c>
      <c r="AE135" s="906">
        <v>4</v>
      </c>
      <c r="AF135" s="906">
        <v>2</v>
      </c>
      <c r="AG135" s="906">
        <v>1</v>
      </c>
      <c r="AH135" s="906">
        <v>3</v>
      </c>
      <c r="AI135" s="907">
        <v>1</v>
      </c>
      <c r="AJ135" s="907">
        <v>1</v>
      </c>
      <c r="AK135" s="907">
        <v>1</v>
      </c>
      <c r="AL135" s="907">
        <v>1</v>
      </c>
      <c r="AM135" s="907">
        <v>2</v>
      </c>
      <c r="AN135" s="907">
        <v>2</v>
      </c>
      <c r="AO135" s="907">
        <v>4</v>
      </c>
      <c r="AP135" s="907">
        <v>1</v>
      </c>
      <c r="AQ135" s="907">
        <v>0</v>
      </c>
      <c r="AR135" s="907">
        <v>0</v>
      </c>
      <c r="AS135" s="907">
        <v>0</v>
      </c>
      <c r="AT135" s="907">
        <v>0</v>
      </c>
      <c r="AU135" s="907">
        <v>0</v>
      </c>
    </row>
    <row r="136" spans="1:48" hidden="1">
      <c r="A136" s="898">
        <v>135</v>
      </c>
      <c r="B136" s="899">
        <v>0</v>
      </c>
      <c r="C136" s="900">
        <v>0</v>
      </c>
      <c r="D136" s="900">
        <v>1</v>
      </c>
      <c r="E136" s="900">
        <v>0</v>
      </c>
      <c r="F136" s="900">
        <v>0</v>
      </c>
      <c r="G136" s="901">
        <v>4</v>
      </c>
      <c r="H136" s="901">
        <v>1</v>
      </c>
      <c r="I136" s="901">
        <v>3</v>
      </c>
      <c r="J136" s="901">
        <v>2</v>
      </c>
      <c r="K136" s="902">
        <v>0</v>
      </c>
      <c r="L136" s="902">
        <v>1</v>
      </c>
      <c r="M136" s="902">
        <v>0</v>
      </c>
      <c r="N136" s="902">
        <f t="shared" si="4"/>
        <v>2</v>
      </c>
      <c r="O136" s="903">
        <v>1</v>
      </c>
      <c r="P136" s="903">
        <v>0</v>
      </c>
      <c r="Q136" s="903">
        <v>0</v>
      </c>
      <c r="R136" s="903">
        <v>0</v>
      </c>
      <c r="S136" s="903">
        <f t="shared" si="5"/>
        <v>1</v>
      </c>
      <c r="T136" s="904">
        <v>1</v>
      </c>
      <c r="U136" s="905">
        <v>1</v>
      </c>
      <c r="V136" s="905">
        <v>0</v>
      </c>
      <c r="W136" s="905">
        <v>0</v>
      </c>
      <c r="X136" s="905">
        <v>1</v>
      </c>
      <c r="Y136" s="905">
        <v>1</v>
      </c>
      <c r="Z136" s="905">
        <v>0</v>
      </c>
      <c r="AA136" s="905">
        <v>1</v>
      </c>
      <c r="AB136" s="906">
        <v>5</v>
      </c>
      <c r="AC136" s="906">
        <v>1</v>
      </c>
      <c r="AD136" s="906">
        <v>4</v>
      </c>
      <c r="AE136" s="906">
        <v>7</v>
      </c>
      <c r="AF136" s="906">
        <v>2</v>
      </c>
      <c r="AG136" s="906">
        <v>3</v>
      </c>
      <c r="AH136" s="906">
        <v>6</v>
      </c>
      <c r="AI136" s="907">
        <v>2</v>
      </c>
      <c r="AJ136" s="907">
        <v>2</v>
      </c>
      <c r="AK136" s="907">
        <v>2</v>
      </c>
      <c r="AL136" s="907">
        <v>2</v>
      </c>
      <c r="AM136" s="907">
        <v>1</v>
      </c>
      <c r="AN136" s="907">
        <v>1</v>
      </c>
      <c r="AO136" s="907">
        <v>3</v>
      </c>
      <c r="AP136" s="907">
        <v>0</v>
      </c>
      <c r="AQ136" s="907">
        <v>0</v>
      </c>
      <c r="AR136" s="907">
        <v>0</v>
      </c>
      <c r="AS136" s="907">
        <v>0</v>
      </c>
      <c r="AT136" s="907">
        <v>1</v>
      </c>
      <c r="AU136" s="907">
        <v>0</v>
      </c>
    </row>
    <row r="137" spans="1:48" hidden="1">
      <c r="A137" s="898">
        <v>136</v>
      </c>
      <c r="B137" s="899">
        <v>0</v>
      </c>
      <c r="C137" s="900">
        <v>1</v>
      </c>
      <c r="D137" s="900">
        <v>0</v>
      </c>
      <c r="E137" s="900">
        <v>0</v>
      </c>
      <c r="F137" s="900">
        <v>0</v>
      </c>
      <c r="G137" s="901">
        <v>2</v>
      </c>
      <c r="H137" s="901">
        <v>1</v>
      </c>
      <c r="I137" s="901">
        <v>4</v>
      </c>
      <c r="J137" s="901">
        <v>3</v>
      </c>
      <c r="K137" s="902">
        <v>0</v>
      </c>
      <c r="L137" s="902">
        <v>1</v>
      </c>
      <c r="M137" s="902">
        <v>0</v>
      </c>
      <c r="N137" s="902">
        <f t="shared" si="4"/>
        <v>2</v>
      </c>
      <c r="O137" s="903">
        <v>0</v>
      </c>
      <c r="P137" s="903">
        <v>0</v>
      </c>
      <c r="Q137" s="903">
        <v>1</v>
      </c>
      <c r="R137" s="903">
        <v>0</v>
      </c>
      <c r="S137" s="903">
        <f t="shared" si="5"/>
        <v>3</v>
      </c>
      <c r="T137" s="904">
        <v>1</v>
      </c>
      <c r="U137" s="905">
        <v>1</v>
      </c>
      <c r="V137" s="905">
        <v>0</v>
      </c>
      <c r="W137" s="905">
        <v>0</v>
      </c>
      <c r="X137" s="905">
        <v>1</v>
      </c>
      <c r="Y137" s="905">
        <v>1</v>
      </c>
      <c r="Z137" s="905">
        <v>0</v>
      </c>
      <c r="AA137" s="905">
        <v>1</v>
      </c>
      <c r="AB137" s="906">
        <v>4</v>
      </c>
      <c r="AC137" s="906">
        <v>5</v>
      </c>
      <c r="AD137" s="906">
        <v>1</v>
      </c>
      <c r="AE137" s="906">
        <v>6</v>
      </c>
      <c r="AF137" s="906">
        <v>2</v>
      </c>
      <c r="AG137" s="906">
        <v>3</v>
      </c>
      <c r="AH137" s="906">
        <v>7</v>
      </c>
      <c r="AI137" s="907">
        <v>2</v>
      </c>
      <c r="AJ137" s="907">
        <v>2</v>
      </c>
      <c r="AK137" s="907">
        <v>2</v>
      </c>
      <c r="AL137" s="907">
        <v>2</v>
      </c>
      <c r="AM137" s="907">
        <v>1</v>
      </c>
      <c r="AN137" s="907">
        <v>1</v>
      </c>
      <c r="AO137" s="907">
        <v>4</v>
      </c>
      <c r="AP137" s="907">
        <v>0</v>
      </c>
      <c r="AQ137" s="907">
        <v>0</v>
      </c>
      <c r="AR137" s="907">
        <v>0</v>
      </c>
      <c r="AS137" s="907">
        <v>0</v>
      </c>
      <c r="AT137" s="907">
        <v>1</v>
      </c>
      <c r="AU137" s="907">
        <v>0</v>
      </c>
    </row>
    <row r="138" spans="1:48" hidden="1">
      <c r="A138" s="898">
        <v>137</v>
      </c>
      <c r="B138" s="899">
        <v>1</v>
      </c>
      <c r="C138" s="900">
        <v>0</v>
      </c>
      <c r="D138" s="900">
        <v>0</v>
      </c>
      <c r="E138" s="900">
        <v>1</v>
      </c>
      <c r="F138" s="900">
        <v>0</v>
      </c>
      <c r="G138" s="901">
        <v>3</v>
      </c>
      <c r="H138" s="901">
        <v>2</v>
      </c>
      <c r="I138" s="901">
        <v>4</v>
      </c>
      <c r="J138" s="901">
        <v>1</v>
      </c>
      <c r="K138" s="902">
        <v>0</v>
      </c>
      <c r="L138" s="902">
        <v>1</v>
      </c>
      <c r="M138" s="902">
        <v>0</v>
      </c>
      <c r="N138" s="902">
        <f t="shared" si="4"/>
        <v>2</v>
      </c>
      <c r="O138" s="903">
        <v>1</v>
      </c>
      <c r="P138" s="903">
        <v>0</v>
      </c>
      <c r="Q138" s="903">
        <v>0</v>
      </c>
      <c r="R138" s="903">
        <v>0</v>
      </c>
      <c r="S138" s="903">
        <f t="shared" si="5"/>
        <v>1</v>
      </c>
      <c r="T138" s="904">
        <v>1</v>
      </c>
      <c r="U138" s="905">
        <v>0</v>
      </c>
      <c r="V138" s="905">
        <v>0</v>
      </c>
      <c r="W138" s="905">
        <v>1</v>
      </c>
      <c r="X138" s="905">
        <v>0</v>
      </c>
      <c r="Y138" s="905">
        <v>0</v>
      </c>
      <c r="Z138" s="905">
        <v>1</v>
      </c>
      <c r="AA138" s="905">
        <v>1</v>
      </c>
      <c r="AB138" s="906">
        <v>6</v>
      </c>
      <c r="AC138" s="906">
        <v>7</v>
      </c>
      <c r="AD138" s="906">
        <v>5</v>
      </c>
      <c r="AE138" s="906">
        <v>3</v>
      </c>
      <c r="AF138" s="906">
        <v>2</v>
      </c>
      <c r="AG138" s="906">
        <v>1</v>
      </c>
      <c r="AH138" s="906">
        <v>4</v>
      </c>
      <c r="AI138" s="907">
        <v>1</v>
      </c>
      <c r="AJ138" s="907">
        <v>2</v>
      </c>
      <c r="AK138" s="907">
        <v>1</v>
      </c>
      <c r="AL138" s="907">
        <v>1</v>
      </c>
      <c r="AM138" s="907">
        <v>2</v>
      </c>
      <c r="AN138" s="907">
        <v>2</v>
      </c>
      <c r="AO138" s="907">
        <v>3</v>
      </c>
      <c r="AP138" s="907">
        <v>0</v>
      </c>
      <c r="AQ138" s="907">
        <v>0</v>
      </c>
      <c r="AR138" s="907">
        <v>0</v>
      </c>
      <c r="AS138" s="907">
        <v>1</v>
      </c>
      <c r="AT138" s="907">
        <v>0</v>
      </c>
      <c r="AU138" s="907">
        <v>0</v>
      </c>
    </row>
    <row r="139" spans="1:48" hidden="1">
      <c r="A139" s="898">
        <v>138</v>
      </c>
      <c r="B139" s="899">
        <v>0</v>
      </c>
      <c r="C139" s="900">
        <v>0</v>
      </c>
      <c r="D139" s="900">
        <v>1</v>
      </c>
      <c r="E139" s="900">
        <v>0</v>
      </c>
      <c r="F139" s="900">
        <v>0</v>
      </c>
      <c r="G139" s="901">
        <v>1</v>
      </c>
      <c r="H139" s="901">
        <v>3</v>
      </c>
      <c r="I139" s="901">
        <v>4</v>
      </c>
      <c r="J139" s="901">
        <v>2</v>
      </c>
      <c r="K139" s="902">
        <v>1</v>
      </c>
      <c r="L139" s="902">
        <v>0</v>
      </c>
      <c r="M139" s="902">
        <v>0</v>
      </c>
      <c r="N139" s="902">
        <f t="shared" si="4"/>
        <v>1</v>
      </c>
      <c r="O139" s="903">
        <v>1</v>
      </c>
      <c r="P139" s="903">
        <v>0</v>
      </c>
      <c r="Q139" s="903">
        <v>0</v>
      </c>
      <c r="R139" s="903">
        <v>0</v>
      </c>
      <c r="S139" s="903">
        <f t="shared" si="5"/>
        <v>1</v>
      </c>
      <c r="T139" s="904">
        <v>1</v>
      </c>
      <c r="U139" s="905">
        <v>0</v>
      </c>
      <c r="V139" s="905">
        <v>0</v>
      </c>
      <c r="W139" s="905">
        <v>0</v>
      </c>
      <c r="X139" s="905">
        <v>1</v>
      </c>
      <c r="Y139" s="905">
        <v>1</v>
      </c>
      <c r="Z139" s="905">
        <v>1</v>
      </c>
      <c r="AA139" s="905">
        <v>1</v>
      </c>
      <c r="AB139" s="906">
        <v>4</v>
      </c>
      <c r="AC139" s="906">
        <v>5</v>
      </c>
      <c r="AD139" s="906">
        <v>6</v>
      </c>
      <c r="AE139" s="906">
        <v>2</v>
      </c>
      <c r="AF139" s="906">
        <v>3</v>
      </c>
      <c r="AG139" s="906">
        <v>1</v>
      </c>
      <c r="AH139" s="906">
        <v>7</v>
      </c>
      <c r="AI139" s="907">
        <v>1</v>
      </c>
      <c r="AJ139" s="907">
        <v>1</v>
      </c>
      <c r="AK139" s="907">
        <v>2</v>
      </c>
      <c r="AL139" s="907">
        <v>2</v>
      </c>
      <c r="AM139" s="907">
        <v>1</v>
      </c>
      <c r="AN139" s="907">
        <v>1</v>
      </c>
      <c r="AO139" s="907">
        <v>3</v>
      </c>
      <c r="AP139" s="907">
        <v>1</v>
      </c>
      <c r="AQ139" s="907">
        <v>0</v>
      </c>
      <c r="AR139" s="907">
        <v>0</v>
      </c>
      <c r="AS139" s="907">
        <v>0</v>
      </c>
      <c r="AT139" s="907">
        <v>0</v>
      </c>
      <c r="AU139" s="907">
        <v>0</v>
      </c>
    </row>
    <row r="140" spans="1:48" hidden="1">
      <c r="A140" s="898">
        <v>139</v>
      </c>
      <c r="B140" s="899">
        <v>1</v>
      </c>
      <c r="C140" s="900">
        <v>0</v>
      </c>
      <c r="D140" s="900">
        <v>1</v>
      </c>
      <c r="E140" s="900">
        <v>0</v>
      </c>
      <c r="F140" s="900">
        <v>0</v>
      </c>
      <c r="G140" s="901">
        <v>2</v>
      </c>
      <c r="H140" s="901">
        <v>3</v>
      </c>
      <c r="I140" s="901">
        <v>4</v>
      </c>
      <c r="J140" s="901">
        <v>1</v>
      </c>
      <c r="K140" s="902">
        <v>0</v>
      </c>
      <c r="L140" s="902">
        <v>1</v>
      </c>
      <c r="M140" s="902">
        <v>0</v>
      </c>
      <c r="N140" s="902">
        <f t="shared" si="4"/>
        <v>2</v>
      </c>
      <c r="O140" s="903">
        <v>1</v>
      </c>
      <c r="P140" s="903">
        <v>0</v>
      </c>
      <c r="Q140" s="903">
        <v>0</v>
      </c>
      <c r="R140" s="903">
        <v>0</v>
      </c>
      <c r="S140" s="903">
        <f t="shared" si="5"/>
        <v>1</v>
      </c>
      <c r="T140" s="904">
        <v>1</v>
      </c>
      <c r="U140" s="905">
        <v>0</v>
      </c>
      <c r="V140" s="905">
        <v>1</v>
      </c>
      <c r="W140" s="905">
        <v>1</v>
      </c>
      <c r="X140" s="905">
        <v>0</v>
      </c>
      <c r="Y140" s="905">
        <v>0</v>
      </c>
      <c r="Z140" s="905">
        <v>1</v>
      </c>
      <c r="AA140" s="905">
        <v>1</v>
      </c>
      <c r="AB140" s="906">
        <v>7</v>
      </c>
      <c r="AC140" s="906">
        <v>3</v>
      </c>
      <c r="AD140" s="906">
        <v>4</v>
      </c>
      <c r="AE140" s="906">
        <v>6</v>
      </c>
      <c r="AF140" s="906">
        <v>1</v>
      </c>
      <c r="AG140" s="906">
        <v>2</v>
      </c>
      <c r="AH140" s="906">
        <v>5</v>
      </c>
      <c r="AI140" s="907">
        <v>1</v>
      </c>
      <c r="AJ140" s="907">
        <v>2</v>
      </c>
      <c r="AK140" s="907">
        <v>1</v>
      </c>
      <c r="AL140" s="907">
        <v>1</v>
      </c>
      <c r="AM140" s="907">
        <v>2</v>
      </c>
      <c r="AN140" s="907">
        <v>2</v>
      </c>
      <c r="AO140" s="907">
        <v>3</v>
      </c>
      <c r="AP140" s="907">
        <v>0</v>
      </c>
      <c r="AQ140" s="907">
        <v>0</v>
      </c>
      <c r="AR140" s="907">
        <v>0</v>
      </c>
      <c r="AS140" s="907">
        <v>0</v>
      </c>
      <c r="AT140" s="907">
        <v>1</v>
      </c>
      <c r="AU140" s="907">
        <v>0</v>
      </c>
    </row>
    <row r="141" spans="1:48" hidden="1">
      <c r="A141" s="898">
        <v>140</v>
      </c>
      <c r="B141" s="899">
        <v>0</v>
      </c>
      <c r="C141" s="900">
        <v>0</v>
      </c>
      <c r="D141" s="900">
        <v>1</v>
      </c>
      <c r="E141" s="900">
        <v>0</v>
      </c>
      <c r="F141" s="900">
        <v>0</v>
      </c>
      <c r="G141" s="901">
        <v>3</v>
      </c>
      <c r="H141" s="901">
        <v>1</v>
      </c>
      <c r="I141" s="901">
        <v>4</v>
      </c>
      <c r="J141" s="901">
        <v>2</v>
      </c>
      <c r="K141" s="902">
        <v>1</v>
      </c>
      <c r="L141" s="902">
        <v>0</v>
      </c>
      <c r="M141" s="902">
        <v>0</v>
      </c>
      <c r="N141" s="902">
        <f t="shared" si="4"/>
        <v>1</v>
      </c>
      <c r="O141" s="903">
        <v>1</v>
      </c>
      <c r="P141" s="903">
        <v>0</v>
      </c>
      <c r="Q141" s="903">
        <v>0</v>
      </c>
      <c r="R141" s="903">
        <v>0</v>
      </c>
      <c r="S141" s="903">
        <f t="shared" si="5"/>
        <v>1</v>
      </c>
      <c r="T141" s="904">
        <v>1</v>
      </c>
      <c r="U141" s="905">
        <v>0</v>
      </c>
      <c r="V141" s="905">
        <v>1</v>
      </c>
      <c r="W141" s="905">
        <v>1</v>
      </c>
      <c r="X141" s="905">
        <v>1</v>
      </c>
      <c r="Y141" s="905">
        <v>1</v>
      </c>
      <c r="Z141" s="905">
        <v>0</v>
      </c>
      <c r="AA141" s="905">
        <v>1</v>
      </c>
      <c r="AB141" s="906">
        <v>3</v>
      </c>
      <c r="AC141" s="906">
        <v>4</v>
      </c>
      <c r="AD141" s="906">
        <v>5</v>
      </c>
      <c r="AE141" s="906">
        <v>7</v>
      </c>
      <c r="AF141" s="906">
        <v>2</v>
      </c>
      <c r="AG141" s="906">
        <v>1</v>
      </c>
      <c r="AH141" s="906">
        <v>6</v>
      </c>
      <c r="AI141" s="907">
        <v>1</v>
      </c>
      <c r="AJ141" s="907">
        <v>2</v>
      </c>
      <c r="AK141" s="907">
        <v>2</v>
      </c>
      <c r="AL141" s="907">
        <v>3</v>
      </c>
      <c r="AM141" s="907">
        <v>1</v>
      </c>
      <c r="AN141" s="907">
        <v>1</v>
      </c>
      <c r="AO141" s="907">
        <v>3</v>
      </c>
      <c r="AP141" s="907">
        <v>0</v>
      </c>
      <c r="AQ141" s="907">
        <v>0</v>
      </c>
      <c r="AR141" s="907">
        <v>0</v>
      </c>
      <c r="AS141" s="907">
        <v>0</v>
      </c>
      <c r="AT141" s="907">
        <v>1</v>
      </c>
      <c r="AU141" s="907">
        <v>0</v>
      </c>
    </row>
    <row r="142" spans="1:48" hidden="1">
      <c r="A142" s="898">
        <v>141</v>
      </c>
      <c r="B142" s="899">
        <v>1</v>
      </c>
      <c r="C142" s="900">
        <v>0</v>
      </c>
      <c r="D142" s="900">
        <v>0</v>
      </c>
      <c r="E142" s="900">
        <v>1</v>
      </c>
      <c r="F142" s="900">
        <v>0</v>
      </c>
      <c r="G142" s="901">
        <v>3</v>
      </c>
      <c r="H142" s="901">
        <v>2</v>
      </c>
      <c r="I142" s="901">
        <v>4</v>
      </c>
      <c r="J142" s="901">
        <v>1</v>
      </c>
      <c r="K142" s="902">
        <v>1</v>
      </c>
      <c r="L142" s="902">
        <v>0</v>
      </c>
      <c r="M142" s="902">
        <v>0</v>
      </c>
      <c r="N142" s="902">
        <f t="shared" si="4"/>
        <v>1</v>
      </c>
      <c r="O142" s="903">
        <v>1</v>
      </c>
      <c r="P142" s="903">
        <v>0</v>
      </c>
      <c r="Q142" s="903">
        <v>0</v>
      </c>
      <c r="R142" s="903">
        <v>0</v>
      </c>
      <c r="S142" s="903">
        <f t="shared" si="5"/>
        <v>1</v>
      </c>
      <c r="T142" s="904">
        <v>1</v>
      </c>
      <c r="U142" s="905">
        <v>0</v>
      </c>
      <c r="V142" s="905">
        <v>0</v>
      </c>
      <c r="W142" s="905">
        <v>1</v>
      </c>
      <c r="X142" s="905">
        <v>0</v>
      </c>
      <c r="Y142" s="905">
        <v>0</v>
      </c>
      <c r="Z142" s="905">
        <v>1</v>
      </c>
      <c r="AA142" s="905">
        <v>1</v>
      </c>
      <c r="AB142" s="906">
        <v>3</v>
      </c>
      <c r="AC142" s="906">
        <v>4</v>
      </c>
      <c r="AD142" s="906">
        <v>7</v>
      </c>
      <c r="AE142" s="906">
        <v>6</v>
      </c>
      <c r="AF142" s="906">
        <v>2</v>
      </c>
      <c r="AG142" s="906">
        <v>1</v>
      </c>
      <c r="AH142" s="906">
        <v>5</v>
      </c>
      <c r="AI142" s="907">
        <v>1</v>
      </c>
      <c r="AJ142" s="907">
        <v>2</v>
      </c>
      <c r="AK142" s="907">
        <v>1</v>
      </c>
      <c r="AL142" s="907">
        <v>1</v>
      </c>
      <c r="AM142" s="907">
        <v>2</v>
      </c>
      <c r="AN142" s="907">
        <v>2</v>
      </c>
      <c r="AO142" s="907">
        <v>3</v>
      </c>
      <c r="AP142" s="907">
        <v>1</v>
      </c>
      <c r="AQ142" s="907">
        <v>0</v>
      </c>
      <c r="AR142" s="907">
        <v>0</v>
      </c>
      <c r="AS142" s="907">
        <v>0</v>
      </c>
      <c r="AT142" s="907">
        <v>0</v>
      </c>
      <c r="AU142" s="907">
        <v>0</v>
      </c>
    </row>
    <row r="143" spans="1:48" hidden="1">
      <c r="A143" s="898">
        <v>142</v>
      </c>
      <c r="B143" s="899">
        <v>1</v>
      </c>
      <c r="C143" s="900">
        <v>0</v>
      </c>
      <c r="D143" s="900">
        <v>1</v>
      </c>
      <c r="E143" s="900">
        <v>0</v>
      </c>
      <c r="F143" s="900">
        <v>0</v>
      </c>
      <c r="G143" s="901">
        <v>3</v>
      </c>
      <c r="H143" s="901">
        <v>1</v>
      </c>
      <c r="I143" s="901">
        <v>4</v>
      </c>
      <c r="J143" s="901">
        <v>2</v>
      </c>
      <c r="K143" s="902">
        <v>1</v>
      </c>
      <c r="L143" s="902">
        <v>0</v>
      </c>
      <c r="M143" s="902">
        <v>0</v>
      </c>
      <c r="N143" s="902">
        <f t="shared" si="4"/>
        <v>1</v>
      </c>
      <c r="O143" s="903">
        <v>1</v>
      </c>
      <c r="P143" s="903">
        <v>0</v>
      </c>
      <c r="Q143" s="903">
        <v>0</v>
      </c>
      <c r="R143" s="903">
        <v>0</v>
      </c>
      <c r="S143" s="903">
        <f t="shared" si="5"/>
        <v>1</v>
      </c>
      <c r="T143" s="904">
        <v>1</v>
      </c>
      <c r="U143" s="905">
        <v>1</v>
      </c>
      <c r="V143" s="905">
        <v>0</v>
      </c>
      <c r="W143" s="905">
        <v>0</v>
      </c>
      <c r="X143" s="905">
        <v>1</v>
      </c>
      <c r="Y143" s="905">
        <v>0</v>
      </c>
      <c r="Z143" s="905">
        <v>0</v>
      </c>
      <c r="AA143" s="905">
        <v>1</v>
      </c>
      <c r="AB143" s="906">
        <v>6</v>
      </c>
      <c r="AC143" s="906">
        <v>7</v>
      </c>
      <c r="AD143" s="906">
        <v>4</v>
      </c>
      <c r="AE143" s="906">
        <v>3</v>
      </c>
      <c r="AF143" s="906">
        <v>1</v>
      </c>
      <c r="AG143" s="906">
        <v>2</v>
      </c>
      <c r="AH143" s="906">
        <v>5</v>
      </c>
      <c r="AI143" s="907">
        <v>2</v>
      </c>
      <c r="AJ143" s="907">
        <v>1</v>
      </c>
      <c r="AK143" s="907">
        <v>1</v>
      </c>
      <c r="AL143" s="907">
        <v>1</v>
      </c>
      <c r="AM143" s="907">
        <v>1</v>
      </c>
      <c r="AN143" s="907">
        <v>1</v>
      </c>
      <c r="AO143" s="907">
        <v>3</v>
      </c>
      <c r="AP143" s="907">
        <v>0</v>
      </c>
      <c r="AQ143" s="907">
        <v>0</v>
      </c>
      <c r="AR143" s="907">
        <v>0</v>
      </c>
      <c r="AS143" s="907">
        <v>1</v>
      </c>
      <c r="AT143" s="907">
        <v>0</v>
      </c>
      <c r="AU143" s="907">
        <v>0</v>
      </c>
    </row>
    <row r="144" spans="1:48" hidden="1">
      <c r="A144" s="898">
        <v>143</v>
      </c>
      <c r="B144" s="899">
        <v>1</v>
      </c>
      <c r="C144" s="900">
        <v>0</v>
      </c>
      <c r="D144" s="900">
        <v>1</v>
      </c>
      <c r="E144" s="900">
        <v>0</v>
      </c>
      <c r="F144" s="900">
        <v>0</v>
      </c>
      <c r="G144" s="901">
        <v>2</v>
      </c>
      <c r="H144" s="901">
        <v>3</v>
      </c>
      <c r="I144" s="901">
        <v>4</v>
      </c>
      <c r="J144" s="901">
        <v>1</v>
      </c>
      <c r="K144" s="902">
        <v>1</v>
      </c>
      <c r="L144" s="902">
        <v>0</v>
      </c>
      <c r="M144" s="902">
        <v>0</v>
      </c>
      <c r="N144" s="902">
        <f t="shared" si="4"/>
        <v>1</v>
      </c>
      <c r="O144" s="903">
        <v>1</v>
      </c>
      <c r="P144" s="903">
        <v>0</v>
      </c>
      <c r="Q144" s="903">
        <v>0</v>
      </c>
      <c r="R144" s="903">
        <v>0</v>
      </c>
      <c r="S144" s="903">
        <f t="shared" si="5"/>
        <v>1</v>
      </c>
      <c r="T144" s="904">
        <v>1</v>
      </c>
      <c r="U144" s="905">
        <v>0</v>
      </c>
      <c r="V144" s="905">
        <v>0</v>
      </c>
      <c r="W144" s="905">
        <v>0</v>
      </c>
      <c r="X144" s="905">
        <v>1</v>
      </c>
      <c r="Y144" s="905">
        <v>0</v>
      </c>
      <c r="Z144" s="905">
        <v>1</v>
      </c>
      <c r="AA144" s="905">
        <v>1</v>
      </c>
      <c r="AB144" s="906">
        <v>3</v>
      </c>
      <c r="AC144" s="906">
        <v>4</v>
      </c>
      <c r="AD144" s="906">
        <v>6</v>
      </c>
      <c r="AE144" s="906">
        <v>2</v>
      </c>
      <c r="AF144" s="906">
        <v>1</v>
      </c>
      <c r="AG144" s="906">
        <v>5</v>
      </c>
      <c r="AH144" s="906">
        <v>7</v>
      </c>
      <c r="AI144" s="907">
        <v>1</v>
      </c>
      <c r="AJ144" s="907">
        <v>1</v>
      </c>
      <c r="AK144" s="907">
        <v>1</v>
      </c>
      <c r="AL144" s="907">
        <v>1</v>
      </c>
      <c r="AM144" s="907">
        <v>2</v>
      </c>
      <c r="AN144" s="907">
        <v>2</v>
      </c>
      <c r="AO144" s="907">
        <v>4</v>
      </c>
      <c r="AP144" s="907">
        <v>1</v>
      </c>
      <c r="AQ144" s="907">
        <v>0</v>
      </c>
      <c r="AR144" s="907">
        <v>0</v>
      </c>
      <c r="AS144" s="907">
        <v>0</v>
      </c>
      <c r="AT144" s="907">
        <v>0</v>
      </c>
      <c r="AU144" s="907">
        <v>0</v>
      </c>
    </row>
    <row r="145" spans="1:47" hidden="1">
      <c r="A145" s="898">
        <v>144</v>
      </c>
      <c r="B145" s="899">
        <v>1</v>
      </c>
      <c r="C145" s="900">
        <v>0</v>
      </c>
      <c r="D145" s="900">
        <v>0</v>
      </c>
      <c r="E145" s="900">
        <v>1</v>
      </c>
      <c r="F145" s="900">
        <v>0</v>
      </c>
      <c r="G145" s="901">
        <v>4</v>
      </c>
      <c r="H145" s="901">
        <v>2</v>
      </c>
      <c r="I145" s="901">
        <v>3</v>
      </c>
      <c r="J145" s="901">
        <v>1</v>
      </c>
      <c r="K145" s="902">
        <v>1</v>
      </c>
      <c r="L145" s="902">
        <v>0</v>
      </c>
      <c r="M145" s="902">
        <v>0</v>
      </c>
      <c r="N145" s="902">
        <f t="shared" si="4"/>
        <v>1</v>
      </c>
      <c r="O145" s="903">
        <v>1</v>
      </c>
      <c r="P145" s="903">
        <v>0</v>
      </c>
      <c r="Q145" s="903">
        <v>0</v>
      </c>
      <c r="R145" s="903">
        <v>0</v>
      </c>
      <c r="S145" s="903">
        <f t="shared" si="5"/>
        <v>1</v>
      </c>
      <c r="T145" s="904">
        <v>1</v>
      </c>
      <c r="U145" s="905">
        <v>0</v>
      </c>
      <c r="V145" s="905">
        <v>0</v>
      </c>
      <c r="W145" s="905">
        <v>1</v>
      </c>
      <c r="X145" s="905">
        <v>0</v>
      </c>
      <c r="Y145" s="905">
        <v>0</v>
      </c>
      <c r="Z145" s="905">
        <v>1</v>
      </c>
      <c r="AA145" s="905">
        <v>1</v>
      </c>
      <c r="AB145" s="906">
        <v>7</v>
      </c>
      <c r="AC145" s="906">
        <v>6</v>
      </c>
      <c r="AD145" s="906">
        <v>5</v>
      </c>
      <c r="AE145" s="906">
        <v>4</v>
      </c>
      <c r="AF145" s="906">
        <v>2</v>
      </c>
      <c r="AG145" s="906">
        <v>1</v>
      </c>
      <c r="AH145" s="906">
        <v>3</v>
      </c>
      <c r="AI145" s="907">
        <v>1</v>
      </c>
      <c r="AJ145" s="907">
        <v>1</v>
      </c>
      <c r="AK145" s="907">
        <v>1</v>
      </c>
      <c r="AL145" s="907">
        <v>1</v>
      </c>
      <c r="AM145" s="907">
        <v>2</v>
      </c>
      <c r="AN145" s="907">
        <v>2</v>
      </c>
      <c r="AO145" s="907">
        <v>4</v>
      </c>
      <c r="AP145" s="907">
        <v>1</v>
      </c>
      <c r="AQ145" s="907">
        <v>0</v>
      </c>
      <c r="AR145" s="907">
        <v>0</v>
      </c>
      <c r="AS145" s="907">
        <v>0</v>
      </c>
      <c r="AT145" s="907">
        <v>0</v>
      </c>
      <c r="AU145" s="907">
        <v>0</v>
      </c>
    </row>
    <row r="146" spans="1:47" hidden="1">
      <c r="A146" s="898">
        <v>145</v>
      </c>
      <c r="B146" s="899">
        <v>0</v>
      </c>
      <c r="C146" s="900">
        <v>0</v>
      </c>
      <c r="D146" s="900">
        <v>1</v>
      </c>
      <c r="E146" s="900">
        <v>0</v>
      </c>
      <c r="F146" s="900">
        <v>0</v>
      </c>
      <c r="G146" s="901">
        <v>4</v>
      </c>
      <c r="H146" s="901">
        <v>1</v>
      </c>
      <c r="I146" s="901">
        <v>3</v>
      </c>
      <c r="J146" s="901">
        <v>2</v>
      </c>
      <c r="K146" s="902">
        <v>0</v>
      </c>
      <c r="L146" s="902">
        <v>1</v>
      </c>
      <c r="M146" s="902">
        <v>0</v>
      </c>
      <c r="N146" s="902">
        <f t="shared" si="4"/>
        <v>2</v>
      </c>
      <c r="O146" s="903">
        <v>1</v>
      </c>
      <c r="P146" s="903">
        <v>0</v>
      </c>
      <c r="Q146" s="903">
        <v>0</v>
      </c>
      <c r="R146" s="903">
        <v>0</v>
      </c>
      <c r="S146" s="903">
        <f t="shared" si="5"/>
        <v>1</v>
      </c>
      <c r="T146" s="904">
        <v>1</v>
      </c>
      <c r="U146" s="905">
        <v>1</v>
      </c>
      <c r="V146" s="905">
        <v>0</v>
      </c>
      <c r="W146" s="905">
        <v>0</v>
      </c>
      <c r="X146" s="905">
        <v>1</v>
      </c>
      <c r="Y146" s="905">
        <v>1</v>
      </c>
      <c r="Z146" s="905">
        <v>0</v>
      </c>
      <c r="AA146" s="905">
        <v>1</v>
      </c>
      <c r="AB146" s="906">
        <v>5</v>
      </c>
      <c r="AC146" s="906">
        <v>1</v>
      </c>
      <c r="AD146" s="906">
        <v>4</v>
      </c>
      <c r="AE146" s="906">
        <v>7</v>
      </c>
      <c r="AF146" s="906">
        <v>2</v>
      </c>
      <c r="AG146" s="906">
        <v>3</v>
      </c>
      <c r="AH146" s="906">
        <v>6</v>
      </c>
      <c r="AI146" s="907">
        <v>2</v>
      </c>
      <c r="AJ146" s="907">
        <v>2</v>
      </c>
      <c r="AK146" s="907">
        <v>2</v>
      </c>
      <c r="AL146" s="907">
        <v>2</v>
      </c>
      <c r="AM146" s="907">
        <v>1</v>
      </c>
      <c r="AN146" s="907">
        <v>1</v>
      </c>
      <c r="AO146" s="907">
        <v>3</v>
      </c>
      <c r="AP146" s="907">
        <v>0</v>
      </c>
      <c r="AQ146" s="907">
        <v>0</v>
      </c>
      <c r="AR146" s="907">
        <v>0</v>
      </c>
      <c r="AS146" s="907">
        <v>0</v>
      </c>
      <c r="AT146" s="907">
        <v>1</v>
      </c>
      <c r="AU146" s="907">
        <v>0</v>
      </c>
    </row>
    <row r="147" spans="1:47" hidden="1">
      <c r="A147" s="898">
        <v>146</v>
      </c>
      <c r="B147" s="899">
        <v>0</v>
      </c>
      <c r="C147" s="900">
        <v>1</v>
      </c>
      <c r="D147" s="900">
        <v>0</v>
      </c>
      <c r="E147" s="900">
        <v>0</v>
      </c>
      <c r="F147" s="900">
        <v>0</v>
      </c>
      <c r="G147" s="901">
        <v>2</v>
      </c>
      <c r="H147" s="901">
        <v>1</v>
      </c>
      <c r="I147" s="901">
        <v>4</v>
      </c>
      <c r="J147" s="901">
        <v>3</v>
      </c>
      <c r="K147" s="902">
        <v>0</v>
      </c>
      <c r="L147" s="902">
        <v>1</v>
      </c>
      <c r="M147" s="902">
        <v>0</v>
      </c>
      <c r="N147" s="902">
        <f t="shared" si="4"/>
        <v>2</v>
      </c>
      <c r="O147" s="903">
        <v>0</v>
      </c>
      <c r="P147" s="903">
        <v>0</v>
      </c>
      <c r="Q147" s="903">
        <v>1</v>
      </c>
      <c r="R147" s="903">
        <v>0</v>
      </c>
      <c r="S147" s="903">
        <f t="shared" si="5"/>
        <v>3</v>
      </c>
      <c r="T147" s="904">
        <v>1</v>
      </c>
      <c r="U147" s="905">
        <v>1</v>
      </c>
      <c r="V147" s="905">
        <v>0</v>
      </c>
      <c r="W147" s="905">
        <v>0</v>
      </c>
      <c r="X147" s="905">
        <v>1</v>
      </c>
      <c r="Y147" s="905">
        <v>1</v>
      </c>
      <c r="Z147" s="905">
        <v>0</v>
      </c>
      <c r="AA147" s="905">
        <v>1</v>
      </c>
      <c r="AB147" s="906">
        <v>4</v>
      </c>
      <c r="AC147" s="906">
        <v>5</v>
      </c>
      <c r="AD147" s="906">
        <v>1</v>
      </c>
      <c r="AE147" s="906">
        <v>6</v>
      </c>
      <c r="AF147" s="906">
        <v>2</v>
      </c>
      <c r="AG147" s="906">
        <v>3</v>
      </c>
      <c r="AH147" s="906">
        <v>7</v>
      </c>
      <c r="AI147" s="907">
        <v>2</v>
      </c>
      <c r="AJ147" s="907">
        <v>2</v>
      </c>
      <c r="AK147" s="907">
        <v>2</v>
      </c>
      <c r="AL147" s="907">
        <v>2</v>
      </c>
      <c r="AM147" s="907">
        <v>1</v>
      </c>
      <c r="AN147" s="907">
        <v>1</v>
      </c>
      <c r="AO147" s="907">
        <v>4</v>
      </c>
      <c r="AP147" s="907">
        <v>0</v>
      </c>
      <c r="AQ147" s="907">
        <v>0</v>
      </c>
      <c r="AR147" s="907">
        <v>0</v>
      </c>
      <c r="AS147" s="907">
        <v>0</v>
      </c>
      <c r="AT147" s="907">
        <v>1</v>
      </c>
      <c r="AU147" s="907">
        <v>0</v>
      </c>
    </row>
    <row r="148" spans="1:47" hidden="1">
      <c r="A148" s="898">
        <v>147</v>
      </c>
      <c r="B148" s="899">
        <v>1</v>
      </c>
      <c r="C148" s="900">
        <v>0</v>
      </c>
      <c r="D148" s="900">
        <v>0</v>
      </c>
      <c r="E148" s="900">
        <v>1</v>
      </c>
      <c r="F148" s="900">
        <v>0</v>
      </c>
      <c r="G148" s="901">
        <v>3</v>
      </c>
      <c r="H148" s="901">
        <v>2</v>
      </c>
      <c r="I148" s="901">
        <v>4</v>
      </c>
      <c r="J148" s="901">
        <v>1</v>
      </c>
      <c r="K148" s="902">
        <v>0</v>
      </c>
      <c r="L148" s="902">
        <v>1</v>
      </c>
      <c r="M148" s="902">
        <v>0</v>
      </c>
      <c r="N148" s="902">
        <f t="shared" si="4"/>
        <v>2</v>
      </c>
      <c r="O148" s="903">
        <v>1</v>
      </c>
      <c r="P148" s="903">
        <v>0</v>
      </c>
      <c r="Q148" s="903">
        <v>0</v>
      </c>
      <c r="R148" s="903">
        <v>0</v>
      </c>
      <c r="S148" s="903">
        <f t="shared" si="5"/>
        <v>1</v>
      </c>
      <c r="T148" s="904">
        <v>1</v>
      </c>
      <c r="U148" s="905">
        <v>0</v>
      </c>
      <c r="V148" s="905">
        <v>0</v>
      </c>
      <c r="W148" s="905">
        <v>1</v>
      </c>
      <c r="X148" s="905">
        <v>0</v>
      </c>
      <c r="Y148" s="905">
        <v>0</v>
      </c>
      <c r="Z148" s="905">
        <v>1</v>
      </c>
      <c r="AA148" s="905">
        <v>1</v>
      </c>
      <c r="AB148" s="906">
        <v>6</v>
      </c>
      <c r="AC148" s="906">
        <v>7</v>
      </c>
      <c r="AD148" s="906">
        <v>5</v>
      </c>
      <c r="AE148" s="906">
        <v>3</v>
      </c>
      <c r="AF148" s="906">
        <v>2</v>
      </c>
      <c r="AG148" s="906">
        <v>1</v>
      </c>
      <c r="AH148" s="906">
        <v>4</v>
      </c>
      <c r="AI148" s="907">
        <v>1</v>
      </c>
      <c r="AJ148" s="907">
        <v>2</v>
      </c>
      <c r="AK148" s="907">
        <v>1</v>
      </c>
      <c r="AL148" s="907">
        <v>1</v>
      </c>
      <c r="AM148" s="907">
        <v>2</v>
      </c>
      <c r="AN148" s="907">
        <v>2</v>
      </c>
      <c r="AO148" s="907">
        <v>3</v>
      </c>
      <c r="AP148" s="907">
        <v>0</v>
      </c>
      <c r="AQ148" s="907">
        <v>0</v>
      </c>
      <c r="AR148" s="907">
        <v>0</v>
      </c>
      <c r="AS148" s="907">
        <v>1</v>
      </c>
      <c r="AT148" s="907">
        <v>0</v>
      </c>
      <c r="AU148" s="907">
        <v>0</v>
      </c>
    </row>
    <row r="149" spans="1:47" hidden="1">
      <c r="A149" s="898">
        <v>148</v>
      </c>
      <c r="B149" s="899">
        <v>0</v>
      </c>
      <c r="C149" s="900">
        <v>0</v>
      </c>
      <c r="D149" s="900">
        <v>1</v>
      </c>
      <c r="E149" s="900">
        <v>0</v>
      </c>
      <c r="F149" s="900">
        <v>0</v>
      </c>
      <c r="G149" s="901">
        <v>1</v>
      </c>
      <c r="H149" s="901">
        <v>3</v>
      </c>
      <c r="I149" s="901">
        <v>4</v>
      </c>
      <c r="J149" s="901">
        <v>2</v>
      </c>
      <c r="K149" s="902">
        <v>1</v>
      </c>
      <c r="L149" s="902">
        <v>0</v>
      </c>
      <c r="M149" s="902">
        <v>0</v>
      </c>
      <c r="N149" s="902">
        <f t="shared" si="4"/>
        <v>1</v>
      </c>
      <c r="O149" s="903">
        <v>1</v>
      </c>
      <c r="P149" s="903">
        <v>0</v>
      </c>
      <c r="Q149" s="903">
        <v>0</v>
      </c>
      <c r="R149" s="903">
        <v>0</v>
      </c>
      <c r="S149" s="903">
        <f t="shared" si="5"/>
        <v>1</v>
      </c>
      <c r="T149" s="904">
        <v>1</v>
      </c>
      <c r="U149" s="905">
        <v>0</v>
      </c>
      <c r="V149" s="905">
        <v>0</v>
      </c>
      <c r="W149" s="905">
        <v>0</v>
      </c>
      <c r="X149" s="905">
        <v>1</v>
      </c>
      <c r="Y149" s="905">
        <v>1</v>
      </c>
      <c r="Z149" s="905">
        <v>1</v>
      </c>
      <c r="AA149" s="905">
        <v>1</v>
      </c>
      <c r="AB149" s="906">
        <v>4</v>
      </c>
      <c r="AC149" s="906">
        <v>5</v>
      </c>
      <c r="AD149" s="906">
        <v>6</v>
      </c>
      <c r="AE149" s="906">
        <v>2</v>
      </c>
      <c r="AF149" s="906">
        <v>3</v>
      </c>
      <c r="AG149" s="906">
        <v>1</v>
      </c>
      <c r="AH149" s="906">
        <v>7</v>
      </c>
      <c r="AI149" s="907">
        <v>1</v>
      </c>
      <c r="AJ149" s="907">
        <v>1</v>
      </c>
      <c r="AK149" s="907">
        <v>2</v>
      </c>
      <c r="AL149" s="907">
        <v>2</v>
      </c>
      <c r="AM149" s="907">
        <v>1</v>
      </c>
      <c r="AN149" s="907">
        <v>1</v>
      </c>
      <c r="AO149" s="907">
        <v>3</v>
      </c>
      <c r="AP149" s="907">
        <v>1</v>
      </c>
      <c r="AQ149" s="907">
        <v>0</v>
      </c>
      <c r="AR149" s="907">
        <v>0</v>
      </c>
      <c r="AS149" s="907">
        <v>0</v>
      </c>
      <c r="AT149" s="907">
        <v>0</v>
      </c>
      <c r="AU149" s="907">
        <v>0</v>
      </c>
    </row>
    <row r="150" spans="1:47" hidden="1">
      <c r="A150" s="898">
        <v>149</v>
      </c>
      <c r="B150" s="899">
        <v>1</v>
      </c>
      <c r="C150" s="900">
        <v>0</v>
      </c>
      <c r="D150" s="900">
        <v>1</v>
      </c>
      <c r="E150" s="900">
        <v>0</v>
      </c>
      <c r="F150" s="900">
        <v>0</v>
      </c>
      <c r="G150" s="901">
        <v>2</v>
      </c>
      <c r="H150" s="901">
        <v>3</v>
      </c>
      <c r="I150" s="901">
        <v>4</v>
      </c>
      <c r="J150" s="901">
        <v>1</v>
      </c>
      <c r="K150" s="902">
        <v>0</v>
      </c>
      <c r="L150" s="902">
        <v>1</v>
      </c>
      <c r="M150" s="902">
        <v>0</v>
      </c>
      <c r="N150" s="902">
        <f t="shared" si="4"/>
        <v>2</v>
      </c>
      <c r="O150" s="903">
        <v>1</v>
      </c>
      <c r="P150" s="903">
        <v>0</v>
      </c>
      <c r="Q150" s="903">
        <v>0</v>
      </c>
      <c r="R150" s="903">
        <v>0</v>
      </c>
      <c r="S150" s="903">
        <f t="shared" si="5"/>
        <v>1</v>
      </c>
      <c r="T150" s="904">
        <v>1</v>
      </c>
      <c r="U150" s="905">
        <v>0</v>
      </c>
      <c r="V150" s="905">
        <v>1</v>
      </c>
      <c r="W150" s="905">
        <v>1</v>
      </c>
      <c r="X150" s="905">
        <v>0</v>
      </c>
      <c r="Y150" s="905">
        <v>0</v>
      </c>
      <c r="Z150" s="905">
        <v>1</v>
      </c>
      <c r="AA150" s="905">
        <v>1</v>
      </c>
      <c r="AB150" s="906">
        <v>7</v>
      </c>
      <c r="AC150" s="906">
        <v>3</v>
      </c>
      <c r="AD150" s="906">
        <v>4</v>
      </c>
      <c r="AE150" s="906">
        <v>6</v>
      </c>
      <c r="AF150" s="906">
        <v>1</v>
      </c>
      <c r="AG150" s="906">
        <v>2</v>
      </c>
      <c r="AH150" s="906">
        <v>5</v>
      </c>
      <c r="AI150" s="907">
        <v>1</v>
      </c>
      <c r="AJ150" s="907">
        <v>2</v>
      </c>
      <c r="AK150" s="907">
        <v>1</v>
      </c>
      <c r="AL150" s="907">
        <v>1</v>
      </c>
      <c r="AM150" s="907">
        <v>2</v>
      </c>
      <c r="AN150" s="907">
        <v>2</v>
      </c>
      <c r="AO150" s="907">
        <v>3</v>
      </c>
      <c r="AP150" s="907">
        <v>0</v>
      </c>
      <c r="AQ150" s="907">
        <v>0</v>
      </c>
      <c r="AR150" s="907">
        <v>0</v>
      </c>
      <c r="AS150" s="907">
        <v>0</v>
      </c>
      <c r="AT150" s="907">
        <v>1</v>
      </c>
      <c r="AU150" s="907">
        <v>0</v>
      </c>
    </row>
    <row r="151" spans="1:47" hidden="1">
      <c r="A151" s="898">
        <v>150</v>
      </c>
      <c r="B151" s="899">
        <v>0</v>
      </c>
      <c r="C151" s="900">
        <v>0</v>
      </c>
      <c r="D151" s="900">
        <v>1</v>
      </c>
      <c r="E151" s="900">
        <v>0</v>
      </c>
      <c r="F151" s="900">
        <v>0</v>
      </c>
      <c r="G151" s="901">
        <v>3</v>
      </c>
      <c r="H151" s="901">
        <v>1</v>
      </c>
      <c r="I151" s="901">
        <v>4</v>
      </c>
      <c r="J151" s="901">
        <v>2</v>
      </c>
      <c r="K151" s="902">
        <v>1</v>
      </c>
      <c r="L151" s="902">
        <v>0</v>
      </c>
      <c r="M151" s="902">
        <v>0</v>
      </c>
      <c r="N151" s="902">
        <f t="shared" si="4"/>
        <v>1</v>
      </c>
      <c r="O151" s="903">
        <v>1</v>
      </c>
      <c r="P151" s="903">
        <v>0</v>
      </c>
      <c r="Q151" s="903">
        <v>0</v>
      </c>
      <c r="R151" s="903">
        <v>0</v>
      </c>
      <c r="S151" s="903">
        <f t="shared" si="5"/>
        <v>1</v>
      </c>
      <c r="T151" s="904">
        <v>1</v>
      </c>
      <c r="U151" s="905">
        <v>0</v>
      </c>
      <c r="V151" s="905">
        <v>1</v>
      </c>
      <c r="W151" s="905">
        <v>1</v>
      </c>
      <c r="X151" s="905">
        <v>1</v>
      </c>
      <c r="Y151" s="905">
        <v>1</v>
      </c>
      <c r="Z151" s="905">
        <v>0</v>
      </c>
      <c r="AA151" s="905">
        <v>1</v>
      </c>
      <c r="AB151" s="906">
        <v>3</v>
      </c>
      <c r="AC151" s="906">
        <v>4</v>
      </c>
      <c r="AD151" s="906">
        <v>5</v>
      </c>
      <c r="AE151" s="906">
        <v>7</v>
      </c>
      <c r="AF151" s="906">
        <v>2</v>
      </c>
      <c r="AG151" s="906">
        <v>1</v>
      </c>
      <c r="AH151" s="906">
        <v>6</v>
      </c>
      <c r="AI151" s="907">
        <v>1</v>
      </c>
      <c r="AJ151" s="907">
        <v>2</v>
      </c>
      <c r="AK151" s="907">
        <v>2</v>
      </c>
      <c r="AL151" s="907">
        <v>3</v>
      </c>
      <c r="AM151" s="907">
        <v>1</v>
      </c>
      <c r="AN151" s="907">
        <v>1</v>
      </c>
      <c r="AO151" s="907">
        <v>3</v>
      </c>
      <c r="AP151" s="907">
        <v>0</v>
      </c>
      <c r="AQ151" s="907">
        <v>0</v>
      </c>
      <c r="AR151" s="907">
        <v>0</v>
      </c>
      <c r="AS151" s="907">
        <v>0</v>
      </c>
      <c r="AT151" s="907">
        <v>1</v>
      </c>
      <c r="AU151" s="907">
        <v>0</v>
      </c>
    </row>
    <row r="152" spans="1:47" hidden="1">
      <c r="A152" s="898">
        <v>151</v>
      </c>
      <c r="B152" s="899">
        <v>1</v>
      </c>
      <c r="C152" s="900">
        <v>0</v>
      </c>
      <c r="D152" s="900">
        <v>0</v>
      </c>
      <c r="E152" s="900">
        <v>1</v>
      </c>
      <c r="F152" s="900">
        <v>0</v>
      </c>
      <c r="G152" s="901">
        <v>3</v>
      </c>
      <c r="H152" s="901">
        <v>2</v>
      </c>
      <c r="I152" s="901">
        <v>4</v>
      </c>
      <c r="J152" s="901">
        <v>1</v>
      </c>
      <c r="K152" s="902">
        <v>1</v>
      </c>
      <c r="L152" s="902">
        <v>0</v>
      </c>
      <c r="M152" s="902">
        <v>0</v>
      </c>
      <c r="N152" s="902">
        <f t="shared" si="4"/>
        <v>1</v>
      </c>
      <c r="O152" s="903">
        <v>1</v>
      </c>
      <c r="P152" s="903">
        <v>0</v>
      </c>
      <c r="Q152" s="903">
        <v>0</v>
      </c>
      <c r="R152" s="903">
        <v>0</v>
      </c>
      <c r="S152" s="903">
        <f t="shared" si="5"/>
        <v>1</v>
      </c>
      <c r="T152" s="904">
        <v>1</v>
      </c>
      <c r="U152" s="905">
        <v>0</v>
      </c>
      <c r="V152" s="905">
        <v>0</v>
      </c>
      <c r="W152" s="905">
        <v>1</v>
      </c>
      <c r="X152" s="905">
        <v>0</v>
      </c>
      <c r="Y152" s="905">
        <v>0</v>
      </c>
      <c r="Z152" s="905">
        <v>1</v>
      </c>
      <c r="AA152" s="905">
        <v>1</v>
      </c>
      <c r="AB152" s="906">
        <v>3</v>
      </c>
      <c r="AC152" s="906">
        <v>4</v>
      </c>
      <c r="AD152" s="906">
        <v>7</v>
      </c>
      <c r="AE152" s="906">
        <v>6</v>
      </c>
      <c r="AF152" s="906">
        <v>2</v>
      </c>
      <c r="AG152" s="906">
        <v>1</v>
      </c>
      <c r="AH152" s="906">
        <v>5</v>
      </c>
      <c r="AI152" s="907">
        <v>1</v>
      </c>
      <c r="AJ152" s="907">
        <v>2</v>
      </c>
      <c r="AK152" s="907">
        <v>1</v>
      </c>
      <c r="AL152" s="907">
        <v>1</v>
      </c>
      <c r="AM152" s="907">
        <v>2</v>
      </c>
      <c r="AN152" s="907">
        <v>2</v>
      </c>
      <c r="AO152" s="907">
        <v>3</v>
      </c>
      <c r="AP152" s="907">
        <v>1</v>
      </c>
      <c r="AQ152" s="907">
        <v>0</v>
      </c>
      <c r="AR152" s="907">
        <v>0</v>
      </c>
      <c r="AS152" s="907">
        <v>0</v>
      </c>
      <c r="AT152" s="907">
        <v>0</v>
      </c>
      <c r="AU152" s="907">
        <v>0</v>
      </c>
    </row>
    <row r="153" spans="1:47" hidden="1">
      <c r="A153" s="898">
        <v>152</v>
      </c>
      <c r="B153" s="899">
        <v>1</v>
      </c>
      <c r="C153" s="900">
        <v>0</v>
      </c>
      <c r="D153" s="900">
        <v>1</v>
      </c>
      <c r="E153" s="900">
        <v>0</v>
      </c>
      <c r="F153" s="900">
        <v>0</v>
      </c>
      <c r="G153" s="901">
        <v>3</v>
      </c>
      <c r="H153" s="901">
        <v>1</v>
      </c>
      <c r="I153" s="901">
        <v>4</v>
      </c>
      <c r="J153" s="901">
        <v>2</v>
      </c>
      <c r="K153" s="902">
        <v>1</v>
      </c>
      <c r="L153" s="902">
        <v>0</v>
      </c>
      <c r="M153" s="902">
        <v>0</v>
      </c>
      <c r="N153" s="902">
        <f t="shared" si="4"/>
        <v>1</v>
      </c>
      <c r="O153" s="903">
        <v>1</v>
      </c>
      <c r="P153" s="903">
        <v>0</v>
      </c>
      <c r="Q153" s="903">
        <v>0</v>
      </c>
      <c r="R153" s="903">
        <v>0</v>
      </c>
      <c r="S153" s="903">
        <f t="shared" si="5"/>
        <v>1</v>
      </c>
      <c r="T153" s="904">
        <v>1</v>
      </c>
      <c r="U153" s="905">
        <v>1</v>
      </c>
      <c r="V153" s="905">
        <v>0</v>
      </c>
      <c r="W153" s="905">
        <v>0</v>
      </c>
      <c r="X153" s="905">
        <v>1</v>
      </c>
      <c r="Y153" s="905">
        <v>0</v>
      </c>
      <c r="Z153" s="905">
        <v>0</v>
      </c>
      <c r="AA153" s="905">
        <v>1</v>
      </c>
      <c r="AB153" s="906">
        <v>6</v>
      </c>
      <c r="AC153" s="906">
        <v>7</v>
      </c>
      <c r="AD153" s="906">
        <v>4</v>
      </c>
      <c r="AE153" s="906">
        <v>3</v>
      </c>
      <c r="AF153" s="906">
        <v>1</v>
      </c>
      <c r="AG153" s="906">
        <v>2</v>
      </c>
      <c r="AH153" s="906">
        <v>5</v>
      </c>
      <c r="AI153" s="907">
        <v>2</v>
      </c>
      <c r="AJ153" s="907">
        <v>1</v>
      </c>
      <c r="AK153" s="907">
        <v>1</v>
      </c>
      <c r="AL153" s="907">
        <v>1</v>
      </c>
      <c r="AM153" s="907">
        <v>1</v>
      </c>
      <c r="AN153" s="907">
        <v>1</v>
      </c>
      <c r="AO153" s="907">
        <v>3</v>
      </c>
      <c r="AP153" s="907">
        <v>0</v>
      </c>
      <c r="AQ153" s="907">
        <v>0</v>
      </c>
      <c r="AR153" s="907">
        <v>0</v>
      </c>
      <c r="AS153" s="907">
        <v>1</v>
      </c>
      <c r="AT153" s="907">
        <v>0</v>
      </c>
      <c r="AU153" s="907">
        <v>0</v>
      </c>
    </row>
    <row r="154" spans="1:47" hidden="1">
      <c r="A154" s="898">
        <v>153</v>
      </c>
      <c r="B154" s="899">
        <v>0</v>
      </c>
      <c r="C154" s="900">
        <v>0</v>
      </c>
      <c r="D154" s="900">
        <v>0</v>
      </c>
      <c r="E154" s="900">
        <v>1</v>
      </c>
      <c r="F154" s="900">
        <v>0</v>
      </c>
      <c r="G154" s="901">
        <v>4</v>
      </c>
      <c r="H154" s="901">
        <v>1</v>
      </c>
      <c r="I154" s="901">
        <v>3</v>
      </c>
      <c r="J154" s="901">
        <v>2</v>
      </c>
      <c r="K154" s="902">
        <v>0</v>
      </c>
      <c r="L154" s="902">
        <v>0</v>
      </c>
      <c r="M154" s="902">
        <v>1</v>
      </c>
      <c r="N154" s="902">
        <f t="shared" si="4"/>
        <v>3</v>
      </c>
      <c r="O154" s="908">
        <v>1</v>
      </c>
      <c r="P154" s="908">
        <v>0</v>
      </c>
      <c r="Q154" s="908">
        <v>0</v>
      </c>
      <c r="R154" s="908">
        <v>0</v>
      </c>
      <c r="S154" s="903">
        <f t="shared" si="5"/>
        <v>1</v>
      </c>
      <c r="T154" s="904">
        <v>0</v>
      </c>
      <c r="U154" s="905">
        <v>1</v>
      </c>
      <c r="V154" s="905">
        <v>0</v>
      </c>
      <c r="W154" s="905">
        <v>0</v>
      </c>
      <c r="X154" s="905">
        <v>0</v>
      </c>
      <c r="Y154" s="905">
        <v>0</v>
      </c>
      <c r="Z154" s="905">
        <v>0</v>
      </c>
      <c r="AA154" s="905">
        <v>1</v>
      </c>
      <c r="AB154" s="906">
        <v>7</v>
      </c>
      <c r="AC154" s="906">
        <v>2</v>
      </c>
      <c r="AD154" s="906">
        <v>4</v>
      </c>
      <c r="AE154" s="906">
        <v>5</v>
      </c>
      <c r="AF154" s="906">
        <v>1</v>
      </c>
      <c r="AG154" s="906">
        <v>3</v>
      </c>
      <c r="AH154" s="906">
        <v>6</v>
      </c>
      <c r="AI154" s="907">
        <v>3</v>
      </c>
      <c r="AJ154" s="907">
        <v>2</v>
      </c>
      <c r="AK154" s="907">
        <v>1</v>
      </c>
      <c r="AL154" s="907">
        <v>1</v>
      </c>
      <c r="AM154" s="907">
        <v>1</v>
      </c>
      <c r="AN154" s="907">
        <v>1</v>
      </c>
      <c r="AO154" s="907">
        <v>3</v>
      </c>
      <c r="AP154" s="907">
        <v>0</v>
      </c>
      <c r="AQ154" s="907">
        <v>0</v>
      </c>
      <c r="AR154" s="907">
        <v>0</v>
      </c>
      <c r="AS154" s="907">
        <v>0</v>
      </c>
      <c r="AT154" s="907">
        <v>0</v>
      </c>
      <c r="AU154" s="907">
        <v>1</v>
      </c>
    </row>
    <row r="155" spans="1:47" hidden="1">
      <c r="A155" s="898">
        <v>154</v>
      </c>
      <c r="B155" s="899">
        <v>1</v>
      </c>
      <c r="C155" s="900">
        <v>0</v>
      </c>
      <c r="D155" s="900">
        <v>1</v>
      </c>
      <c r="E155" s="900">
        <v>0</v>
      </c>
      <c r="F155" s="900">
        <v>0</v>
      </c>
      <c r="G155" s="901">
        <v>4</v>
      </c>
      <c r="H155" s="901">
        <v>2</v>
      </c>
      <c r="I155" s="901">
        <v>3</v>
      </c>
      <c r="J155" s="901">
        <v>1</v>
      </c>
      <c r="K155" s="902">
        <v>0</v>
      </c>
      <c r="L155" s="902">
        <v>1</v>
      </c>
      <c r="M155" s="902">
        <v>0</v>
      </c>
      <c r="N155" s="902">
        <f t="shared" si="4"/>
        <v>2</v>
      </c>
      <c r="O155" s="903">
        <v>1</v>
      </c>
      <c r="P155" s="903">
        <v>0</v>
      </c>
      <c r="Q155" s="903">
        <v>0</v>
      </c>
      <c r="R155" s="903">
        <v>0</v>
      </c>
      <c r="S155" s="903">
        <f t="shared" si="5"/>
        <v>1</v>
      </c>
      <c r="T155" s="904">
        <v>1</v>
      </c>
      <c r="U155" s="905">
        <v>0</v>
      </c>
      <c r="V155" s="905">
        <v>1</v>
      </c>
      <c r="W155" s="905">
        <v>0</v>
      </c>
      <c r="X155" s="905">
        <v>0</v>
      </c>
      <c r="Y155" s="905">
        <v>0</v>
      </c>
      <c r="Z155" s="905">
        <v>1</v>
      </c>
      <c r="AA155" s="905">
        <v>1</v>
      </c>
      <c r="AB155" s="906">
        <v>7</v>
      </c>
      <c r="AC155" s="906">
        <v>3</v>
      </c>
      <c r="AD155" s="906">
        <v>4</v>
      </c>
      <c r="AE155" s="906">
        <v>5</v>
      </c>
      <c r="AF155" s="906">
        <v>1</v>
      </c>
      <c r="AG155" s="906">
        <v>2</v>
      </c>
      <c r="AH155" s="906">
        <v>6</v>
      </c>
      <c r="AI155" s="907">
        <v>1</v>
      </c>
      <c r="AJ155" s="907">
        <v>1</v>
      </c>
      <c r="AK155" s="907">
        <v>1</v>
      </c>
      <c r="AL155" s="907">
        <v>1</v>
      </c>
      <c r="AM155" s="907">
        <v>2</v>
      </c>
      <c r="AN155" s="907">
        <v>2</v>
      </c>
      <c r="AO155" s="907">
        <v>3</v>
      </c>
      <c r="AP155" s="907">
        <v>1</v>
      </c>
      <c r="AQ155" s="907">
        <v>0</v>
      </c>
      <c r="AR155" s="907">
        <v>0</v>
      </c>
      <c r="AS155" s="907">
        <v>0</v>
      </c>
      <c r="AT155" s="907">
        <v>0</v>
      </c>
      <c r="AU155" s="907">
        <v>0</v>
      </c>
    </row>
    <row r="156" spans="1:47" hidden="1">
      <c r="A156" s="898">
        <v>155</v>
      </c>
      <c r="B156" s="899">
        <v>0</v>
      </c>
      <c r="C156" s="900">
        <v>0</v>
      </c>
      <c r="D156" s="900">
        <v>0</v>
      </c>
      <c r="E156" s="900">
        <v>1</v>
      </c>
      <c r="F156" s="900">
        <v>0</v>
      </c>
      <c r="G156" s="901">
        <v>3</v>
      </c>
      <c r="H156" s="901">
        <v>2</v>
      </c>
      <c r="I156" s="901">
        <v>1</v>
      </c>
      <c r="J156" s="901">
        <v>4</v>
      </c>
      <c r="K156" s="902">
        <v>0</v>
      </c>
      <c r="L156" s="902">
        <v>0</v>
      </c>
      <c r="M156" s="902">
        <v>1</v>
      </c>
      <c r="N156" s="902">
        <f t="shared" si="4"/>
        <v>3</v>
      </c>
      <c r="O156" s="908">
        <v>0</v>
      </c>
      <c r="P156" s="908">
        <v>1</v>
      </c>
      <c r="Q156" s="908">
        <v>0</v>
      </c>
      <c r="R156" s="908">
        <v>0</v>
      </c>
      <c r="S156" s="903">
        <f t="shared" si="5"/>
        <v>2</v>
      </c>
      <c r="T156" s="904">
        <v>0</v>
      </c>
      <c r="U156" s="905">
        <v>1</v>
      </c>
      <c r="V156" s="905">
        <v>0</v>
      </c>
      <c r="W156" s="905">
        <v>0</v>
      </c>
      <c r="X156" s="905">
        <v>0</v>
      </c>
      <c r="Y156" s="905">
        <v>0</v>
      </c>
      <c r="Z156" s="905">
        <v>0</v>
      </c>
      <c r="AA156" s="905">
        <v>1</v>
      </c>
      <c r="AB156" s="906">
        <v>7</v>
      </c>
      <c r="AC156" s="906">
        <v>3</v>
      </c>
      <c r="AD156" s="906">
        <v>4</v>
      </c>
      <c r="AE156" s="906">
        <v>6</v>
      </c>
      <c r="AF156" s="906">
        <v>1</v>
      </c>
      <c r="AG156" s="906">
        <v>2</v>
      </c>
      <c r="AH156" s="906">
        <v>5</v>
      </c>
      <c r="AI156" s="907">
        <v>3</v>
      </c>
      <c r="AJ156" s="907">
        <v>2</v>
      </c>
      <c r="AK156" s="907">
        <v>1</v>
      </c>
      <c r="AL156" s="907">
        <v>1</v>
      </c>
      <c r="AM156" s="907">
        <v>1</v>
      </c>
      <c r="AN156" s="907">
        <v>3</v>
      </c>
      <c r="AO156" s="907">
        <v>4</v>
      </c>
      <c r="AP156" s="907">
        <v>0</v>
      </c>
      <c r="AQ156" s="907">
        <v>0</v>
      </c>
      <c r="AR156" s="907">
        <v>0</v>
      </c>
      <c r="AS156" s="907">
        <v>0</v>
      </c>
      <c r="AT156" s="907">
        <v>0</v>
      </c>
      <c r="AU156" s="907">
        <v>1</v>
      </c>
    </row>
    <row r="157" spans="1:47" hidden="1">
      <c r="A157" s="898">
        <v>156</v>
      </c>
      <c r="B157" s="899">
        <v>1</v>
      </c>
      <c r="C157" s="900">
        <v>0</v>
      </c>
      <c r="D157" s="900">
        <v>1</v>
      </c>
      <c r="E157" s="900">
        <v>0</v>
      </c>
      <c r="F157" s="900">
        <v>0</v>
      </c>
      <c r="G157" s="901">
        <v>3</v>
      </c>
      <c r="H157" s="901">
        <v>2</v>
      </c>
      <c r="I157" s="901">
        <v>4</v>
      </c>
      <c r="J157" s="901">
        <v>1</v>
      </c>
      <c r="K157" s="902">
        <v>1</v>
      </c>
      <c r="L157" s="902">
        <v>0</v>
      </c>
      <c r="M157" s="902">
        <v>0</v>
      </c>
      <c r="N157" s="902">
        <f t="shared" si="4"/>
        <v>1</v>
      </c>
      <c r="O157" s="903">
        <v>1</v>
      </c>
      <c r="P157" s="903">
        <v>0</v>
      </c>
      <c r="Q157" s="903">
        <v>0</v>
      </c>
      <c r="R157" s="903">
        <v>0</v>
      </c>
      <c r="S157" s="903">
        <f t="shared" si="5"/>
        <v>1</v>
      </c>
      <c r="T157" s="904">
        <v>1</v>
      </c>
      <c r="U157" s="905">
        <v>0</v>
      </c>
      <c r="V157" s="905">
        <v>0</v>
      </c>
      <c r="W157" s="905">
        <v>1</v>
      </c>
      <c r="X157" s="905">
        <v>0</v>
      </c>
      <c r="Y157" s="905">
        <v>0</v>
      </c>
      <c r="Z157" s="905">
        <v>1</v>
      </c>
      <c r="AA157" s="905">
        <v>1</v>
      </c>
      <c r="AB157" s="906">
        <v>7</v>
      </c>
      <c r="AC157" s="906">
        <v>3</v>
      </c>
      <c r="AD157" s="906">
        <v>4</v>
      </c>
      <c r="AE157" s="906">
        <v>6</v>
      </c>
      <c r="AF157" s="906">
        <v>2</v>
      </c>
      <c r="AG157" s="906">
        <v>1</v>
      </c>
      <c r="AH157" s="906">
        <v>5</v>
      </c>
      <c r="AI157" s="907">
        <v>1</v>
      </c>
      <c r="AJ157" s="907">
        <v>2</v>
      </c>
      <c r="AK157" s="907">
        <v>1</v>
      </c>
      <c r="AL157" s="907">
        <v>1</v>
      </c>
      <c r="AM157" s="907">
        <v>2</v>
      </c>
      <c r="AN157" s="907">
        <v>2</v>
      </c>
      <c r="AO157" s="907">
        <v>3</v>
      </c>
      <c r="AP157" s="907">
        <v>0</v>
      </c>
      <c r="AQ157" s="907">
        <v>1</v>
      </c>
      <c r="AR157" s="907">
        <v>0</v>
      </c>
      <c r="AS157" s="907">
        <v>0</v>
      </c>
      <c r="AT157" s="907">
        <v>0</v>
      </c>
      <c r="AU157" s="907">
        <v>0</v>
      </c>
    </row>
    <row r="158" spans="1:47" hidden="1">
      <c r="A158" s="898">
        <v>157</v>
      </c>
      <c r="B158" s="899">
        <v>0</v>
      </c>
      <c r="C158" s="900">
        <v>0</v>
      </c>
      <c r="D158" s="900">
        <v>0</v>
      </c>
      <c r="E158" s="900">
        <v>1</v>
      </c>
      <c r="F158" s="900">
        <v>0</v>
      </c>
      <c r="G158" s="901">
        <v>3</v>
      </c>
      <c r="H158" s="901">
        <v>2</v>
      </c>
      <c r="I158" s="901">
        <v>4</v>
      </c>
      <c r="J158" s="901">
        <v>1</v>
      </c>
      <c r="K158" s="902">
        <v>0</v>
      </c>
      <c r="L158" s="902">
        <v>1</v>
      </c>
      <c r="M158" s="902">
        <v>0</v>
      </c>
      <c r="N158" s="902">
        <f t="shared" si="4"/>
        <v>2</v>
      </c>
      <c r="O158" s="903">
        <v>1</v>
      </c>
      <c r="P158" s="903">
        <v>0</v>
      </c>
      <c r="Q158" s="903">
        <v>0</v>
      </c>
      <c r="R158" s="903">
        <v>0</v>
      </c>
      <c r="S158" s="903">
        <f t="shared" si="5"/>
        <v>1</v>
      </c>
      <c r="T158" s="904">
        <v>1</v>
      </c>
      <c r="U158" s="905">
        <v>0</v>
      </c>
      <c r="V158" s="905">
        <v>0</v>
      </c>
      <c r="W158" s="905">
        <v>0</v>
      </c>
      <c r="X158" s="905">
        <v>0</v>
      </c>
      <c r="Y158" s="905">
        <v>0</v>
      </c>
      <c r="Z158" s="905">
        <v>1</v>
      </c>
      <c r="AA158" s="905">
        <v>1</v>
      </c>
      <c r="AB158" s="906">
        <v>4</v>
      </c>
      <c r="AC158" s="906">
        <v>3</v>
      </c>
      <c r="AD158" s="906">
        <v>5</v>
      </c>
      <c r="AE158" s="906">
        <v>7</v>
      </c>
      <c r="AF158" s="906">
        <v>2</v>
      </c>
      <c r="AG158" s="906">
        <v>1</v>
      </c>
      <c r="AH158" s="906">
        <v>6</v>
      </c>
      <c r="AI158" s="907">
        <v>1</v>
      </c>
      <c r="AJ158" s="907">
        <v>1</v>
      </c>
      <c r="AK158" s="907">
        <v>1</v>
      </c>
      <c r="AL158" s="907">
        <v>1</v>
      </c>
      <c r="AM158" s="907">
        <v>3</v>
      </c>
      <c r="AN158" s="907">
        <v>3</v>
      </c>
      <c r="AO158" s="907">
        <v>4</v>
      </c>
      <c r="AP158" s="907">
        <v>0</v>
      </c>
      <c r="AQ158" s="907">
        <v>0</v>
      </c>
      <c r="AR158" s="907">
        <v>0</v>
      </c>
      <c r="AS158" s="907">
        <v>1</v>
      </c>
      <c r="AT158" s="907">
        <v>0</v>
      </c>
      <c r="AU158" s="907">
        <v>0</v>
      </c>
    </row>
    <row r="159" spans="1:47" hidden="1">
      <c r="A159" s="898">
        <v>158</v>
      </c>
      <c r="B159" s="899">
        <v>1</v>
      </c>
      <c r="C159" s="900">
        <v>0</v>
      </c>
      <c r="D159" s="900">
        <v>1</v>
      </c>
      <c r="E159" s="900">
        <v>0</v>
      </c>
      <c r="F159" s="900">
        <v>0</v>
      </c>
      <c r="G159" s="901">
        <v>3</v>
      </c>
      <c r="H159" s="901">
        <v>2</v>
      </c>
      <c r="I159" s="901">
        <v>4</v>
      </c>
      <c r="J159" s="901">
        <v>1</v>
      </c>
      <c r="K159" s="902">
        <v>0</v>
      </c>
      <c r="L159" s="902">
        <v>1</v>
      </c>
      <c r="M159" s="902">
        <v>0</v>
      </c>
      <c r="N159" s="902">
        <f t="shared" si="4"/>
        <v>2</v>
      </c>
      <c r="O159" s="903">
        <v>1</v>
      </c>
      <c r="P159" s="903">
        <v>0</v>
      </c>
      <c r="Q159" s="903">
        <v>0</v>
      </c>
      <c r="R159" s="903">
        <v>0</v>
      </c>
      <c r="S159" s="903">
        <f t="shared" si="5"/>
        <v>1</v>
      </c>
      <c r="T159" s="904">
        <v>1</v>
      </c>
      <c r="U159" s="905">
        <v>0</v>
      </c>
      <c r="V159" s="905">
        <v>0</v>
      </c>
      <c r="W159" s="905">
        <v>1</v>
      </c>
      <c r="X159" s="905">
        <v>0</v>
      </c>
      <c r="Y159" s="905">
        <v>0</v>
      </c>
      <c r="Z159" s="905">
        <v>1</v>
      </c>
      <c r="AA159" s="905">
        <v>1</v>
      </c>
      <c r="AB159" s="906">
        <v>4</v>
      </c>
      <c r="AC159" s="906">
        <v>3</v>
      </c>
      <c r="AD159" s="906">
        <v>7</v>
      </c>
      <c r="AE159" s="906">
        <v>6</v>
      </c>
      <c r="AF159" s="906">
        <v>1</v>
      </c>
      <c r="AG159" s="906">
        <v>2</v>
      </c>
      <c r="AH159" s="906">
        <v>5</v>
      </c>
      <c r="AI159" s="907">
        <v>1</v>
      </c>
      <c r="AJ159" s="907">
        <v>2</v>
      </c>
      <c r="AK159" s="907">
        <v>1</v>
      </c>
      <c r="AL159" s="907">
        <v>1</v>
      </c>
      <c r="AM159" s="907">
        <v>2</v>
      </c>
      <c r="AN159" s="907">
        <v>2</v>
      </c>
      <c r="AO159" s="907">
        <v>3</v>
      </c>
      <c r="AP159" s="907">
        <v>0</v>
      </c>
      <c r="AQ159" s="907">
        <v>0</v>
      </c>
      <c r="AR159" s="907">
        <v>0</v>
      </c>
      <c r="AS159" s="907">
        <v>1</v>
      </c>
      <c r="AT159" s="907">
        <v>0</v>
      </c>
      <c r="AU159" s="907">
        <v>0</v>
      </c>
    </row>
    <row r="160" spans="1:47" hidden="1">
      <c r="A160" s="898">
        <v>159</v>
      </c>
      <c r="B160" s="899">
        <v>1</v>
      </c>
      <c r="C160" s="900">
        <v>1</v>
      </c>
      <c r="D160" s="900">
        <v>0</v>
      </c>
      <c r="E160" s="900">
        <v>0</v>
      </c>
      <c r="F160" s="900">
        <v>0</v>
      </c>
      <c r="G160" s="901">
        <v>1</v>
      </c>
      <c r="H160" s="901">
        <v>4</v>
      </c>
      <c r="I160" s="901">
        <v>2</v>
      </c>
      <c r="J160" s="901">
        <v>3</v>
      </c>
      <c r="K160" s="902">
        <v>0</v>
      </c>
      <c r="L160" s="902">
        <v>0</v>
      </c>
      <c r="M160" s="902">
        <v>1</v>
      </c>
      <c r="N160" s="902">
        <f t="shared" si="4"/>
        <v>3</v>
      </c>
      <c r="O160" s="908">
        <v>0</v>
      </c>
      <c r="P160" s="908">
        <v>1</v>
      </c>
      <c r="Q160" s="908">
        <v>0</v>
      </c>
      <c r="R160" s="908">
        <v>0</v>
      </c>
      <c r="S160" s="903">
        <f t="shared" si="5"/>
        <v>2</v>
      </c>
      <c r="T160" s="904">
        <v>1</v>
      </c>
      <c r="U160" s="905">
        <v>1</v>
      </c>
      <c r="V160" s="905">
        <v>0</v>
      </c>
      <c r="W160" s="905">
        <v>0</v>
      </c>
      <c r="X160" s="905">
        <v>1</v>
      </c>
      <c r="Y160" s="905">
        <v>0</v>
      </c>
      <c r="Z160" s="905">
        <v>0</v>
      </c>
      <c r="AA160" s="905">
        <v>1</v>
      </c>
      <c r="AB160" s="906">
        <v>4</v>
      </c>
      <c r="AC160" s="906">
        <v>2</v>
      </c>
      <c r="AD160" s="906">
        <v>5</v>
      </c>
      <c r="AE160" s="906">
        <v>7</v>
      </c>
      <c r="AF160" s="906">
        <v>1</v>
      </c>
      <c r="AG160" s="906">
        <v>3</v>
      </c>
      <c r="AH160" s="906">
        <v>6</v>
      </c>
      <c r="AI160" s="907">
        <v>3</v>
      </c>
      <c r="AJ160" s="907">
        <v>1</v>
      </c>
      <c r="AK160" s="907">
        <v>1</v>
      </c>
      <c r="AL160" s="907">
        <v>1</v>
      </c>
      <c r="AM160" s="907">
        <v>1</v>
      </c>
      <c r="AN160" s="907">
        <v>1</v>
      </c>
      <c r="AO160" s="907">
        <v>4</v>
      </c>
      <c r="AP160" s="907">
        <v>0</v>
      </c>
      <c r="AQ160" s="907">
        <v>1</v>
      </c>
      <c r="AR160" s="907">
        <v>0</v>
      </c>
      <c r="AS160" s="907">
        <v>0</v>
      </c>
      <c r="AT160" s="907">
        <v>0</v>
      </c>
      <c r="AU160" s="907">
        <v>0</v>
      </c>
    </row>
    <row r="161" spans="1:47" hidden="1">
      <c r="A161" s="898">
        <v>160</v>
      </c>
      <c r="B161" s="899">
        <v>1</v>
      </c>
      <c r="C161" s="900">
        <v>0</v>
      </c>
      <c r="D161" s="900">
        <v>1</v>
      </c>
      <c r="E161" s="900">
        <v>0</v>
      </c>
      <c r="F161" s="900">
        <v>0</v>
      </c>
      <c r="G161" s="901">
        <v>2</v>
      </c>
      <c r="H161" s="901">
        <v>3</v>
      </c>
      <c r="I161" s="901">
        <v>4</v>
      </c>
      <c r="J161" s="901">
        <v>1</v>
      </c>
      <c r="K161" s="902">
        <v>1</v>
      </c>
      <c r="L161" s="902">
        <v>0</v>
      </c>
      <c r="M161" s="902">
        <v>0</v>
      </c>
      <c r="N161" s="902">
        <f t="shared" si="4"/>
        <v>1</v>
      </c>
      <c r="O161" s="903">
        <v>1</v>
      </c>
      <c r="P161" s="903">
        <v>0</v>
      </c>
      <c r="Q161" s="903">
        <v>0</v>
      </c>
      <c r="R161" s="903">
        <v>0</v>
      </c>
      <c r="S161" s="903">
        <f t="shared" si="5"/>
        <v>1</v>
      </c>
      <c r="T161" s="904">
        <v>1</v>
      </c>
      <c r="U161" s="905">
        <v>1</v>
      </c>
      <c r="V161" s="905">
        <v>0</v>
      </c>
      <c r="W161" s="905">
        <v>0</v>
      </c>
      <c r="X161" s="905">
        <v>1</v>
      </c>
      <c r="Y161" s="905">
        <v>0</v>
      </c>
      <c r="Z161" s="905">
        <v>0</v>
      </c>
      <c r="AA161" s="905">
        <v>1</v>
      </c>
      <c r="AB161" s="906">
        <v>3</v>
      </c>
      <c r="AC161" s="906">
        <v>7</v>
      </c>
      <c r="AD161" s="906">
        <v>6</v>
      </c>
      <c r="AE161" s="906">
        <v>4</v>
      </c>
      <c r="AF161" s="906">
        <v>2</v>
      </c>
      <c r="AG161" s="906">
        <v>1</v>
      </c>
      <c r="AH161" s="906">
        <v>5</v>
      </c>
      <c r="AI161" s="907">
        <v>2</v>
      </c>
      <c r="AJ161" s="907">
        <v>2</v>
      </c>
      <c r="AK161" s="907">
        <v>1</v>
      </c>
      <c r="AL161" s="907">
        <v>1</v>
      </c>
      <c r="AM161" s="907">
        <v>1</v>
      </c>
      <c r="AN161" s="907">
        <v>1</v>
      </c>
      <c r="AO161" s="907">
        <v>3</v>
      </c>
      <c r="AP161" s="907">
        <v>0</v>
      </c>
      <c r="AQ161" s="907">
        <v>0</v>
      </c>
      <c r="AR161" s="907">
        <v>0</v>
      </c>
      <c r="AS161" s="907">
        <v>0</v>
      </c>
      <c r="AT161" s="907">
        <v>1</v>
      </c>
      <c r="AU161" s="907">
        <v>0</v>
      </c>
    </row>
    <row r="162" spans="1:47" hidden="1">
      <c r="A162" s="898">
        <v>161</v>
      </c>
      <c r="B162" s="899">
        <v>1</v>
      </c>
      <c r="C162" s="900">
        <v>0</v>
      </c>
      <c r="D162" s="900">
        <v>1</v>
      </c>
      <c r="E162" s="900">
        <v>0</v>
      </c>
      <c r="F162" s="900">
        <v>0</v>
      </c>
      <c r="G162" s="901">
        <v>4</v>
      </c>
      <c r="H162" s="901">
        <v>2</v>
      </c>
      <c r="I162" s="901">
        <v>3</v>
      </c>
      <c r="J162" s="901">
        <v>1</v>
      </c>
      <c r="K162" s="902">
        <v>1</v>
      </c>
      <c r="L162" s="902">
        <v>0</v>
      </c>
      <c r="M162" s="902">
        <v>0</v>
      </c>
      <c r="N162" s="902">
        <f t="shared" si="4"/>
        <v>1</v>
      </c>
      <c r="O162" s="903">
        <v>1</v>
      </c>
      <c r="P162" s="903">
        <v>0</v>
      </c>
      <c r="Q162" s="903">
        <v>0</v>
      </c>
      <c r="R162" s="903">
        <v>0</v>
      </c>
      <c r="S162" s="903">
        <f t="shared" si="5"/>
        <v>1</v>
      </c>
      <c r="T162" s="904">
        <v>1</v>
      </c>
      <c r="U162" s="905">
        <v>1</v>
      </c>
      <c r="V162" s="905">
        <v>0</v>
      </c>
      <c r="W162" s="905">
        <v>0</v>
      </c>
      <c r="X162" s="905">
        <v>1</v>
      </c>
      <c r="Y162" s="905">
        <v>0</v>
      </c>
      <c r="Z162" s="905">
        <v>0</v>
      </c>
      <c r="AA162" s="905">
        <v>1</v>
      </c>
      <c r="AB162" s="906">
        <v>4</v>
      </c>
      <c r="AC162" s="906">
        <v>3</v>
      </c>
      <c r="AD162" s="906">
        <v>5</v>
      </c>
      <c r="AE162" s="906">
        <v>6</v>
      </c>
      <c r="AF162" s="906">
        <v>1</v>
      </c>
      <c r="AG162" s="906">
        <v>2</v>
      </c>
      <c r="AH162" s="906">
        <v>7</v>
      </c>
      <c r="AI162" s="907">
        <v>2</v>
      </c>
      <c r="AJ162" s="907">
        <v>2</v>
      </c>
      <c r="AK162" s="907">
        <v>1</v>
      </c>
      <c r="AL162" s="907">
        <v>1</v>
      </c>
      <c r="AM162" s="907">
        <v>1</v>
      </c>
      <c r="AN162" s="907">
        <v>1</v>
      </c>
      <c r="AO162" s="907">
        <v>3</v>
      </c>
      <c r="AP162" s="907">
        <v>0</v>
      </c>
      <c r="AQ162" s="907">
        <v>1</v>
      </c>
      <c r="AR162" s="907">
        <v>0</v>
      </c>
      <c r="AS162" s="907">
        <v>0</v>
      </c>
      <c r="AT162" s="907">
        <v>0</v>
      </c>
      <c r="AU162" s="907">
        <v>0</v>
      </c>
    </row>
    <row r="163" spans="1:47" hidden="1">
      <c r="A163" s="898">
        <v>162</v>
      </c>
      <c r="B163" s="899">
        <v>0</v>
      </c>
      <c r="C163" s="900">
        <v>1</v>
      </c>
      <c r="D163" s="900">
        <v>0</v>
      </c>
      <c r="E163" s="900">
        <v>0</v>
      </c>
      <c r="F163" s="900">
        <v>0</v>
      </c>
      <c r="G163" s="901">
        <v>4</v>
      </c>
      <c r="H163" s="901">
        <v>1</v>
      </c>
      <c r="I163" s="901">
        <v>3</v>
      </c>
      <c r="J163" s="901">
        <v>2</v>
      </c>
      <c r="K163" s="902">
        <v>0</v>
      </c>
      <c r="L163" s="902">
        <v>1</v>
      </c>
      <c r="M163" s="902">
        <v>0</v>
      </c>
      <c r="N163" s="902">
        <f t="shared" si="4"/>
        <v>2</v>
      </c>
      <c r="O163" s="903">
        <v>0</v>
      </c>
      <c r="P163" s="903">
        <v>1</v>
      </c>
      <c r="Q163" s="903">
        <v>0</v>
      </c>
      <c r="R163" s="903">
        <v>0</v>
      </c>
      <c r="S163" s="903">
        <f t="shared" si="5"/>
        <v>2</v>
      </c>
      <c r="T163" s="904">
        <v>1</v>
      </c>
      <c r="U163" s="905">
        <v>1</v>
      </c>
      <c r="V163" s="905">
        <v>0</v>
      </c>
      <c r="W163" s="905">
        <v>0</v>
      </c>
      <c r="X163" s="905">
        <v>1</v>
      </c>
      <c r="Y163" s="905">
        <v>1</v>
      </c>
      <c r="Z163" s="905">
        <v>0</v>
      </c>
      <c r="AA163" s="905">
        <v>1</v>
      </c>
      <c r="AB163" s="906">
        <v>1</v>
      </c>
      <c r="AC163" s="906">
        <v>4</v>
      </c>
      <c r="AD163" s="906">
        <v>6</v>
      </c>
      <c r="AE163" s="906">
        <v>5</v>
      </c>
      <c r="AF163" s="906">
        <v>3</v>
      </c>
      <c r="AG163" s="906">
        <v>2</v>
      </c>
      <c r="AH163" s="906">
        <v>7</v>
      </c>
      <c r="AI163" s="907">
        <v>2</v>
      </c>
      <c r="AJ163" s="907">
        <v>2</v>
      </c>
      <c r="AK163" s="907">
        <v>2</v>
      </c>
      <c r="AL163" s="907">
        <v>2</v>
      </c>
      <c r="AM163" s="907">
        <v>1</v>
      </c>
      <c r="AN163" s="907">
        <v>1</v>
      </c>
      <c r="AO163" s="907">
        <v>3</v>
      </c>
      <c r="AP163" s="907">
        <v>0</v>
      </c>
      <c r="AQ163" s="907">
        <v>0</v>
      </c>
      <c r="AR163" s="907">
        <v>0</v>
      </c>
      <c r="AS163" s="907">
        <v>0</v>
      </c>
      <c r="AT163" s="907">
        <v>0</v>
      </c>
      <c r="AU163" s="907">
        <v>1</v>
      </c>
    </row>
    <row r="164" spans="1:47" hidden="1">
      <c r="A164" s="898">
        <v>163</v>
      </c>
      <c r="B164" s="899">
        <v>1</v>
      </c>
      <c r="C164" s="900">
        <v>0</v>
      </c>
      <c r="D164" s="900">
        <v>0</v>
      </c>
      <c r="E164" s="900">
        <v>1</v>
      </c>
      <c r="F164" s="900">
        <v>0</v>
      </c>
      <c r="G164" s="901">
        <v>3</v>
      </c>
      <c r="H164" s="901">
        <v>2</v>
      </c>
      <c r="I164" s="901">
        <v>4</v>
      </c>
      <c r="J164" s="901">
        <v>1</v>
      </c>
      <c r="K164" s="902">
        <v>1</v>
      </c>
      <c r="L164" s="902">
        <v>0</v>
      </c>
      <c r="M164" s="902">
        <v>0</v>
      </c>
      <c r="N164" s="902">
        <f t="shared" si="4"/>
        <v>1</v>
      </c>
      <c r="O164" s="903">
        <v>1</v>
      </c>
      <c r="P164" s="903">
        <v>0</v>
      </c>
      <c r="Q164" s="903">
        <v>0</v>
      </c>
      <c r="R164" s="903">
        <v>0</v>
      </c>
      <c r="S164" s="903">
        <f t="shared" si="5"/>
        <v>1</v>
      </c>
      <c r="T164" s="904">
        <v>1</v>
      </c>
      <c r="U164" s="905">
        <v>0</v>
      </c>
      <c r="V164" s="905">
        <v>0</v>
      </c>
      <c r="W164" s="905">
        <v>1</v>
      </c>
      <c r="X164" s="905">
        <v>0</v>
      </c>
      <c r="Y164" s="905">
        <v>0</v>
      </c>
      <c r="Z164" s="905">
        <v>1</v>
      </c>
      <c r="AA164" s="905">
        <v>1</v>
      </c>
      <c r="AB164" s="906">
        <v>6</v>
      </c>
      <c r="AC164" s="906">
        <v>7</v>
      </c>
      <c r="AD164" s="906">
        <v>4</v>
      </c>
      <c r="AE164" s="906">
        <v>5</v>
      </c>
      <c r="AF164" s="906">
        <v>1</v>
      </c>
      <c r="AG164" s="906">
        <v>2</v>
      </c>
      <c r="AH164" s="906">
        <v>3</v>
      </c>
      <c r="AI164" s="907">
        <v>1</v>
      </c>
      <c r="AJ164" s="907">
        <v>2</v>
      </c>
      <c r="AK164" s="907">
        <v>1</v>
      </c>
      <c r="AL164" s="907">
        <v>1</v>
      </c>
      <c r="AM164" s="907">
        <v>2</v>
      </c>
      <c r="AN164" s="907">
        <v>2</v>
      </c>
      <c r="AO164" s="907">
        <v>2</v>
      </c>
      <c r="AP164" s="907">
        <v>0</v>
      </c>
      <c r="AQ164" s="907">
        <v>0</v>
      </c>
      <c r="AR164" s="907">
        <v>0</v>
      </c>
      <c r="AS164" s="907">
        <v>0</v>
      </c>
      <c r="AT164" s="907">
        <v>1</v>
      </c>
      <c r="AU164" s="907">
        <v>0</v>
      </c>
    </row>
    <row r="165" spans="1:47" hidden="1">
      <c r="A165" s="898">
        <v>164</v>
      </c>
      <c r="B165" s="899">
        <v>0</v>
      </c>
      <c r="C165" s="900">
        <v>0</v>
      </c>
      <c r="D165" s="900">
        <v>1</v>
      </c>
      <c r="E165" s="900">
        <v>0</v>
      </c>
      <c r="F165" s="900">
        <v>0</v>
      </c>
      <c r="G165" s="901">
        <v>4</v>
      </c>
      <c r="H165" s="901">
        <v>2</v>
      </c>
      <c r="I165" s="901">
        <v>3</v>
      </c>
      <c r="J165" s="901">
        <v>1</v>
      </c>
      <c r="K165" s="902">
        <v>0</v>
      </c>
      <c r="L165" s="902">
        <v>1</v>
      </c>
      <c r="M165" s="902">
        <v>0</v>
      </c>
      <c r="N165" s="902">
        <f t="shared" si="4"/>
        <v>2</v>
      </c>
      <c r="O165" s="903">
        <v>0</v>
      </c>
      <c r="P165" s="903">
        <v>1</v>
      </c>
      <c r="Q165" s="903">
        <v>0</v>
      </c>
      <c r="R165" s="903">
        <v>0</v>
      </c>
      <c r="S165" s="903">
        <f t="shared" si="5"/>
        <v>2</v>
      </c>
      <c r="T165" s="904">
        <v>0</v>
      </c>
      <c r="U165" s="905">
        <v>0</v>
      </c>
      <c r="V165" s="905">
        <v>0</v>
      </c>
      <c r="W165" s="905">
        <v>0</v>
      </c>
      <c r="X165" s="905">
        <v>1</v>
      </c>
      <c r="Y165" s="905">
        <v>1</v>
      </c>
      <c r="Z165" s="905">
        <v>0</v>
      </c>
      <c r="AA165" s="905">
        <v>1</v>
      </c>
      <c r="AB165" s="906">
        <v>4</v>
      </c>
      <c r="AC165" s="906">
        <v>2</v>
      </c>
      <c r="AD165" s="906">
        <v>5</v>
      </c>
      <c r="AE165" s="906">
        <v>7</v>
      </c>
      <c r="AF165" s="906">
        <v>3</v>
      </c>
      <c r="AG165" s="906">
        <v>1</v>
      </c>
      <c r="AH165" s="906">
        <v>6</v>
      </c>
      <c r="AI165" s="907">
        <v>2</v>
      </c>
      <c r="AJ165" s="907">
        <v>2</v>
      </c>
      <c r="AK165" s="907">
        <v>2</v>
      </c>
      <c r="AL165" s="907">
        <v>2</v>
      </c>
      <c r="AM165" s="907">
        <v>1</v>
      </c>
      <c r="AN165" s="907">
        <v>1</v>
      </c>
      <c r="AO165" s="907">
        <v>3</v>
      </c>
      <c r="AP165" s="907">
        <v>0</v>
      </c>
      <c r="AQ165" s="907">
        <v>1</v>
      </c>
      <c r="AR165" s="907">
        <v>0</v>
      </c>
      <c r="AS165" s="907">
        <v>0</v>
      </c>
      <c r="AT165" s="907">
        <v>0</v>
      </c>
      <c r="AU165" s="907">
        <v>0</v>
      </c>
    </row>
    <row r="166" spans="1:47" hidden="1">
      <c r="A166" s="898">
        <v>165</v>
      </c>
      <c r="B166" s="899">
        <v>0</v>
      </c>
      <c r="C166" s="900">
        <v>0</v>
      </c>
      <c r="D166" s="900">
        <v>1</v>
      </c>
      <c r="E166" s="900">
        <v>0</v>
      </c>
      <c r="F166" s="900">
        <v>0</v>
      </c>
      <c r="G166" s="901">
        <v>4</v>
      </c>
      <c r="H166" s="901">
        <v>2</v>
      </c>
      <c r="I166" s="901">
        <v>3</v>
      </c>
      <c r="J166" s="901">
        <v>1</v>
      </c>
      <c r="K166" s="902">
        <v>1</v>
      </c>
      <c r="L166" s="902">
        <v>0</v>
      </c>
      <c r="M166" s="902">
        <v>0</v>
      </c>
      <c r="N166" s="902">
        <f t="shared" si="4"/>
        <v>1</v>
      </c>
      <c r="O166" s="903">
        <v>1</v>
      </c>
      <c r="P166" s="903">
        <v>0</v>
      </c>
      <c r="Q166" s="903">
        <v>0</v>
      </c>
      <c r="R166" s="903">
        <v>0</v>
      </c>
      <c r="S166" s="903">
        <f t="shared" si="5"/>
        <v>1</v>
      </c>
      <c r="T166" s="904">
        <v>1</v>
      </c>
      <c r="U166" s="905">
        <v>0</v>
      </c>
      <c r="V166" s="905">
        <v>0</v>
      </c>
      <c r="W166" s="905">
        <v>0</v>
      </c>
      <c r="X166" s="905">
        <v>0</v>
      </c>
      <c r="Y166" s="905">
        <v>1</v>
      </c>
      <c r="Z166" s="905">
        <v>1</v>
      </c>
      <c r="AA166" s="905">
        <v>1</v>
      </c>
      <c r="AB166" s="906">
        <v>4</v>
      </c>
      <c r="AC166" s="906">
        <v>3</v>
      </c>
      <c r="AD166" s="906">
        <v>5</v>
      </c>
      <c r="AE166" s="906">
        <v>6</v>
      </c>
      <c r="AF166" s="906">
        <v>1</v>
      </c>
      <c r="AG166" s="906">
        <v>2</v>
      </c>
      <c r="AH166" s="906">
        <v>7</v>
      </c>
      <c r="AI166" s="907">
        <v>1</v>
      </c>
      <c r="AJ166" s="907">
        <v>2</v>
      </c>
      <c r="AK166" s="907">
        <v>2</v>
      </c>
      <c r="AL166" s="907">
        <v>2</v>
      </c>
      <c r="AM166" s="907">
        <v>2</v>
      </c>
      <c r="AN166" s="907">
        <v>2</v>
      </c>
      <c r="AO166" s="907">
        <v>3</v>
      </c>
      <c r="AP166" s="907">
        <v>0</v>
      </c>
      <c r="AQ166" s="907">
        <v>0</v>
      </c>
      <c r="AR166" s="907">
        <v>0</v>
      </c>
      <c r="AS166" s="907">
        <v>0</v>
      </c>
      <c r="AT166" s="907">
        <v>1</v>
      </c>
      <c r="AU166" s="907">
        <v>0</v>
      </c>
    </row>
    <row r="167" spans="1:47" hidden="1">
      <c r="A167" s="898">
        <v>166</v>
      </c>
      <c r="B167" s="899">
        <v>1</v>
      </c>
      <c r="C167" s="900">
        <v>0</v>
      </c>
      <c r="D167" s="900">
        <v>1</v>
      </c>
      <c r="E167" s="900">
        <v>0</v>
      </c>
      <c r="F167" s="900">
        <v>0</v>
      </c>
      <c r="G167" s="901">
        <v>1</v>
      </c>
      <c r="H167" s="901">
        <v>4</v>
      </c>
      <c r="I167" s="901">
        <v>3</v>
      </c>
      <c r="J167" s="901">
        <v>2</v>
      </c>
      <c r="K167" s="902">
        <v>1</v>
      </c>
      <c r="L167" s="902">
        <v>0</v>
      </c>
      <c r="M167" s="902">
        <v>0</v>
      </c>
      <c r="N167" s="902">
        <f t="shared" si="4"/>
        <v>1</v>
      </c>
      <c r="O167" s="903">
        <v>1</v>
      </c>
      <c r="P167" s="903">
        <v>0</v>
      </c>
      <c r="Q167" s="903">
        <v>0</v>
      </c>
      <c r="R167" s="903">
        <v>0</v>
      </c>
      <c r="S167" s="903">
        <f t="shared" si="5"/>
        <v>1</v>
      </c>
      <c r="T167" s="904">
        <v>1</v>
      </c>
      <c r="U167" s="905">
        <v>1</v>
      </c>
      <c r="V167" s="905">
        <v>0</v>
      </c>
      <c r="W167" s="905">
        <v>0</v>
      </c>
      <c r="X167" s="905">
        <v>1</v>
      </c>
      <c r="Y167" s="905">
        <v>0</v>
      </c>
      <c r="Z167" s="905">
        <v>0</v>
      </c>
      <c r="AA167" s="905">
        <v>1</v>
      </c>
      <c r="AB167" s="906">
        <v>4</v>
      </c>
      <c r="AC167" s="906">
        <v>2</v>
      </c>
      <c r="AD167" s="906">
        <v>5</v>
      </c>
      <c r="AE167" s="906">
        <v>7</v>
      </c>
      <c r="AF167" s="906">
        <v>1</v>
      </c>
      <c r="AG167" s="906">
        <v>3</v>
      </c>
      <c r="AH167" s="906">
        <v>6</v>
      </c>
      <c r="AI167" s="907">
        <v>2</v>
      </c>
      <c r="AJ167" s="907">
        <v>2</v>
      </c>
      <c r="AK167" s="907">
        <v>1</v>
      </c>
      <c r="AL167" s="907">
        <v>1</v>
      </c>
      <c r="AM167" s="907">
        <v>1</v>
      </c>
      <c r="AN167" s="907">
        <v>1</v>
      </c>
      <c r="AO167" s="907">
        <v>3</v>
      </c>
      <c r="AP167" s="907">
        <v>1</v>
      </c>
      <c r="AQ167" s="907">
        <v>0</v>
      </c>
      <c r="AR167" s="907">
        <v>0</v>
      </c>
      <c r="AS167" s="907">
        <v>0</v>
      </c>
      <c r="AT167" s="907">
        <v>0</v>
      </c>
      <c r="AU167" s="907">
        <v>0</v>
      </c>
    </row>
    <row r="168" spans="1:47" hidden="1">
      <c r="A168" s="898">
        <v>167</v>
      </c>
      <c r="B168" s="899">
        <v>1</v>
      </c>
      <c r="C168" s="900">
        <v>0</v>
      </c>
      <c r="D168" s="900">
        <v>1</v>
      </c>
      <c r="E168" s="900">
        <v>0</v>
      </c>
      <c r="F168" s="900">
        <v>0</v>
      </c>
      <c r="G168" s="901">
        <v>4</v>
      </c>
      <c r="H168" s="901">
        <v>1</v>
      </c>
      <c r="I168" s="901">
        <v>3</v>
      </c>
      <c r="J168" s="901">
        <v>2</v>
      </c>
      <c r="K168" s="902">
        <v>1</v>
      </c>
      <c r="L168" s="902">
        <v>0</v>
      </c>
      <c r="M168" s="902">
        <v>0</v>
      </c>
      <c r="N168" s="902">
        <f t="shared" si="4"/>
        <v>1</v>
      </c>
      <c r="O168" s="903">
        <v>1</v>
      </c>
      <c r="P168" s="903">
        <v>0</v>
      </c>
      <c r="Q168" s="903">
        <v>0</v>
      </c>
      <c r="R168" s="903">
        <v>0</v>
      </c>
      <c r="S168" s="903">
        <f t="shared" si="5"/>
        <v>1</v>
      </c>
      <c r="T168" s="904">
        <v>1</v>
      </c>
      <c r="U168" s="905">
        <v>1</v>
      </c>
      <c r="V168" s="905">
        <v>0</v>
      </c>
      <c r="W168" s="905">
        <v>0</v>
      </c>
      <c r="X168" s="905">
        <v>1</v>
      </c>
      <c r="Y168" s="905">
        <v>0</v>
      </c>
      <c r="Z168" s="905">
        <v>1</v>
      </c>
      <c r="AA168" s="905">
        <v>1</v>
      </c>
      <c r="AB168" s="906">
        <v>7</v>
      </c>
      <c r="AC168" s="906">
        <v>2</v>
      </c>
      <c r="AD168" s="906">
        <v>6</v>
      </c>
      <c r="AE168" s="906">
        <v>5</v>
      </c>
      <c r="AF168" s="906">
        <v>1</v>
      </c>
      <c r="AG168" s="906">
        <v>2</v>
      </c>
      <c r="AH168" s="906">
        <v>4</v>
      </c>
      <c r="AI168" s="907">
        <v>2</v>
      </c>
      <c r="AJ168" s="907">
        <v>2</v>
      </c>
      <c r="AK168" s="907">
        <v>1</v>
      </c>
      <c r="AL168" s="907">
        <v>1</v>
      </c>
      <c r="AM168" s="907">
        <v>2</v>
      </c>
      <c r="AN168" s="907">
        <v>2</v>
      </c>
      <c r="AO168" s="907">
        <v>4</v>
      </c>
      <c r="AP168" s="907">
        <v>0</v>
      </c>
      <c r="AQ168" s="907">
        <v>0</v>
      </c>
      <c r="AR168" s="907">
        <v>0</v>
      </c>
      <c r="AS168" s="907">
        <v>0</v>
      </c>
      <c r="AT168" s="907">
        <v>1</v>
      </c>
      <c r="AU168" s="907">
        <v>0</v>
      </c>
    </row>
    <row r="169" spans="1:47" hidden="1">
      <c r="A169" s="898">
        <v>168</v>
      </c>
      <c r="B169" s="899">
        <v>0</v>
      </c>
      <c r="C169" s="900">
        <v>0</v>
      </c>
      <c r="D169" s="900">
        <v>0</v>
      </c>
      <c r="E169" s="900">
        <v>1</v>
      </c>
      <c r="F169" s="900">
        <v>0</v>
      </c>
      <c r="G169" s="901">
        <v>4</v>
      </c>
      <c r="H169" s="901">
        <v>1</v>
      </c>
      <c r="I169" s="901">
        <v>3</v>
      </c>
      <c r="J169" s="901">
        <v>2</v>
      </c>
      <c r="K169" s="902">
        <v>0</v>
      </c>
      <c r="L169" s="902">
        <v>0</v>
      </c>
      <c r="M169" s="902">
        <v>1</v>
      </c>
      <c r="N169" s="902">
        <f t="shared" si="4"/>
        <v>3</v>
      </c>
      <c r="O169" s="908">
        <v>1</v>
      </c>
      <c r="P169" s="908">
        <v>0</v>
      </c>
      <c r="Q169" s="908">
        <v>0</v>
      </c>
      <c r="R169" s="908">
        <v>0</v>
      </c>
      <c r="S169" s="903">
        <f t="shared" si="5"/>
        <v>1</v>
      </c>
      <c r="T169" s="904">
        <v>0</v>
      </c>
      <c r="U169" s="905">
        <v>1</v>
      </c>
      <c r="V169" s="905">
        <v>0</v>
      </c>
      <c r="W169" s="905">
        <v>0</v>
      </c>
      <c r="X169" s="905">
        <v>0</v>
      </c>
      <c r="Y169" s="905">
        <v>0</v>
      </c>
      <c r="Z169" s="905">
        <v>0</v>
      </c>
      <c r="AA169" s="905">
        <v>1</v>
      </c>
      <c r="AB169" s="906">
        <v>7</v>
      </c>
      <c r="AC169" s="906">
        <v>2</v>
      </c>
      <c r="AD169" s="906">
        <v>4</v>
      </c>
      <c r="AE169" s="906">
        <v>5</v>
      </c>
      <c r="AF169" s="906">
        <v>1</v>
      </c>
      <c r="AG169" s="906">
        <v>3</v>
      </c>
      <c r="AH169" s="906">
        <v>6</v>
      </c>
      <c r="AI169" s="907">
        <v>3</v>
      </c>
      <c r="AJ169" s="907">
        <v>2</v>
      </c>
      <c r="AK169" s="907">
        <v>1</v>
      </c>
      <c r="AL169" s="907">
        <v>1</v>
      </c>
      <c r="AM169" s="907">
        <v>1</v>
      </c>
      <c r="AN169" s="907">
        <v>1</v>
      </c>
      <c r="AO169" s="907">
        <v>3</v>
      </c>
      <c r="AP169" s="907">
        <v>0</v>
      </c>
      <c r="AQ169" s="907">
        <v>0</v>
      </c>
      <c r="AR169" s="907">
        <v>0</v>
      </c>
      <c r="AS169" s="907">
        <v>0</v>
      </c>
      <c r="AT169" s="907">
        <v>0</v>
      </c>
      <c r="AU169" s="907">
        <v>1</v>
      </c>
    </row>
    <row r="170" spans="1:47" hidden="1">
      <c r="A170" s="898">
        <v>169</v>
      </c>
      <c r="B170" s="899">
        <v>1</v>
      </c>
      <c r="C170" s="900">
        <v>0</v>
      </c>
      <c r="D170" s="900">
        <v>1</v>
      </c>
      <c r="E170" s="900">
        <v>0</v>
      </c>
      <c r="F170" s="900">
        <v>0</v>
      </c>
      <c r="G170" s="901">
        <v>4</v>
      </c>
      <c r="H170" s="901">
        <v>2</v>
      </c>
      <c r="I170" s="901">
        <v>3</v>
      </c>
      <c r="J170" s="901">
        <v>1</v>
      </c>
      <c r="K170" s="902">
        <v>0</v>
      </c>
      <c r="L170" s="902">
        <v>1</v>
      </c>
      <c r="M170" s="902">
        <v>0</v>
      </c>
      <c r="N170" s="902">
        <f t="shared" si="4"/>
        <v>2</v>
      </c>
      <c r="O170" s="903">
        <v>1</v>
      </c>
      <c r="P170" s="903">
        <v>0</v>
      </c>
      <c r="Q170" s="903">
        <v>0</v>
      </c>
      <c r="R170" s="903">
        <v>0</v>
      </c>
      <c r="S170" s="903">
        <f t="shared" si="5"/>
        <v>1</v>
      </c>
      <c r="T170" s="904">
        <v>1</v>
      </c>
      <c r="U170" s="905">
        <v>0</v>
      </c>
      <c r="V170" s="905">
        <v>1</v>
      </c>
      <c r="W170" s="905">
        <v>0</v>
      </c>
      <c r="X170" s="905">
        <v>0</v>
      </c>
      <c r="Y170" s="905">
        <v>0</v>
      </c>
      <c r="Z170" s="905">
        <v>1</v>
      </c>
      <c r="AA170" s="905">
        <v>1</v>
      </c>
      <c r="AB170" s="906">
        <v>7</v>
      </c>
      <c r="AC170" s="906">
        <v>3</v>
      </c>
      <c r="AD170" s="906">
        <v>4</v>
      </c>
      <c r="AE170" s="906">
        <v>5</v>
      </c>
      <c r="AF170" s="906">
        <v>1</v>
      </c>
      <c r="AG170" s="906">
        <v>2</v>
      </c>
      <c r="AH170" s="906">
        <v>6</v>
      </c>
      <c r="AI170" s="907">
        <v>1</v>
      </c>
      <c r="AJ170" s="907">
        <v>1</v>
      </c>
      <c r="AK170" s="907">
        <v>1</v>
      </c>
      <c r="AL170" s="907">
        <v>1</v>
      </c>
      <c r="AM170" s="907">
        <v>2</v>
      </c>
      <c r="AN170" s="907">
        <v>2</v>
      </c>
      <c r="AO170" s="907">
        <v>3</v>
      </c>
      <c r="AP170" s="907">
        <v>1</v>
      </c>
      <c r="AQ170" s="907">
        <v>0</v>
      </c>
      <c r="AR170" s="907">
        <v>0</v>
      </c>
      <c r="AS170" s="907">
        <v>0</v>
      </c>
      <c r="AT170" s="907">
        <v>0</v>
      </c>
      <c r="AU170" s="907">
        <v>0</v>
      </c>
    </row>
    <row r="171" spans="1:47" hidden="1">
      <c r="A171" s="898">
        <v>170</v>
      </c>
      <c r="B171" s="899">
        <v>0</v>
      </c>
      <c r="C171" s="900">
        <v>0</v>
      </c>
      <c r="D171" s="900">
        <v>0</v>
      </c>
      <c r="E171" s="900">
        <v>1</v>
      </c>
      <c r="F171" s="900">
        <v>0</v>
      </c>
      <c r="G171" s="901">
        <v>3</v>
      </c>
      <c r="H171" s="901">
        <v>2</v>
      </c>
      <c r="I171" s="901">
        <v>1</v>
      </c>
      <c r="J171" s="901">
        <v>4</v>
      </c>
      <c r="K171" s="902">
        <v>0</v>
      </c>
      <c r="L171" s="902">
        <v>0</v>
      </c>
      <c r="M171" s="902">
        <v>1</v>
      </c>
      <c r="N171" s="902">
        <f t="shared" si="4"/>
        <v>3</v>
      </c>
      <c r="O171" s="908">
        <v>0</v>
      </c>
      <c r="P171" s="908">
        <v>1</v>
      </c>
      <c r="Q171" s="908">
        <v>0</v>
      </c>
      <c r="R171" s="908">
        <v>0</v>
      </c>
      <c r="S171" s="903">
        <f t="shared" si="5"/>
        <v>2</v>
      </c>
      <c r="T171" s="904">
        <v>0</v>
      </c>
      <c r="U171" s="905">
        <v>1</v>
      </c>
      <c r="V171" s="905">
        <v>0</v>
      </c>
      <c r="W171" s="905">
        <v>0</v>
      </c>
      <c r="X171" s="905">
        <v>0</v>
      </c>
      <c r="Y171" s="905">
        <v>0</v>
      </c>
      <c r="Z171" s="905">
        <v>0</v>
      </c>
      <c r="AA171" s="905">
        <v>1</v>
      </c>
      <c r="AB171" s="906">
        <v>7</v>
      </c>
      <c r="AC171" s="906">
        <v>3</v>
      </c>
      <c r="AD171" s="906">
        <v>4</v>
      </c>
      <c r="AE171" s="906">
        <v>6</v>
      </c>
      <c r="AF171" s="906">
        <v>1</v>
      </c>
      <c r="AG171" s="906">
        <v>2</v>
      </c>
      <c r="AH171" s="906">
        <v>5</v>
      </c>
      <c r="AI171" s="907">
        <v>3</v>
      </c>
      <c r="AJ171" s="907">
        <v>2</v>
      </c>
      <c r="AK171" s="907">
        <v>1</v>
      </c>
      <c r="AL171" s="907">
        <v>1</v>
      </c>
      <c r="AM171" s="907">
        <v>1</v>
      </c>
      <c r="AN171" s="907">
        <v>3</v>
      </c>
      <c r="AO171" s="907">
        <v>4</v>
      </c>
      <c r="AP171" s="907">
        <v>0</v>
      </c>
      <c r="AQ171" s="907">
        <v>0</v>
      </c>
      <c r="AR171" s="907">
        <v>0</v>
      </c>
      <c r="AS171" s="907">
        <v>0</v>
      </c>
      <c r="AT171" s="907">
        <v>0</v>
      </c>
      <c r="AU171" s="907">
        <v>1</v>
      </c>
    </row>
    <row r="172" spans="1:47" hidden="1">
      <c r="A172" s="898">
        <v>171</v>
      </c>
      <c r="B172" s="899">
        <v>1</v>
      </c>
      <c r="C172" s="900">
        <v>0</v>
      </c>
      <c r="D172" s="900">
        <v>1</v>
      </c>
      <c r="E172" s="900">
        <v>0</v>
      </c>
      <c r="F172" s="900">
        <v>0</v>
      </c>
      <c r="G172" s="901">
        <v>3</v>
      </c>
      <c r="H172" s="901">
        <v>2</v>
      </c>
      <c r="I172" s="901">
        <v>4</v>
      </c>
      <c r="J172" s="901">
        <v>1</v>
      </c>
      <c r="K172" s="902">
        <v>1</v>
      </c>
      <c r="L172" s="902">
        <v>0</v>
      </c>
      <c r="M172" s="902">
        <v>0</v>
      </c>
      <c r="N172" s="902">
        <f t="shared" si="4"/>
        <v>1</v>
      </c>
      <c r="O172" s="903">
        <v>1</v>
      </c>
      <c r="P172" s="903">
        <v>0</v>
      </c>
      <c r="Q172" s="903">
        <v>0</v>
      </c>
      <c r="R172" s="903">
        <v>0</v>
      </c>
      <c r="S172" s="903">
        <f t="shared" si="5"/>
        <v>1</v>
      </c>
      <c r="T172" s="904">
        <v>1</v>
      </c>
      <c r="U172" s="905">
        <v>0</v>
      </c>
      <c r="V172" s="905">
        <v>0</v>
      </c>
      <c r="W172" s="905">
        <v>1</v>
      </c>
      <c r="X172" s="905">
        <v>0</v>
      </c>
      <c r="Y172" s="905">
        <v>0</v>
      </c>
      <c r="Z172" s="905">
        <v>1</v>
      </c>
      <c r="AA172" s="905">
        <v>1</v>
      </c>
      <c r="AB172" s="906">
        <v>7</v>
      </c>
      <c r="AC172" s="906">
        <v>3</v>
      </c>
      <c r="AD172" s="906">
        <v>4</v>
      </c>
      <c r="AE172" s="906">
        <v>6</v>
      </c>
      <c r="AF172" s="906">
        <v>2</v>
      </c>
      <c r="AG172" s="906">
        <v>1</v>
      </c>
      <c r="AH172" s="906">
        <v>5</v>
      </c>
      <c r="AI172" s="907">
        <v>1</v>
      </c>
      <c r="AJ172" s="907">
        <v>2</v>
      </c>
      <c r="AK172" s="907">
        <v>1</v>
      </c>
      <c r="AL172" s="907">
        <v>1</v>
      </c>
      <c r="AM172" s="907">
        <v>2</v>
      </c>
      <c r="AN172" s="907">
        <v>2</v>
      </c>
      <c r="AO172" s="907">
        <v>3</v>
      </c>
      <c r="AP172" s="907">
        <v>0</v>
      </c>
      <c r="AQ172" s="907">
        <v>1</v>
      </c>
      <c r="AR172" s="907">
        <v>0</v>
      </c>
      <c r="AS172" s="907">
        <v>0</v>
      </c>
      <c r="AT172" s="907">
        <v>0</v>
      </c>
      <c r="AU172" s="907">
        <v>0</v>
      </c>
    </row>
    <row r="173" spans="1:47" hidden="1">
      <c r="A173" s="898">
        <v>172</v>
      </c>
      <c r="B173" s="899">
        <v>0</v>
      </c>
      <c r="C173" s="900">
        <v>0</v>
      </c>
      <c r="D173" s="900">
        <v>0</v>
      </c>
      <c r="E173" s="900">
        <v>1</v>
      </c>
      <c r="F173" s="900">
        <v>0</v>
      </c>
      <c r="G173" s="901">
        <v>3</v>
      </c>
      <c r="H173" s="901">
        <v>2</v>
      </c>
      <c r="I173" s="901">
        <v>4</v>
      </c>
      <c r="J173" s="901">
        <v>1</v>
      </c>
      <c r="K173" s="902">
        <v>0</v>
      </c>
      <c r="L173" s="902">
        <v>1</v>
      </c>
      <c r="M173" s="902">
        <v>0</v>
      </c>
      <c r="N173" s="902">
        <f t="shared" si="4"/>
        <v>2</v>
      </c>
      <c r="O173" s="903">
        <v>1</v>
      </c>
      <c r="P173" s="903">
        <v>0</v>
      </c>
      <c r="Q173" s="903">
        <v>0</v>
      </c>
      <c r="R173" s="903">
        <v>0</v>
      </c>
      <c r="S173" s="903">
        <f t="shared" si="5"/>
        <v>1</v>
      </c>
      <c r="T173" s="904">
        <v>1</v>
      </c>
      <c r="U173" s="905">
        <v>0</v>
      </c>
      <c r="V173" s="905">
        <v>0</v>
      </c>
      <c r="W173" s="905">
        <v>0</v>
      </c>
      <c r="X173" s="905">
        <v>0</v>
      </c>
      <c r="Y173" s="905">
        <v>0</v>
      </c>
      <c r="Z173" s="905">
        <v>1</v>
      </c>
      <c r="AA173" s="905">
        <v>1</v>
      </c>
      <c r="AB173" s="906">
        <v>4</v>
      </c>
      <c r="AC173" s="906">
        <v>3</v>
      </c>
      <c r="AD173" s="906">
        <v>5</v>
      </c>
      <c r="AE173" s="906">
        <v>7</v>
      </c>
      <c r="AF173" s="906">
        <v>2</v>
      </c>
      <c r="AG173" s="906">
        <v>1</v>
      </c>
      <c r="AH173" s="906">
        <v>6</v>
      </c>
      <c r="AI173" s="907">
        <v>1</v>
      </c>
      <c r="AJ173" s="907">
        <v>1</v>
      </c>
      <c r="AK173" s="907">
        <v>1</v>
      </c>
      <c r="AL173" s="907">
        <v>1</v>
      </c>
      <c r="AM173" s="907">
        <v>3</v>
      </c>
      <c r="AN173" s="907">
        <v>3</v>
      </c>
      <c r="AO173" s="907">
        <v>4</v>
      </c>
      <c r="AP173" s="907">
        <v>0</v>
      </c>
      <c r="AQ173" s="907">
        <v>0</v>
      </c>
      <c r="AR173" s="907">
        <v>0</v>
      </c>
      <c r="AS173" s="907">
        <v>1</v>
      </c>
      <c r="AT173" s="907">
        <v>0</v>
      </c>
      <c r="AU173" s="907">
        <v>0</v>
      </c>
    </row>
    <row r="174" spans="1:47" hidden="1">
      <c r="A174" s="898">
        <v>173</v>
      </c>
      <c r="B174" s="899">
        <v>1</v>
      </c>
      <c r="C174" s="900">
        <v>0</v>
      </c>
      <c r="D174" s="900">
        <v>1</v>
      </c>
      <c r="E174" s="900">
        <v>0</v>
      </c>
      <c r="F174" s="900">
        <v>0</v>
      </c>
      <c r="G174" s="901">
        <v>3</v>
      </c>
      <c r="H174" s="901">
        <v>2</v>
      </c>
      <c r="I174" s="901">
        <v>4</v>
      </c>
      <c r="J174" s="901">
        <v>1</v>
      </c>
      <c r="K174" s="902">
        <v>0</v>
      </c>
      <c r="L174" s="902">
        <v>1</v>
      </c>
      <c r="M174" s="902">
        <v>0</v>
      </c>
      <c r="N174" s="902">
        <f t="shared" si="4"/>
        <v>2</v>
      </c>
      <c r="O174" s="903">
        <v>1</v>
      </c>
      <c r="P174" s="903">
        <v>0</v>
      </c>
      <c r="Q174" s="903">
        <v>0</v>
      </c>
      <c r="R174" s="903">
        <v>0</v>
      </c>
      <c r="S174" s="903">
        <f t="shared" si="5"/>
        <v>1</v>
      </c>
      <c r="T174" s="904">
        <v>1</v>
      </c>
      <c r="U174" s="905">
        <v>0</v>
      </c>
      <c r="V174" s="905">
        <v>0</v>
      </c>
      <c r="W174" s="905">
        <v>1</v>
      </c>
      <c r="X174" s="905">
        <v>0</v>
      </c>
      <c r="Y174" s="905">
        <v>0</v>
      </c>
      <c r="Z174" s="905">
        <v>1</v>
      </c>
      <c r="AA174" s="905">
        <v>1</v>
      </c>
      <c r="AB174" s="906">
        <v>4</v>
      </c>
      <c r="AC174" s="906">
        <v>3</v>
      </c>
      <c r="AD174" s="906">
        <v>7</v>
      </c>
      <c r="AE174" s="906">
        <v>6</v>
      </c>
      <c r="AF174" s="906">
        <v>1</v>
      </c>
      <c r="AG174" s="906">
        <v>2</v>
      </c>
      <c r="AH174" s="906">
        <v>5</v>
      </c>
      <c r="AI174" s="907">
        <v>1</v>
      </c>
      <c r="AJ174" s="907">
        <v>2</v>
      </c>
      <c r="AK174" s="907">
        <v>1</v>
      </c>
      <c r="AL174" s="907">
        <v>1</v>
      </c>
      <c r="AM174" s="907">
        <v>2</v>
      </c>
      <c r="AN174" s="907">
        <v>2</v>
      </c>
      <c r="AO174" s="907">
        <v>3</v>
      </c>
      <c r="AP174" s="907">
        <v>0</v>
      </c>
      <c r="AQ174" s="907">
        <v>0</v>
      </c>
      <c r="AR174" s="907">
        <v>0</v>
      </c>
      <c r="AS174" s="907">
        <v>1</v>
      </c>
      <c r="AT174" s="907">
        <v>0</v>
      </c>
      <c r="AU174" s="907">
        <v>0</v>
      </c>
    </row>
    <row r="175" spans="1:47" hidden="1">
      <c r="A175" s="898">
        <v>174</v>
      </c>
      <c r="B175" s="899">
        <v>1</v>
      </c>
      <c r="C175" s="900">
        <v>1</v>
      </c>
      <c r="D175" s="900">
        <v>0</v>
      </c>
      <c r="E175" s="900">
        <v>0</v>
      </c>
      <c r="F175" s="900">
        <v>0</v>
      </c>
      <c r="G175" s="901">
        <v>1</v>
      </c>
      <c r="H175" s="901">
        <v>4</v>
      </c>
      <c r="I175" s="901">
        <v>2</v>
      </c>
      <c r="J175" s="901">
        <v>3</v>
      </c>
      <c r="K175" s="902">
        <v>0</v>
      </c>
      <c r="L175" s="902">
        <v>0</v>
      </c>
      <c r="M175" s="902">
        <v>1</v>
      </c>
      <c r="N175" s="902">
        <f t="shared" si="4"/>
        <v>3</v>
      </c>
      <c r="O175" s="908">
        <v>0</v>
      </c>
      <c r="P175" s="908">
        <v>1</v>
      </c>
      <c r="Q175" s="908">
        <v>0</v>
      </c>
      <c r="R175" s="908">
        <v>0</v>
      </c>
      <c r="S175" s="903">
        <f t="shared" si="5"/>
        <v>2</v>
      </c>
      <c r="T175" s="904">
        <v>1</v>
      </c>
      <c r="U175" s="905">
        <v>1</v>
      </c>
      <c r="V175" s="905">
        <v>0</v>
      </c>
      <c r="W175" s="905">
        <v>0</v>
      </c>
      <c r="X175" s="905">
        <v>1</v>
      </c>
      <c r="Y175" s="905">
        <v>0</v>
      </c>
      <c r="Z175" s="905">
        <v>0</v>
      </c>
      <c r="AA175" s="905">
        <v>1</v>
      </c>
      <c r="AB175" s="906">
        <v>4</v>
      </c>
      <c r="AC175" s="906">
        <v>2</v>
      </c>
      <c r="AD175" s="906">
        <v>5</v>
      </c>
      <c r="AE175" s="906">
        <v>7</v>
      </c>
      <c r="AF175" s="906">
        <v>1</v>
      </c>
      <c r="AG175" s="906">
        <v>3</v>
      </c>
      <c r="AH175" s="906">
        <v>6</v>
      </c>
      <c r="AI175" s="907">
        <v>3</v>
      </c>
      <c r="AJ175" s="907">
        <v>1</v>
      </c>
      <c r="AK175" s="907">
        <v>1</v>
      </c>
      <c r="AL175" s="907">
        <v>1</v>
      </c>
      <c r="AM175" s="907">
        <v>1</v>
      </c>
      <c r="AN175" s="907">
        <v>1</v>
      </c>
      <c r="AO175" s="907">
        <v>4</v>
      </c>
      <c r="AP175" s="907">
        <v>0</v>
      </c>
      <c r="AQ175" s="907">
        <v>1</v>
      </c>
      <c r="AR175" s="907">
        <v>0</v>
      </c>
      <c r="AS175" s="907">
        <v>0</v>
      </c>
      <c r="AT175" s="907">
        <v>0</v>
      </c>
      <c r="AU175" s="907">
        <v>0</v>
      </c>
    </row>
    <row r="176" spans="1:47" hidden="1">
      <c r="A176" s="898">
        <v>175</v>
      </c>
      <c r="B176" s="899">
        <v>1</v>
      </c>
      <c r="C176" s="900">
        <v>0</v>
      </c>
      <c r="D176" s="900">
        <v>1</v>
      </c>
      <c r="E176" s="900">
        <v>0</v>
      </c>
      <c r="F176" s="900">
        <v>0</v>
      </c>
      <c r="G176" s="901">
        <v>2</v>
      </c>
      <c r="H176" s="901">
        <v>3</v>
      </c>
      <c r="I176" s="901">
        <v>4</v>
      </c>
      <c r="J176" s="901">
        <v>1</v>
      </c>
      <c r="K176" s="902">
        <v>1</v>
      </c>
      <c r="L176" s="902">
        <v>0</v>
      </c>
      <c r="M176" s="902">
        <v>0</v>
      </c>
      <c r="N176" s="902">
        <f t="shared" si="4"/>
        <v>1</v>
      </c>
      <c r="O176" s="903">
        <v>1</v>
      </c>
      <c r="P176" s="903">
        <v>0</v>
      </c>
      <c r="Q176" s="903">
        <v>0</v>
      </c>
      <c r="R176" s="903">
        <v>0</v>
      </c>
      <c r="S176" s="903">
        <f t="shared" si="5"/>
        <v>1</v>
      </c>
      <c r="T176" s="904">
        <v>1</v>
      </c>
      <c r="U176" s="905">
        <v>1</v>
      </c>
      <c r="V176" s="905">
        <v>0</v>
      </c>
      <c r="W176" s="905">
        <v>0</v>
      </c>
      <c r="X176" s="905">
        <v>1</v>
      </c>
      <c r="Y176" s="905">
        <v>0</v>
      </c>
      <c r="Z176" s="905">
        <v>0</v>
      </c>
      <c r="AA176" s="905">
        <v>1</v>
      </c>
      <c r="AB176" s="906">
        <v>3</v>
      </c>
      <c r="AC176" s="906">
        <v>7</v>
      </c>
      <c r="AD176" s="906">
        <v>6</v>
      </c>
      <c r="AE176" s="906">
        <v>4</v>
      </c>
      <c r="AF176" s="906">
        <v>2</v>
      </c>
      <c r="AG176" s="906">
        <v>1</v>
      </c>
      <c r="AH176" s="906">
        <v>5</v>
      </c>
      <c r="AI176" s="907">
        <v>2</v>
      </c>
      <c r="AJ176" s="907">
        <v>2</v>
      </c>
      <c r="AK176" s="907">
        <v>1</v>
      </c>
      <c r="AL176" s="907">
        <v>1</v>
      </c>
      <c r="AM176" s="907">
        <v>1</v>
      </c>
      <c r="AN176" s="907">
        <v>1</v>
      </c>
      <c r="AO176" s="907">
        <v>3</v>
      </c>
      <c r="AP176" s="907">
        <v>0</v>
      </c>
      <c r="AQ176" s="907">
        <v>0</v>
      </c>
      <c r="AR176" s="907">
        <v>0</v>
      </c>
      <c r="AS176" s="907">
        <v>0</v>
      </c>
      <c r="AT176" s="907">
        <v>1</v>
      </c>
      <c r="AU176" s="907">
        <v>0</v>
      </c>
    </row>
    <row r="177" spans="1:47" hidden="1">
      <c r="A177" s="898">
        <v>176</v>
      </c>
      <c r="B177" s="899">
        <v>1</v>
      </c>
      <c r="C177" s="900">
        <v>0</v>
      </c>
      <c r="D177" s="900">
        <v>1</v>
      </c>
      <c r="E177" s="900">
        <v>0</v>
      </c>
      <c r="F177" s="900">
        <v>0</v>
      </c>
      <c r="G177" s="901">
        <v>4</v>
      </c>
      <c r="H177" s="901">
        <v>2</v>
      </c>
      <c r="I177" s="901">
        <v>3</v>
      </c>
      <c r="J177" s="901">
        <v>1</v>
      </c>
      <c r="K177" s="902">
        <v>1</v>
      </c>
      <c r="L177" s="902">
        <v>0</v>
      </c>
      <c r="M177" s="902">
        <v>0</v>
      </c>
      <c r="N177" s="902">
        <f t="shared" si="4"/>
        <v>1</v>
      </c>
      <c r="O177" s="903">
        <v>1</v>
      </c>
      <c r="P177" s="903">
        <v>0</v>
      </c>
      <c r="Q177" s="903">
        <v>0</v>
      </c>
      <c r="R177" s="903">
        <v>0</v>
      </c>
      <c r="S177" s="903">
        <f t="shared" si="5"/>
        <v>1</v>
      </c>
      <c r="T177" s="904">
        <v>1</v>
      </c>
      <c r="U177" s="905">
        <v>1</v>
      </c>
      <c r="V177" s="905">
        <v>0</v>
      </c>
      <c r="W177" s="905">
        <v>0</v>
      </c>
      <c r="X177" s="905">
        <v>1</v>
      </c>
      <c r="Y177" s="905">
        <v>0</v>
      </c>
      <c r="Z177" s="905">
        <v>0</v>
      </c>
      <c r="AA177" s="905">
        <v>1</v>
      </c>
      <c r="AB177" s="906">
        <v>4</v>
      </c>
      <c r="AC177" s="906">
        <v>3</v>
      </c>
      <c r="AD177" s="906">
        <v>5</v>
      </c>
      <c r="AE177" s="906">
        <v>6</v>
      </c>
      <c r="AF177" s="906">
        <v>1</v>
      </c>
      <c r="AG177" s="906">
        <v>2</v>
      </c>
      <c r="AH177" s="906">
        <v>7</v>
      </c>
      <c r="AI177" s="907">
        <v>2</v>
      </c>
      <c r="AJ177" s="907">
        <v>2</v>
      </c>
      <c r="AK177" s="907">
        <v>1</v>
      </c>
      <c r="AL177" s="907">
        <v>1</v>
      </c>
      <c r="AM177" s="907">
        <v>1</v>
      </c>
      <c r="AN177" s="907">
        <v>1</v>
      </c>
      <c r="AO177" s="907">
        <v>3</v>
      </c>
      <c r="AP177" s="907">
        <v>0</v>
      </c>
      <c r="AQ177" s="907">
        <v>1</v>
      </c>
      <c r="AR177" s="907">
        <v>0</v>
      </c>
      <c r="AS177" s="907">
        <v>0</v>
      </c>
      <c r="AT177" s="907">
        <v>0</v>
      </c>
      <c r="AU177" s="907">
        <v>0</v>
      </c>
    </row>
    <row r="178" spans="1:47" hidden="1">
      <c r="A178" s="898">
        <v>177</v>
      </c>
      <c r="B178" s="899">
        <v>0</v>
      </c>
      <c r="C178" s="900">
        <v>1</v>
      </c>
      <c r="D178" s="900">
        <v>0</v>
      </c>
      <c r="E178" s="900">
        <v>0</v>
      </c>
      <c r="F178" s="900">
        <v>0</v>
      </c>
      <c r="G178" s="901">
        <v>4</v>
      </c>
      <c r="H178" s="901">
        <v>1</v>
      </c>
      <c r="I178" s="901">
        <v>3</v>
      </c>
      <c r="J178" s="901">
        <v>2</v>
      </c>
      <c r="K178" s="902">
        <v>0</v>
      </c>
      <c r="L178" s="902">
        <v>1</v>
      </c>
      <c r="M178" s="902">
        <v>0</v>
      </c>
      <c r="N178" s="902">
        <f t="shared" si="4"/>
        <v>2</v>
      </c>
      <c r="O178" s="903">
        <v>0</v>
      </c>
      <c r="P178" s="903">
        <v>1</v>
      </c>
      <c r="Q178" s="903">
        <v>0</v>
      </c>
      <c r="R178" s="903">
        <v>0</v>
      </c>
      <c r="S178" s="903">
        <f t="shared" si="5"/>
        <v>2</v>
      </c>
      <c r="T178" s="904">
        <v>1</v>
      </c>
      <c r="U178" s="905">
        <v>1</v>
      </c>
      <c r="V178" s="905">
        <v>0</v>
      </c>
      <c r="W178" s="905">
        <v>0</v>
      </c>
      <c r="X178" s="905">
        <v>1</v>
      </c>
      <c r="Y178" s="905">
        <v>1</v>
      </c>
      <c r="Z178" s="905">
        <v>0</v>
      </c>
      <c r="AA178" s="905">
        <v>1</v>
      </c>
      <c r="AB178" s="906">
        <v>1</v>
      </c>
      <c r="AC178" s="906">
        <v>4</v>
      </c>
      <c r="AD178" s="906">
        <v>6</v>
      </c>
      <c r="AE178" s="906">
        <v>5</v>
      </c>
      <c r="AF178" s="906">
        <v>3</v>
      </c>
      <c r="AG178" s="906">
        <v>2</v>
      </c>
      <c r="AH178" s="906">
        <v>7</v>
      </c>
      <c r="AI178" s="907">
        <v>2</v>
      </c>
      <c r="AJ178" s="907">
        <v>2</v>
      </c>
      <c r="AK178" s="907">
        <v>2</v>
      </c>
      <c r="AL178" s="907">
        <v>2</v>
      </c>
      <c r="AM178" s="907">
        <v>1</v>
      </c>
      <c r="AN178" s="907">
        <v>1</v>
      </c>
      <c r="AO178" s="907">
        <v>3</v>
      </c>
      <c r="AP178" s="907">
        <v>0</v>
      </c>
      <c r="AQ178" s="907">
        <v>0</v>
      </c>
      <c r="AR178" s="907">
        <v>0</v>
      </c>
      <c r="AS178" s="907">
        <v>0</v>
      </c>
      <c r="AT178" s="907">
        <v>0</v>
      </c>
      <c r="AU178" s="907">
        <v>1</v>
      </c>
    </row>
    <row r="179" spans="1:47" hidden="1">
      <c r="A179" s="898">
        <v>178</v>
      </c>
      <c r="B179" s="899">
        <v>1</v>
      </c>
      <c r="C179" s="900">
        <v>0</v>
      </c>
      <c r="D179" s="900">
        <v>0</v>
      </c>
      <c r="E179" s="900">
        <v>1</v>
      </c>
      <c r="F179" s="900">
        <v>0</v>
      </c>
      <c r="G179" s="901">
        <v>3</v>
      </c>
      <c r="H179" s="901">
        <v>2</v>
      </c>
      <c r="I179" s="901">
        <v>4</v>
      </c>
      <c r="J179" s="901">
        <v>1</v>
      </c>
      <c r="K179" s="902">
        <v>1</v>
      </c>
      <c r="L179" s="902">
        <v>0</v>
      </c>
      <c r="M179" s="902">
        <v>0</v>
      </c>
      <c r="N179" s="902">
        <f t="shared" si="4"/>
        <v>1</v>
      </c>
      <c r="O179" s="903">
        <v>1</v>
      </c>
      <c r="P179" s="903">
        <v>0</v>
      </c>
      <c r="Q179" s="903">
        <v>0</v>
      </c>
      <c r="R179" s="903">
        <v>0</v>
      </c>
      <c r="S179" s="903">
        <f t="shared" si="5"/>
        <v>1</v>
      </c>
      <c r="T179" s="904">
        <v>1</v>
      </c>
      <c r="U179" s="905">
        <v>0</v>
      </c>
      <c r="V179" s="905">
        <v>0</v>
      </c>
      <c r="W179" s="905">
        <v>1</v>
      </c>
      <c r="X179" s="905">
        <v>0</v>
      </c>
      <c r="Y179" s="905">
        <v>0</v>
      </c>
      <c r="Z179" s="905">
        <v>1</v>
      </c>
      <c r="AA179" s="905">
        <v>1</v>
      </c>
      <c r="AB179" s="906">
        <v>6</v>
      </c>
      <c r="AC179" s="906">
        <v>7</v>
      </c>
      <c r="AD179" s="906">
        <v>4</v>
      </c>
      <c r="AE179" s="906">
        <v>5</v>
      </c>
      <c r="AF179" s="906">
        <v>1</v>
      </c>
      <c r="AG179" s="906">
        <v>2</v>
      </c>
      <c r="AH179" s="906">
        <v>3</v>
      </c>
      <c r="AI179" s="907">
        <v>1</v>
      </c>
      <c r="AJ179" s="907">
        <v>2</v>
      </c>
      <c r="AK179" s="907">
        <v>1</v>
      </c>
      <c r="AL179" s="907">
        <v>1</v>
      </c>
      <c r="AM179" s="907">
        <v>2</v>
      </c>
      <c r="AN179" s="907">
        <v>2</v>
      </c>
      <c r="AO179" s="907">
        <v>2</v>
      </c>
      <c r="AP179" s="907">
        <v>0</v>
      </c>
      <c r="AQ179" s="907">
        <v>0</v>
      </c>
      <c r="AR179" s="907">
        <v>0</v>
      </c>
      <c r="AS179" s="907">
        <v>0</v>
      </c>
      <c r="AT179" s="907">
        <v>1</v>
      </c>
      <c r="AU179" s="907">
        <v>0</v>
      </c>
    </row>
    <row r="180" spans="1:47" hidden="1">
      <c r="A180" s="898">
        <v>179</v>
      </c>
      <c r="B180" s="899">
        <v>0</v>
      </c>
      <c r="C180" s="900">
        <v>0</v>
      </c>
      <c r="D180" s="900">
        <v>1</v>
      </c>
      <c r="E180" s="900">
        <v>0</v>
      </c>
      <c r="F180" s="900">
        <v>0</v>
      </c>
      <c r="G180" s="901">
        <v>4</v>
      </c>
      <c r="H180" s="901">
        <v>2</v>
      </c>
      <c r="I180" s="901">
        <v>3</v>
      </c>
      <c r="J180" s="901">
        <v>1</v>
      </c>
      <c r="K180" s="902">
        <v>0</v>
      </c>
      <c r="L180" s="902">
        <v>1</v>
      </c>
      <c r="M180" s="902">
        <v>0</v>
      </c>
      <c r="N180" s="902">
        <f t="shared" si="4"/>
        <v>2</v>
      </c>
      <c r="O180" s="903">
        <v>0</v>
      </c>
      <c r="P180" s="903">
        <v>1</v>
      </c>
      <c r="Q180" s="903">
        <v>0</v>
      </c>
      <c r="R180" s="903">
        <v>0</v>
      </c>
      <c r="S180" s="903">
        <f t="shared" si="5"/>
        <v>2</v>
      </c>
      <c r="T180" s="904">
        <v>0</v>
      </c>
      <c r="U180" s="905">
        <v>0</v>
      </c>
      <c r="V180" s="905">
        <v>0</v>
      </c>
      <c r="W180" s="905">
        <v>0</v>
      </c>
      <c r="X180" s="905">
        <v>1</v>
      </c>
      <c r="Y180" s="905">
        <v>1</v>
      </c>
      <c r="Z180" s="905">
        <v>0</v>
      </c>
      <c r="AA180" s="905">
        <v>1</v>
      </c>
      <c r="AB180" s="906">
        <v>4</v>
      </c>
      <c r="AC180" s="906">
        <v>2</v>
      </c>
      <c r="AD180" s="906">
        <v>5</v>
      </c>
      <c r="AE180" s="906">
        <v>7</v>
      </c>
      <c r="AF180" s="906">
        <v>3</v>
      </c>
      <c r="AG180" s="906">
        <v>1</v>
      </c>
      <c r="AH180" s="906">
        <v>6</v>
      </c>
      <c r="AI180" s="907">
        <v>2</v>
      </c>
      <c r="AJ180" s="907">
        <v>2</v>
      </c>
      <c r="AK180" s="907">
        <v>2</v>
      </c>
      <c r="AL180" s="907">
        <v>2</v>
      </c>
      <c r="AM180" s="907">
        <v>1</v>
      </c>
      <c r="AN180" s="907">
        <v>1</v>
      </c>
      <c r="AO180" s="907">
        <v>3</v>
      </c>
      <c r="AP180" s="907">
        <v>0</v>
      </c>
      <c r="AQ180" s="907">
        <v>1</v>
      </c>
      <c r="AR180" s="907">
        <v>0</v>
      </c>
      <c r="AS180" s="907">
        <v>0</v>
      </c>
      <c r="AT180" s="907">
        <v>0</v>
      </c>
      <c r="AU180" s="907">
        <v>0</v>
      </c>
    </row>
    <row r="181" spans="1:47" hidden="1">
      <c r="A181" s="898">
        <v>180</v>
      </c>
      <c r="B181" s="899">
        <v>0</v>
      </c>
      <c r="C181" s="900">
        <v>0</v>
      </c>
      <c r="D181" s="900">
        <v>1</v>
      </c>
      <c r="E181" s="900">
        <v>0</v>
      </c>
      <c r="F181" s="900">
        <v>0</v>
      </c>
      <c r="G181" s="901">
        <v>4</v>
      </c>
      <c r="H181" s="901">
        <v>2</v>
      </c>
      <c r="I181" s="901">
        <v>3</v>
      </c>
      <c r="J181" s="901">
        <v>1</v>
      </c>
      <c r="K181" s="902">
        <v>1</v>
      </c>
      <c r="L181" s="902">
        <v>0</v>
      </c>
      <c r="M181" s="902">
        <v>0</v>
      </c>
      <c r="N181" s="902">
        <f t="shared" si="4"/>
        <v>1</v>
      </c>
      <c r="O181" s="903">
        <v>1</v>
      </c>
      <c r="P181" s="903">
        <v>0</v>
      </c>
      <c r="Q181" s="903">
        <v>0</v>
      </c>
      <c r="R181" s="903">
        <v>0</v>
      </c>
      <c r="S181" s="903">
        <f t="shared" si="5"/>
        <v>1</v>
      </c>
      <c r="T181" s="904">
        <v>1</v>
      </c>
      <c r="U181" s="905">
        <v>0</v>
      </c>
      <c r="V181" s="905">
        <v>0</v>
      </c>
      <c r="W181" s="905">
        <v>0</v>
      </c>
      <c r="X181" s="905">
        <v>0</v>
      </c>
      <c r="Y181" s="905">
        <v>1</v>
      </c>
      <c r="Z181" s="905">
        <v>1</v>
      </c>
      <c r="AA181" s="905">
        <v>1</v>
      </c>
      <c r="AB181" s="906">
        <v>4</v>
      </c>
      <c r="AC181" s="906">
        <v>3</v>
      </c>
      <c r="AD181" s="906">
        <v>5</v>
      </c>
      <c r="AE181" s="906">
        <v>6</v>
      </c>
      <c r="AF181" s="906">
        <v>1</v>
      </c>
      <c r="AG181" s="906">
        <v>2</v>
      </c>
      <c r="AH181" s="906">
        <v>7</v>
      </c>
      <c r="AI181" s="907">
        <v>1</v>
      </c>
      <c r="AJ181" s="907">
        <v>2</v>
      </c>
      <c r="AK181" s="907">
        <v>2</v>
      </c>
      <c r="AL181" s="907">
        <v>2</v>
      </c>
      <c r="AM181" s="907">
        <v>2</v>
      </c>
      <c r="AN181" s="907">
        <v>2</v>
      </c>
      <c r="AO181" s="907">
        <v>3</v>
      </c>
      <c r="AP181" s="907">
        <v>0</v>
      </c>
      <c r="AQ181" s="907">
        <v>0</v>
      </c>
      <c r="AR181" s="907">
        <v>0</v>
      </c>
      <c r="AS181" s="907">
        <v>0</v>
      </c>
      <c r="AT181" s="907">
        <v>1</v>
      </c>
      <c r="AU181" s="907">
        <v>0</v>
      </c>
    </row>
    <row r="182" spans="1:47" hidden="1">
      <c r="A182" s="898">
        <v>181</v>
      </c>
      <c r="B182" s="899">
        <v>1</v>
      </c>
      <c r="C182" s="900">
        <v>0</v>
      </c>
      <c r="D182" s="900">
        <v>1</v>
      </c>
      <c r="E182" s="900">
        <v>0</v>
      </c>
      <c r="F182" s="900">
        <v>0</v>
      </c>
      <c r="G182" s="901">
        <v>1</v>
      </c>
      <c r="H182" s="901">
        <v>4</v>
      </c>
      <c r="I182" s="901">
        <v>3</v>
      </c>
      <c r="J182" s="901">
        <v>2</v>
      </c>
      <c r="K182" s="902">
        <v>1</v>
      </c>
      <c r="L182" s="902">
        <v>0</v>
      </c>
      <c r="M182" s="902">
        <v>0</v>
      </c>
      <c r="N182" s="902">
        <f t="shared" si="4"/>
        <v>1</v>
      </c>
      <c r="O182" s="903">
        <v>1</v>
      </c>
      <c r="P182" s="903">
        <v>0</v>
      </c>
      <c r="Q182" s="903">
        <v>0</v>
      </c>
      <c r="R182" s="903">
        <v>0</v>
      </c>
      <c r="S182" s="903">
        <f t="shared" si="5"/>
        <v>1</v>
      </c>
      <c r="T182" s="904">
        <v>1</v>
      </c>
      <c r="U182" s="905">
        <v>1</v>
      </c>
      <c r="V182" s="905">
        <v>0</v>
      </c>
      <c r="W182" s="905">
        <v>0</v>
      </c>
      <c r="X182" s="905">
        <v>1</v>
      </c>
      <c r="Y182" s="905">
        <v>0</v>
      </c>
      <c r="Z182" s="905">
        <v>0</v>
      </c>
      <c r="AA182" s="905">
        <v>1</v>
      </c>
      <c r="AB182" s="906">
        <v>4</v>
      </c>
      <c r="AC182" s="906">
        <v>2</v>
      </c>
      <c r="AD182" s="906">
        <v>5</v>
      </c>
      <c r="AE182" s="906">
        <v>7</v>
      </c>
      <c r="AF182" s="906">
        <v>1</v>
      </c>
      <c r="AG182" s="906">
        <v>3</v>
      </c>
      <c r="AH182" s="906">
        <v>6</v>
      </c>
      <c r="AI182" s="907">
        <v>2</v>
      </c>
      <c r="AJ182" s="907">
        <v>2</v>
      </c>
      <c r="AK182" s="907">
        <v>1</v>
      </c>
      <c r="AL182" s="907">
        <v>1</v>
      </c>
      <c r="AM182" s="907">
        <v>1</v>
      </c>
      <c r="AN182" s="907">
        <v>1</v>
      </c>
      <c r="AO182" s="907">
        <v>3</v>
      </c>
      <c r="AP182" s="907">
        <v>1</v>
      </c>
      <c r="AQ182" s="907">
        <v>0</v>
      </c>
      <c r="AR182" s="907">
        <v>0</v>
      </c>
      <c r="AS182" s="907">
        <v>0</v>
      </c>
      <c r="AT182" s="907">
        <v>0</v>
      </c>
      <c r="AU182" s="907">
        <v>0</v>
      </c>
    </row>
    <row r="183" spans="1:47" hidden="1">
      <c r="A183" s="898">
        <v>182</v>
      </c>
      <c r="B183" s="899">
        <v>1</v>
      </c>
      <c r="C183" s="900">
        <v>0</v>
      </c>
      <c r="D183" s="900">
        <v>1</v>
      </c>
      <c r="E183" s="900">
        <v>0</v>
      </c>
      <c r="F183" s="900">
        <v>0</v>
      </c>
      <c r="G183" s="901">
        <v>4</v>
      </c>
      <c r="H183" s="901">
        <v>1</v>
      </c>
      <c r="I183" s="901">
        <v>3</v>
      </c>
      <c r="J183" s="901">
        <v>2</v>
      </c>
      <c r="K183" s="902">
        <v>1</v>
      </c>
      <c r="L183" s="902">
        <v>0</v>
      </c>
      <c r="M183" s="902">
        <v>0</v>
      </c>
      <c r="N183" s="902">
        <f t="shared" si="4"/>
        <v>1</v>
      </c>
      <c r="O183" s="903">
        <v>1</v>
      </c>
      <c r="P183" s="903">
        <v>0</v>
      </c>
      <c r="Q183" s="903">
        <v>0</v>
      </c>
      <c r="R183" s="903">
        <v>0</v>
      </c>
      <c r="S183" s="903">
        <f t="shared" si="5"/>
        <v>1</v>
      </c>
      <c r="T183" s="904">
        <v>1</v>
      </c>
      <c r="U183" s="905">
        <v>1</v>
      </c>
      <c r="V183" s="905">
        <v>0</v>
      </c>
      <c r="W183" s="905">
        <v>0</v>
      </c>
      <c r="X183" s="905">
        <v>1</v>
      </c>
      <c r="Y183" s="905">
        <v>0</v>
      </c>
      <c r="Z183" s="905">
        <v>1</v>
      </c>
      <c r="AA183" s="905">
        <v>1</v>
      </c>
      <c r="AB183" s="906">
        <v>7</v>
      </c>
      <c r="AC183" s="906">
        <v>2</v>
      </c>
      <c r="AD183" s="906">
        <v>6</v>
      </c>
      <c r="AE183" s="906">
        <v>5</v>
      </c>
      <c r="AF183" s="906">
        <v>1</v>
      </c>
      <c r="AG183" s="906">
        <v>2</v>
      </c>
      <c r="AH183" s="906">
        <v>4</v>
      </c>
      <c r="AI183" s="907">
        <v>2</v>
      </c>
      <c r="AJ183" s="907">
        <v>2</v>
      </c>
      <c r="AK183" s="907">
        <v>1</v>
      </c>
      <c r="AL183" s="907">
        <v>1</v>
      </c>
      <c r="AM183" s="907">
        <v>2</v>
      </c>
      <c r="AN183" s="907">
        <v>2</v>
      </c>
      <c r="AO183" s="907">
        <v>4</v>
      </c>
      <c r="AP183" s="907">
        <v>0</v>
      </c>
      <c r="AQ183" s="907">
        <v>0</v>
      </c>
      <c r="AR183" s="907">
        <v>0</v>
      </c>
      <c r="AS183" s="907">
        <v>0</v>
      </c>
      <c r="AT183" s="907">
        <v>1</v>
      </c>
      <c r="AU183" s="907">
        <v>0</v>
      </c>
    </row>
    <row r="184" spans="1:47" hidden="1">
      <c r="A184" s="898">
        <v>183</v>
      </c>
      <c r="B184" s="899">
        <v>0</v>
      </c>
      <c r="C184" s="900">
        <v>0</v>
      </c>
      <c r="D184" s="900">
        <v>0</v>
      </c>
      <c r="E184" s="900">
        <v>0</v>
      </c>
      <c r="F184" s="900">
        <v>1</v>
      </c>
      <c r="G184" s="901">
        <v>4</v>
      </c>
      <c r="H184" s="901">
        <v>1</v>
      </c>
      <c r="I184" s="901">
        <v>3</v>
      </c>
      <c r="J184" s="901">
        <v>2</v>
      </c>
      <c r="K184" s="902">
        <v>0</v>
      </c>
      <c r="L184" s="902">
        <v>0</v>
      </c>
      <c r="M184" s="902">
        <v>1</v>
      </c>
      <c r="N184" s="902">
        <f t="shared" si="4"/>
        <v>3</v>
      </c>
      <c r="O184" s="908">
        <v>0</v>
      </c>
      <c r="P184" s="908">
        <v>0</v>
      </c>
      <c r="Q184" s="908">
        <v>0</v>
      </c>
      <c r="R184" s="908">
        <v>1</v>
      </c>
      <c r="S184" s="903">
        <f t="shared" si="5"/>
        <v>4</v>
      </c>
      <c r="T184" s="904">
        <v>0</v>
      </c>
      <c r="U184" s="905">
        <v>1</v>
      </c>
      <c r="V184" s="905">
        <v>0</v>
      </c>
      <c r="W184" s="905">
        <v>0</v>
      </c>
      <c r="X184" s="905">
        <v>0</v>
      </c>
      <c r="Y184" s="905">
        <v>1</v>
      </c>
      <c r="Z184" s="905">
        <v>0</v>
      </c>
      <c r="AA184" s="905">
        <v>1</v>
      </c>
      <c r="AB184" s="906">
        <v>4</v>
      </c>
      <c r="AC184" s="906">
        <v>5</v>
      </c>
      <c r="AD184" s="906">
        <v>6</v>
      </c>
      <c r="AE184" s="906">
        <v>7</v>
      </c>
      <c r="AF184" s="906">
        <v>3</v>
      </c>
      <c r="AG184" s="906">
        <v>1</v>
      </c>
      <c r="AH184" s="906">
        <v>2</v>
      </c>
      <c r="AI184" s="907">
        <v>2</v>
      </c>
      <c r="AJ184" s="907">
        <v>2</v>
      </c>
      <c r="AK184" s="907">
        <v>1</v>
      </c>
      <c r="AL184" s="907">
        <v>1</v>
      </c>
      <c r="AM184" s="907">
        <v>1</v>
      </c>
      <c r="AN184" s="907">
        <v>1</v>
      </c>
      <c r="AO184" s="907">
        <v>3</v>
      </c>
      <c r="AP184" s="907">
        <v>1</v>
      </c>
      <c r="AQ184" s="907">
        <v>0</v>
      </c>
      <c r="AR184" s="907">
        <v>0</v>
      </c>
      <c r="AS184" s="907">
        <v>0</v>
      </c>
      <c r="AT184" s="907">
        <v>0</v>
      </c>
      <c r="AU184" s="907">
        <v>0</v>
      </c>
    </row>
    <row r="185" spans="1:47" hidden="1">
      <c r="A185" s="898">
        <v>184</v>
      </c>
      <c r="B185" s="899">
        <v>1</v>
      </c>
      <c r="C185" s="900">
        <v>0</v>
      </c>
      <c r="D185" s="900">
        <v>0</v>
      </c>
      <c r="E185" s="900">
        <v>1</v>
      </c>
      <c r="F185" s="900">
        <v>0</v>
      </c>
      <c r="G185" s="901">
        <v>4</v>
      </c>
      <c r="H185" s="901">
        <v>2</v>
      </c>
      <c r="I185" s="901">
        <v>3</v>
      </c>
      <c r="J185" s="901">
        <v>1</v>
      </c>
      <c r="K185" s="902">
        <v>1</v>
      </c>
      <c r="L185" s="902">
        <v>0</v>
      </c>
      <c r="M185" s="902">
        <v>0</v>
      </c>
      <c r="N185" s="902">
        <f t="shared" si="4"/>
        <v>1</v>
      </c>
      <c r="O185" s="903">
        <v>1</v>
      </c>
      <c r="P185" s="903">
        <v>0</v>
      </c>
      <c r="Q185" s="903">
        <v>0</v>
      </c>
      <c r="R185" s="903">
        <v>0</v>
      </c>
      <c r="S185" s="903">
        <f t="shared" si="5"/>
        <v>1</v>
      </c>
      <c r="T185" s="904">
        <v>1</v>
      </c>
      <c r="U185" s="905">
        <v>0</v>
      </c>
      <c r="V185" s="905">
        <v>0</v>
      </c>
      <c r="W185" s="905">
        <v>0</v>
      </c>
      <c r="X185" s="905">
        <v>0</v>
      </c>
      <c r="Y185" s="905">
        <v>0</v>
      </c>
      <c r="Z185" s="905">
        <v>1</v>
      </c>
      <c r="AA185" s="905">
        <v>1</v>
      </c>
      <c r="AB185" s="906">
        <v>7</v>
      </c>
      <c r="AC185" s="906">
        <v>3</v>
      </c>
      <c r="AD185" s="906">
        <v>5</v>
      </c>
      <c r="AE185" s="906">
        <v>6</v>
      </c>
      <c r="AF185" s="906">
        <v>1</v>
      </c>
      <c r="AG185" s="906">
        <v>2</v>
      </c>
      <c r="AH185" s="906">
        <v>4</v>
      </c>
      <c r="AI185" s="907">
        <v>1</v>
      </c>
      <c r="AJ185" s="907">
        <v>2</v>
      </c>
      <c r="AK185" s="907">
        <v>1</v>
      </c>
      <c r="AL185" s="907">
        <v>1</v>
      </c>
      <c r="AM185" s="907">
        <v>2</v>
      </c>
      <c r="AN185" s="907">
        <v>2</v>
      </c>
      <c r="AO185" s="907">
        <v>3</v>
      </c>
      <c r="AP185" s="907">
        <v>0</v>
      </c>
      <c r="AQ185" s="907">
        <v>0</v>
      </c>
      <c r="AR185" s="907">
        <v>0</v>
      </c>
      <c r="AS185" s="907">
        <v>0</v>
      </c>
      <c r="AT185" s="907">
        <v>1</v>
      </c>
      <c r="AU185" s="907">
        <v>0</v>
      </c>
    </row>
    <row r="186" spans="1:47" hidden="1">
      <c r="A186" s="898">
        <v>185</v>
      </c>
      <c r="B186" s="899">
        <v>1</v>
      </c>
      <c r="C186" s="900">
        <v>0</v>
      </c>
      <c r="D186" s="900">
        <v>0</v>
      </c>
      <c r="E186" s="900">
        <v>1</v>
      </c>
      <c r="F186" s="900">
        <v>0</v>
      </c>
      <c r="G186" s="901">
        <v>4</v>
      </c>
      <c r="H186" s="901">
        <v>1</v>
      </c>
      <c r="I186" s="901">
        <v>2</v>
      </c>
      <c r="J186" s="901">
        <v>3</v>
      </c>
      <c r="K186" s="902">
        <v>0</v>
      </c>
      <c r="L186" s="902">
        <v>1</v>
      </c>
      <c r="M186" s="902">
        <v>0</v>
      </c>
      <c r="N186" s="902">
        <f t="shared" si="4"/>
        <v>2</v>
      </c>
      <c r="O186" s="903">
        <v>1</v>
      </c>
      <c r="P186" s="903">
        <v>0</v>
      </c>
      <c r="Q186" s="903">
        <v>0</v>
      </c>
      <c r="R186" s="903">
        <v>0</v>
      </c>
      <c r="S186" s="903">
        <f t="shared" si="5"/>
        <v>1</v>
      </c>
      <c r="T186" s="904">
        <v>1</v>
      </c>
      <c r="U186" s="905">
        <v>0</v>
      </c>
      <c r="V186" s="905">
        <v>0</v>
      </c>
      <c r="W186" s="905">
        <v>0</v>
      </c>
      <c r="X186" s="905">
        <v>0</v>
      </c>
      <c r="Y186" s="905">
        <v>0</v>
      </c>
      <c r="Z186" s="905">
        <v>1</v>
      </c>
      <c r="AA186" s="905">
        <v>0</v>
      </c>
      <c r="AB186" s="906">
        <v>3</v>
      </c>
      <c r="AC186" s="906">
        <v>4</v>
      </c>
      <c r="AD186" s="906">
        <v>5</v>
      </c>
      <c r="AE186" s="906">
        <v>6</v>
      </c>
      <c r="AF186" s="906">
        <v>1</v>
      </c>
      <c r="AG186" s="906">
        <v>2</v>
      </c>
      <c r="AH186" s="906">
        <v>7</v>
      </c>
      <c r="AI186" s="907">
        <v>1</v>
      </c>
      <c r="AJ186" s="907">
        <v>2</v>
      </c>
      <c r="AK186" s="907">
        <v>1</v>
      </c>
      <c r="AL186" s="907">
        <v>1</v>
      </c>
      <c r="AM186" s="907">
        <v>2</v>
      </c>
      <c r="AN186" s="907">
        <v>2</v>
      </c>
      <c r="AO186" s="907">
        <v>2</v>
      </c>
      <c r="AP186" s="907">
        <v>0</v>
      </c>
      <c r="AQ186" s="907">
        <v>1</v>
      </c>
      <c r="AR186" s="907">
        <v>0</v>
      </c>
      <c r="AS186" s="907">
        <v>0</v>
      </c>
      <c r="AT186" s="907">
        <v>0</v>
      </c>
      <c r="AU186" s="907">
        <v>0</v>
      </c>
    </row>
    <row r="187" spans="1:47" hidden="1">
      <c r="A187" s="898">
        <v>186</v>
      </c>
      <c r="B187" s="899">
        <v>1</v>
      </c>
      <c r="C187" s="900">
        <v>0</v>
      </c>
      <c r="D187" s="900">
        <v>1</v>
      </c>
      <c r="E187" s="900">
        <v>0</v>
      </c>
      <c r="F187" s="900">
        <v>0</v>
      </c>
      <c r="G187" s="901">
        <v>3</v>
      </c>
      <c r="H187" s="901">
        <v>2</v>
      </c>
      <c r="I187" s="901">
        <v>4</v>
      </c>
      <c r="J187" s="901">
        <v>1</v>
      </c>
      <c r="K187" s="902">
        <v>0</v>
      </c>
      <c r="L187" s="902">
        <v>1</v>
      </c>
      <c r="M187" s="902">
        <v>0</v>
      </c>
      <c r="N187" s="902">
        <f t="shared" si="4"/>
        <v>2</v>
      </c>
      <c r="O187" s="903">
        <v>1</v>
      </c>
      <c r="P187" s="903">
        <v>0</v>
      </c>
      <c r="Q187" s="903">
        <v>0</v>
      </c>
      <c r="R187" s="903">
        <v>0</v>
      </c>
      <c r="S187" s="903">
        <f t="shared" si="5"/>
        <v>1</v>
      </c>
      <c r="T187" s="904">
        <v>1</v>
      </c>
      <c r="U187" s="905">
        <v>1</v>
      </c>
      <c r="V187" s="905">
        <v>0</v>
      </c>
      <c r="W187" s="905">
        <v>0</v>
      </c>
      <c r="X187" s="905">
        <v>1</v>
      </c>
      <c r="Y187" s="905">
        <v>0</v>
      </c>
      <c r="Z187" s="905">
        <v>0</v>
      </c>
      <c r="AA187" s="905">
        <v>1</v>
      </c>
      <c r="AB187" s="906">
        <v>7</v>
      </c>
      <c r="AC187" s="906">
        <v>2</v>
      </c>
      <c r="AD187" s="906">
        <v>4</v>
      </c>
      <c r="AE187" s="906">
        <v>6</v>
      </c>
      <c r="AF187" s="906">
        <v>1</v>
      </c>
      <c r="AG187" s="906">
        <v>3</v>
      </c>
      <c r="AH187" s="906">
        <v>5</v>
      </c>
      <c r="AI187" s="907">
        <v>2</v>
      </c>
      <c r="AJ187" s="907">
        <v>2</v>
      </c>
      <c r="AK187" s="907">
        <v>1</v>
      </c>
      <c r="AL187" s="907">
        <v>1</v>
      </c>
      <c r="AM187" s="907">
        <v>1</v>
      </c>
      <c r="AN187" s="907">
        <v>1</v>
      </c>
      <c r="AO187" s="907">
        <v>2</v>
      </c>
      <c r="AP187" s="907">
        <v>0</v>
      </c>
      <c r="AQ187" s="907">
        <v>0</v>
      </c>
      <c r="AR187" s="907">
        <v>0</v>
      </c>
      <c r="AS187" s="907">
        <v>0</v>
      </c>
      <c r="AT187" s="907">
        <v>0</v>
      </c>
      <c r="AU187" s="907">
        <v>1</v>
      </c>
    </row>
    <row r="188" spans="1:47" hidden="1">
      <c r="A188" s="898">
        <v>187</v>
      </c>
      <c r="B188" s="899">
        <v>0</v>
      </c>
      <c r="C188" s="900">
        <v>0</v>
      </c>
      <c r="D188" s="900">
        <v>1</v>
      </c>
      <c r="E188" s="900">
        <v>0</v>
      </c>
      <c r="F188" s="900">
        <v>0</v>
      </c>
      <c r="G188" s="901">
        <v>4</v>
      </c>
      <c r="H188" s="901">
        <v>3</v>
      </c>
      <c r="I188" s="901">
        <v>1</v>
      </c>
      <c r="J188" s="901">
        <v>2</v>
      </c>
      <c r="K188" s="902">
        <v>0</v>
      </c>
      <c r="L188" s="902">
        <v>0</v>
      </c>
      <c r="M188" s="902">
        <v>1</v>
      </c>
      <c r="N188" s="902">
        <f t="shared" si="4"/>
        <v>3</v>
      </c>
      <c r="O188" s="908">
        <v>0</v>
      </c>
      <c r="P188" s="908">
        <v>1</v>
      </c>
      <c r="Q188" s="908">
        <v>0</v>
      </c>
      <c r="R188" s="908">
        <v>0</v>
      </c>
      <c r="S188" s="903">
        <f t="shared" si="5"/>
        <v>2</v>
      </c>
      <c r="T188" s="904">
        <v>0</v>
      </c>
      <c r="U188" s="905">
        <v>0</v>
      </c>
      <c r="V188" s="905">
        <v>0</v>
      </c>
      <c r="W188" s="905">
        <v>0</v>
      </c>
      <c r="X188" s="905">
        <v>0</v>
      </c>
      <c r="Y188" s="905">
        <v>1</v>
      </c>
      <c r="Z188" s="905">
        <v>0</v>
      </c>
      <c r="AA188" s="905">
        <v>1</v>
      </c>
      <c r="AB188" s="906">
        <v>7</v>
      </c>
      <c r="AC188" s="906">
        <v>3</v>
      </c>
      <c r="AD188" s="906">
        <v>4</v>
      </c>
      <c r="AE188" s="906">
        <v>6</v>
      </c>
      <c r="AF188" s="906">
        <v>1</v>
      </c>
      <c r="AG188" s="906">
        <v>2</v>
      </c>
      <c r="AH188" s="906">
        <v>5</v>
      </c>
      <c r="AI188" s="907">
        <v>1</v>
      </c>
      <c r="AJ188" s="907">
        <v>1</v>
      </c>
      <c r="AK188" s="907">
        <v>2</v>
      </c>
      <c r="AL188" s="907">
        <v>2</v>
      </c>
      <c r="AM188" s="907">
        <v>1</v>
      </c>
      <c r="AN188" s="907">
        <v>1</v>
      </c>
      <c r="AO188" s="907">
        <v>2</v>
      </c>
      <c r="AP188" s="907">
        <v>0</v>
      </c>
      <c r="AQ188" s="907">
        <v>0</v>
      </c>
      <c r="AR188" s="907">
        <v>0</v>
      </c>
      <c r="AS188" s="907">
        <v>0</v>
      </c>
      <c r="AT188" s="907">
        <v>0</v>
      </c>
      <c r="AU188" s="907">
        <v>1</v>
      </c>
    </row>
    <row r="189" spans="1:47" hidden="1">
      <c r="A189" s="898">
        <v>188</v>
      </c>
      <c r="B189" s="899">
        <v>1</v>
      </c>
      <c r="C189" s="900">
        <v>0</v>
      </c>
      <c r="D189" s="900">
        <v>0</v>
      </c>
      <c r="E189" s="900">
        <v>1</v>
      </c>
      <c r="F189" s="900">
        <v>0</v>
      </c>
      <c r="G189" s="901">
        <v>2</v>
      </c>
      <c r="H189" s="901">
        <v>3</v>
      </c>
      <c r="I189" s="901">
        <v>4</v>
      </c>
      <c r="J189" s="901">
        <v>1</v>
      </c>
      <c r="K189" s="902">
        <v>1</v>
      </c>
      <c r="L189" s="902">
        <v>0</v>
      </c>
      <c r="M189" s="902">
        <v>0</v>
      </c>
      <c r="N189" s="902">
        <f t="shared" si="4"/>
        <v>1</v>
      </c>
      <c r="O189" s="903">
        <v>1</v>
      </c>
      <c r="P189" s="903">
        <v>0</v>
      </c>
      <c r="Q189" s="903">
        <v>0</v>
      </c>
      <c r="R189" s="903">
        <v>0</v>
      </c>
      <c r="S189" s="903">
        <f t="shared" si="5"/>
        <v>1</v>
      </c>
      <c r="T189" s="904">
        <v>1</v>
      </c>
      <c r="U189" s="905">
        <v>0</v>
      </c>
      <c r="V189" s="905">
        <v>0</v>
      </c>
      <c r="W189" s="905">
        <v>0</v>
      </c>
      <c r="X189" s="905">
        <v>0</v>
      </c>
      <c r="Y189" s="905">
        <v>0</v>
      </c>
      <c r="Z189" s="905">
        <v>1</v>
      </c>
      <c r="AA189" s="905">
        <v>1</v>
      </c>
      <c r="AB189" s="906">
        <v>4</v>
      </c>
      <c r="AC189" s="906">
        <v>3</v>
      </c>
      <c r="AD189" s="906">
        <v>6</v>
      </c>
      <c r="AE189" s="906">
        <v>7</v>
      </c>
      <c r="AF189" s="906">
        <v>2</v>
      </c>
      <c r="AG189" s="906">
        <v>1</v>
      </c>
      <c r="AH189" s="906">
        <v>5</v>
      </c>
      <c r="AI189" s="907">
        <v>1</v>
      </c>
      <c r="AJ189" s="907">
        <v>1</v>
      </c>
      <c r="AK189" s="907">
        <v>1</v>
      </c>
      <c r="AL189" s="907">
        <v>1</v>
      </c>
      <c r="AM189" s="907">
        <v>2</v>
      </c>
      <c r="AN189" s="907">
        <v>2</v>
      </c>
      <c r="AO189" s="907">
        <v>2</v>
      </c>
      <c r="AP189" s="907">
        <v>0</v>
      </c>
      <c r="AQ189" s="907">
        <v>0</v>
      </c>
      <c r="AR189" s="907">
        <v>0</v>
      </c>
      <c r="AS189" s="907">
        <v>0</v>
      </c>
      <c r="AT189" s="907">
        <v>1</v>
      </c>
      <c r="AU189" s="907">
        <v>0</v>
      </c>
    </row>
    <row r="190" spans="1:47" hidden="1">
      <c r="A190" s="898">
        <v>189</v>
      </c>
      <c r="B190" s="899">
        <v>1</v>
      </c>
      <c r="C190" s="900">
        <v>1</v>
      </c>
      <c r="D190" s="900">
        <v>0</v>
      </c>
      <c r="E190" s="900">
        <v>0</v>
      </c>
      <c r="F190" s="900">
        <v>0</v>
      </c>
      <c r="G190" s="901">
        <v>1</v>
      </c>
      <c r="H190" s="901">
        <v>4</v>
      </c>
      <c r="I190" s="901">
        <v>3</v>
      </c>
      <c r="J190" s="901">
        <v>2</v>
      </c>
      <c r="K190" s="902">
        <v>0</v>
      </c>
      <c r="L190" s="902">
        <v>1</v>
      </c>
      <c r="M190" s="902">
        <v>0</v>
      </c>
      <c r="N190" s="902">
        <f t="shared" si="4"/>
        <v>2</v>
      </c>
      <c r="O190" s="903">
        <v>1</v>
      </c>
      <c r="P190" s="903">
        <v>0</v>
      </c>
      <c r="Q190" s="903">
        <v>0</v>
      </c>
      <c r="R190" s="903">
        <v>0</v>
      </c>
      <c r="S190" s="903">
        <f t="shared" si="5"/>
        <v>1</v>
      </c>
      <c r="T190" s="904">
        <v>1</v>
      </c>
      <c r="U190" s="905">
        <v>1</v>
      </c>
      <c r="V190" s="905">
        <v>0</v>
      </c>
      <c r="W190" s="905">
        <v>0</v>
      </c>
      <c r="X190" s="905">
        <v>0</v>
      </c>
      <c r="Y190" s="905">
        <v>0</v>
      </c>
      <c r="Z190" s="905">
        <v>0</v>
      </c>
      <c r="AA190" s="905">
        <v>1</v>
      </c>
      <c r="AB190" s="906">
        <v>5</v>
      </c>
      <c r="AC190" s="906">
        <v>3</v>
      </c>
      <c r="AD190" s="906">
        <v>4</v>
      </c>
      <c r="AE190" s="906">
        <v>6</v>
      </c>
      <c r="AF190" s="906">
        <v>1</v>
      </c>
      <c r="AG190" s="906">
        <v>2</v>
      </c>
      <c r="AH190" s="906">
        <v>7</v>
      </c>
      <c r="AI190" s="907">
        <v>3</v>
      </c>
      <c r="AJ190" s="907">
        <v>1</v>
      </c>
      <c r="AK190" s="907">
        <v>1</v>
      </c>
      <c r="AL190" s="907">
        <v>1</v>
      </c>
      <c r="AM190" s="907">
        <v>1</v>
      </c>
      <c r="AN190" s="907">
        <v>1</v>
      </c>
      <c r="AO190" s="907">
        <v>4</v>
      </c>
      <c r="AP190" s="907">
        <v>0</v>
      </c>
      <c r="AQ190" s="907">
        <v>1</v>
      </c>
      <c r="AR190" s="907">
        <v>0</v>
      </c>
      <c r="AS190" s="907">
        <v>0</v>
      </c>
      <c r="AT190" s="907">
        <v>0</v>
      </c>
      <c r="AU190" s="907">
        <v>0</v>
      </c>
    </row>
    <row r="191" spans="1:47" hidden="1">
      <c r="A191" s="898">
        <v>190</v>
      </c>
      <c r="B191" s="899">
        <v>0</v>
      </c>
      <c r="C191" s="900">
        <v>0</v>
      </c>
      <c r="D191" s="900">
        <v>1</v>
      </c>
      <c r="E191" s="900">
        <v>0</v>
      </c>
      <c r="F191" s="900">
        <v>0</v>
      </c>
      <c r="G191" s="901">
        <v>2</v>
      </c>
      <c r="H191" s="901">
        <v>3</v>
      </c>
      <c r="I191" s="901">
        <v>4</v>
      </c>
      <c r="J191" s="901">
        <v>1</v>
      </c>
      <c r="K191" s="902">
        <v>0</v>
      </c>
      <c r="L191" s="902">
        <v>1</v>
      </c>
      <c r="M191" s="902">
        <v>0</v>
      </c>
      <c r="N191" s="902">
        <f t="shared" si="4"/>
        <v>2</v>
      </c>
      <c r="O191" s="903">
        <v>1</v>
      </c>
      <c r="P191" s="903">
        <v>0</v>
      </c>
      <c r="Q191" s="903">
        <v>0</v>
      </c>
      <c r="R191" s="903">
        <v>0</v>
      </c>
      <c r="S191" s="903">
        <f t="shared" si="5"/>
        <v>1</v>
      </c>
      <c r="T191" s="904">
        <v>1</v>
      </c>
      <c r="U191" s="905">
        <v>0</v>
      </c>
      <c r="V191" s="905">
        <v>0</v>
      </c>
      <c r="W191" s="905">
        <v>1</v>
      </c>
      <c r="X191" s="905">
        <v>0</v>
      </c>
      <c r="Y191" s="905">
        <v>1</v>
      </c>
      <c r="Z191" s="905">
        <v>1</v>
      </c>
      <c r="AA191" s="905">
        <v>0</v>
      </c>
      <c r="AB191" s="906">
        <v>4</v>
      </c>
      <c r="AC191" s="906">
        <v>2</v>
      </c>
      <c r="AD191" s="906">
        <v>5</v>
      </c>
      <c r="AE191" s="906">
        <v>6</v>
      </c>
      <c r="AF191" s="906">
        <v>1</v>
      </c>
      <c r="AG191" s="906">
        <v>3</v>
      </c>
      <c r="AH191" s="906">
        <v>7</v>
      </c>
      <c r="AI191" s="907">
        <v>1</v>
      </c>
      <c r="AJ191" s="907">
        <v>2</v>
      </c>
      <c r="AK191" s="907">
        <v>2</v>
      </c>
      <c r="AL191" s="907">
        <v>2</v>
      </c>
      <c r="AM191" s="907">
        <v>2</v>
      </c>
      <c r="AN191" s="907">
        <v>2</v>
      </c>
      <c r="AO191" s="907">
        <v>3</v>
      </c>
      <c r="AP191" s="907">
        <v>0</v>
      </c>
      <c r="AQ191" s="907">
        <v>1</v>
      </c>
      <c r="AR191" s="907">
        <v>0</v>
      </c>
      <c r="AS191" s="907">
        <v>0</v>
      </c>
      <c r="AT191" s="907">
        <v>0</v>
      </c>
      <c r="AU191" s="907">
        <v>0</v>
      </c>
    </row>
    <row r="192" spans="1:47" hidden="1">
      <c r="A192" s="898">
        <v>191</v>
      </c>
      <c r="B192" s="899">
        <v>1</v>
      </c>
      <c r="C192" s="900">
        <v>0</v>
      </c>
      <c r="D192" s="900">
        <v>0</v>
      </c>
      <c r="E192" s="900">
        <v>1</v>
      </c>
      <c r="F192" s="900">
        <v>0</v>
      </c>
      <c r="G192" s="901">
        <v>3</v>
      </c>
      <c r="H192" s="901">
        <v>2</v>
      </c>
      <c r="I192" s="901">
        <v>4</v>
      </c>
      <c r="J192" s="901">
        <v>1</v>
      </c>
      <c r="K192" s="902">
        <v>1</v>
      </c>
      <c r="L192" s="902">
        <v>0</v>
      </c>
      <c r="M192" s="902">
        <v>0</v>
      </c>
      <c r="N192" s="902">
        <f t="shared" si="4"/>
        <v>1</v>
      </c>
      <c r="O192" s="903">
        <v>1</v>
      </c>
      <c r="P192" s="903">
        <v>0</v>
      </c>
      <c r="Q192" s="903">
        <v>0</v>
      </c>
      <c r="R192" s="903">
        <v>0</v>
      </c>
      <c r="S192" s="903">
        <f t="shared" si="5"/>
        <v>1</v>
      </c>
      <c r="T192" s="904">
        <v>1</v>
      </c>
      <c r="U192" s="905">
        <v>0</v>
      </c>
      <c r="V192" s="905">
        <v>0</v>
      </c>
      <c r="W192" s="905">
        <v>0</v>
      </c>
      <c r="X192" s="905">
        <v>0</v>
      </c>
      <c r="Y192" s="905">
        <v>0</v>
      </c>
      <c r="Z192" s="905">
        <v>1</v>
      </c>
      <c r="AA192" s="905">
        <v>1</v>
      </c>
      <c r="AB192" s="906">
        <v>4</v>
      </c>
      <c r="AC192" s="906">
        <v>3</v>
      </c>
      <c r="AD192" s="906">
        <v>7</v>
      </c>
      <c r="AE192" s="906">
        <v>5</v>
      </c>
      <c r="AF192" s="906">
        <v>1</v>
      </c>
      <c r="AG192" s="906">
        <v>2</v>
      </c>
      <c r="AH192" s="906">
        <v>6</v>
      </c>
      <c r="AI192" s="907">
        <v>1</v>
      </c>
      <c r="AJ192" s="907">
        <v>1</v>
      </c>
      <c r="AK192" s="907">
        <v>1</v>
      </c>
      <c r="AL192" s="907">
        <v>1</v>
      </c>
      <c r="AM192" s="907">
        <v>3</v>
      </c>
      <c r="AN192" s="907">
        <v>2</v>
      </c>
      <c r="AO192" s="907">
        <v>4</v>
      </c>
      <c r="AP192" s="907">
        <v>0</v>
      </c>
      <c r="AQ192" s="907">
        <v>0</v>
      </c>
      <c r="AR192" s="907">
        <v>0</v>
      </c>
      <c r="AS192" s="907">
        <v>1</v>
      </c>
      <c r="AT192" s="907">
        <v>0</v>
      </c>
      <c r="AU192" s="907">
        <v>0</v>
      </c>
    </row>
    <row r="193" spans="1:47" hidden="1">
      <c r="A193" s="898">
        <v>192</v>
      </c>
      <c r="B193" s="899">
        <v>1</v>
      </c>
      <c r="C193" s="900">
        <v>0</v>
      </c>
      <c r="D193" s="900">
        <v>1</v>
      </c>
      <c r="E193" s="900">
        <v>0</v>
      </c>
      <c r="F193" s="900">
        <v>0</v>
      </c>
      <c r="G193" s="901">
        <v>4</v>
      </c>
      <c r="H193" s="901">
        <v>2</v>
      </c>
      <c r="I193" s="901">
        <v>3</v>
      </c>
      <c r="J193" s="901">
        <v>1</v>
      </c>
      <c r="K193" s="902">
        <v>1</v>
      </c>
      <c r="L193" s="902">
        <v>0</v>
      </c>
      <c r="M193" s="902">
        <v>0</v>
      </c>
      <c r="N193" s="902">
        <f t="shared" si="4"/>
        <v>1</v>
      </c>
      <c r="O193" s="903">
        <v>1</v>
      </c>
      <c r="P193" s="903">
        <v>0</v>
      </c>
      <c r="Q193" s="903">
        <v>0</v>
      </c>
      <c r="R193" s="903">
        <v>0</v>
      </c>
      <c r="S193" s="903">
        <f t="shared" si="5"/>
        <v>1</v>
      </c>
      <c r="T193" s="904">
        <v>1</v>
      </c>
      <c r="U193" s="905">
        <v>1</v>
      </c>
      <c r="V193" s="905">
        <v>0</v>
      </c>
      <c r="W193" s="905">
        <v>0</v>
      </c>
      <c r="X193" s="905">
        <v>0</v>
      </c>
      <c r="Y193" s="905">
        <v>0</v>
      </c>
      <c r="Z193" s="905">
        <v>0</v>
      </c>
      <c r="AA193" s="905">
        <v>0</v>
      </c>
      <c r="AB193" s="906">
        <v>7</v>
      </c>
      <c r="AC193" s="906">
        <v>3</v>
      </c>
      <c r="AD193" s="906">
        <v>4</v>
      </c>
      <c r="AE193" s="906">
        <v>6</v>
      </c>
      <c r="AF193" s="906">
        <v>1</v>
      </c>
      <c r="AG193" s="906">
        <v>2</v>
      </c>
      <c r="AH193" s="906">
        <v>5</v>
      </c>
      <c r="AI193" s="907">
        <v>2</v>
      </c>
      <c r="AJ193" s="907">
        <v>2</v>
      </c>
      <c r="AK193" s="907">
        <v>1</v>
      </c>
      <c r="AL193" s="907">
        <v>1</v>
      </c>
      <c r="AM193" s="907">
        <v>1</v>
      </c>
      <c r="AN193" s="907">
        <v>1</v>
      </c>
      <c r="AO193" s="907">
        <v>4</v>
      </c>
      <c r="AP193" s="907">
        <v>1</v>
      </c>
      <c r="AQ193" s="907">
        <v>0</v>
      </c>
      <c r="AR193" s="907">
        <v>0</v>
      </c>
      <c r="AS193" s="907">
        <v>0</v>
      </c>
      <c r="AT193" s="907">
        <v>0</v>
      </c>
      <c r="AU193" s="907">
        <v>0</v>
      </c>
    </row>
    <row r="194" spans="1:47" hidden="1">
      <c r="A194" s="898">
        <v>193</v>
      </c>
      <c r="B194" s="899">
        <v>0</v>
      </c>
      <c r="C194" s="900">
        <v>0</v>
      </c>
      <c r="D194" s="900">
        <v>0</v>
      </c>
      <c r="E194" s="900">
        <v>0</v>
      </c>
      <c r="F194" s="900">
        <v>1</v>
      </c>
      <c r="G194" s="901">
        <v>4</v>
      </c>
      <c r="H194" s="901">
        <v>1</v>
      </c>
      <c r="I194" s="901">
        <v>3</v>
      </c>
      <c r="J194" s="901">
        <v>2</v>
      </c>
      <c r="K194" s="902">
        <v>0</v>
      </c>
      <c r="L194" s="902">
        <v>0</v>
      </c>
      <c r="M194" s="902">
        <v>1</v>
      </c>
      <c r="N194" s="902">
        <f t="shared" ref="N194:N257" si="6">+(K194*1)+(L194*2)+(M194*3)</f>
        <v>3</v>
      </c>
      <c r="O194" s="908">
        <v>0</v>
      </c>
      <c r="P194" s="908">
        <v>0</v>
      </c>
      <c r="Q194" s="908">
        <v>0</v>
      </c>
      <c r="R194" s="908">
        <v>1</v>
      </c>
      <c r="S194" s="903">
        <f t="shared" si="5"/>
        <v>4</v>
      </c>
      <c r="T194" s="904">
        <v>0</v>
      </c>
      <c r="U194" s="905">
        <v>1</v>
      </c>
      <c r="V194" s="905">
        <v>0</v>
      </c>
      <c r="W194" s="905">
        <v>0</v>
      </c>
      <c r="X194" s="905">
        <v>0</v>
      </c>
      <c r="Y194" s="905">
        <v>1</v>
      </c>
      <c r="Z194" s="905">
        <v>0</v>
      </c>
      <c r="AA194" s="905">
        <v>1</v>
      </c>
      <c r="AB194" s="906">
        <v>4</v>
      </c>
      <c r="AC194" s="906">
        <v>5</v>
      </c>
      <c r="AD194" s="906">
        <v>6</v>
      </c>
      <c r="AE194" s="906">
        <v>7</v>
      </c>
      <c r="AF194" s="906">
        <v>3</v>
      </c>
      <c r="AG194" s="906">
        <v>1</v>
      </c>
      <c r="AH194" s="906">
        <v>2</v>
      </c>
      <c r="AI194" s="907">
        <v>2</v>
      </c>
      <c r="AJ194" s="907">
        <v>2</v>
      </c>
      <c r="AK194" s="907">
        <v>1</v>
      </c>
      <c r="AL194" s="907">
        <v>1</v>
      </c>
      <c r="AM194" s="907">
        <v>1</v>
      </c>
      <c r="AN194" s="907">
        <v>1</v>
      </c>
      <c r="AO194" s="907">
        <v>3</v>
      </c>
      <c r="AP194" s="907">
        <v>1</v>
      </c>
      <c r="AQ194" s="907">
        <v>0</v>
      </c>
      <c r="AR194" s="907">
        <v>0</v>
      </c>
      <c r="AS194" s="907">
        <v>0</v>
      </c>
      <c r="AT194" s="907">
        <v>0</v>
      </c>
      <c r="AU194" s="907">
        <v>0</v>
      </c>
    </row>
    <row r="195" spans="1:47" hidden="1">
      <c r="A195" s="898">
        <v>194</v>
      </c>
      <c r="B195" s="899">
        <v>1</v>
      </c>
      <c r="C195" s="900">
        <v>0</v>
      </c>
      <c r="D195" s="900">
        <v>0</v>
      </c>
      <c r="E195" s="900">
        <v>1</v>
      </c>
      <c r="F195" s="900">
        <v>0</v>
      </c>
      <c r="G195" s="901">
        <v>4</v>
      </c>
      <c r="H195" s="901">
        <v>2</v>
      </c>
      <c r="I195" s="901">
        <v>3</v>
      </c>
      <c r="J195" s="901">
        <v>1</v>
      </c>
      <c r="K195" s="902">
        <v>1</v>
      </c>
      <c r="L195" s="902">
        <v>0</v>
      </c>
      <c r="M195" s="902">
        <v>0</v>
      </c>
      <c r="N195" s="902">
        <f t="shared" si="6"/>
        <v>1</v>
      </c>
      <c r="O195" s="903">
        <v>1</v>
      </c>
      <c r="P195" s="903">
        <v>0</v>
      </c>
      <c r="Q195" s="903">
        <v>0</v>
      </c>
      <c r="R195" s="903">
        <v>0</v>
      </c>
      <c r="S195" s="903">
        <f t="shared" ref="S195:S258" si="7">+(O195*1)+(P195*2)+(Q195*3)+(R195*4)</f>
        <v>1</v>
      </c>
      <c r="T195" s="904">
        <v>1</v>
      </c>
      <c r="U195" s="905">
        <v>0</v>
      </c>
      <c r="V195" s="905">
        <v>0</v>
      </c>
      <c r="W195" s="905">
        <v>0</v>
      </c>
      <c r="X195" s="905">
        <v>0</v>
      </c>
      <c r="Y195" s="905">
        <v>0</v>
      </c>
      <c r="Z195" s="905">
        <v>1</v>
      </c>
      <c r="AA195" s="905">
        <v>1</v>
      </c>
      <c r="AB195" s="906">
        <v>7</v>
      </c>
      <c r="AC195" s="906">
        <v>3</v>
      </c>
      <c r="AD195" s="906">
        <v>5</v>
      </c>
      <c r="AE195" s="906">
        <v>6</v>
      </c>
      <c r="AF195" s="906">
        <v>1</v>
      </c>
      <c r="AG195" s="906">
        <v>2</v>
      </c>
      <c r="AH195" s="906">
        <v>4</v>
      </c>
      <c r="AI195" s="907">
        <v>1</v>
      </c>
      <c r="AJ195" s="907">
        <v>2</v>
      </c>
      <c r="AK195" s="907">
        <v>1</v>
      </c>
      <c r="AL195" s="907">
        <v>1</v>
      </c>
      <c r="AM195" s="907">
        <v>2</v>
      </c>
      <c r="AN195" s="907">
        <v>2</v>
      </c>
      <c r="AO195" s="907">
        <v>3</v>
      </c>
      <c r="AP195" s="907">
        <v>0</v>
      </c>
      <c r="AQ195" s="907">
        <v>0</v>
      </c>
      <c r="AR195" s="907">
        <v>0</v>
      </c>
      <c r="AS195" s="907">
        <v>0</v>
      </c>
      <c r="AT195" s="907">
        <v>1</v>
      </c>
      <c r="AU195" s="907">
        <v>0</v>
      </c>
    </row>
    <row r="196" spans="1:47" hidden="1">
      <c r="A196" s="898">
        <v>195</v>
      </c>
      <c r="B196" s="899">
        <v>1</v>
      </c>
      <c r="C196" s="900">
        <v>0</v>
      </c>
      <c r="D196" s="900">
        <v>0</v>
      </c>
      <c r="E196" s="900">
        <v>1</v>
      </c>
      <c r="F196" s="900">
        <v>0</v>
      </c>
      <c r="G196" s="901">
        <v>4</v>
      </c>
      <c r="H196" s="901">
        <v>1</v>
      </c>
      <c r="I196" s="901">
        <v>2</v>
      </c>
      <c r="J196" s="901">
        <v>3</v>
      </c>
      <c r="K196" s="902">
        <v>0</v>
      </c>
      <c r="L196" s="902">
        <v>1</v>
      </c>
      <c r="M196" s="902">
        <v>0</v>
      </c>
      <c r="N196" s="902">
        <f t="shared" si="6"/>
        <v>2</v>
      </c>
      <c r="O196" s="903">
        <v>1</v>
      </c>
      <c r="P196" s="903">
        <v>0</v>
      </c>
      <c r="Q196" s="903">
        <v>0</v>
      </c>
      <c r="R196" s="903">
        <v>0</v>
      </c>
      <c r="S196" s="903">
        <f t="shared" si="7"/>
        <v>1</v>
      </c>
      <c r="T196" s="904">
        <v>1</v>
      </c>
      <c r="U196" s="905">
        <v>0</v>
      </c>
      <c r="V196" s="905">
        <v>0</v>
      </c>
      <c r="W196" s="905">
        <v>0</v>
      </c>
      <c r="X196" s="905">
        <v>0</v>
      </c>
      <c r="Y196" s="905">
        <v>0</v>
      </c>
      <c r="Z196" s="905">
        <v>1</v>
      </c>
      <c r="AA196" s="905">
        <v>0</v>
      </c>
      <c r="AB196" s="906">
        <v>3</v>
      </c>
      <c r="AC196" s="906">
        <v>4</v>
      </c>
      <c r="AD196" s="906">
        <v>5</v>
      </c>
      <c r="AE196" s="906">
        <v>6</v>
      </c>
      <c r="AF196" s="906">
        <v>1</v>
      </c>
      <c r="AG196" s="906">
        <v>2</v>
      </c>
      <c r="AH196" s="906">
        <v>7</v>
      </c>
      <c r="AI196" s="907">
        <v>1</v>
      </c>
      <c r="AJ196" s="907">
        <v>2</v>
      </c>
      <c r="AK196" s="907">
        <v>1</v>
      </c>
      <c r="AL196" s="907">
        <v>1</v>
      </c>
      <c r="AM196" s="907">
        <v>2</v>
      </c>
      <c r="AN196" s="907">
        <v>2</v>
      </c>
      <c r="AO196" s="907">
        <v>2</v>
      </c>
      <c r="AP196" s="907">
        <v>0</v>
      </c>
      <c r="AQ196" s="907">
        <v>1</v>
      </c>
      <c r="AR196" s="907">
        <v>0</v>
      </c>
      <c r="AS196" s="907">
        <v>0</v>
      </c>
      <c r="AT196" s="907">
        <v>0</v>
      </c>
      <c r="AU196" s="907">
        <v>0</v>
      </c>
    </row>
    <row r="197" spans="1:47" hidden="1">
      <c r="A197" s="898">
        <v>196</v>
      </c>
      <c r="B197" s="899">
        <v>1</v>
      </c>
      <c r="C197" s="900">
        <v>0</v>
      </c>
      <c r="D197" s="900">
        <v>1</v>
      </c>
      <c r="E197" s="900">
        <v>0</v>
      </c>
      <c r="F197" s="900">
        <v>0</v>
      </c>
      <c r="G197" s="901">
        <v>3</v>
      </c>
      <c r="H197" s="901">
        <v>2</v>
      </c>
      <c r="I197" s="901">
        <v>4</v>
      </c>
      <c r="J197" s="901">
        <v>1</v>
      </c>
      <c r="K197" s="902">
        <v>0</v>
      </c>
      <c r="L197" s="902">
        <v>1</v>
      </c>
      <c r="M197" s="902">
        <v>0</v>
      </c>
      <c r="N197" s="902">
        <f t="shared" si="6"/>
        <v>2</v>
      </c>
      <c r="O197" s="903">
        <v>1</v>
      </c>
      <c r="P197" s="903">
        <v>0</v>
      </c>
      <c r="Q197" s="903">
        <v>0</v>
      </c>
      <c r="R197" s="903">
        <v>0</v>
      </c>
      <c r="S197" s="903">
        <f t="shared" si="7"/>
        <v>1</v>
      </c>
      <c r="T197" s="904">
        <v>1</v>
      </c>
      <c r="U197" s="905">
        <v>1</v>
      </c>
      <c r="V197" s="905">
        <v>0</v>
      </c>
      <c r="W197" s="905">
        <v>0</v>
      </c>
      <c r="X197" s="905">
        <v>1</v>
      </c>
      <c r="Y197" s="905">
        <v>0</v>
      </c>
      <c r="Z197" s="905">
        <v>0</v>
      </c>
      <c r="AA197" s="905">
        <v>1</v>
      </c>
      <c r="AB197" s="906">
        <v>7</v>
      </c>
      <c r="AC197" s="906">
        <v>2</v>
      </c>
      <c r="AD197" s="906">
        <v>4</v>
      </c>
      <c r="AE197" s="906">
        <v>6</v>
      </c>
      <c r="AF197" s="906">
        <v>1</v>
      </c>
      <c r="AG197" s="906">
        <v>3</v>
      </c>
      <c r="AH197" s="906">
        <v>5</v>
      </c>
      <c r="AI197" s="907">
        <v>2</v>
      </c>
      <c r="AJ197" s="907">
        <v>2</v>
      </c>
      <c r="AK197" s="907">
        <v>1</v>
      </c>
      <c r="AL197" s="907">
        <v>1</v>
      </c>
      <c r="AM197" s="907">
        <v>1</v>
      </c>
      <c r="AN197" s="907">
        <v>1</v>
      </c>
      <c r="AO197" s="907">
        <v>2</v>
      </c>
      <c r="AP197" s="907">
        <v>0</v>
      </c>
      <c r="AQ197" s="907">
        <v>0</v>
      </c>
      <c r="AR197" s="907">
        <v>0</v>
      </c>
      <c r="AS197" s="907">
        <v>0</v>
      </c>
      <c r="AT197" s="907">
        <v>0</v>
      </c>
      <c r="AU197" s="907">
        <v>1</v>
      </c>
    </row>
    <row r="198" spans="1:47" hidden="1">
      <c r="A198" s="898">
        <v>197</v>
      </c>
      <c r="B198" s="899">
        <v>0</v>
      </c>
      <c r="C198" s="900">
        <v>0</v>
      </c>
      <c r="D198" s="900">
        <v>1</v>
      </c>
      <c r="E198" s="900">
        <v>0</v>
      </c>
      <c r="F198" s="900">
        <v>0</v>
      </c>
      <c r="G198" s="901">
        <v>4</v>
      </c>
      <c r="H198" s="901">
        <v>3</v>
      </c>
      <c r="I198" s="901">
        <v>1</v>
      </c>
      <c r="J198" s="901">
        <v>2</v>
      </c>
      <c r="K198" s="902">
        <v>0</v>
      </c>
      <c r="L198" s="902">
        <v>0</v>
      </c>
      <c r="M198" s="902">
        <v>1</v>
      </c>
      <c r="N198" s="902">
        <f t="shared" si="6"/>
        <v>3</v>
      </c>
      <c r="O198" s="908">
        <v>0</v>
      </c>
      <c r="P198" s="908">
        <v>1</v>
      </c>
      <c r="Q198" s="908">
        <v>0</v>
      </c>
      <c r="R198" s="908">
        <v>0</v>
      </c>
      <c r="S198" s="903">
        <f t="shared" si="7"/>
        <v>2</v>
      </c>
      <c r="T198" s="904">
        <v>0</v>
      </c>
      <c r="U198" s="905">
        <v>0</v>
      </c>
      <c r="V198" s="905">
        <v>0</v>
      </c>
      <c r="W198" s="905">
        <v>0</v>
      </c>
      <c r="X198" s="905">
        <v>0</v>
      </c>
      <c r="Y198" s="905">
        <v>1</v>
      </c>
      <c r="Z198" s="905">
        <v>0</v>
      </c>
      <c r="AA198" s="905">
        <v>1</v>
      </c>
      <c r="AB198" s="906">
        <v>7</v>
      </c>
      <c r="AC198" s="906">
        <v>3</v>
      </c>
      <c r="AD198" s="906">
        <v>4</v>
      </c>
      <c r="AE198" s="906">
        <v>6</v>
      </c>
      <c r="AF198" s="906">
        <v>1</v>
      </c>
      <c r="AG198" s="906">
        <v>2</v>
      </c>
      <c r="AH198" s="906">
        <v>5</v>
      </c>
      <c r="AI198" s="907">
        <v>1</v>
      </c>
      <c r="AJ198" s="907">
        <v>1</v>
      </c>
      <c r="AK198" s="907">
        <v>2</v>
      </c>
      <c r="AL198" s="907">
        <v>2</v>
      </c>
      <c r="AM198" s="907">
        <v>1</v>
      </c>
      <c r="AN198" s="907">
        <v>1</v>
      </c>
      <c r="AO198" s="907">
        <v>2</v>
      </c>
      <c r="AP198" s="907">
        <v>0</v>
      </c>
      <c r="AQ198" s="907">
        <v>0</v>
      </c>
      <c r="AR198" s="907">
        <v>0</v>
      </c>
      <c r="AS198" s="907">
        <v>0</v>
      </c>
      <c r="AT198" s="907">
        <v>0</v>
      </c>
      <c r="AU198" s="907">
        <v>1</v>
      </c>
    </row>
    <row r="199" spans="1:47" hidden="1">
      <c r="A199" s="898">
        <v>198</v>
      </c>
      <c r="B199" s="899">
        <v>1</v>
      </c>
      <c r="C199" s="900">
        <v>0</v>
      </c>
      <c r="D199" s="900">
        <v>0</v>
      </c>
      <c r="E199" s="900">
        <v>1</v>
      </c>
      <c r="F199" s="900">
        <v>0</v>
      </c>
      <c r="G199" s="901">
        <v>2</v>
      </c>
      <c r="H199" s="901">
        <v>3</v>
      </c>
      <c r="I199" s="901">
        <v>4</v>
      </c>
      <c r="J199" s="901">
        <v>1</v>
      </c>
      <c r="K199" s="902">
        <v>1</v>
      </c>
      <c r="L199" s="902">
        <v>0</v>
      </c>
      <c r="M199" s="902">
        <v>0</v>
      </c>
      <c r="N199" s="902">
        <f t="shared" si="6"/>
        <v>1</v>
      </c>
      <c r="O199" s="903">
        <v>1</v>
      </c>
      <c r="P199" s="903">
        <v>0</v>
      </c>
      <c r="Q199" s="903">
        <v>0</v>
      </c>
      <c r="R199" s="903">
        <v>0</v>
      </c>
      <c r="S199" s="903">
        <f t="shared" si="7"/>
        <v>1</v>
      </c>
      <c r="T199" s="904">
        <v>1</v>
      </c>
      <c r="U199" s="905">
        <v>0</v>
      </c>
      <c r="V199" s="905">
        <v>0</v>
      </c>
      <c r="W199" s="905">
        <v>0</v>
      </c>
      <c r="X199" s="905">
        <v>0</v>
      </c>
      <c r="Y199" s="905">
        <v>0</v>
      </c>
      <c r="Z199" s="905">
        <v>1</v>
      </c>
      <c r="AA199" s="905">
        <v>1</v>
      </c>
      <c r="AB199" s="906">
        <v>4</v>
      </c>
      <c r="AC199" s="906">
        <v>3</v>
      </c>
      <c r="AD199" s="906">
        <v>6</v>
      </c>
      <c r="AE199" s="906">
        <v>7</v>
      </c>
      <c r="AF199" s="906">
        <v>2</v>
      </c>
      <c r="AG199" s="906">
        <v>1</v>
      </c>
      <c r="AH199" s="906">
        <v>5</v>
      </c>
      <c r="AI199" s="907">
        <v>1</v>
      </c>
      <c r="AJ199" s="907">
        <v>1</v>
      </c>
      <c r="AK199" s="907">
        <v>1</v>
      </c>
      <c r="AL199" s="907">
        <v>1</v>
      </c>
      <c r="AM199" s="907">
        <v>2</v>
      </c>
      <c r="AN199" s="907">
        <v>2</v>
      </c>
      <c r="AO199" s="907">
        <v>2</v>
      </c>
      <c r="AP199" s="907">
        <v>0</v>
      </c>
      <c r="AQ199" s="907">
        <v>0</v>
      </c>
      <c r="AR199" s="907">
        <v>0</v>
      </c>
      <c r="AS199" s="907">
        <v>0</v>
      </c>
      <c r="AT199" s="907">
        <v>1</v>
      </c>
      <c r="AU199" s="907">
        <v>0</v>
      </c>
    </row>
    <row r="200" spans="1:47" hidden="1">
      <c r="A200" s="898">
        <v>199</v>
      </c>
      <c r="B200" s="899">
        <v>1</v>
      </c>
      <c r="C200" s="900">
        <v>1</v>
      </c>
      <c r="D200" s="900">
        <v>0</v>
      </c>
      <c r="E200" s="900">
        <v>0</v>
      </c>
      <c r="F200" s="900">
        <v>0</v>
      </c>
      <c r="G200" s="901">
        <v>1</v>
      </c>
      <c r="H200" s="901">
        <v>4</v>
      </c>
      <c r="I200" s="901">
        <v>3</v>
      </c>
      <c r="J200" s="901">
        <v>2</v>
      </c>
      <c r="K200" s="902">
        <v>0</v>
      </c>
      <c r="L200" s="902">
        <v>1</v>
      </c>
      <c r="M200" s="902">
        <v>0</v>
      </c>
      <c r="N200" s="902">
        <f t="shared" si="6"/>
        <v>2</v>
      </c>
      <c r="O200" s="903">
        <v>1</v>
      </c>
      <c r="P200" s="903">
        <v>0</v>
      </c>
      <c r="Q200" s="903">
        <v>0</v>
      </c>
      <c r="R200" s="903">
        <v>0</v>
      </c>
      <c r="S200" s="903">
        <f t="shared" si="7"/>
        <v>1</v>
      </c>
      <c r="T200" s="904">
        <v>1</v>
      </c>
      <c r="U200" s="905">
        <v>1</v>
      </c>
      <c r="V200" s="905">
        <v>0</v>
      </c>
      <c r="W200" s="905">
        <v>0</v>
      </c>
      <c r="X200" s="905">
        <v>0</v>
      </c>
      <c r="Y200" s="905">
        <v>0</v>
      </c>
      <c r="Z200" s="905">
        <v>0</v>
      </c>
      <c r="AA200" s="905">
        <v>1</v>
      </c>
      <c r="AB200" s="906">
        <v>5</v>
      </c>
      <c r="AC200" s="906">
        <v>3</v>
      </c>
      <c r="AD200" s="906">
        <v>4</v>
      </c>
      <c r="AE200" s="906">
        <v>6</v>
      </c>
      <c r="AF200" s="906">
        <v>1</v>
      </c>
      <c r="AG200" s="906">
        <v>2</v>
      </c>
      <c r="AH200" s="906">
        <v>7</v>
      </c>
      <c r="AI200" s="907">
        <v>3</v>
      </c>
      <c r="AJ200" s="907">
        <v>1</v>
      </c>
      <c r="AK200" s="907">
        <v>1</v>
      </c>
      <c r="AL200" s="907">
        <v>1</v>
      </c>
      <c r="AM200" s="907">
        <v>1</v>
      </c>
      <c r="AN200" s="907">
        <v>1</v>
      </c>
      <c r="AO200" s="907">
        <v>4</v>
      </c>
      <c r="AP200" s="907">
        <v>0</v>
      </c>
      <c r="AQ200" s="907">
        <v>1</v>
      </c>
      <c r="AR200" s="907">
        <v>0</v>
      </c>
      <c r="AS200" s="907">
        <v>0</v>
      </c>
      <c r="AT200" s="907">
        <v>0</v>
      </c>
      <c r="AU200" s="907">
        <v>0</v>
      </c>
    </row>
    <row r="201" spans="1:47" hidden="1">
      <c r="A201" s="898">
        <v>200</v>
      </c>
      <c r="B201" s="899">
        <v>0</v>
      </c>
      <c r="C201" s="900">
        <v>0</v>
      </c>
      <c r="D201" s="900">
        <v>1</v>
      </c>
      <c r="E201" s="900">
        <v>0</v>
      </c>
      <c r="F201" s="900">
        <v>0</v>
      </c>
      <c r="G201" s="901">
        <v>2</v>
      </c>
      <c r="H201" s="901">
        <v>3</v>
      </c>
      <c r="I201" s="901">
        <v>4</v>
      </c>
      <c r="J201" s="901">
        <v>1</v>
      </c>
      <c r="K201" s="902">
        <v>0</v>
      </c>
      <c r="L201" s="902">
        <v>1</v>
      </c>
      <c r="M201" s="902">
        <v>0</v>
      </c>
      <c r="N201" s="902">
        <f t="shared" si="6"/>
        <v>2</v>
      </c>
      <c r="O201" s="903">
        <v>1</v>
      </c>
      <c r="P201" s="903">
        <v>0</v>
      </c>
      <c r="Q201" s="903">
        <v>0</v>
      </c>
      <c r="R201" s="903">
        <v>0</v>
      </c>
      <c r="S201" s="903">
        <f t="shared" si="7"/>
        <v>1</v>
      </c>
      <c r="T201" s="904">
        <v>1</v>
      </c>
      <c r="U201" s="905">
        <v>0</v>
      </c>
      <c r="V201" s="905">
        <v>0</v>
      </c>
      <c r="W201" s="905">
        <v>1</v>
      </c>
      <c r="X201" s="905">
        <v>0</v>
      </c>
      <c r="Y201" s="905">
        <v>1</v>
      </c>
      <c r="Z201" s="905">
        <v>1</v>
      </c>
      <c r="AA201" s="905">
        <v>0</v>
      </c>
      <c r="AB201" s="906">
        <v>4</v>
      </c>
      <c r="AC201" s="906">
        <v>2</v>
      </c>
      <c r="AD201" s="906">
        <v>5</v>
      </c>
      <c r="AE201" s="906">
        <v>6</v>
      </c>
      <c r="AF201" s="906">
        <v>1</v>
      </c>
      <c r="AG201" s="906">
        <v>3</v>
      </c>
      <c r="AH201" s="906">
        <v>7</v>
      </c>
      <c r="AI201" s="907">
        <v>1</v>
      </c>
      <c r="AJ201" s="907">
        <v>2</v>
      </c>
      <c r="AK201" s="907">
        <v>2</v>
      </c>
      <c r="AL201" s="907">
        <v>2</v>
      </c>
      <c r="AM201" s="907">
        <v>2</v>
      </c>
      <c r="AN201" s="907">
        <v>2</v>
      </c>
      <c r="AO201" s="907">
        <v>3</v>
      </c>
      <c r="AP201" s="907">
        <v>0</v>
      </c>
      <c r="AQ201" s="907">
        <v>1</v>
      </c>
      <c r="AR201" s="907">
        <v>0</v>
      </c>
      <c r="AS201" s="907">
        <v>0</v>
      </c>
      <c r="AT201" s="907">
        <v>0</v>
      </c>
      <c r="AU201" s="907">
        <v>0</v>
      </c>
    </row>
    <row r="202" spans="1:47" hidden="1">
      <c r="A202" s="898">
        <v>201</v>
      </c>
      <c r="B202" s="899">
        <v>1</v>
      </c>
      <c r="C202" s="900">
        <v>0</v>
      </c>
      <c r="D202" s="900">
        <v>0</v>
      </c>
      <c r="E202" s="900">
        <v>1</v>
      </c>
      <c r="F202" s="900">
        <v>0</v>
      </c>
      <c r="G202" s="901">
        <v>3</v>
      </c>
      <c r="H202" s="901">
        <v>2</v>
      </c>
      <c r="I202" s="901">
        <v>4</v>
      </c>
      <c r="J202" s="901">
        <v>1</v>
      </c>
      <c r="K202" s="902">
        <v>1</v>
      </c>
      <c r="L202" s="902">
        <v>0</v>
      </c>
      <c r="M202" s="902">
        <v>0</v>
      </c>
      <c r="N202" s="902">
        <f t="shared" si="6"/>
        <v>1</v>
      </c>
      <c r="O202" s="903">
        <v>1</v>
      </c>
      <c r="P202" s="903">
        <v>0</v>
      </c>
      <c r="Q202" s="903">
        <v>0</v>
      </c>
      <c r="R202" s="903">
        <v>0</v>
      </c>
      <c r="S202" s="903">
        <f t="shared" si="7"/>
        <v>1</v>
      </c>
      <c r="T202" s="904">
        <v>1</v>
      </c>
      <c r="U202" s="905">
        <v>0</v>
      </c>
      <c r="V202" s="905">
        <v>0</v>
      </c>
      <c r="W202" s="905">
        <v>0</v>
      </c>
      <c r="X202" s="905">
        <v>0</v>
      </c>
      <c r="Y202" s="905">
        <v>0</v>
      </c>
      <c r="Z202" s="905">
        <v>1</v>
      </c>
      <c r="AA202" s="905">
        <v>1</v>
      </c>
      <c r="AB202" s="906">
        <v>4</v>
      </c>
      <c r="AC202" s="906">
        <v>3</v>
      </c>
      <c r="AD202" s="906">
        <v>7</v>
      </c>
      <c r="AE202" s="906">
        <v>5</v>
      </c>
      <c r="AF202" s="906">
        <v>1</v>
      </c>
      <c r="AG202" s="906">
        <v>2</v>
      </c>
      <c r="AH202" s="906">
        <v>6</v>
      </c>
      <c r="AI202" s="907">
        <v>1</v>
      </c>
      <c r="AJ202" s="907">
        <v>1</v>
      </c>
      <c r="AK202" s="907">
        <v>1</v>
      </c>
      <c r="AL202" s="907">
        <v>1</v>
      </c>
      <c r="AM202" s="907">
        <v>3</v>
      </c>
      <c r="AN202" s="907">
        <v>2</v>
      </c>
      <c r="AO202" s="907">
        <v>4</v>
      </c>
      <c r="AP202" s="907">
        <v>0</v>
      </c>
      <c r="AQ202" s="907">
        <v>0</v>
      </c>
      <c r="AR202" s="907">
        <v>0</v>
      </c>
      <c r="AS202" s="907">
        <v>1</v>
      </c>
      <c r="AT202" s="907">
        <v>0</v>
      </c>
      <c r="AU202" s="907">
        <v>0</v>
      </c>
    </row>
    <row r="203" spans="1:47" hidden="1">
      <c r="A203" s="898">
        <v>202</v>
      </c>
      <c r="B203" s="899">
        <v>1</v>
      </c>
      <c r="C203" s="900">
        <v>0</v>
      </c>
      <c r="D203" s="900">
        <v>1</v>
      </c>
      <c r="E203" s="900">
        <v>0</v>
      </c>
      <c r="F203" s="900">
        <v>0</v>
      </c>
      <c r="G203" s="901">
        <v>4</v>
      </c>
      <c r="H203" s="901">
        <v>2</v>
      </c>
      <c r="I203" s="901">
        <v>3</v>
      </c>
      <c r="J203" s="901">
        <v>1</v>
      </c>
      <c r="K203" s="902">
        <v>1</v>
      </c>
      <c r="L203" s="902">
        <v>0</v>
      </c>
      <c r="M203" s="902">
        <v>0</v>
      </c>
      <c r="N203" s="902">
        <f t="shared" si="6"/>
        <v>1</v>
      </c>
      <c r="O203" s="903">
        <v>1</v>
      </c>
      <c r="P203" s="903">
        <v>0</v>
      </c>
      <c r="Q203" s="903">
        <v>0</v>
      </c>
      <c r="R203" s="903">
        <v>0</v>
      </c>
      <c r="S203" s="903">
        <f t="shared" si="7"/>
        <v>1</v>
      </c>
      <c r="T203" s="904">
        <v>1</v>
      </c>
      <c r="U203" s="905">
        <v>1</v>
      </c>
      <c r="V203" s="905">
        <v>0</v>
      </c>
      <c r="W203" s="905">
        <v>0</v>
      </c>
      <c r="X203" s="905">
        <v>0</v>
      </c>
      <c r="Y203" s="905">
        <v>0</v>
      </c>
      <c r="Z203" s="905">
        <v>0</v>
      </c>
      <c r="AA203" s="905">
        <v>0</v>
      </c>
      <c r="AB203" s="906">
        <v>7</v>
      </c>
      <c r="AC203" s="906">
        <v>3</v>
      </c>
      <c r="AD203" s="906">
        <v>4</v>
      </c>
      <c r="AE203" s="906">
        <v>6</v>
      </c>
      <c r="AF203" s="906">
        <v>1</v>
      </c>
      <c r="AG203" s="906">
        <v>2</v>
      </c>
      <c r="AH203" s="906">
        <v>5</v>
      </c>
      <c r="AI203" s="907">
        <v>2</v>
      </c>
      <c r="AJ203" s="907">
        <v>2</v>
      </c>
      <c r="AK203" s="907">
        <v>1</v>
      </c>
      <c r="AL203" s="907">
        <v>1</v>
      </c>
      <c r="AM203" s="907">
        <v>1</v>
      </c>
      <c r="AN203" s="907">
        <v>1</v>
      </c>
      <c r="AO203" s="907">
        <v>4</v>
      </c>
      <c r="AP203" s="907">
        <v>1</v>
      </c>
      <c r="AQ203" s="907">
        <v>0</v>
      </c>
      <c r="AR203" s="907">
        <v>0</v>
      </c>
      <c r="AS203" s="907">
        <v>0</v>
      </c>
      <c r="AT203" s="907">
        <v>0</v>
      </c>
      <c r="AU203" s="907">
        <v>0</v>
      </c>
    </row>
    <row r="204" spans="1:47" hidden="1">
      <c r="A204" s="898">
        <v>203</v>
      </c>
      <c r="B204" s="899">
        <v>0</v>
      </c>
      <c r="C204" s="900">
        <v>0</v>
      </c>
      <c r="D204" s="900">
        <v>1</v>
      </c>
      <c r="E204" s="900">
        <v>0</v>
      </c>
      <c r="F204" s="900">
        <v>0</v>
      </c>
      <c r="G204" s="901">
        <v>1</v>
      </c>
      <c r="H204" s="901">
        <v>2</v>
      </c>
      <c r="I204" s="901">
        <v>4</v>
      </c>
      <c r="J204" s="901">
        <v>3</v>
      </c>
      <c r="K204" s="902">
        <v>0</v>
      </c>
      <c r="L204" s="902">
        <v>0</v>
      </c>
      <c r="M204" s="902">
        <v>1</v>
      </c>
      <c r="N204" s="902">
        <f t="shared" si="6"/>
        <v>3</v>
      </c>
      <c r="O204" s="908">
        <v>1</v>
      </c>
      <c r="P204" s="908">
        <v>0</v>
      </c>
      <c r="Q204" s="908">
        <v>0</v>
      </c>
      <c r="R204" s="908">
        <v>0</v>
      </c>
      <c r="S204" s="903">
        <f t="shared" si="7"/>
        <v>1</v>
      </c>
      <c r="T204" s="904">
        <v>1</v>
      </c>
      <c r="U204" s="905">
        <v>1</v>
      </c>
      <c r="V204" s="905">
        <v>0</v>
      </c>
      <c r="W204" s="905">
        <v>0</v>
      </c>
      <c r="X204" s="905">
        <v>0</v>
      </c>
      <c r="Y204" s="905">
        <v>0</v>
      </c>
      <c r="Z204" s="905">
        <v>0</v>
      </c>
      <c r="AA204" s="905">
        <v>0</v>
      </c>
      <c r="AB204" s="906">
        <v>7</v>
      </c>
      <c r="AC204" s="906">
        <v>3</v>
      </c>
      <c r="AD204" s="906">
        <v>4</v>
      </c>
      <c r="AE204" s="906">
        <v>5</v>
      </c>
      <c r="AF204" s="906">
        <v>1</v>
      </c>
      <c r="AG204" s="906">
        <v>2</v>
      </c>
      <c r="AH204" s="906">
        <v>6</v>
      </c>
      <c r="AI204" s="907">
        <v>3</v>
      </c>
      <c r="AJ204" s="907">
        <v>2</v>
      </c>
      <c r="AK204" s="907">
        <v>1</v>
      </c>
      <c r="AL204" s="907">
        <v>1</v>
      </c>
      <c r="AM204" s="907">
        <v>1</v>
      </c>
      <c r="AN204" s="907">
        <v>2</v>
      </c>
      <c r="AO204" s="907">
        <v>2</v>
      </c>
      <c r="AP204" s="907">
        <v>0</v>
      </c>
      <c r="AQ204" s="907">
        <v>0</v>
      </c>
      <c r="AR204" s="907">
        <v>0</v>
      </c>
      <c r="AS204" s="907">
        <v>1</v>
      </c>
      <c r="AT204" s="907">
        <v>0</v>
      </c>
      <c r="AU204" s="907">
        <v>0</v>
      </c>
    </row>
    <row r="205" spans="1:47" hidden="1">
      <c r="A205" s="898">
        <v>204</v>
      </c>
      <c r="B205" s="899">
        <v>1</v>
      </c>
      <c r="C205" s="900">
        <v>0</v>
      </c>
      <c r="D205" s="900">
        <v>1</v>
      </c>
      <c r="E205" s="900">
        <v>0</v>
      </c>
      <c r="F205" s="900">
        <v>0</v>
      </c>
      <c r="G205" s="901">
        <v>1</v>
      </c>
      <c r="H205" s="901">
        <v>2</v>
      </c>
      <c r="I205" s="901">
        <v>4</v>
      </c>
      <c r="J205" s="901">
        <v>3</v>
      </c>
      <c r="K205" s="902">
        <v>1</v>
      </c>
      <c r="L205" s="902">
        <v>0</v>
      </c>
      <c r="M205" s="902">
        <v>0</v>
      </c>
      <c r="N205" s="902">
        <f t="shared" si="6"/>
        <v>1</v>
      </c>
      <c r="O205" s="903">
        <v>1</v>
      </c>
      <c r="P205" s="903">
        <v>0</v>
      </c>
      <c r="Q205" s="903">
        <v>0</v>
      </c>
      <c r="R205" s="903">
        <v>0</v>
      </c>
      <c r="S205" s="903">
        <f t="shared" si="7"/>
        <v>1</v>
      </c>
      <c r="T205" s="904">
        <v>1</v>
      </c>
      <c r="U205" s="905">
        <v>1</v>
      </c>
      <c r="V205" s="905">
        <v>0</v>
      </c>
      <c r="W205" s="905">
        <v>0</v>
      </c>
      <c r="X205" s="905">
        <v>0</v>
      </c>
      <c r="Y205" s="905">
        <v>0</v>
      </c>
      <c r="Z205" s="905">
        <v>0</v>
      </c>
      <c r="AA205" s="905">
        <v>1</v>
      </c>
      <c r="AB205" s="906">
        <v>7</v>
      </c>
      <c r="AC205" s="906">
        <v>3</v>
      </c>
      <c r="AD205" s="906">
        <v>4</v>
      </c>
      <c r="AE205" s="906">
        <v>6</v>
      </c>
      <c r="AF205" s="906">
        <v>1</v>
      </c>
      <c r="AG205" s="906">
        <v>2</v>
      </c>
      <c r="AH205" s="906">
        <v>5</v>
      </c>
      <c r="AI205" s="907">
        <v>2</v>
      </c>
      <c r="AJ205" s="907">
        <v>2</v>
      </c>
      <c r="AK205" s="907">
        <v>1</v>
      </c>
      <c r="AL205" s="907">
        <v>1</v>
      </c>
      <c r="AM205" s="907">
        <v>1</v>
      </c>
      <c r="AN205" s="907">
        <v>1</v>
      </c>
      <c r="AO205" s="907">
        <v>4</v>
      </c>
      <c r="AP205" s="907">
        <v>0</v>
      </c>
      <c r="AQ205" s="907">
        <v>1</v>
      </c>
      <c r="AR205" s="907">
        <v>0</v>
      </c>
      <c r="AS205" s="907">
        <v>0</v>
      </c>
      <c r="AT205" s="907">
        <v>0</v>
      </c>
      <c r="AU205" s="907">
        <v>0</v>
      </c>
    </row>
    <row r="206" spans="1:47" hidden="1">
      <c r="A206" s="898">
        <v>205</v>
      </c>
      <c r="B206" s="899">
        <v>1</v>
      </c>
      <c r="C206" s="900">
        <v>0</v>
      </c>
      <c r="D206" s="900">
        <v>0</v>
      </c>
      <c r="E206" s="900">
        <v>0</v>
      </c>
      <c r="F206" s="900">
        <v>1</v>
      </c>
      <c r="G206" s="901">
        <v>4</v>
      </c>
      <c r="H206" s="901">
        <v>1</v>
      </c>
      <c r="I206" s="901">
        <v>3</v>
      </c>
      <c r="J206" s="901">
        <v>2</v>
      </c>
      <c r="K206" s="902">
        <v>0</v>
      </c>
      <c r="L206" s="902">
        <v>0</v>
      </c>
      <c r="M206" s="902">
        <v>1</v>
      </c>
      <c r="N206" s="902">
        <f t="shared" si="6"/>
        <v>3</v>
      </c>
      <c r="O206" s="908">
        <v>0</v>
      </c>
      <c r="P206" s="908">
        <v>0</v>
      </c>
      <c r="Q206" s="908">
        <v>0</v>
      </c>
      <c r="R206" s="908">
        <v>1</v>
      </c>
      <c r="S206" s="903">
        <f t="shared" si="7"/>
        <v>4</v>
      </c>
      <c r="T206" s="904">
        <v>0</v>
      </c>
      <c r="U206" s="905">
        <v>1</v>
      </c>
      <c r="V206" s="905">
        <v>0</v>
      </c>
      <c r="W206" s="905">
        <v>0</v>
      </c>
      <c r="X206" s="905">
        <v>0</v>
      </c>
      <c r="Y206" s="905">
        <v>0</v>
      </c>
      <c r="Z206" s="905">
        <v>0</v>
      </c>
      <c r="AA206" s="905">
        <v>0</v>
      </c>
      <c r="AB206" s="906">
        <v>4</v>
      </c>
      <c r="AC206" s="906">
        <v>2</v>
      </c>
      <c r="AD206" s="906">
        <v>5</v>
      </c>
      <c r="AE206" s="906">
        <v>6</v>
      </c>
      <c r="AF206" s="906">
        <v>1</v>
      </c>
      <c r="AG206" s="906">
        <v>3</v>
      </c>
      <c r="AH206" s="906">
        <v>7</v>
      </c>
      <c r="AI206" s="907">
        <v>3</v>
      </c>
      <c r="AJ206" s="907">
        <v>1</v>
      </c>
      <c r="AK206" s="907">
        <v>1</v>
      </c>
      <c r="AL206" s="907">
        <v>1</v>
      </c>
      <c r="AM206" s="907">
        <v>1</v>
      </c>
      <c r="AN206" s="907">
        <v>2</v>
      </c>
      <c r="AO206" s="907">
        <v>4</v>
      </c>
      <c r="AP206" s="907">
        <v>0</v>
      </c>
      <c r="AQ206" s="907">
        <v>0</v>
      </c>
      <c r="AR206" s="907">
        <v>0</v>
      </c>
      <c r="AS206" s="907">
        <v>0</v>
      </c>
      <c r="AT206" s="907">
        <v>0</v>
      </c>
      <c r="AU206" s="907">
        <v>1</v>
      </c>
    </row>
    <row r="207" spans="1:47" hidden="1">
      <c r="A207" s="898">
        <v>206</v>
      </c>
      <c r="B207" s="899">
        <v>1</v>
      </c>
      <c r="C207" s="900">
        <v>0</v>
      </c>
      <c r="D207" s="900">
        <v>0</v>
      </c>
      <c r="E207" s="900">
        <v>1</v>
      </c>
      <c r="F207" s="900">
        <v>0</v>
      </c>
      <c r="G207" s="901">
        <v>3</v>
      </c>
      <c r="H207" s="901">
        <v>2</v>
      </c>
      <c r="I207" s="901">
        <v>4</v>
      </c>
      <c r="J207" s="901">
        <v>1</v>
      </c>
      <c r="K207" s="902">
        <v>0</v>
      </c>
      <c r="L207" s="902">
        <v>1</v>
      </c>
      <c r="M207" s="902">
        <v>0</v>
      </c>
      <c r="N207" s="902">
        <f t="shared" si="6"/>
        <v>2</v>
      </c>
      <c r="O207" s="903">
        <v>1</v>
      </c>
      <c r="P207" s="903">
        <v>0</v>
      </c>
      <c r="Q207" s="903">
        <v>0</v>
      </c>
      <c r="R207" s="903">
        <v>0</v>
      </c>
      <c r="S207" s="903">
        <f t="shared" si="7"/>
        <v>1</v>
      </c>
      <c r="T207" s="904">
        <v>1</v>
      </c>
      <c r="U207" s="905">
        <v>0</v>
      </c>
      <c r="V207" s="905">
        <v>0</v>
      </c>
      <c r="W207" s="905">
        <v>0</v>
      </c>
      <c r="X207" s="905">
        <v>0</v>
      </c>
      <c r="Y207" s="905">
        <v>0</v>
      </c>
      <c r="Z207" s="905">
        <v>1</v>
      </c>
      <c r="AA207" s="905">
        <v>0</v>
      </c>
      <c r="AB207" s="906">
        <v>2</v>
      </c>
      <c r="AC207" s="906">
        <v>3</v>
      </c>
      <c r="AD207" s="906">
        <v>7</v>
      </c>
      <c r="AE207" s="906">
        <v>5</v>
      </c>
      <c r="AF207" s="906">
        <v>1</v>
      </c>
      <c r="AG207" s="906">
        <v>4</v>
      </c>
      <c r="AH207" s="906">
        <v>6</v>
      </c>
      <c r="AI207" s="907">
        <v>1</v>
      </c>
      <c r="AJ207" s="907">
        <v>1</v>
      </c>
      <c r="AK207" s="907">
        <v>1</v>
      </c>
      <c r="AL207" s="907">
        <v>1</v>
      </c>
      <c r="AM207" s="907">
        <v>3</v>
      </c>
      <c r="AN207" s="907">
        <v>2</v>
      </c>
      <c r="AO207" s="907">
        <v>3</v>
      </c>
      <c r="AP207" s="907">
        <v>0</v>
      </c>
      <c r="AQ207" s="907">
        <v>0</v>
      </c>
      <c r="AR207" s="907">
        <v>1</v>
      </c>
      <c r="AS207" s="907">
        <v>0</v>
      </c>
      <c r="AT207" s="907">
        <v>0</v>
      </c>
      <c r="AU207" s="907">
        <v>0</v>
      </c>
    </row>
    <row r="208" spans="1:47" hidden="1">
      <c r="A208" s="898">
        <v>207</v>
      </c>
      <c r="B208" s="899">
        <v>0</v>
      </c>
      <c r="C208" s="900">
        <v>0</v>
      </c>
      <c r="D208" s="900">
        <v>1</v>
      </c>
      <c r="E208" s="900">
        <v>0</v>
      </c>
      <c r="F208" s="900">
        <v>0</v>
      </c>
      <c r="G208" s="901">
        <v>4</v>
      </c>
      <c r="H208" s="901">
        <v>2</v>
      </c>
      <c r="I208" s="901">
        <v>3</v>
      </c>
      <c r="J208" s="901">
        <v>1</v>
      </c>
      <c r="K208" s="902">
        <v>1</v>
      </c>
      <c r="L208" s="902">
        <v>0</v>
      </c>
      <c r="M208" s="902">
        <v>0</v>
      </c>
      <c r="N208" s="902">
        <f t="shared" si="6"/>
        <v>1</v>
      </c>
      <c r="O208" s="903">
        <v>1</v>
      </c>
      <c r="P208" s="903">
        <v>0</v>
      </c>
      <c r="Q208" s="903">
        <v>0</v>
      </c>
      <c r="R208" s="903">
        <v>0</v>
      </c>
      <c r="S208" s="903">
        <f t="shared" si="7"/>
        <v>1</v>
      </c>
      <c r="T208" s="904">
        <v>1</v>
      </c>
      <c r="U208" s="905">
        <v>0</v>
      </c>
      <c r="V208" s="905">
        <v>0</v>
      </c>
      <c r="W208" s="905">
        <v>0</v>
      </c>
      <c r="X208" s="905">
        <v>0</v>
      </c>
      <c r="Y208" s="905">
        <v>0</v>
      </c>
      <c r="Z208" s="905">
        <v>1</v>
      </c>
      <c r="AA208" s="905">
        <v>0</v>
      </c>
      <c r="AB208" s="906">
        <v>2</v>
      </c>
      <c r="AC208" s="906">
        <v>3</v>
      </c>
      <c r="AD208" s="906">
        <v>5</v>
      </c>
      <c r="AE208" s="906">
        <v>7</v>
      </c>
      <c r="AF208" s="906">
        <v>1</v>
      </c>
      <c r="AG208" s="906">
        <v>4</v>
      </c>
      <c r="AH208" s="906">
        <v>6</v>
      </c>
      <c r="AI208" s="907">
        <v>1</v>
      </c>
      <c r="AJ208" s="907">
        <v>1</v>
      </c>
      <c r="AK208" s="907">
        <v>2</v>
      </c>
      <c r="AL208" s="907">
        <v>2</v>
      </c>
      <c r="AM208" s="907">
        <v>2</v>
      </c>
      <c r="AN208" s="907">
        <v>2</v>
      </c>
      <c r="AO208" s="907">
        <v>3</v>
      </c>
      <c r="AP208" s="907">
        <v>0</v>
      </c>
      <c r="AQ208" s="907">
        <v>0</v>
      </c>
      <c r="AR208" s="907">
        <v>0</v>
      </c>
      <c r="AS208" s="907">
        <v>0</v>
      </c>
      <c r="AT208" s="907">
        <v>1</v>
      </c>
      <c r="AU208" s="907">
        <v>0</v>
      </c>
    </row>
    <row r="209" spans="1:47" hidden="1">
      <c r="A209" s="898">
        <v>208</v>
      </c>
      <c r="B209" s="899">
        <v>1</v>
      </c>
      <c r="C209" s="900">
        <v>0</v>
      </c>
      <c r="D209" s="900">
        <v>0</v>
      </c>
      <c r="E209" s="900">
        <v>1</v>
      </c>
      <c r="F209" s="900">
        <v>0</v>
      </c>
      <c r="G209" s="901">
        <v>2</v>
      </c>
      <c r="H209" s="901">
        <v>3</v>
      </c>
      <c r="I209" s="901">
        <v>4</v>
      </c>
      <c r="J209" s="901">
        <v>1</v>
      </c>
      <c r="K209" s="902">
        <v>1</v>
      </c>
      <c r="L209" s="902">
        <v>0</v>
      </c>
      <c r="M209" s="902">
        <v>0</v>
      </c>
      <c r="N209" s="902">
        <f t="shared" si="6"/>
        <v>1</v>
      </c>
      <c r="O209" s="903">
        <v>1</v>
      </c>
      <c r="P209" s="903">
        <v>0</v>
      </c>
      <c r="Q209" s="903">
        <v>0</v>
      </c>
      <c r="R209" s="903">
        <v>0</v>
      </c>
      <c r="S209" s="903">
        <f t="shared" si="7"/>
        <v>1</v>
      </c>
      <c r="T209" s="904">
        <v>1</v>
      </c>
      <c r="U209" s="905">
        <v>1</v>
      </c>
      <c r="V209" s="905">
        <v>0</v>
      </c>
      <c r="W209" s="905">
        <v>0</v>
      </c>
      <c r="X209" s="905">
        <v>0</v>
      </c>
      <c r="Y209" s="905">
        <v>0</v>
      </c>
      <c r="Z209" s="905">
        <v>0</v>
      </c>
      <c r="AA209" s="905">
        <v>1</v>
      </c>
      <c r="AB209" s="906">
        <v>6</v>
      </c>
      <c r="AC209" s="906">
        <v>3</v>
      </c>
      <c r="AD209" s="906">
        <v>4</v>
      </c>
      <c r="AE209" s="906">
        <v>7</v>
      </c>
      <c r="AF209" s="906">
        <v>1</v>
      </c>
      <c r="AG209" s="906">
        <v>2</v>
      </c>
      <c r="AH209" s="906">
        <v>5</v>
      </c>
      <c r="AI209" s="907">
        <v>2</v>
      </c>
      <c r="AJ209" s="907">
        <v>2</v>
      </c>
      <c r="AK209" s="907">
        <v>1</v>
      </c>
      <c r="AL209" s="907">
        <v>1</v>
      </c>
      <c r="AM209" s="907">
        <v>1</v>
      </c>
      <c r="AN209" s="907">
        <v>2</v>
      </c>
      <c r="AO209" s="907">
        <v>3</v>
      </c>
      <c r="AP209" s="907">
        <v>0</v>
      </c>
      <c r="AQ209" s="907">
        <v>1</v>
      </c>
      <c r="AR209" s="907">
        <v>0</v>
      </c>
      <c r="AS209" s="907">
        <v>0</v>
      </c>
      <c r="AT209" s="907">
        <v>0</v>
      </c>
      <c r="AU209" s="907">
        <v>0</v>
      </c>
    </row>
    <row r="210" spans="1:47" hidden="1">
      <c r="A210" s="898">
        <v>209</v>
      </c>
      <c r="B210" s="899">
        <v>1</v>
      </c>
      <c r="C210" s="900">
        <v>0</v>
      </c>
      <c r="D210" s="900">
        <v>1</v>
      </c>
      <c r="E210" s="900">
        <v>0</v>
      </c>
      <c r="F210" s="900">
        <v>0</v>
      </c>
      <c r="G210" s="901">
        <v>3</v>
      </c>
      <c r="H210" s="901">
        <v>4</v>
      </c>
      <c r="I210" s="901">
        <v>2</v>
      </c>
      <c r="J210" s="901">
        <v>1</v>
      </c>
      <c r="K210" s="902">
        <v>0</v>
      </c>
      <c r="L210" s="902">
        <v>1</v>
      </c>
      <c r="M210" s="902">
        <v>0</v>
      </c>
      <c r="N210" s="902">
        <f t="shared" si="6"/>
        <v>2</v>
      </c>
      <c r="O210" s="903">
        <v>1</v>
      </c>
      <c r="P210" s="903">
        <v>0</v>
      </c>
      <c r="Q210" s="903">
        <v>0</v>
      </c>
      <c r="R210" s="903">
        <v>0</v>
      </c>
      <c r="S210" s="903">
        <f t="shared" si="7"/>
        <v>1</v>
      </c>
      <c r="T210" s="904">
        <v>1</v>
      </c>
      <c r="U210" s="905">
        <v>0</v>
      </c>
      <c r="V210" s="905">
        <v>0</v>
      </c>
      <c r="W210" s="905">
        <v>1</v>
      </c>
      <c r="X210" s="905">
        <v>0</v>
      </c>
      <c r="Y210" s="905">
        <v>0</v>
      </c>
      <c r="Z210" s="905">
        <v>1</v>
      </c>
      <c r="AA210" s="905">
        <v>0</v>
      </c>
      <c r="AB210" s="906">
        <v>4</v>
      </c>
      <c r="AC210" s="906">
        <v>3</v>
      </c>
      <c r="AD210" s="906">
        <v>5</v>
      </c>
      <c r="AE210" s="906">
        <v>7</v>
      </c>
      <c r="AF210" s="906">
        <v>1</v>
      </c>
      <c r="AG210" s="906">
        <v>2</v>
      </c>
      <c r="AH210" s="906">
        <v>6</v>
      </c>
      <c r="AI210" s="907">
        <v>1</v>
      </c>
      <c r="AJ210" s="907">
        <v>2</v>
      </c>
      <c r="AK210" s="907">
        <v>1</v>
      </c>
      <c r="AL210" s="907">
        <v>1</v>
      </c>
      <c r="AM210" s="907">
        <v>2</v>
      </c>
      <c r="AN210" s="907">
        <v>2</v>
      </c>
      <c r="AO210" s="907">
        <v>3</v>
      </c>
      <c r="AP210" s="907">
        <v>0</v>
      </c>
      <c r="AQ210" s="907">
        <v>0</v>
      </c>
      <c r="AR210" s="907">
        <v>0</v>
      </c>
      <c r="AS210" s="907">
        <v>0</v>
      </c>
      <c r="AT210" s="907">
        <v>0</v>
      </c>
      <c r="AU210" s="907">
        <v>1</v>
      </c>
    </row>
    <row r="211" spans="1:47" hidden="1">
      <c r="A211" s="898">
        <v>210</v>
      </c>
      <c r="B211" s="899">
        <v>1</v>
      </c>
      <c r="C211" s="900">
        <v>0</v>
      </c>
      <c r="D211" s="900">
        <v>1</v>
      </c>
      <c r="E211" s="900">
        <v>0</v>
      </c>
      <c r="F211" s="900">
        <v>0</v>
      </c>
      <c r="G211" s="901">
        <v>3</v>
      </c>
      <c r="H211" s="901">
        <v>4</v>
      </c>
      <c r="I211" s="901">
        <v>1</v>
      </c>
      <c r="J211" s="901">
        <v>2</v>
      </c>
      <c r="K211" s="902">
        <v>0</v>
      </c>
      <c r="L211" s="902">
        <v>0</v>
      </c>
      <c r="M211" s="902">
        <v>1</v>
      </c>
      <c r="N211" s="902">
        <f t="shared" si="6"/>
        <v>3</v>
      </c>
      <c r="O211" s="908">
        <v>0</v>
      </c>
      <c r="P211" s="908">
        <v>1</v>
      </c>
      <c r="Q211" s="908">
        <v>0</v>
      </c>
      <c r="R211" s="908">
        <v>0</v>
      </c>
      <c r="S211" s="903">
        <f t="shared" si="7"/>
        <v>2</v>
      </c>
      <c r="T211" s="904">
        <v>1</v>
      </c>
      <c r="U211" s="905">
        <v>1</v>
      </c>
      <c r="V211" s="905">
        <v>0</v>
      </c>
      <c r="W211" s="905">
        <v>0</v>
      </c>
      <c r="X211" s="905">
        <v>0</v>
      </c>
      <c r="Y211" s="905">
        <v>0</v>
      </c>
      <c r="Z211" s="905">
        <v>0</v>
      </c>
      <c r="AA211" s="905">
        <v>0</v>
      </c>
      <c r="AB211" s="906">
        <v>2</v>
      </c>
      <c r="AC211" s="906">
        <v>3</v>
      </c>
      <c r="AD211" s="906">
        <v>5</v>
      </c>
      <c r="AE211" s="906">
        <v>7</v>
      </c>
      <c r="AF211" s="906">
        <v>1</v>
      </c>
      <c r="AG211" s="906">
        <v>4</v>
      </c>
      <c r="AH211" s="906">
        <v>6</v>
      </c>
      <c r="AI211" s="907">
        <v>2</v>
      </c>
      <c r="AJ211" s="907">
        <v>2</v>
      </c>
      <c r="AK211" s="907">
        <v>1</v>
      </c>
      <c r="AL211" s="907">
        <v>1</v>
      </c>
      <c r="AM211" s="907">
        <v>1</v>
      </c>
      <c r="AN211" s="907">
        <v>1</v>
      </c>
      <c r="AO211" s="907">
        <v>2</v>
      </c>
      <c r="AP211" s="907">
        <v>0</v>
      </c>
      <c r="AQ211" s="907">
        <v>0</v>
      </c>
      <c r="AR211" s="907">
        <v>0</v>
      </c>
      <c r="AS211" s="907">
        <v>1</v>
      </c>
      <c r="AT211" s="907">
        <v>0</v>
      </c>
      <c r="AU211" s="907">
        <v>0</v>
      </c>
    </row>
    <row r="212" spans="1:47" hidden="1">
      <c r="A212" s="898">
        <v>211</v>
      </c>
      <c r="B212" s="899">
        <v>1</v>
      </c>
      <c r="C212" s="900">
        <v>0</v>
      </c>
      <c r="D212" s="900">
        <v>0</v>
      </c>
      <c r="E212" s="900">
        <v>1</v>
      </c>
      <c r="F212" s="900">
        <v>0</v>
      </c>
      <c r="G212" s="901">
        <v>3</v>
      </c>
      <c r="H212" s="901">
        <v>4</v>
      </c>
      <c r="I212" s="901">
        <v>2</v>
      </c>
      <c r="J212" s="901">
        <v>1</v>
      </c>
      <c r="K212" s="902">
        <v>1</v>
      </c>
      <c r="L212" s="902">
        <v>0</v>
      </c>
      <c r="M212" s="902">
        <v>0</v>
      </c>
      <c r="N212" s="902">
        <f t="shared" si="6"/>
        <v>1</v>
      </c>
      <c r="O212" s="903">
        <v>1</v>
      </c>
      <c r="P212" s="903">
        <v>0</v>
      </c>
      <c r="Q212" s="903">
        <v>0</v>
      </c>
      <c r="R212" s="903">
        <v>0</v>
      </c>
      <c r="S212" s="903">
        <f t="shared" si="7"/>
        <v>1</v>
      </c>
      <c r="T212" s="904">
        <v>1</v>
      </c>
      <c r="U212" s="905">
        <v>0</v>
      </c>
      <c r="V212" s="905">
        <v>0</v>
      </c>
      <c r="W212" s="905">
        <v>0</v>
      </c>
      <c r="X212" s="905">
        <v>0</v>
      </c>
      <c r="Y212" s="905">
        <v>0</v>
      </c>
      <c r="Z212" s="905">
        <v>1</v>
      </c>
      <c r="AA212" s="905">
        <v>0</v>
      </c>
      <c r="AB212" s="906">
        <v>4</v>
      </c>
      <c r="AC212" s="906">
        <v>2</v>
      </c>
      <c r="AD212" s="906">
        <v>6</v>
      </c>
      <c r="AE212" s="906">
        <v>5</v>
      </c>
      <c r="AF212" s="906">
        <v>3</v>
      </c>
      <c r="AG212" s="906">
        <v>1</v>
      </c>
      <c r="AH212" s="906">
        <v>7</v>
      </c>
      <c r="AI212" s="907">
        <v>1</v>
      </c>
      <c r="AJ212" s="907">
        <v>1</v>
      </c>
      <c r="AK212" s="907">
        <v>1</v>
      </c>
      <c r="AL212" s="907">
        <v>1</v>
      </c>
      <c r="AM212" s="907">
        <v>2</v>
      </c>
      <c r="AN212" s="907">
        <v>2</v>
      </c>
      <c r="AO212" s="907">
        <v>3</v>
      </c>
      <c r="AP212" s="907">
        <v>1</v>
      </c>
      <c r="AQ212" s="907">
        <v>0</v>
      </c>
      <c r="AR212" s="907">
        <v>0</v>
      </c>
      <c r="AS212" s="907">
        <v>0</v>
      </c>
      <c r="AT212" s="907">
        <v>0</v>
      </c>
      <c r="AU212" s="907">
        <v>0</v>
      </c>
    </row>
    <row r="213" spans="1:47" hidden="1">
      <c r="A213" s="898">
        <v>212</v>
      </c>
      <c r="B213" s="899">
        <v>1</v>
      </c>
      <c r="C213" s="900">
        <v>0</v>
      </c>
      <c r="D213" s="900">
        <v>1</v>
      </c>
      <c r="E213" s="900">
        <v>0</v>
      </c>
      <c r="F213" s="900">
        <v>0</v>
      </c>
      <c r="G213" s="901">
        <v>1</v>
      </c>
      <c r="H213" s="901">
        <v>4</v>
      </c>
      <c r="I213" s="901">
        <v>3</v>
      </c>
      <c r="J213" s="901">
        <v>2</v>
      </c>
      <c r="K213" s="902">
        <v>1</v>
      </c>
      <c r="L213" s="902">
        <v>0</v>
      </c>
      <c r="M213" s="902">
        <v>0</v>
      </c>
      <c r="N213" s="902">
        <f t="shared" si="6"/>
        <v>1</v>
      </c>
      <c r="O213" s="903">
        <v>1</v>
      </c>
      <c r="P213" s="903">
        <v>0</v>
      </c>
      <c r="Q213" s="903">
        <v>0</v>
      </c>
      <c r="R213" s="903">
        <v>0</v>
      </c>
      <c r="S213" s="903">
        <f t="shared" si="7"/>
        <v>1</v>
      </c>
      <c r="T213" s="904">
        <v>1</v>
      </c>
      <c r="U213" s="905">
        <v>1</v>
      </c>
      <c r="V213" s="905">
        <v>0</v>
      </c>
      <c r="W213" s="905">
        <v>0</v>
      </c>
      <c r="X213" s="905">
        <v>1</v>
      </c>
      <c r="Y213" s="905">
        <v>0</v>
      </c>
      <c r="Z213" s="905">
        <v>0</v>
      </c>
      <c r="AA213" s="905">
        <v>1</v>
      </c>
      <c r="AB213" s="906">
        <v>4</v>
      </c>
      <c r="AC213" s="906">
        <v>2</v>
      </c>
      <c r="AD213" s="906">
        <v>5</v>
      </c>
      <c r="AE213" s="906">
        <v>7</v>
      </c>
      <c r="AF213" s="906">
        <v>1</v>
      </c>
      <c r="AG213" s="906">
        <v>3</v>
      </c>
      <c r="AH213" s="906">
        <v>6</v>
      </c>
      <c r="AI213" s="907">
        <v>2</v>
      </c>
      <c r="AJ213" s="907">
        <v>1</v>
      </c>
      <c r="AK213" s="907">
        <v>2</v>
      </c>
      <c r="AL213" s="907">
        <v>1</v>
      </c>
      <c r="AM213" s="907">
        <v>1</v>
      </c>
      <c r="AN213" s="907">
        <v>1</v>
      </c>
      <c r="AO213" s="907">
        <v>3</v>
      </c>
      <c r="AP213" s="907">
        <v>0</v>
      </c>
      <c r="AQ213" s="907">
        <v>0</v>
      </c>
      <c r="AR213" s="907">
        <v>0</v>
      </c>
      <c r="AS213" s="907">
        <v>0</v>
      </c>
      <c r="AT213" s="907">
        <v>0</v>
      </c>
      <c r="AU213" s="907">
        <v>1</v>
      </c>
    </row>
    <row r="214" spans="1:47" hidden="1">
      <c r="A214" s="898">
        <v>213</v>
      </c>
      <c r="B214" s="899">
        <v>0</v>
      </c>
      <c r="C214" s="900">
        <v>0</v>
      </c>
      <c r="D214" s="900">
        <v>0</v>
      </c>
      <c r="E214" s="900">
        <v>1</v>
      </c>
      <c r="F214" s="900">
        <v>0</v>
      </c>
      <c r="G214" s="901">
        <v>2</v>
      </c>
      <c r="H214" s="901">
        <v>3</v>
      </c>
      <c r="I214" s="901">
        <v>4</v>
      </c>
      <c r="J214" s="901">
        <v>1</v>
      </c>
      <c r="K214" s="902">
        <v>0</v>
      </c>
      <c r="L214" s="902">
        <v>0</v>
      </c>
      <c r="M214" s="902">
        <v>1</v>
      </c>
      <c r="N214" s="902">
        <f t="shared" si="6"/>
        <v>3</v>
      </c>
      <c r="O214" s="908">
        <v>1</v>
      </c>
      <c r="P214" s="908">
        <v>0</v>
      </c>
      <c r="Q214" s="908">
        <v>0</v>
      </c>
      <c r="R214" s="908">
        <v>0</v>
      </c>
      <c r="S214" s="903">
        <f t="shared" si="7"/>
        <v>1</v>
      </c>
      <c r="T214" s="904">
        <v>1</v>
      </c>
      <c r="U214" s="905">
        <v>1</v>
      </c>
      <c r="V214" s="905">
        <v>0</v>
      </c>
      <c r="W214" s="905">
        <v>0</v>
      </c>
      <c r="X214" s="905">
        <v>0</v>
      </c>
      <c r="Y214" s="905">
        <v>0</v>
      </c>
      <c r="Z214" s="905">
        <v>0</v>
      </c>
      <c r="AA214" s="905">
        <v>0</v>
      </c>
      <c r="AB214" s="906">
        <v>4</v>
      </c>
      <c r="AC214" s="906">
        <v>3</v>
      </c>
      <c r="AD214" s="906">
        <v>6</v>
      </c>
      <c r="AE214" s="906">
        <v>5</v>
      </c>
      <c r="AF214" s="906">
        <v>1</v>
      </c>
      <c r="AG214" s="906">
        <v>2</v>
      </c>
      <c r="AH214" s="906">
        <v>7</v>
      </c>
      <c r="AI214" s="907">
        <v>2</v>
      </c>
      <c r="AJ214" s="907">
        <v>2</v>
      </c>
      <c r="AK214" s="907">
        <v>2</v>
      </c>
      <c r="AL214" s="907">
        <v>1</v>
      </c>
      <c r="AM214" s="907">
        <v>1</v>
      </c>
      <c r="AN214" s="907">
        <v>2</v>
      </c>
      <c r="AO214" s="907">
        <v>2</v>
      </c>
      <c r="AP214" s="907">
        <v>0</v>
      </c>
      <c r="AQ214" s="907">
        <v>0</v>
      </c>
      <c r="AR214" s="907">
        <v>0</v>
      </c>
      <c r="AS214" s="907">
        <v>0</v>
      </c>
      <c r="AT214" s="907">
        <v>0</v>
      </c>
      <c r="AU214" s="907">
        <v>1</v>
      </c>
    </row>
    <row r="215" spans="1:47" hidden="1">
      <c r="A215" s="898">
        <v>214</v>
      </c>
      <c r="B215" s="899">
        <v>1</v>
      </c>
      <c r="C215" s="900">
        <v>0</v>
      </c>
      <c r="D215" s="900">
        <v>1</v>
      </c>
      <c r="E215" s="900">
        <v>0</v>
      </c>
      <c r="F215" s="900">
        <v>0</v>
      </c>
      <c r="G215" s="901">
        <v>3</v>
      </c>
      <c r="H215" s="901">
        <v>2</v>
      </c>
      <c r="I215" s="901">
        <v>4</v>
      </c>
      <c r="J215" s="901">
        <v>1</v>
      </c>
      <c r="K215" s="902">
        <v>1</v>
      </c>
      <c r="L215" s="902">
        <v>0</v>
      </c>
      <c r="M215" s="902">
        <v>0</v>
      </c>
      <c r="N215" s="902">
        <f t="shared" si="6"/>
        <v>1</v>
      </c>
      <c r="O215" s="903">
        <v>1</v>
      </c>
      <c r="P215" s="903">
        <v>0</v>
      </c>
      <c r="Q215" s="903">
        <v>0</v>
      </c>
      <c r="R215" s="903">
        <v>0</v>
      </c>
      <c r="S215" s="903">
        <f t="shared" si="7"/>
        <v>1</v>
      </c>
      <c r="T215" s="904">
        <v>1</v>
      </c>
      <c r="U215" s="905">
        <v>0</v>
      </c>
      <c r="V215" s="905">
        <v>0</v>
      </c>
      <c r="W215" s="905">
        <v>0</v>
      </c>
      <c r="X215" s="905">
        <v>0</v>
      </c>
      <c r="Y215" s="905">
        <v>0</v>
      </c>
      <c r="Z215" s="905">
        <v>1</v>
      </c>
      <c r="AA215" s="905">
        <v>0</v>
      </c>
      <c r="AB215" s="906">
        <v>7</v>
      </c>
      <c r="AC215" s="906">
        <v>3</v>
      </c>
      <c r="AD215" s="906">
        <v>5</v>
      </c>
      <c r="AE215" s="906">
        <v>6</v>
      </c>
      <c r="AF215" s="906">
        <v>1</v>
      </c>
      <c r="AG215" s="906">
        <v>2</v>
      </c>
      <c r="AH215" s="906">
        <v>4</v>
      </c>
      <c r="AI215" s="907">
        <v>1</v>
      </c>
      <c r="AJ215" s="907">
        <v>2</v>
      </c>
      <c r="AK215" s="907">
        <v>1</v>
      </c>
      <c r="AL215" s="907">
        <v>1</v>
      </c>
      <c r="AM215" s="907">
        <v>2</v>
      </c>
      <c r="AN215" s="907">
        <v>2</v>
      </c>
      <c r="AO215" s="907">
        <v>3</v>
      </c>
      <c r="AP215" s="907">
        <v>1</v>
      </c>
      <c r="AQ215" s="907">
        <v>0</v>
      </c>
      <c r="AR215" s="907">
        <v>0</v>
      </c>
      <c r="AS215" s="907">
        <v>0</v>
      </c>
      <c r="AT215" s="907">
        <v>0</v>
      </c>
      <c r="AU215" s="907">
        <v>0</v>
      </c>
    </row>
    <row r="216" spans="1:47" hidden="1">
      <c r="A216" s="898">
        <v>215</v>
      </c>
      <c r="B216" s="899">
        <v>0</v>
      </c>
      <c r="C216" s="900">
        <v>0</v>
      </c>
      <c r="D216" s="900">
        <v>1</v>
      </c>
      <c r="E216" s="900">
        <v>0</v>
      </c>
      <c r="F216" s="900">
        <v>0</v>
      </c>
      <c r="G216" s="901">
        <v>1</v>
      </c>
      <c r="H216" s="901">
        <v>2</v>
      </c>
      <c r="I216" s="901">
        <v>4</v>
      </c>
      <c r="J216" s="901">
        <v>3</v>
      </c>
      <c r="K216" s="902">
        <v>0</v>
      </c>
      <c r="L216" s="902">
        <v>0</v>
      </c>
      <c r="M216" s="902">
        <v>1</v>
      </c>
      <c r="N216" s="902">
        <f t="shared" si="6"/>
        <v>3</v>
      </c>
      <c r="O216" s="908">
        <v>1</v>
      </c>
      <c r="P216" s="908">
        <v>0</v>
      </c>
      <c r="Q216" s="908">
        <v>0</v>
      </c>
      <c r="R216" s="908">
        <v>0</v>
      </c>
      <c r="S216" s="903">
        <f t="shared" si="7"/>
        <v>1</v>
      </c>
      <c r="T216" s="904">
        <v>1</v>
      </c>
      <c r="U216" s="905">
        <v>1</v>
      </c>
      <c r="V216" s="905">
        <v>0</v>
      </c>
      <c r="W216" s="905">
        <v>0</v>
      </c>
      <c r="X216" s="905">
        <v>0</v>
      </c>
      <c r="Y216" s="905">
        <v>0</v>
      </c>
      <c r="Z216" s="905">
        <v>0</v>
      </c>
      <c r="AA216" s="905">
        <v>0</v>
      </c>
      <c r="AB216" s="906">
        <v>7</v>
      </c>
      <c r="AC216" s="906">
        <v>3</v>
      </c>
      <c r="AD216" s="906">
        <v>4</v>
      </c>
      <c r="AE216" s="906">
        <v>5</v>
      </c>
      <c r="AF216" s="906">
        <v>1</v>
      </c>
      <c r="AG216" s="906">
        <v>2</v>
      </c>
      <c r="AH216" s="906">
        <v>6</v>
      </c>
      <c r="AI216" s="907">
        <v>3</v>
      </c>
      <c r="AJ216" s="907">
        <v>2</v>
      </c>
      <c r="AK216" s="907">
        <v>1</v>
      </c>
      <c r="AL216" s="907">
        <v>1</v>
      </c>
      <c r="AM216" s="907">
        <v>1</v>
      </c>
      <c r="AN216" s="907">
        <v>2</v>
      </c>
      <c r="AO216" s="907">
        <v>2</v>
      </c>
      <c r="AP216" s="907">
        <v>0</v>
      </c>
      <c r="AQ216" s="907">
        <v>0</v>
      </c>
      <c r="AR216" s="907">
        <v>0</v>
      </c>
      <c r="AS216" s="907">
        <v>1</v>
      </c>
      <c r="AT216" s="907">
        <v>0</v>
      </c>
      <c r="AU216" s="907">
        <v>0</v>
      </c>
    </row>
    <row r="217" spans="1:47" hidden="1">
      <c r="A217" s="898">
        <v>216</v>
      </c>
      <c r="B217" s="899">
        <v>1</v>
      </c>
      <c r="C217" s="900">
        <v>0</v>
      </c>
      <c r="D217" s="900">
        <v>1</v>
      </c>
      <c r="E217" s="900">
        <v>0</v>
      </c>
      <c r="F217" s="900">
        <v>0</v>
      </c>
      <c r="G217" s="901">
        <v>1</v>
      </c>
      <c r="H217" s="901">
        <v>2</v>
      </c>
      <c r="I217" s="901">
        <v>4</v>
      </c>
      <c r="J217" s="901">
        <v>3</v>
      </c>
      <c r="K217" s="902">
        <v>1</v>
      </c>
      <c r="L217" s="902">
        <v>0</v>
      </c>
      <c r="M217" s="902">
        <v>0</v>
      </c>
      <c r="N217" s="902">
        <f t="shared" si="6"/>
        <v>1</v>
      </c>
      <c r="O217" s="903">
        <v>1</v>
      </c>
      <c r="P217" s="903">
        <v>0</v>
      </c>
      <c r="Q217" s="903">
        <v>0</v>
      </c>
      <c r="R217" s="903">
        <v>0</v>
      </c>
      <c r="S217" s="903">
        <f t="shared" si="7"/>
        <v>1</v>
      </c>
      <c r="T217" s="904">
        <v>1</v>
      </c>
      <c r="U217" s="905">
        <v>1</v>
      </c>
      <c r="V217" s="905">
        <v>0</v>
      </c>
      <c r="W217" s="905">
        <v>0</v>
      </c>
      <c r="X217" s="905">
        <v>0</v>
      </c>
      <c r="Y217" s="905">
        <v>0</v>
      </c>
      <c r="Z217" s="905">
        <v>0</v>
      </c>
      <c r="AA217" s="905">
        <v>1</v>
      </c>
      <c r="AB217" s="906">
        <v>7</v>
      </c>
      <c r="AC217" s="906">
        <v>3</v>
      </c>
      <c r="AD217" s="906">
        <v>4</v>
      </c>
      <c r="AE217" s="906">
        <v>6</v>
      </c>
      <c r="AF217" s="906">
        <v>1</v>
      </c>
      <c r="AG217" s="906">
        <v>2</v>
      </c>
      <c r="AH217" s="906">
        <v>5</v>
      </c>
      <c r="AI217" s="907">
        <v>2</v>
      </c>
      <c r="AJ217" s="907">
        <v>2</v>
      </c>
      <c r="AK217" s="907">
        <v>1</v>
      </c>
      <c r="AL217" s="907">
        <v>1</v>
      </c>
      <c r="AM217" s="907">
        <v>1</v>
      </c>
      <c r="AN217" s="907">
        <v>1</v>
      </c>
      <c r="AO217" s="907">
        <v>4</v>
      </c>
      <c r="AP217" s="907">
        <v>0</v>
      </c>
      <c r="AQ217" s="907">
        <v>1</v>
      </c>
      <c r="AR217" s="907">
        <v>0</v>
      </c>
      <c r="AS217" s="907">
        <v>0</v>
      </c>
      <c r="AT217" s="907">
        <v>0</v>
      </c>
      <c r="AU217" s="907">
        <v>0</v>
      </c>
    </row>
    <row r="218" spans="1:47" hidden="1">
      <c r="A218" s="898">
        <v>217</v>
      </c>
      <c r="B218" s="899">
        <v>1</v>
      </c>
      <c r="C218" s="900">
        <v>0</v>
      </c>
      <c r="D218" s="900">
        <v>0</v>
      </c>
      <c r="E218" s="900">
        <v>0</v>
      </c>
      <c r="F218" s="900">
        <v>1</v>
      </c>
      <c r="G218" s="901">
        <v>4</v>
      </c>
      <c r="H218" s="901">
        <v>1</v>
      </c>
      <c r="I218" s="901">
        <v>3</v>
      </c>
      <c r="J218" s="901">
        <v>2</v>
      </c>
      <c r="K218" s="902">
        <v>0</v>
      </c>
      <c r="L218" s="902">
        <v>0</v>
      </c>
      <c r="M218" s="902">
        <v>1</v>
      </c>
      <c r="N218" s="902">
        <f t="shared" si="6"/>
        <v>3</v>
      </c>
      <c r="O218" s="908">
        <v>0</v>
      </c>
      <c r="P218" s="908">
        <v>0</v>
      </c>
      <c r="Q218" s="908">
        <v>0</v>
      </c>
      <c r="R218" s="908">
        <v>1</v>
      </c>
      <c r="S218" s="903">
        <f t="shared" si="7"/>
        <v>4</v>
      </c>
      <c r="T218" s="904">
        <v>0</v>
      </c>
      <c r="U218" s="905">
        <v>1</v>
      </c>
      <c r="V218" s="905">
        <v>0</v>
      </c>
      <c r="W218" s="905">
        <v>0</v>
      </c>
      <c r="X218" s="905">
        <v>0</v>
      </c>
      <c r="Y218" s="905">
        <v>0</v>
      </c>
      <c r="Z218" s="905">
        <v>0</v>
      </c>
      <c r="AA218" s="905">
        <v>0</v>
      </c>
      <c r="AB218" s="906">
        <v>4</v>
      </c>
      <c r="AC218" s="906">
        <v>2</v>
      </c>
      <c r="AD218" s="906">
        <v>5</v>
      </c>
      <c r="AE218" s="906">
        <v>6</v>
      </c>
      <c r="AF218" s="906">
        <v>1</v>
      </c>
      <c r="AG218" s="906">
        <v>3</v>
      </c>
      <c r="AH218" s="906">
        <v>7</v>
      </c>
      <c r="AI218" s="907">
        <v>3</v>
      </c>
      <c r="AJ218" s="907">
        <v>1</v>
      </c>
      <c r="AK218" s="907">
        <v>1</v>
      </c>
      <c r="AL218" s="907">
        <v>1</v>
      </c>
      <c r="AM218" s="907">
        <v>1</v>
      </c>
      <c r="AN218" s="907">
        <v>2</v>
      </c>
      <c r="AO218" s="907">
        <v>4</v>
      </c>
      <c r="AP218" s="907">
        <v>0</v>
      </c>
      <c r="AQ218" s="907">
        <v>0</v>
      </c>
      <c r="AR218" s="907">
        <v>0</v>
      </c>
      <c r="AS218" s="907">
        <v>0</v>
      </c>
      <c r="AT218" s="907">
        <v>0</v>
      </c>
      <c r="AU218" s="907">
        <v>1</v>
      </c>
    </row>
    <row r="219" spans="1:47" hidden="1">
      <c r="A219" s="898">
        <v>218</v>
      </c>
      <c r="B219" s="899">
        <v>1</v>
      </c>
      <c r="C219" s="900">
        <v>0</v>
      </c>
      <c r="D219" s="900">
        <v>0</v>
      </c>
      <c r="E219" s="900">
        <v>1</v>
      </c>
      <c r="F219" s="900">
        <v>0</v>
      </c>
      <c r="G219" s="901">
        <v>3</v>
      </c>
      <c r="H219" s="901">
        <v>2</v>
      </c>
      <c r="I219" s="901">
        <v>4</v>
      </c>
      <c r="J219" s="901">
        <v>1</v>
      </c>
      <c r="K219" s="902">
        <v>0</v>
      </c>
      <c r="L219" s="902">
        <v>1</v>
      </c>
      <c r="M219" s="902">
        <v>0</v>
      </c>
      <c r="N219" s="902">
        <f t="shared" si="6"/>
        <v>2</v>
      </c>
      <c r="O219" s="903">
        <v>1</v>
      </c>
      <c r="P219" s="903">
        <v>0</v>
      </c>
      <c r="Q219" s="903">
        <v>0</v>
      </c>
      <c r="R219" s="903">
        <v>0</v>
      </c>
      <c r="S219" s="903">
        <f t="shared" si="7"/>
        <v>1</v>
      </c>
      <c r="T219" s="904">
        <v>1</v>
      </c>
      <c r="U219" s="905">
        <v>0</v>
      </c>
      <c r="V219" s="905">
        <v>0</v>
      </c>
      <c r="W219" s="905">
        <v>0</v>
      </c>
      <c r="X219" s="905">
        <v>0</v>
      </c>
      <c r="Y219" s="905">
        <v>0</v>
      </c>
      <c r="Z219" s="905">
        <v>1</v>
      </c>
      <c r="AA219" s="905">
        <v>0</v>
      </c>
      <c r="AB219" s="906">
        <v>2</v>
      </c>
      <c r="AC219" s="906">
        <v>3</v>
      </c>
      <c r="AD219" s="906">
        <v>7</v>
      </c>
      <c r="AE219" s="906">
        <v>5</v>
      </c>
      <c r="AF219" s="906">
        <v>1</v>
      </c>
      <c r="AG219" s="906">
        <v>4</v>
      </c>
      <c r="AH219" s="906">
        <v>6</v>
      </c>
      <c r="AI219" s="907">
        <v>1</v>
      </c>
      <c r="AJ219" s="907">
        <v>1</v>
      </c>
      <c r="AK219" s="907">
        <v>1</v>
      </c>
      <c r="AL219" s="907">
        <v>1</v>
      </c>
      <c r="AM219" s="907">
        <v>3</v>
      </c>
      <c r="AN219" s="907">
        <v>2</v>
      </c>
      <c r="AO219" s="907">
        <v>3</v>
      </c>
      <c r="AP219" s="907">
        <v>0</v>
      </c>
      <c r="AQ219" s="907">
        <v>0</v>
      </c>
      <c r="AR219" s="907">
        <v>1</v>
      </c>
      <c r="AS219" s="907">
        <v>0</v>
      </c>
      <c r="AT219" s="907">
        <v>0</v>
      </c>
      <c r="AU219" s="907">
        <v>0</v>
      </c>
    </row>
    <row r="220" spans="1:47" hidden="1">
      <c r="A220" s="898">
        <v>219</v>
      </c>
      <c r="B220" s="899">
        <v>0</v>
      </c>
      <c r="C220" s="900">
        <v>0</v>
      </c>
      <c r="D220" s="900">
        <v>1</v>
      </c>
      <c r="E220" s="900">
        <v>0</v>
      </c>
      <c r="F220" s="900">
        <v>0</v>
      </c>
      <c r="G220" s="901">
        <v>4</v>
      </c>
      <c r="H220" s="901">
        <v>2</v>
      </c>
      <c r="I220" s="901">
        <v>3</v>
      </c>
      <c r="J220" s="901">
        <v>1</v>
      </c>
      <c r="K220" s="902">
        <v>1</v>
      </c>
      <c r="L220" s="902">
        <v>0</v>
      </c>
      <c r="M220" s="902">
        <v>0</v>
      </c>
      <c r="N220" s="902">
        <f t="shared" si="6"/>
        <v>1</v>
      </c>
      <c r="O220" s="903">
        <v>1</v>
      </c>
      <c r="P220" s="903">
        <v>0</v>
      </c>
      <c r="Q220" s="903">
        <v>0</v>
      </c>
      <c r="R220" s="903">
        <v>0</v>
      </c>
      <c r="S220" s="903">
        <f t="shared" si="7"/>
        <v>1</v>
      </c>
      <c r="T220" s="904">
        <v>1</v>
      </c>
      <c r="U220" s="905">
        <v>0</v>
      </c>
      <c r="V220" s="905">
        <v>0</v>
      </c>
      <c r="W220" s="905">
        <v>0</v>
      </c>
      <c r="X220" s="905">
        <v>0</v>
      </c>
      <c r="Y220" s="905">
        <v>0</v>
      </c>
      <c r="Z220" s="905">
        <v>1</v>
      </c>
      <c r="AA220" s="905">
        <v>0</v>
      </c>
      <c r="AB220" s="906">
        <v>2</v>
      </c>
      <c r="AC220" s="906">
        <v>3</v>
      </c>
      <c r="AD220" s="906">
        <v>5</v>
      </c>
      <c r="AE220" s="906">
        <v>7</v>
      </c>
      <c r="AF220" s="906">
        <v>1</v>
      </c>
      <c r="AG220" s="906">
        <v>4</v>
      </c>
      <c r="AH220" s="906">
        <v>6</v>
      </c>
      <c r="AI220" s="907">
        <v>1</v>
      </c>
      <c r="AJ220" s="907">
        <v>1</v>
      </c>
      <c r="AK220" s="907">
        <v>2</v>
      </c>
      <c r="AL220" s="907">
        <v>2</v>
      </c>
      <c r="AM220" s="907">
        <v>2</v>
      </c>
      <c r="AN220" s="907">
        <v>2</v>
      </c>
      <c r="AO220" s="907">
        <v>3</v>
      </c>
      <c r="AP220" s="907">
        <v>0</v>
      </c>
      <c r="AQ220" s="907">
        <v>0</v>
      </c>
      <c r="AR220" s="907">
        <v>0</v>
      </c>
      <c r="AS220" s="907">
        <v>0</v>
      </c>
      <c r="AT220" s="907">
        <v>1</v>
      </c>
      <c r="AU220" s="907">
        <v>0</v>
      </c>
    </row>
    <row r="221" spans="1:47" hidden="1">
      <c r="A221" s="898">
        <v>220</v>
      </c>
      <c r="B221" s="899">
        <v>1</v>
      </c>
      <c r="C221" s="900">
        <v>0</v>
      </c>
      <c r="D221" s="900">
        <v>0</v>
      </c>
      <c r="E221" s="900">
        <v>1</v>
      </c>
      <c r="F221" s="900">
        <v>0</v>
      </c>
      <c r="G221" s="901">
        <v>2</v>
      </c>
      <c r="H221" s="901">
        <v>3</v>
      </c>
      <c r="I221" s="901">
        <v>4</v>
      </c>
      <c r="J221" s="901">
        <v>1</v>
      </c>
      <c r="K221" s="902">
        <v>1</v>
      </c>
      <c r="L221" s="902">
        <v>0</v>
      </c>
      <c r="M221" s="902">
        <v>0</v>
      </c>
      <c r="N221" s="902">
        <f t="shared" si="6"/>
        <v>1</v>
      </c>
      <c r="O221" s="903">
        <v>1</v>
      </c>
      <c r="P221" s="903">
        <v>0</v>
      </c>
      <c r="Q221" s="903">
        <v>0</v>
      </c>
      <c r="R221" s="903">
        <v>0</v>
      </c>
      <c r="S221" s="903">
        <f t="shared" si="7"/>
        <v>1</v>
      </c>
      <c r="T221" s="904">
        <v>1</v>
      </c>
      <c r="U221" s="905">
        <v>1</v>
      </c>
      <c r="V221" s="905">
        <v>0</v>
      </c>
      <c r="W221" s="905">
        <v>0</v>
      </c>
      <c r="X221" s="905">
        <v>0</v>
      </c>
      <c r="Y221" s="905">
        <v>0</v>
      </c>
      <c r="Z221" s="905">
        <v>0</v>
      </c>
      <c r="AA221" s="905">
        <v>1</v>
      </c>
      <c r="AB221" s="906">
        <v>6</v>
      </c>
      <c r="AC221" s="906">
        <v>3</v>
      </c>
      <c r="AD221" s="906">
        <v>4</v>
      </c>
      <c r="AE221" s="906">
        <v>7</v>
      </c>
      <c r="AF221" s="906">
        <v>1</v>
      </c>
      <c r="AG221" s="906">
        <v>2</v>
      </c>
      <c r="AH221" s="906">
        <v>5</v>
      </c>
      <c r="AI221" s="907">
        <v>2</v>
      </c>
      <c r="AJ221" s="907">
        <v>2</v>
      </c>
      <c r="AK221" s="907">
        <v>1</v>
      </c>
      <c r="AL221" s="907">
        <v>1</v>
      </c>
      <c r="AM221" s="907">
        <v>1</v>
      </c>
      <c r="AN221" s="907">
        <v>2</v>
      </c>
      <c r="AO221" s="907">
        <v>3</v>
      </c>
      <c r="AP221" s="907">
        <v>0</v>
      </c>
      <c r="AQ221" s="907">
        <v>1</v>
      </c>
      <c r="AR221" s="907">
        <v>0</v>
      </c>
      <c r="AS221" s="907">
        <v>0</v>
      </c>
      <c r="AT221" s="907">
        <v>0</v>
      </c>
      <c r="AU221" s="907">
        <v>0</v>
      </c>
    </row>
    <row r="222" spans="1:47" hidden="1">
      <c r="A222" s="898">
        <v>221</v>
      </c>
      <c r="B222" s="899">
        <v>1</v>
      </c>
      <c r="C222" s="900">
        <v>0</v>
      </c>
      <c r="D222" s="900">
        <v>1</v>
      </c>
      <c r="E222" s="900">
        <v>0</v>
      </c>
      <c r="F222" s="900">
        <v>0</v>
      </c>
      <c r="G222" s="901">
        <v>3</v>
      </c>
      <c r="H222" s="901">
        <v>4</v>
      </c>
      <c r="I222" s="901">
        <v>2</v>
      </c>
      <c r="J222" s="901">
        <v>1</v>
      </c>
      <c r="K222" s="902">
        <v>0</v>
      </c>
      <c r="L222" s="902">
        <v>1</v>
      </c>
      <c r="M222" s="902">
        <v>0</v>
      </c>
      <c r="N222" s="902">
        <f t="shared" si="6"/>
        <v>2</v>
      </c>
      <c r="O222" s="903">
        <v>1</v>
      </c>
      <c r="P222" s="903">
        <v>0</v>
      </c>
      <c r="Q222" s="903">
        <v>0</v>
      </c>
      <c r="R222" s="903">
        <v>0</v>
      </c>
      <c r="S222" s="903">
        <f t="shared" si="7"/>
        <v>1</v>
      </c>
      <c r="T222" s="904">
        <v>1</v>
      </c>
      <c r="U222" s="905">
        <v>0</v>
      </c>
      <c r="V222" s="905">
        <v>0</v>
      </c>
      <c r="W222" s="905">
        <v>1</v>
      </c>
      <c r="X222" s="905">
        <v>0</v>
      </c>
      <c r="Y222" s="905">
        <v>0</v>
      </c>
      <c r="Z222" s="905">
        <v>1</v>
      </c>
      <c r="AA222" s="905">
        <v>0</v>
      </c>
      <c r="AB222" s="906">
        <v>4</v>
      </c>
      <c r="AC222" s="906">
        <v>3</v>
      </c>
      <c r="AD222" s="906">
        <v>5</v>
      </c>
      <c r="AE222" s="906">
        <v>7</v>
      </c>
      <c r="AF222" s="906">
        <v>1</v>
      </c>
      <c r="AG222" s="906">
        <v>2</v>
      </c>
      <c r="AH222" s="906">
        <v>6</v>
      </c>
      <c r="AI222" s="907">
        <v>1</v>
      </c>
      <c r="AJ222" s="907">
        <v>2</v>
      </c>
      <c r="AK222" s="907">
        <v>1</v>
      </c>
      <c r="AL222" s="907">
        <v>1</v>
      </c>
      <c r="AM222" s="907">
        <v>2</v>
      </c>
      <c r="AN222" s="907">
        <v>2</v>
      </c>
      <c r="AO222" s="907">
        <v>3</v>
      </c>
      <c r="AP222" s="907">
        <v>0</v>
      </c>
      <c r="AQ222" s="907">
        <v>0</v>
      </c>
      <c r="AR222" s="907">
        <v>0</v>
      </c>
      <c r="AS222" s="907">
        <v>0</v>
      </c>
      <c r="AT222" s="907">
        <v>0</v>
      </c>
      <c r="AU222" s="907">
        <v>1</v>
      </c>
    </row>
    <row r="223" spans="1:47" hidden="1">
      <c r="A223" s="898">
        <v>222</v>
      </c>
      <c r="B223" s="899">
        <v>1</v>
      </c>
      <c r="C223" s="900">
        <v>0</v>
      </c>
      <c r="D223" s="900">
        <v>1</v>
      </c>
      <c r="E223" s="900">
        <v>0</v>
      </c>
      <c r="F223" s="900">
        <v>0</v>
      </c>
      <c r="G223" s="901">
        <v>3</v>
      </c>
      <c r="H223" s="901">
        <v>4</v>
      </c>
      <c r="I223" s="901">
        <v>1</v>
      </c>
      <c r="J223" s="901">
        <v>2</v>
      </c>
      <c r="K223" s="902">
        <v>0</v>
      </c>
      <c r="L223" s="902">
        <v>0</v>
      </c>
      <c r="M223" s="902">
        <v>1</v>
      </c>
      <c r="N223" s="902">
        <f t="shared" si="6"/>
        <v>3</v>
      </c>
      <c r="O223" s="908">
        <v>0</v>
      </c>
      <c r="P223" s="908">
        <v>1</v>
      </c>
      <c r="Q223" s="908">
        <v>0</v>
      </c>
      <c r="R223" s="908">
        <v>0</v>
      </c>
      <c r="S223" s="903">
        <f t="shared" si="7"/>
        <v>2</v>
      </c>
      <c r="T223" s="904">
        <v>1</v>
      </c>
      <c r="U223" s="905">
        <v>1</v>
      </c>
      <c r="V223" s="905">
        <v>0</v>
      </c>
      <c r="W223" s="905">
        <v>0</v>
      </c>
      <c r="X223" s="905">
        <v>0</v>
      </c>
      <c r="Y223" s="905">
        <v>0</v>
      </c>
      <c r="Z223" s="905">
        <v>0</v>
      </c>
      <c r="AA223" s="905">
        <v>0</v>
      </c>
      <c r="AB223" s="906">
        <v>2</v>
      </c>
      <c r="AC223" s="906">
        <v>3</v>
      </c>
      <c r="AD223" s="906">
        <v>5</v>
      </c>
      <c r="AE223" s="906">
        <v>7</v>
      </c>
      <c r="AF223" s="906">
        <v>1</v>
      </c>
      <c r="AG223" s="906">
        <v>4</v>
      </c>
      <c r="AH223" s="906">
        <v>6</v>
      </c>
      <c r="AI223" s="907">
        <v>2</v>
      </c>
      <c r="AJ223" s="907">
        <v>2</v>
      </c>
      <c r="AK223" s="907">
        <v>1</v>
      </c>
      <c r="AL223" s="907">
        <v>1</v>
      </c>
      <c r="AM223" s="907">
        <v>1</v>
      </c>
      <c r="AN223" s="907">
        <v>1</v>
      </c>
      <c r="AO223" s="907">
        <v>2</v>
      </c>
      <c r="AP223" s="907">
        <v>0</v>
      </c>
      <c r="AQ223" s="907">
        <v>0</v>
      </c>
      <c r="AR223" s="907">
        <v>0</v>
      </c>
      <c r="AS223" s="907">
        <v>1</v>
      </c>
      <c r="AT223" s="907">
        <v>0</v>
      </c>
      <c r="AU223" s="907">
        <v>0</v>
      </c>
    </row>
    <row r="224" spans="1:47" hidden="1">
      <c r="A224" s="898">
        <v>223</v>
      </c>
      <c r="B224" s="899">
        <v>1</v>
      </c>
      <c r="C224" s="900">
        <v>0</v>
      </c>
      <c r="D224" s="900">
        <v>0</v>
      </c>
      <c r="E224" s="900">
        <v>1</v>
      </c>
      <c r="F224" s="900">
        <v>0</v>
      </c>
      <c r="G224" s="901">
        <v>3</v>
      </c>
      <c r="H224" s="901">
        <v>4</v>
      </c>
      <c r="I224" s="901">
        <v>2</v>
      </c>
      <c r="J224" s="901">
        <v>1</v>
      </c>
      <c r="K224" s="902">
        <v>1</v>
      </c>
      <c r="L224" s="902">
        <v>0</v>
      </c>
      <c r="M224" s="902">
        <v>0</v>
      </c>
      <c r="N224" s="902">
        <f t="shared" si="6"/>
        <v>1</v>
      </c>
      <c r="O224" s="903">
        <v>1</v>
      </c>
      <c r="P224" s="903">
        <v>0</v>
      </c>
      <c r="Q224" s="903">
        <v>0</v>
      </c>
      <c r="R224" s="903">
        <v>0</v>
      </c>
      <c r="S224" s="903">
        <f t="shared" si="7"/>
        <v>1</v>
      </c>
      <c r="T224" s="904">
        <v>1</v>
      </c>
      <c r="U224" s="905">
        <v>0</v>
      </c>
      <c r="V224" s="905">
        <v>0</v>
      </c>
      <c r="W224" s="905">
        <v>0</v>
      </c>
      <c r="X224" s="905">
        <v>0</v>
      </c>
      <c r="Y224" s="905">
        <v>0</v>
      </c>
      <c r="Z224" s="905">
        <v>1</v>
      </c>
      <c r="AA224" s="905">
        <v>0</v>
      </c>
      <c r="AB224" s="906">
        <v>4</v>
      </c>
      <c r="AC224" s="906">
        <v>2</v>
      </c>
      <c r="AD224" s="906">
        <v>6</v>
      </c>
      <c r="AE224" s="906">
        <v>5</v>
      </c>
      <c r="AF224" s="906">
        <v>3</v>
      </c>
      <c r="AG224" s="906">
        <v>1</v>
      </c>
      <c r="AH224" s="906">
        <v>7</v>
      </c>
      <c r="AI224" s="907">
        <v>1</v>
      </c>
      <c r="AJ224" s="907">
        <v>1</v>
      </c>
      <c r="AK224" s="907">
        <v>1</v>
      </c>
      <c r="AL224" s="907">
        <v>1</v>
      </c>
      <c r="AM224" s="907">
        <v>2</v>
      </c>
      <c r="AN224" s="907">
        <v>2</v>
      </c>
      <c r="AO224" s="907">
        <v>3</v>
      </c>
      <c r="AP224" s="907">
        <v>1</v>
      </c>
      <c r="AQ224" s="907">
        <v>0</v>
      </c>
      <c r="AR224" s="907">
        <v>0</v>
      </c>
      <c r="AS224" s="907">
        <v>0</v>
      </c>
      <c r="AT224" s="907">
        <v>0</v>
      </c>
      <c r="AU224" s="907">
        <v>0</v>
      </c>
    </row>
    <row r="225" spans="1:47" hidden="1">
      <c r="A225" s="898">
        <v>224</v>
      </c>
      <c r="B225" s="899">
        <v>1</v>
      </c>
      <c r="C225" s="900">
        <v>0</v>
      </c>
      <c r="D225" s="900">
        <v>1</v>
      </c>
      <c r="E225" s="900">
        <v>0</v>
      </c>
      <c r="F225" s="900">
        <v>0</v>
      </c>
      <c r="G225" s="901">
        <v>1</v>
      </c>
      <c r="H225" s="901">
        <v>4</v>
      </c>
      <c r="I225" s="901">
        <v>3</v>
      </c>
      <c r="J225" s="901">
        <v>2</v>
      </c>
      <c r="K225" s="902">
        <v>1</v>
      </c>
      <c r="L225" s="902">
        <v>0</v>
      </c>
      <c r="M225" s="902">
        <v>0</v>
      </c>
      <c r="N225" s="902">
        <f t="shared" si="6"/>
        <v>1</v>
      </c>
      <c r="O225" s="903">
        <v>1</v>
      </c>
      <c r="P225" s="903">
        <v>0</v>
      </c>
      <c r="Q225" s="903">
        <v>0</v>
      </c>
      <c r="R225" s="903">
        <v>0</v>
      </c>
      <c r="S225" s="903">
        <f t="shared" si="7"/>
        <v>1</v>
      </c>
      <c r="T225" s="904">
        <v>1</v>
      </c>
      <c r="U225" s="905">
        <v>1</v>
      </c>
      <c r="V225" s="905">
        <v>0</v>
      </c>
      <c r="W225" s="905">
        <v>0</v>
      </c>
      <c r="X225" s="905">
        <v>1</v>
      </c>
      <c r="Y225" s="905">
        <v>0</v>
      </c>
      <c r="Z225" s="905">
        <v>0</v>
      </c>
      <c r="AA225" s="905">
        <v>1</v>
      </c>
      <c r="AB225" s="906">
        <v>4</v>
      </c>
      <c r="AC225" s="906">
        <v>2</v>
      </c>
      <c r="AD225" s="906">
        <v>5</v>
      </c>
      <c r="AE225" s="906">
        <v>7</v>
      </c>
      <c r="AF225" s="906">
        <v>1</v>
      </c>
      <c r="AG225" s="906">
        <v>3</v>
      </c>
      <c r="AH225" s="906">
        <v>6</v>
      </c>
      <c r="AI225" s="907">
        <v>2</v>
      </c>
      <c r="AJ225" s="907">
        <v>1</v>
      </c>
      <c r="AK225" s="907">
        <v>2</v>
      </c>
      <c r="AL225" s="907">
        <v>1</v>
      </c>
      <c r="AM225" s="907">
        <v>1</v>
      </c>
      <c r="AN225" s="907">
        <v>1</v>
      </c>
      <c r="AO225" s="907">
        <v>3</v>
      </c>
      <c r="AP225" s="907">
        <v>0</v>
      </c>
      <c r="AQ225" s="907">
        <v>0</v>
      </c>
      <c r="AR225" s="907">
        <v>0</v>
      </c>
      <c r="AS225" s="907">
        <v>0</v>
      </c>
      <c r="AT225" s="907">
        <v>0</v>
      </c>
      <c r="AU225" s="907">
        <v>1</v>
      </c>
    </row>
    <row r="226" spans="1:47" hidden="1">
      <c r="A226" s="898">
        <v>225</v>
      </c>
      <c r="B226" s="899">
        <v>0</v>
      </c>
      <c r="C226" s="900">
        <v>0</v>
      </c>
      <c r="D226" s="900">
        <v>0</v>
      </c>
      <c r="E226" s="900">
        <v>1</v>
      </c>
      <c r="F226" s="900">
        <v>0</v>
      </c>
      <c r="G226" s="901">
        <v>2</v>
      </c>
      <c r="H226" s="901">
        <v>3</v>
      </c>
      <c r="I226" s="901">
        <v>4</v>
      </c>
      <c r="J226" s="901">
        <v>1</v>
      </c>
      <c r="K226" s="902">
        <v>0</v>
      </c>
      <c r="L226" s="902">
        <v>0</v>
      </c>
      <c r="M226" s="902">
        <v>1</v>
      </c>
      <c r="N226" s="902">
        <f t="shared" si="6"/>
        <v>3</v>
      </c>
      <c r="O226" s="908">
        <v>1</v>
      </c>
      <c r="P226" s="908">
        <v>0</v>
      </c>
      <c r="Q226" s="908">
        <v>0</v>
      </c>
      <c r="R226" s="908">
        <v>0</v>
      </c>
      <c r="S226" s="903">
        <f t="shared" si="7"/>
        <v>1</v>
      </c>
      <c r="T226" s="904">
        <v>1</v>
      </c>
      <c r="U226" s="905">
        <v>1</v>
      </c>
      <c r="V226" s="905">
        <v>0</v>
      </c>
      <c r="W226" s="905">
        <v>0</v>
      </c>
      <c r="X226" s="905">
        <v>0</v>
      </c>
      <c r="Y226" s="905">
        <v>0</v>
      </c>
      <c r="Z226" s="905">
        <v>0</v>
      </c>
      <c r="AA226" s="905">
        <v>0</v>
      </c>
      <c r="AB226" s="906">
        <v>4</v>
      </c>
      <c r="AC226" s="906">
        <v>3</v>
      </c>
      <c r="AD226" s="906">
        <v>6</v>
      </c>
      <c r="AE226" s="906">
        <v>5</v>
      </c>
      <c r="AF226" s="906">
        <v>1</v>
      </c>
      <c r="AG226" s="906">
        <v>2</v>
      </c>
      <c r="AH226" s="906">
        <v>7</v>
      </c>
      <c r="AI226" s="907">
        <v>2</v>
      </c>
      <c r="AJ226" s="907">
        <v>2</v>
      </c>
      <c r="AK226" s="907">
        <v>2</v>
      </c>
      <c r="AL226" s="907">
        <v>1</v>
      </c>
      <c r="AM226" s="907">
        <v>1</v>
      </c>
      <c r="AN226" s="907">
        <v>2</v>
      </c>
      <c r="AO226" s="907">
        <v>2</v>
      </c>
      <c r="AP226" s="907">
        <v>0</v>
      </c>
      <c r="AQ226" s="907">
        <v>0</v>
      </c>
      <c r="AR226" s="907">
        <v>0</v>
      </c>
      <c r="AS226" s="907">
        <v>0</v>
      </c>
      <c r="AT226" s="907">
        <v>0</v>
      </c>
      <c r="AU226" s="907">
        <v>1</v>
      </c>
    </row>
    <row r="227" spans="1:47" hidden="1">
      <c r="A227" s="898">
        <v>226</v>
      </c>
      <c r="B227" s="899">
        <v>1</v>
      </c>
      <c r="C227" s="900">
        <v>0</v>
      </c>
      <c r="D227" s="900">
        <v>1</v>
      </c>
      <c r="E227" s="900">
        <v>0</v>
      </c>
      <c r="F227" s="900">
        <v>0</v>
      </c>
      <c r="G227" s="901">
        <v>3</v>
      </c>
      <c r="H227" s="901">
        <v>2</v>
      </c>
      <c r="I227" s="901">
        <v>4</v>
      </c>
      <c r="J227" s="901">
        <v>1</v>
      </c>
      <c r="K227" s="902">
        <v>1</v>
      </c>
      <c r="L227" s="902">
        <v>0</v>
      </c>
      <c r="M227" s="902">
        <v>0</v>
      </c>
      <c r="N227" s="902">
        <f t="shared" si="6"/>
        <v>1</v>
      </c>
      <c r="O227" s="903">
        <v>1</v>
      </c>
      <c r="P227" s="903">
        <v>0</v>
      </c>
      <c r="Q227" s="903">
        <v>0</v>
      </c>
      <c r="R227" s="903">
        <v>0</v>
      </c>
      <c r="S227" s="903">
        <f t="shared" si="7"/>
        <v>1</v>
      </c>
      <c r="T227" s="904">
        <v>1</v>
      </c>
      <c r="U227" s="905">
        <v>0</v>
      </c>
      <c r="V227" s="905">
        <v>0</v>
      </c>
      <c r="W227" s="905">
        <v>0</v>
      </c>
      <c r="X227" s="905">
        <v>0</v>
      </c>
      <c r="Y227" s="905">
        <v>0</v>
      </c>
      <c r="Z227" s="905">
        <v>1</v>
      </c>
      <c r="AA227" s="905">
        <v>0</v>
      </c>
      <c r="AB227" s="906">
        <v>7</v>
      </c>
      <c r="AC227" s="906">
        <v>3</v>
      </c>
      <c r="AD227" s="906">
        <v>5</v>
      </c>
      <c r="AE227" s="906">
        <v>6</v>
      </c>
      <c r="AF227" s="906">
        <v>1</v>
      </c>
      <c r="AG227" s="906">
        <v>2</v>
      </c>
      <c r="AH227" s="906">
        <v>4</v>
      </c>
      <c r="AI227" s="907">
        <v>1</v>
      </c>
      <c r="AJ227" s="907">
        <v>2</v>
      </c>
      <c r="AK227" s="907">
        <v>1</v>
      </c>
      <c r="AL227" s="907">
        <v>1</v>
      </c>
      <c r="AM227" s="907">
        <v>2</v>
      </c>
      <c r="AN227" s="907">
        <v>2</v>
      </c>
      <c r="AO227" s="907">
        <v>3</v>
      </c>
      <c r="AP227" s="907">
        <v>1</v>
      </c>
      <c r="AQ227" s="907">
        <v>0</v>
      </c>
      <c r="AR227" s="907">
        <v>0</v>
      </c>
      <c r="AS227" s="907">
        <v>0</v>
      </c>
      <c r="AT227" s="907">
        <v>0</v>
      </c>
      <c r="AU227" s="907">
        <v>0</v>
      </c>
    </row>
    <row r="228" spans="1:47" hidden="1">
      <c r="A228" s="898">
        <v>227</v>
      </c>
      <c r="B228" s="899">
        <v>0</v>
      </c>
      <c r="C228" s="900">
        <v>0</v>
      </c>
      <c r="D228" s="900">
        <v>0</v>
      </c>
      <c r="E228" s="900">
        <v>0</v>
      </c>
      <c r="F228" s="900">
        <v>1</v>
      </c>
      <c r="G228" s="901">
        <v>1</v>
      </c>
      <c r="H228" s="901">
        <v>2</v>
      </c>
      <c r="I228" s="901">
        <v>4</v>
      </c>
      <c r="J228" s="901">
        <v>3</v>
      </c>
      <c r="K228" s="902">
        <v>0</v>
      </c>
      <c r="L228" s="902">
        <v>1</v>
      </c>
      <c r="M228" s="902">
        <v>0</v>
      </c>
      <c r="N228" s="902">
        <f t="shared" si="6"/>
        <v>2</v>
      </c>
      <c r="O228" s="903">
        <v>0</v>
      </c>
      <c r="P228" s="903">
        <v>0</v>
      </c>
      <c r="Q228" s="903">
        <v>1</v>
      </c>
      <c r="R228" s="903">
        <v>0</v>
      </c>
      <c r="S228" s="903">
        <f t="shared" si="7"/>
        <v>3</v>
      </c>
      <c r="T228" s="904">
        <v>1</v>
      </c>
      <c r="U228" s="905">
        <v>0</v>
      </c>
      <c r="V228" s="905">
        <v>1</v>
      </c>
      <c r="W228" s="905">
        <v>0</v>
      </c>
      <c r="X228" s="905">
        <v>0</v>
      </c>
      <c r="Y228" s="905">
        <v>1</v>
      </c>
      <c r="Z228" s="905">
        <v>0</v>
      </c>
      <c r="AA228" s="905">
        <v>1</v>
      </c>
      <c r="AB228" s="906">
        <v>3</v>
      </c>
      <c r="AC228" s="906">
        <v>4</v>
      </c>
      <c r="AD228" s="906">
        <v>6</v>
      </c>
      <c r="AE228" s="906">
        <v>1</v>
      </c>
      <c r="AF228" s="906">
        <v>2</v>
      </c>
      <c r="AG228" s="906">
        <v>5</v>
      </c>
      <c r="AH228" s="906">
        <v>7</v>
      </c>
      <c r="AI228" s="907">
        <v>1</v>
      </c>
      <c r="AJ228" s="907">
        <v>1</v>
      </c>
      <c r="AK228" s="907">
        <v>2</v>
      </c>
      <c r="AL228" s="907">
        <v>2</v>
      </c>
      <c r="AM228" s="907">
        <v>1</v>
      </c>
      <c r="AN228" s="907">
        <v>1</v>
      </c>
      <c r="AO228" s="907">
        <v>2</v>
      </c>
      <c r="AP228" s="907">
        <v>0</v>
      </c>
      <c r="AQ228" s="907">
        <v>1</v>
      </c>
      <c r="AR228" s="907">
        <v>0</v>
      </c>
      <c r="AS228" s="907">
        <v>0</v>
      </c>
      <c r="AT228" s="907">
        <v>0</v>
      </c>
      <c r="AU228" s="907">
        <v>0</v>
      </c>
    </row>
    <row r="229" spans="1:47" hidden="1">
      <c r="A229" s="898">
        <v>228</v>
      </c>
      <c r="B229" s="899">
        <v>1</v>
      </c>
      <c r="C229" s="900">
        <v>0</v>
      </c>
      <c r="D229" s="900">
        <v>1</v>
      </c>
      <c r="E229" s="900">
        <v>0</v>
      </c>
      <c r="F229" s="900">
        <v>0</v>
      </c>
      <c r="G229" s="901">
        <v>4</v>
      </c>
      <c r="H229" s="901">
        <v>2</v>
      </c>
      <c r="I229" s="901">
        <v>1</v>
      </c>
      <c r="J229" s="901">
        <v>3</v>
      </c>
      <c r="K229" s="902">
        <v>1</v>
      </c>
      <c r="L229" s="902">
        <v>0</v>
      </c>
      <c r="M229" s="902">
        <v>0</v>
      </c>
      <c r="N229" s="902">
        <f t="shared" si="6"/>
        <v>1</v>
      </c>
      <c r="O229" s="903">
        <v>1</v>
      </c>
      <c r="P229" s="903">
        <v>0</v>
      </c>
      <c r="Q229" s="903">
        <v>0</v>
      </c>
      <c r="R229" s="903">
        <v>0</v>
      </c>
      <c r="S229" s="903">
        <f t="shared" si="7"/>
        <v>1</v>
      </c>
      <c r="T229" s="904">
        <v>1</v>
      </c>
      <c r="U229" s="905">
        <v>0</v>
      </c>
      <c r="V229" s="905">
        <v>0</v>
      </c>
      <c r="W229" s="905">
        <v>0</v>
      </c>
      <c r="X229" s="905">
        <v>1</v>
      </c>
      <c r="Y229" s="905">
        <v>0</v>
      </c>
      <c r="Z229" s="905">
        <v>0</v>
      </c>
      <c r="AA229" s="905">
        <v>1</v>
      </c>
      <c r="AB229" s="906">
        <v>4</v>
      </c>
      <c r="AC229" s="906">
        <v>2</v>
      </c>
      <c r="AD229" s="906">
        <v>1</v>
      </c>
      <c r="AE229" s="906">
        <v>6</v>
      </c>
      <c r="AF229" s="906">
        <v>3</v>
      </c>
      <c r="AG229" s="906">
        <v>7</v>
      </c>
      <c r="AH229" s="906">
        <v>5</v>
      </c>
      <c r="AI229" s="907">
        <v>1</v>
      </c>
      <c r="AJ229" s="907">
        <v>1</v>
      </c>
      <c r="AK229" s="907">
        <v>2</v>
      </c>
      <c r="AL229" s="907">
        <v>0</v>
      </c>
      <c r="AM229" s="907">
        <v>1</v>
      </c>
      <c r="AN229" s="907">
        <v>1</v>
      </c>
      <c r="AO229" s="907">
        <v>2</v>
      </c>
      <c r="AP229" s="907">
        <v>0</v>
      </c>
      <c r="AQ229" s="907">
        <v>0</v>
      </c>
      <c r="AR229" s="907">
        <v>0</v>
      </c>
      <c r="AS229" s="907">
        <v>0</v>
      </c>
      <c r="AT229" s="907">
        <v>0</v>
      </c>
      <c r="AU229" s="907">
        <v>1</v>
      </c>
    </row>
    <row r="230" spans="1:47" hidden="1">
      <c r="A230" s="898">
        <v>229</v>
      </c>
      <c r="B230" s="899">
        <v>0</v>
      </c>
      <c r="C230" s="900">
        <v>0</v>
      </c>
      <c r="D230" s="900">
        <v>0</v>
      </c>
      <c r="E230" s="900">
        <v>1</v>
      </c>
      <c r="F230" s="900">
        <v>0</v>
      </c>
      <c r="G230" s="901">
        <v>4</v>
      </c>
      <c r="H230" s="901">
        <v>3</v>
      </c>
      <c r="I230" s="901">
        <v>1</v>
      </c>
      <c r="J230" s="901">
        <v>2</v>
      </c>
      <c r="K230" s="902">
        <v>1</v>
      </c>
      <c r="L230" s="902">
        <v>0</v>
      </c>
      <c r="M230" s="902">
        <v>0</v>
      </c>
      <c r="N230" s="902">
        <f t="shared" si="6"/>
        <v>1</v>
      </c>
      <c r="O230" s="903">
        <v>1</v>
      </c>
      <c r="P230" s="903">
        <v>0</v>
      </c>
      <c r="Q230" s="903">
        <v>0</v>
      </c>
      <c r="R230" s="903">
        <v>0</v>
      </c>
      <c r="S230" s="903">
        <f t="shared" si="7"/>
        <v>1</v>
      </c>
      <c r="T230" s="904">
        <v>1</v>
      </c>
      <c r="U230" s="905">
        <v>1</v>
      </c>
      <c r="V230" s="905">
        <v>0</v>
      </c>
      <c r="W230" s="905">
        <v>1</v>
      </c>
      <c r="X230" s="905">
        <v>0</v>
      </c>
      <c r="Y230" s="905">
        <v>0</v>
      </c>
      <c r="Z230" s="905">
        <v>1</v>
      </c>
      <c r="AA230" s="905">
        <v>0</v>
      </c>
      <c r="AB230" s="906">
        <v>1</v>
      </c>
      <c r="AC230" s="906">
        <v>7</v>
      </c>
      <c r="AD230" s="906">
        <v>4</v>
      </c>
      <c r="AE230" s="906">
        <v>2</v>
      </c>
      <c r="AF230" s="906">
        <v>3</v>
      </c>
      <c r="AG230" s="906">
        <v>5</v>
      </c>
      <c r="AH230" s="906">
        <v>6</v>
      </c>
      <c r="AI230" s="907">
        <v>2</v>
      </c>
      <c r="AJ230" s="907">
        <v>2</v>
      </c>
      <c r="AK230" s="907">
        <v>1</v>
      </c>
      <c r="AL230" s="907">
        <v>1</v>
      </c>
      <c r="AM230" s="907">
        <v>1</v>
      </c>
      <c r="AN230" s="907">
        <v>1</v>
      </c>
      <c r="AO230" s="907">
        <v>2</v>
      </c>
      <c r="AP230" s="907">
        <v>0</v>
      </c>
      <c r="AQ230" s="907">
        <v>1</v>
      </c>
      <c r="AR230" s="907">
        <v>0</v>
      </c>
      <c r="AS230" s="907">
        <v>0</v>
      </c>
      <c r="AT230" s="907">
        <v>0</v>
      </c>
      <c r="AU230" s="907">
        <v>0</v>
      </c>
    </row>
    <row r="231" spans="1:47" hidden="1">
      <c r="A231" s="898">
        <v>230</v>
      </c>
      <c r="B231" s="899">
        <v>1</v>
      </c>
      <c r="C231" s="900">
        <v>0</v>
      </c>
      <c r="D231" s="900">
        <v>0</v>
      </c>
      <c r="E231" s="900">
        <v>0</v>
      </c>
      <c r="F231" s="900">
        <v>1</v>
      </c>
      <c r="G231" s="901">
        <v>1</v>
      </c>
      <c r="H231" s="901">
        <v>2</v>
      </c>
      <c r="I231" s="901">
        <v>3</v>
      </c>
      <c r="J231" s="901">
        <v>4</v>
      </c>
      <c r="K231" s="902">
        <v>1</v>
      </c>
      <c r="L231" s="902">
        <v>0</v>
      </c>
      <c r="M231" s="902">
        <v>0</v>
      </c>
      <c r="N231" s="902">
        <f t="shared" si="6"/>
        <v>1</v>
      </c>
      <c r="O231" s="903">
        <v>0</v>
      </c>
      <c r="P231" s="903">
        <v>0</v>
      </c>
      <c r="Q231" s="903">
        <v>1</v>
      </c>
      <c r="R231" s="903">
        <v>0</v>
      </c>
      <c r="S231" s="903">
        <f t="shared" si="7"/>
        <v>3</v>
      </c>
      <c r="T231" s="904">
        <v>1</v>
      </c>
      <c r="U231" s="905">
        <v>0</v>
      </c>
      <c r="V231" s="905">
        <v>0</v>
      </c>
      <c r="W231" s="905">
        <v>1</v>
      </c>
      <c r="X231" s="905">
        <v>0</v>
      </c>
      <c r="Y231" s="905">
        <v>1</v>
      </c>
      <c r="Z231" s="905">
        <v>0</v>
      </c>
      <c r="AA231" s="905">
        <v>0</v>
      </c>
      <c r="AB231" s="906">
        <v>4</v>
      </c>
      <c r="AC231" s="906">
        <v>5</v>
      </c>
      <c r="AD231" s="906">
        <v>7</v>
      </c>
      <c r="AE231" s="906">
        <v>3</v>
      </c>
      <c r="AF231" s="906">
        <v>2</v>
      </c>
      <c r="AG231" s="906">
        <v>1</v>
      </c>
      <c r="AH231" s="906">
        <v>6</v>
      </c>
      <c r="AI231" s="907">
        <v>2</v>
      </c>
      <c r="AJ231" s="907">
        <v>2</v>
      </c>
      <c r="AK231" s="907">
        <v>2</v>
      </c>
      <c r="AL231" s="907">
        <v>2</v>
      </c>
      <c r="AM231" s="907">
        <v>1</v>
      </c>
      <c r="AN231" s="907">
        <v>1</v>
      </c>
      <c r="AO231" s="907">
        <v>2</v>
      </c>
      <c r="AP231" s="907">
        <v>1</v>
      </c>
      <c r="AQ231" s="907">
        <v>0</v>
      </c>
      <c r="AR231" s="907">
        <v>0</v>
      </c>
      <c r="AS231" s="907">
        <v>0</v>
      </c>
      <c r="AT231" s="907">
        <v>0</v>
      </c>
      <c r="AU231" s="907">
        <v>0</v>
      </c>
    </row>
    <row r="232" spans="1:47" hidden="1">
      <c r="A232" s="898">
        <v>231</v>
      </c>
      <c r="B232" s="899">
        <v>0</v>
      </c>
      <c r="C232" s="900">
        <v>0</v>
      </c>
      <c r="D232" s="900">
        <v>0</v>
      </c>
      <c r="E232" s="900">
        <v>1</v>
      </c>
      <c r="F232" s="900">
        <v>0</v>
      </c>
      <c r="G232" s="901">
        <v>3</v>
      </c>
      <c r="H232" s="901">
        <v>1</v>
      </c>
      <c r="I232" s="901">
        <v>4</v>
      </c>
      <c r="J232" s="901">
        <v>2</v>
      </c>
      <c r="K232" s="902">
        <v>0</v>
      </c>
      <c r="L232" s="902">
        <v>1</v>
      </c>
      <c r="M232" s="902">
        <v>0</v>
      </c>
      <c r="N232" s="902">
        <f t="shared" si="6"/>
        <v>2</v>
      </c>
      <c r="O232" s="903">
        <v>1</v>
      </c>
      <c r="P232" s="903">
        <v>0</v>
      </c>
      <c r="Q232" s="903">
        <v>0</v>
      </c>
      <c r="R232" s="903">
        <v>0</v>
      </c>
      <c r="S232" s="903">
        <f t="shared" si="7"/>
        <v>1</v>
      </c>
      <c r="T232" s="904">
        <v>1</v>
      </c>
      <c r="U232" s="905">
        <v>0</v>
      </c>
      <c r="V232" s="905">
        <v>1</v>
      </c>
      <c r="W232" s="905">
        <v>0</v>
      </c>
      <c r="X232" s="905">
        <v>0</v>
      </c>
      <c r="Y232" s="905">
        <v>0</v>
      </c>
      <c r="Z232" s="905">
        <v>1</v>
      </c>
      <c r="AA232" s="905">
        <v>0</v>
      </c>
      <c r="AB232" s="906">
        <v>6</v>
      </c>
      <c r="AC232" s="906">
        <v>5</v>
      </c>
      <c r="AD232" s="906">
        <v>5</v>
      </c>
      <c r="AE232" s="906">
        <v>2</v>
      </c>
      <c r="AF232" s="906">
        <v>1</v>
      </c>
      <c r="AG232" s="906">
        <v>3</v>
      </c>
      <c r="AH232" s="906">
        <v>4</v>
      </c>
      <c r="AI232" s="907">
        <v>1</v>
      </c>
      <c r="AJ232" s="907">
        <v>2</v>
      </c>
      <c r="AK232" s="907">
        <v>1</v>
      </c>
      <c r="AL232" s="907">
        <v>1</v>
      </c>
      <c r="AM232" s="907">
        <v>1</v>
      </c>
      <c r="AN232" s="907">
        <v>1</v>
      </c>
      <c r="AO232" s="907">
        <v>2</v>
      </c>
      <c r="AP232" s="907">
        <v>0</v>
      </c>
      <c r="AQ232" s="907">
        <v>0</v>
      </c>
      <c r="AR232" s="907">
        <v>0</v>
      </c>
      <c r="AS232" s="907">
        <v>0</v>
      </c>
      <c r="AT232" s="907">
        <v>1</v>
      </c>
      <c r="AU232" s="907">
        <v>0</v>
      </c>
    </row>
    <row r="233" spans="1:47" hidden="1">
      <c r="A233" s="898">
        <v>232</v>
      </c>
      <c r="B233" s="899">
        <v>1</v>
      </c>
      <c r="C233" s="900">
        <v>0</v>
      </c>
      <c r="D233" s="900">
        <v>0</v>
      </c>
      <c r="E233" s="900">
        <v>1</v>
      </c>
      <c r="F233" s="900">
        <v>0</v>
      </c>
      <c r="G233" s="901">
        <v>2</v>
      </c>
      <c r="H233" s="901">
        <v>3</v>
      </c>
      <c r="I233" s="901">
        <v>4</v>
      </c>
      <c r="J233" s="901">
        <v>1</v>
      </c>
      <c r="K233" s="902">
        <v>1</v>
      </c>
      <c r="L233" s="902">
        <v>0</v>
      </c>
      <c r="M233" s="902">
        <v>0</v>
      </c>
      <c r="N233" s="902">
        <f t="shared" si="6"/>
        <v>1</v>
      </c>
      <c r="O233" s="903">
        <v>1</v>
      </c>
      <c r="P233" s="903">
        <v>0</v>
      </c>
      <c r="Q233" s="903">
        <v>0</v>
      </c>
      <c r="R233" s="903">
        <v>0</v>
      </c>
      <c r="S233" s="903">
        <f t="shared" si="7"/>
        <v>1</v>
      </c>
      <c r="T233" s="904">
        <v>1</v>
      </c>
      <c r="U233" s="905">
        <v>0</v>
      </c>
      <c r="V233" s="905">
        <v>0</v>
      </c>
      <c r="W233" s="905">
        <v>0</v>
      </c>
      <c r="X233" s="905">
        <v>0</v>
      </c>
      <c r="Y233" s="905">
        <v>1</v>
      </c>
      <c r="Z233" s="905">
        <v>0</v>
      </c>
      <c r="AA233" s="905">
        <v>1</v>
      </c>
      <c r="AB233" s="906">
        <v>7</v>
      </c>
      <c r="AC233" s="906">
        <v>4</v>
      </c>
      <c r="AD233" s="906">
        <v>3</v>
      </c>
      <c r="AE233" s="906">
        <v>5</v>
      </c>
      <c r="AF233" s="906">
        <v>1</v>
      </c>
      <c r="AG233" s="906">
        <v>2</v>
      </c>
      <c r="AH233" s="906">
        <v>6</v>
      </c>
      <c r="AI233" s="907">
        <v>2</v>
      </c>
      <c r="AJ233" s="907">
        <v>1</v>
      </c>
      <c r="AK233" s="907">
        <v>2</v>
      </c>
      <c r="AL233" s="907">
        <v>2</v>
      </c>
      <c r="AM233" s="907">
        <v>1</v>
      </c>
      <c r="AN233" s="907">
        <v>1</v>
      </c>
      <c r="AO233" s="907">
        <v>1</v>
      </c>
      <c r="AP233" s="907">
        <v>0</v>
      </c>
      <c r="AQ233" s="907">
        <v>0</v>
      </c>
      <c r="AR233" s="907">
        <v>0</v>
      </c>
      <c r="AS233" s="907">
        <v>1</v>
      </c>
      <c r="AT233" s="907">
        <v>0</v>
      </c>
      <c r="AU233" s="907">
        <v>0</v>
      </c>
    </row>
    <row r="234" spans="1:47">
      <c r="A234" s="898">
        <v>233</v>
      </c>
      <c r="B234" s="899">
        <v>1</v>
      </c>
      <c r="C234" s="900">
        <v>0</v>
      </c>
      <c r="D234" s="900">
        <v>0</v>
      </c>
      <c r="E234" s="900">
        <v>0</v>
      </c>
      <c r="F234" s="900">
        <v>1</v>
      </c>
      <c r="G234" s="901">
        <v>1</v>
      </c>
      <c r="H234" s="901">
        <v>4</v>
      </c>
      <c r="I234" s="901">
        <v>2</v>
      </c>
      <c r="J234" s="901">
        <v>3</v>
      </c>
      <c r="K234" s="902">
        <v>0</v>
      </c>
      <c r="L234" s="902">
        <v>1</v>
      </c>
      <c r="M234" s="902">
        <v>0</v>
      </c>
      <c r="N234" s="902">
        <f t="shared" si="6"/>
        <v>2</v>
      </c>
      <c r="O234" s="903">
        <v>1</v>
      </c>
      <c r="P234" s="903">
        <v>0</v>
      </c>
      <c r="Q234" s="903">
        <v>0</v>
      </c>
      <c r="R234" s="903">
        <v>0</v>
      </c>
      <c r="S234" s="903">
        <f t="shared" si="7"/>
        <v>1</v>
      </c>
      <c r="T234" s="904">
        <v>1</v>
      </c>
      <c r="U234" s="905">
        <v>0</v>
      </c>
      <c r="V234" s="905">
        <v>0</v>
      </c>
      <c r="W234" s="905">
        <v>1</v>
      </c>
      <c r="X234" s="905">
        <v>1</v>
      </c>
      <c r="Y234" s="905">
        <v>0</v>
      </c>
      <c r="Z234" s="905">
        <v>1</v>
      </c>
      <c r="AA234" s="905">
        <v>0</v>
      </c>
      <c r="AB234" s="906">
        <v>5</v>
      </c>
      <c r="AC234" s="906">
        <v>1</v>
      </c>
      <c r="AD234" s="906">
        <v>2</v>
      </c>
      <c r="AE234" s="906">
        <v>3</v>
      </c>
      <c r="AF234" s="906">
        <v>4</v>
      </c>
      <c r="AG234" s="906">
        <v>6</v>
      </c>
      <c r="AH234" s="906">
        <v>7</v>
      </c>
      <c r="AI234" s="907">
        <v>2</v>
      </c>
      <c r="AJ234" s="907">
        <v>2</v>
      </c>
      <c r="AK234" s="907">
        <v>1</v>
      </c>
      <c r="AL234" s="907">
        <v>3</v>
      </c>
      <c r="AM234" s="907">
        <v>1</v>
      </c>
      <c r="AN234" s="907">
        <v>2</v>
      </c>
      <c r="AO234" s="907">
        <v>1</v>
      </c>
      <c r="AP234" s="907">
        <v>1</v>
      </c>
      <c r="AQ234" s="907">
        <v>0</v>
      </c>
      <c r="AR234" s="907">
        <v>0</v>
      </c>
      <c r="AS234" s="907">
        <v>0</v>
      </c>
      <c r="AT234" s="907">
        <v>0</v>
      </c>
      <c r="AU234" s="907">
        <v>0</v>
      </c>
    </row>
    <row r="235" spans="1:47" hidden="1">
      <c r="A235" s="898">
        <v>234</v>
      </c>
      <c r="B235" s="899">
        <v>0</v>
      </c>
      <c r="C235" s="900">
        <v>0</v>
      </c>
      <c r="D235" s="900">
        <v>0</v>
      </c>
      <c r="E235" s="900">
        <v>1</v>
      </c>
      <c r="F235" s="900">
        <v>0</v>
      </c>
      <c r="G235" s="901">
        <v>1</v>
      </c>
      <c r="H235" s="901">
        <v>2</v>
      </c>
      <c r="I235" s="901">
        <v>4</v>
      </c>
      <c r="J235" s="901">
        <v>3</v>
      </c>
      <c r="K235" s="902">
        <v>1</v>
      </c>
      <c r="L235" s="902">
        <v>0</v>
      </c>
      <c r="M235" s="902">
        <v>0</v>
      </c>
      <c r="N235" s="902">
        <f t="shared" si="6"/>
        <v>1</v>
      </c>
      <c r="O235" s="903">
        <v>0</v>
      </c>
      <c r="P235" s="903">
        <v>0</v>
      </c>
      <c r="Q235" s="903">
        <v>0</v>
      </c>
      <c r="R235" s="903">
        <v>1</v>
      </c>
      <c r="S235" s="903">
        <f t="shared" si="7"/>
        <v>4</v>
      </c>
      <c r="T235" s="904">
        <v>1</v>
      </c>
      <c r="U235" s="905">
        <v>1</v>
      </c>
      <c r="V235" s="905">
        <v>0</v>
      </c>
      <c r="W235" s="905">
        <v>0</v>
      </c>
      <c r="X235" s="905">
        <v>0</v>
      </c>
      <c r="Y235" s="905">
        <v>0</v>
      </c>
      <c r="Z235" s="905">
        <v>0</v>
      </c>
      <c r="AA235" s="905">
        <v>1</v>
      </c>
      <c r="AB235" s="906">
        <v>7</v>
      </c>
      <c r="AC235" s="906">
        <v>3</v>
      </c>
      <c r="AD235" s="906">
        <v>4</v>
      </c>
      <c r="AE235" s="906">
        <v>6</v>
      </c>
      <c r="AF235" s="906">
        <v>1</v>
      </c>
      <c r="AG235" s="906">
        <v>2</v>
      </c>
      <c r="AH235" s="906">
        <v>5</v>
      </c>
      <c r="AI235" s="907">
        <v>2</v>
      </c>
      <c r="AJ235" s="907">
        <v>1</v>
      </c>
      <c r="AK235" s="907">
        <v>1</v>
      </c>
      <c r="AL235" s="907">
        <v>1</v>
      </c>
      <c r="AM235" s="907">
        <v>2</v>
      </c>
      <c r="AN235" s="907">
        <v>1</v>
      </c>
      <c r="AO235" s="907">
        <v>4</v>
      </c>
      <c r="AP235" s="907">
        <v>0</v>
      </c>
      <c r="AQ235" s="907">
        <v>1</v>
      </c>
      <c r="AR235" s="907">
        <v>0</v>
      </c>
      <c r="AS235" s="907">
        <v>0</v>
      </c>
      <c r="AT235" s="907">
        <v>0</v>
      </c>
      <c r="AU235" s="907">
        <v>0</v>
      </c>
    </row>
    <row r="236" spans="1:47" hidden="1">
      <c r="A236" s="898">
        <v>235</v>
      </c>
      <c r="B236" s="899">
        <v>0</v>
      </c>
      <c r="C236" s="900">
        <v>1</v>
      </c>
      <c r="D236" s="900">
        <v>0</v>
      </c>
      <c r="E236" s="900">
        <v>0</v>
      </c>
      <c r="F236" s="900">
        <v>0</v>
      </c>
      <c r="G236" s="901">
        <v>2</v>
      </c>
      <c r="H236" s="901">
        <v>4</v>
      </c>
      <c r="I236" s="901">
        <v>3</v>
      </c>
      <c r="J236" s="901">
        <v>1</v>
      </c>
      <c r="K236" s="902">
        <v>1</v>
      </c>
      <c r="L236" s="902">
        <v>0</v>
      </c>
      <c r="M236" s="902">
        <v>0</v>
      </c>
      <c r="N236" s="902">
        <f t="shared" si="6"/>
        <v>1</v>
      </c>
      <c r="O236" s="903">
        <v>0</v>
      </c>
      <c r="P236" s="903">
        <v>0</v>
      </c>
      <c r="Q236" s="903">
        <v>1</v>
      </c>
      <c r="R236" s="903">
        <v>0</v>
      </c>
      <c r="S236" s="903">
        <f t="shared" si="7"/>
        <v>3</v>
      </c>
      <c r="T236" s="904">
        <v>1</v>
      </c>
      <c r="U236" s="905">
        <v>0</v>
      </c>
      <c r="V236" s="905">
        <v>0</v>
      </c>
      <c r="W236" s="905">
        <v>0</v>
      </c>
      <c r="X236" s="905">
        <v>1</v>
      </c>
      <c r="Y236" s="905">
        <v>1</v>
      </c>
      <c r="Z236" s="905">
        <v>0</v>
      </c>
      <c r="AA236" s="905">
        <v>0</v>
      </c>
      <c r="AB236" s="906">
        <v>3</v>
      </c>
      <c r="AC236" s="906">
        <v>5</v>
      </c>
      <c r="AD236" s="906">
        <v>1</v>
      </c>
      <c r="AE236" s="906">
        <v>7</v>
      </c>
      <c r="AF236" s="906">
        <v>2</v>
      </c>
      <c r="AG236" s="906">
        <v>4</v>
      </c>
      <c r="AH236" s="906">
        <v>6</v>
      </c>
      <c r="AI236" s="907">
        <v>2</v>
      </c>
      <c r="AJ236" s="907">
        <v>2</v>
      </c>
      <c r="AK236" s="907">
        <v>4</v>
      </c>
      <c r="AL236" s="907">
        <v>4</v>
      </c>
      <c r="AM236" s="907">
        <v>1</v>
      </c>
      <c r="AN236" s="907">
        <v>1</v>
      </c>
      <c r="AO236" s="907">
        <v>4</v>
      </c>
      <c r="AP236" s="907">
        <v>1</v>
      </c>
      <c r="AQ236" s="907">
        <v>0</v>
      </c>
      <c r="AR236" s="907">
        <v>0</v>
      </c>
      <c r="AS236" s="907">
        <v>0</v>
      </c>
      <c r="AT236" s="907">
        <v>0</v>
      </c>
      <c r="AU236" s="907">
        <v>0</v>
      </c>
    </row>
    <row r="237" spans="1:47" hidden="1">
      <c r="A237" s="898">
        <v>236</v>
      </c>
      <c r="B237" s="899">
        <v>1</v>
      </c>
      <c r="C237" s="900">
        <v>0</v>
      </c>
      <c r="D237" s="900">
        <v>0</v>
      </c>
      <c r="E237" s="900">
        <v>0</v>
      </c>
      <c r="F237" s="900">
        <v>1</v>
      </c>
      <c r="G237" s="901">
        <v>2</v>
      </c>
      <c r="H237" s="901">
        <v>4</v>
      </c>
      <c r="I237" s="901">
        <v>3</v>
      </c>
      <c r="J237" s="901">
        <v>1</v>
      </c>
      <c r="K237" s="902">
        <v>0</v>
      </c>
      <c r="L237" s="902">
        <v>1</v>
      </c>
      <c r="M237" s="902">
        <v>0</v>
      </c>
      <c r="N237" s="902">
        <f t="shared" si="6"/>
        <v>2</v>
      </c>
      <c r="O237" s="903">
        <v>1</v>
      </c>
      <c r="P237" s="903">
        <v>0</v>
      </c>
      <c r="Q237" s="903">
        <v>0</v>
      </c>
      <c r="R237" s="903">
        <v>0</v>
      </c>
      <c r="S237" s="903">
        <f t="shared" si="7"/>
        <v>1</v>
      </c>
      <c r="T237" s="904">
        <v>1</v>
      </c>
      <c r="U237" s="905">
        <v>0</v>
      </c>
      <c r="V237" s="905">
        <v>1</v>
      </c>
      <c r="W237" s="905">
        <v>0</v>
      </c>
      <c r="X237" s="905">
        <v>0</v>
      </c>
      <c r="Y237" s="905">
        <v>0</v>
      </c>
      <c r="Z237" s="905">
        <v>0</v>
      </c>
      <c r="AA237" s="905">
        <v>0</v>
      </c>
      <c r="AB237" s="906">
        <v>1</v>
      </c>
      <c r="AC237" s="906">
        <v>6</v>
      </c>
      <c r="AD237" s="906">
        <v>2</v>
      </c>
      <c r="AE237" s="906">
        <v>4</v>
      </c>
      <c r="AF237" s="906">
        <v>3</v>
      </c>
      <c r="AG237" s="906">
        <v>5</v>
      </c>
      <c r="AH237" s="906">
        <v>7</v>
      </c>
      <c r="AI237" s="907">
        <v>1</v>
      </c>
      <c r="AJ237" s="907">
        <v>2</v>
      </c>
      <c r="AK237" s="907">
        <v>1</v>
      </c>
      <c r="AL237" s="907">
        <v>1</v>
      </c>
      <c r="AM237" s="907">
        <v>1</v>
      </c>
      <c r="AN237" s="907">
        <v>2</v>
      </c>
      <c r="AO237" s="907">
        <v>1</v>
      </c>
      <c r="AP237" s="907">
        <v>0</v>
      </c>
      <c r="AQ237" s="907">
        <v>0</v>
      </c>
      <c r="AR237" s="907">
        <v>0</v>
      </c>
      <c r="AS237" s="907">
        <v>0</v>
      </c>
      <c r="AT237" s="907">
        <v>0</v>
      </c>
      <c r="AU237" s="907">
        <v>1</v>
      </c>
    </row>
    <row r="238" spans="1:47" hidden="1">
      <c r="A238" s="898">
        <v>237</v>
      </c>
      <c r="B238" s="899">
        <v>0</v>
      </c>
      <c r="C238" s="900">
        <v>0</v>
      </c>
      <c r="D238" s="900">
        <v>0</v>
      </c>
      <c r="E238" s="900">
        <v>1</v>
      </c>
      <c r="F238" s="900">
        <v>0</v>
      </c>
      <c r="G238" s="901">
        <v>1</v>
      </c>
      <c r="H238" s="901">
        <v>2</v>
      </c>
      <c r="I238" s="901">
        <v>4</v>
      </c>
      <c r="J238" s="901">
        <v>3</v>
      </c>
      <c r="K238" s="902">
        <v>0</v>
      </c>
      <c r="L238" s="902">
        <v>1</v>
      </c>
      <c r="M238" s="902">
        <v>0</v>
      </c>
      <c r="N238" s="902">
        <f t="shared" si="6"/>
        <v>2</v>
      </c>
      <c r="O238" s="903">
        <v>0</v>
      </c>
      <c r="P238" s="903">
        <v>0</v>
      </c>
      <c r="Q238" s="903">
        <v>1</v>
      </c>
      <c r="R238" s="903">
        <v>0</v>
      </c>
      <c r="S238" s="903">
        <f t="shared" si="7"/>
        <v>3</v>
      </c>
      <c r="T238" s="904">
        <v>1</v>
      </c>
      <c r="U238" s="905">
        <v>0</v>
      </c>
      <c r="V238" s="905">
        <v>1</v>
      </c>
      <c r="W238" s="905">
        <v>1</v>
      </c>
      <c r="X238" s="905">
        <v>0</v>
      </c>
      <c r="Y238" s="905">
        <v>0</v>
      </c>
      <c r="Z238" s="905">
        <v>1</v>
      </c>
      <c r="AA238" s="905">
        <v>1</v>
      </c>
      <c r="AB238" s="906">
        <v>4</v>
      </c>
      <c r="AC238" s="906">
        <v>3</v>
      </c>
      <c r="AD238" s="906">
        <v>6</v>
      </c>
      <c r="AE238" s="906">
        <v>7</v>
      </c>
      <c r="AF238" s="906">
        <v>2</v>
      </c>
      <c r="AG238" s="906">
        <v>1</v>
      </c>
      <c r="AH238" s="906">
        <v>5</v>
      </c>
      <c r="AI238" s="907">
        <v>1</v>
      </c>
      <c r="AJ238" s="907">
        <v>2</v>
      </c>
      <c r="AK238" s="907">
        <v>2</v>
      </c>
      <c r="AL238" s="907">
        <v>1</v>
      </c>
      <c r="AM238" s="907">
        <v>2</v>
      </c>
      <c r="AN238" s="907">
        <v>2</v>
      </c>
      <c r="AO238" s="907">
        <v>3</v>
      </c>
      <c r="AP238" s="907">
        <v>0</v>
      </c>
      <c r="AQ238" s="907">
        <v>0</v>
      </c>
      <c r="AR238" s="907">
        <v>0</v>
      </c>
      <c r="AS238" s="907">
        <v>1</v>
      </c>
      <c r="AT238" s="907">
        <v>0</v>
      </c>
      <c r="AU238" s="907">
        <v>0</v>
      </c>
    </row>
    <row r="239" spans="1:47" hidden="1">
      <c r="A239" s="898">
        <v>238</v>
      </c>
      <c r="B239" s="899">
        <v>0</v>
      </c>
      <c r="C239" s="900">
        <v>0</v>
      </c>
      <c r="D239" s="900">
        <v>1</v>
      </c>
      <c r="E239" s="900">
        <v>0</v>
      </c>
      <c r="F239" s="900">
        <v>0</v>
      </c>
      <c r="G239" s="901">
        <v>4</v>
      </c>
      <c r="H239" s="901">
        <v>1</v>
      </c>
      <c r="I239" s="901">
        <v>3</v>
      </c>
      <c r="J239" s="901">
        <v>2</v>
      </c>
      <c r="K239" s="902">
        <v>0</v>
      </c>
      <c r="L239" s="902">
        <v>1</v>
      </c>
      <c r="M239" s="902">
        <v>0</v>
      </c>
      <c r="N239" s="902">
        <f t="shared" si="6"/>
        <v>2</v>
      </c>
      <c r="O239" s="903">
        <v>1</v>
      </c>
      <c r="P239" s="903">
        <v>0</v>
      </c>
      <c r="Q239" s="903">
        <v>0</v>
      </c>
      <c r="R239" s="903">
        <v>0</v>
      </c>
      <c r="S239" s="903">
        <f t="shared" si="7"/>
        <v>1</v>
      </c>
      <c r="T239" s="904">
        <v>1</v>
      </c>
      <c r="U239" s="905">
        <v>1</v>
      </c>
      <c r="V239" s="905">
        <v>0</v>
      </c>
      <c r="W239" s="905">
        <v>0</v>
      </c>
      <c r="X239" s="905">
        <v>1</v>
      </c>
      <c r="Y239" s="905">
        <v>1</v>
      </c>
      <c r="Z239" s="905">
        <v>0</v>
      </c>
      <c r="AA239" s="905">
        <v>1</v>
      </c>
      <c r="AB239" s="906">
        <v>5</v>
      </c>
      <c r="AC239" s="906">
        <v>1</v>
      </c>
      <c r="AD239" s="906">
        <v>4</v>
      </c>
      <c r="AE239" s="906">
        <v>7</v>
      </c>
      <c r="AF239" s="906">
        <v>2</v>
      </c>
      <c r="AG239" s="906">
        <v>3</v>
      </c>
      <c r="AH239" s="906">
        <v>6</v>
      </c>
      <c r="AI239" s="907">
        <v>2</v>
      </c>
      <c r="AJ239" s="907">
        <v>2</v>
      </c>
      <c r="AK239" s="907">
        <v>2</v>
      </c>
      <c r="AL239" s="907">
        <v>2</v>
      </c>
      <c r="AM239" s="907">
        <v>1</v>
      </c>
      <c r="AN239" s="907">
        <v>1</v>
      </c>
      <c r="AO239" s="907">
        <v>3</v>
      </c>
      <c r="AP239" s="907">
        <v>0</v>
      </c>
      <c r="AQ239" s="907">
        <v>0</v>
      </c>
      <c r="AR239" s="907">
        <v>0</v>
      </c>
      <c r="AS239" s="907">
        <v>0</v>
      </c>
      <c r="AT239" s="907">
        <v>1</v>
      </c>
      <c r="AU239" s="907">
        <v>0</v>
      </c>
    </row>
    <row r="240" spans="1:47" hidden="1">
      <c r="A240" s="898">
        <v>239</v>
      </c>
      <c r="B240" s="899">
        <v>1</v>
      </c>
      <c r="C240" s="900">
        <v>0</v>
      </c>
      <c r="D240" s="900">
        <v>0</v>
      </c>
      <c r="E240" s="900">
        <v>1</v>
      </c>
      <c r="F240" s="900">
        <v>0</v>
      </c>
      <c r="G240" s="901">
        <v>1</v>
      </c>
      <c r="H240" s="901">
        <v>3</v>
      </c>
      <c r="I240" s="901">
        <v>4</v>
      </c>
      <c r="J240" s="901">
        <v>2</v>
      </c>
      <c r="K240" s="902">
        <v>1</v>
      </c>
      <c r="L240" s="902">
        <v>0</v>
      </c>
      <c r="M240" s="902">
        <v>0</v>
      </c>
      <c r="N240" s="902">
        <f t="shared" si="6"/>
        <v>1</v>
      </c>
      <c r="O240" s="903">
        <v>0</v>
      </c>
      <c r="P240" s="903">
        <v>0</v>
      </c>
      <c r="Q240" s="903">
        <v>0</v>
      </c>
      <c r="R240" s="903">
        <v>1</v>
      </c>
      <c r="S240" s="903">
        <f t="shared" si="7"/>
        <v>4</v>
      </c>
      <c r="T240" s="904">
        <v>0</v>
      </c>
      <c r="U240" s="905">
        <v>0</v>
      </c>
      <c r="V240" s="905">
        <v>0</v>
      </c>
      <c r="W240" s="905">
        <v>1</v>
      </c>
      <c r="X240" s="905">
        <v>0</v>
      </c>
      <c r="Y240" s="905">
        <v>1</v>
      </c>
      <c r="Z240" s="905">
        <v>0</v>
      </c>
      <c r="AA240" s="905">
        <v>0</v>
      </c>
      <c r="AB240" s="906">
        <v>3</v>
      </c>
      <c r="AC240" s="906">
        <v>4</v>
      </c>
      <c r="AD240" s="906">
        <v>5</v>
      </c>
      <c r="AE240" s="906">
        <v>2</v>
      </c>
      <c r="AF240" s="906">
        <v>6</v>
      </c>
      <c r="AG240" s="906">
        <v>1</v>
      </c>
      <c r="AH240" s="906">
        <v>7</v>
      </c>
      <c r="AI240" s="907">
        <v>2</v>
      </c>
      <c r="AJ240" s="907">
        <v>1</v>
      </c>
      <c r="AK240" s="907">
        <v>1</v>
      </c>
      <c r="AL240" s="907">
        <v>2</v>
      </c>
      <c r="AM240" s="907">
        <v>2</v>
      </c>
      <c r="AN240" s="907">
        <v>3</v>
      </c>
      <c r="AO240" s="907">
        <v>0</v>
      </c>
      <c r="AP240" s="907">
        <v>0</v>
      </c>
      <c r="AQ240" s="907">
        <v>0</v>
      </c>
      <c r="AR240" s="907">
        <v>0</v>
      </c>
      <c r="AS240" s="907">
        <v>0</v>
      </c>
      <c r="AT240" s="907">
        <v>1</v>
      </c>
      <c r="AU240" s="907">
        <v>0</v>
      </c>
    </row>
    <row r="241" spans="1:47" hidden="1">
      <c r="A241" s="898">
        <v>240</v>
      </c>
      <c r="B241" s="899">
        <v>1</v>
      </c>
      <c r="C241" s="900">
        <v>0</v>
      </c>
      <c r="D241" s="900">
        <v>1</v>
      </c>
      <c r="E241" s="900">
        <v>0</v>
      </c>
      <c r="F241" s="900">
        <v>0</v>
      </c>
      <c r="G241" s="901">
        <v>1</v>
      </c>
      <c r="H241" s="901">
        <v>2</v>
      </c>
      <c r="I241" s="901">
        <v>3</v>
      </c>
      <c r="J241" s="901">
        <v>4</v>
      </c>
      <c r="K241" s="902">
        <v>0</v>
      </c>
      <c r="L241" s="902">
        <v>0</v>
      </c>
      <c r="M241" s="902">
        <v>1</v>
      </c>
      <c r="N241" s="902">
        <f t="shared" si="6"/>
        <v>3</v>
      </c>
      <c r="O241" s="908">
        <v>1</v>
      </c>
      <c r="P241" s="908">
        <v>0</v>
      </c>
      <c r="Q241" s="908">
        <v>0</v>
      </c>
      <c r="R241" s="908">
        <v>0</v>
      </c>
      <c r="S241" s="903">
        <f t="shared" si="7"/>
        <v>1</v>
      </c>
      <c r="T241" s="904">
        <v>1</v>
      </c>
      <c r="U241" s="905">
        <v>0</v>
      </c>
      <c r="V241" s="905">
        <v>1</v>
      </c>
      <c r="W241" s="905">
        <v>0</v>
      </c>
      <c r="X241" s="905">
        <v>1</v>
      </c>
      <c r="Y241" s="905">
        <v>1</v>
      </c>
      <c r="Z241" s="905">
        <v>0</v>
      </c>
      <c r="AA241" s="905">
        <v>0</v>
      </c>
      <c r="AB241" s="906">
        <v>5</v>
      </c>
      <c r="AC241" s="906">
        <v>6</v>
      </c>
      <c r="AD241" s="906">
        <v>2</v>
      </c>
      <c r="AE241" s="906">
        <v>3</v>
      </c>
      <c r="AF241" s="906">
        <v>1</v>
      </c>
      <c r="AG241" s="906">
        <v>4</v>
      </c>
      <c r="AH241" s="906">
        <v>7</v>
      </c>
      <c r="AI241" s="907">
        <v>2</v>
      </c>
      <c r="AJ241" s="907">
        <v>2</v>
      </c>
      <c r="AK241" s="907">
        <v>3</v>
      </c>
      <c r="AL241" s="907">
        <v>2</v>
      </c>
      <c r="AM241" s="907">
        <v>1</v>
      </c>
      <c r="AN241" s="907">
        <v>1</v>
      </c>
      <c r="AO241" s="907">
        <v>4</v>
      </c>
      <c r="AP241" s="907">
        <v>0</v>
      </c>
      <c r="AQ241" s="907">
        <v>0</v>
      </c>
      <c r="AR241" s="907">
        <v>0</v>
      </c>
      <c r="AS241" s="907">
        <v>1</v>
      </c>
      <c r="AT241" s="907">
        <v>0</v>
      </c>
      <c r="AU241" s="907">
        <v>0</v>
      </c>
    </row>
    <row r="242" spans="1:47" hidden="1">
      <c r="A242" s="898">
        <v>241</v>
      </c>
      <c r="B242" s="899">
        <v>1</v>
      </c>
      <c r="C242" s="900">
        <v>0</v>
      </c>
      <c r="D242" s="900">
        <v>0</v>
      </c>
      <c r="E242" s="900">
        <v>1</v>
      </c>
      <c r="F242" s="900">
        <v>0</v>
      </c>
      <c r="G242" s="901">
        <v>2</v>
      </c>
      <c r="H242" s="901">
        <v>1</v>
      </c>
      <c r="I242" s="901">
        <v>4</v>
      </c>
      <c r="J242" s="901">
        <v>3</v>
      </c>
      <c r="K242" s="902">
        <v>0</v>
      </c>
      <c r="L242" s="902">
        <v>1</v>
      </c>
      <c r="M242" s="902">
        <v>0</v>
      </c>
      <c r="N242" s="902">
        <f t="shared" si="6"/>
        <v>2</v>
      </c>
      <c r="O242" s="903">
        <v>1</v>
      </c>
      <c r="P242" s="903">
        <v>0</v>
      </c>
      <c r="Q242" s="903">
        <v>0</v>
      </c>
      <c r="R242" s="903">
        <v>0</v>
      </c>
      <c r="S242" s="903">
        <f t="shared" si="7"/>
        <v>1</v>
      </c>
      <c r="T242" s="904">
        <v>1</v>
      </c>
      <c r="U242" s="905">
        <v>0</v>
      </c>
      <c r="V242" s="905">
        <v>0</v>
      </c>
      <c r="W242" s="905">
        <v>1</v>
      </c>
      <c r="X242" s="905">
        <v>0</v>
      </c>
      <c r="Y242" s="905">
        <v>0</v>
      </c>
      <c r="Z242" s="905">
        <v>0</v>
      </c>
      <c r="AA242" s="905">
        <v>0</v>
      </c>
      <c r="AB242" s="906">
        <v>6</v>
      </c>
      <c r="AC242" s="906">
        <v>4</v>
      </c>
      <c r="AD242" s="906">
        <v>5</v>
      </c>
      <c r="AE242" s="906">
        <v>7</v>
      </c>
      <c r="AF242" s="906">
        <v>1</v>
      </c>
      <c r="AG242" s="906">
        <v>2</v>
      </c>
      <c r="AH242" s="906">
        <v>3</v>
      </c>
      <c r="AI242" s="907">
        <v>2</v>
      </c>
      <c r="AJ242" s="907">
        <v>1</v>
      </c>
      <c r="AK242" s="907">
        <v>1</v>
      </c>
      <c r="AL242" s="907">
        <v>2</v>
      </c>
      <c r="AM242" s="907">
        <v>2</v>
      </c>
      <c r="AN242" s="907">
        <v>2</v>
      </c>
      <c r="AO242" s="907">
        <v>1</v>
      </c>
      <c r="AP242" s="907">
        <v>0</v>
      </c>
      <c r="AQ242" s="907">
        <v>0</v>
      </c>
      <c r="AR242" s="907">
        <v>0</v>
      </c>
      <c r="AS242" s="907">
        <v>0</v>
      </c>
      <c r="AT242" s="907">
        <v>1</v>
      </c>
      <c r="AU242" s="907">
        <v>0</v>
      </c>
    </row>
    <row r="243" spans="1:47" hidden="1">
      <c r="A243" s="898">
        <v>242</v>
      </c>
      <c r="B243" s="899">
        <v>0</v>
      </c>
      <c r="C243" s="900">
        <v>0</v>
      </c>
      <c r="D243" s="900">
        <v>1</v>
      </c>
      <c r="E243" s="900">
        <v>0</v>
      </c>
      <c r="F243" s="900">
        <v>0</v>
      </c>
      <c r="G243" s="901">
        <v>2</v>
      </c>
      <c r="H243" s="901">
        <v>3</v>
      </c>
      <c r="I243" s="901">
        <v>1</v>
      </c>
      <c r="J243" s="901">
        <v>4</v>
      </c>
      <c r="K243" s="902">
        <v>1</v>
      </c>
      <c r="L243" s="902">
        <v>0</v>
      </c>
      <c r="M243" s="902">
        <v>0</v>
      </c>
      <c r="N243" s="902">
        <f t="shared" si="6"/>
        <v>1</v>
      </c>
      <c r="O243" s="903">
        <v>0</v>
      </c>
      <c r="P243" s="903">
        <v>1</v>
      </c>
      <c r="Q243" s="903">
        <v>0</v>
      </c>
      <c r="R243" s="903">
        <v>0</v>
      </c>
      <c r="S243" s="903">
        <f t="shared" si="7"/>
        <v>2</v>
      </c>
      <c r="T243" s="904">
        <v>1</v>
      </c>
      <c r="U243" s="905">
        <v>0</v>
      </c>
      <c r="V243" s="905">
        <v>0</v>
      </c>
      <c r="W243" s="905">
        <v>1</v>
      </c>
      <c r="X243" s="905">
        <v>0</v>
      </c>
      <c r="Y243" s="905">
        <v>1</v>
      </c>
      <c r="Z243" s="905">
        <v>0</v>
      </c>
      <c r="AA243" s="905">
        <v>1</v>
      </c>
      <c r="AB243" s="906">
        <v>3</v>
      </c>
      <c r="AC243" s="906">
        <v>4</v>
      </c>
      <c r="AD243" s="906">
        <v>7</v>
      </c>
      <c r="AE243" s="906">
        <v>6</v>
      </c>
      <c r="AF243" s="906">
        <v>2</v>
      </c>
      <c r="AG243" s="906">
        <v>1</v>
      </c>
      <c r="AH243" s="906">
        <v>5</v>
      </c>
      <c r="AI243" s="907">
        <v>1</v>
      </c>
      <c r="AJ243" s="907">
        <v>2</v>
      </c>
      <c r="AK243" s="907">
        <v>1</v>
      </c>
      <c r="AL243" s="907">
        <v>1</v>
      </c>
      <c r="AM243" s="907">
        <v>2</v>
      </c>
      <c r="AN243" s="907">
        <v>2</v>
      </c>
      <c r="AO243" s="907">
        <v>3</v>
      </c>
      <c r="AP243" s="907">
        <v>1</v>
      </c>
      <c r="AQ243" s="907">
        <v>0</v>
      </c>
      <c r="AR243" s="907">
        <v>0</v>
      </c>
      <c r="AS243" s="907">
        <v>0</v>
      </c>
      <c r="AT243" s="907">
        <v>0</v>
      </c>
      <c r="AU243" s="907">
        <v>0</v>
      </c>
    </row>
    <row r="244" spans="1:47" hidden="1">
      <c r="A244" s="898">
        <v>243</v>
      </c>
      <c r="B244" s="899">
        <v>1</v>
      </c>
      <c r="C244" s="900">
        <v>0</v>
      </c>
      <c r="D244" s="900">
        <v>0</v>
      </c>
      <c r="E244" s="900">
        <v>0</v>
      </c>
      <c r="F244" s="900">
        <v>1</v>
      </c>
      <c r="G244" s="901">
        <v>1</v>
      </c>
      <c r="H244" s="901">
        <v>4</v>
      </c>
      <c r="I244" s="901">
        <v>2</v>
      </c>
      <c r="J244" s="901">
        <v>3</v>
      </c>
      <c r="K244" s="902">
        <v>1</v>
      </c>
      <c r="L244" s="902">
        <v>0</v>
      </c>
      <c r="M244" s="902">
        <v>0</v>
      </c>
      <c r="N244" s="902">
        <f t="shared" si="6"/>
        <v>1</v>
      </c>
      <c r="O244" s="903">
        <v>1</v>
      </c>
      <c r="P244" s="903">
        <v>0</v>
      </c>
      <c r="Q244" s="903">
        <v>0</v>
      </c>
      <c r="R244" s="903">
        <v>0</v>
      </c>
      <c r="S244" s="903">
        <f t="shared" si="7"/>
        <v>1</v>
      </c>
      <c r="T244" s="904">
        <v>1</v>
      </c>
      <c r="U244" s="905">
        <v>0</v>
      </c>
      <c r="V244" s="905">
        <v>1</v>
      </c>
      <c r="W244" s="905">
        <v>1</v>
      </c>
      <c r="X244" s="905">
        <v>1</v>
      </c>
      <c r="Y244" s="905">
        <v>1</v>
      </c>
      <c r="Z244" s="905">
        <v>0</v>
      </c>
      <c r="AA244" s="905">
        <v>5</v>
      </c>
      <c r="AB244" s="906">
        <v>3</v>
      </c>
      <c r="AC244" s="906">
        <v>3</v>
      </c>
      <c r="AD244" s="906">
        <v>1</v>
      </c>
      <c r="AE244" s="906">
        <v>7</v>
      </c>
      <c r="AF244" s="906">
        <v>1</v>
      </c>
      <c r="AG244" s="906">
        <v>2</v>
      </c>
      <c r="AH244" s="906">
        <v>6</v>
      </c>
      <c r="AI244" s="907">
        <v>1</v>
      </c>
      <c r="AJ244" s="907">
        <v>2</v>
      </c>
      <c r="AK244" s="907">
        <v>2</v>
      </c>
      <c r="AL244" s="907">
        <v>3</v>
      </c>
      <c r="AM244" s="907">
        <v>1</v>
      </c>
      <c r="AN244" s="907">
        <v>1</v>
      </c>
      <c r="AO244" s="907">
        <v>3</v>
      </c>
      <c r="AP244" s="907">
        <v>0</v>
      </c>
      <c r="AQ244" s="907">
        <v>0</v>
      </c>
      <c r="AR244" s="907">
        <v>0</v>
      </c>
      <c r="AS244" s="907">
        <v>0</v>
      </c>
      <c r="AT244" s="907">
        <v>1</v>
      </c>
      <c r="AU244" s="907">
        <v>0</v>
      </c>
    </row>
    <row r="245" spans="1:47" hidden="1">
      <c r="A245" s="898">
        <v>244</v>
      </c>
      <c r="B245" s="899">
        <v>1</v>
      </c>
      <c r="C245" s="900">
        <v>1</v>
      </c>
      <c r="D245" s="900">
        <v>0</v>
      </c>
      <c r="E245" s="900">
        <v>0</v>
      </c>
      <c r="F245" s="900">
        <v>0</v>
      </c>
      <c r="G245" s="901">
        <v>2</v>
      </c>
      <c r="H245" s="901">
        <v>3</v>
      </c>
      <c r="I245" s="901">
        <v>4</v>
      </c>
      <c r="J245" s="901">
        <v>1</v>
      </c>
      <c r="K245" s="902">
        <v>0</v>
      </c>
      <c r="L245" s="902">
        <v>1</v>
      </c>
      <c r="M245" s="902">
        <v>0</v>
      </c>
      <c r="N245" s="902">
        <f t="shared" si="6"/>
        <v>2</v>
      </c>
      <c r="O245" s="903">
        <v>0</v>
      </c>
      <c r="P245" s="903">
        <v>1</v>
      </c>
      <c r="Q245" s="903">
        <v>0</v>
      </c>
      <c r="R245" s="903">
        <v>0</v>
      </c>
      <c r="S245" s="903">
        <f t="shared" si="7"/>
        <v>2</v>
      </c>
      <c r="T245" s="904">
        <v>1</v>
      </c>
      <c r="U245" s="905">
        <v>0</v>
      </c>
      <c r="V245" s="905">
        <v>1</v>
      </c>
      <c r="W245" s="905">
        <v>1</v>
      </c>
      <c r="X245" s="905">
        <v>0</v>
      </c>
      <c r="Y245" s="905">
        <v>0</v>
      </c>
      <c r="Z245" s="905">
        <v>0</v>
      </c>
      <c r="AA245" s="905">
        <v>0</v>
      </c>
      <c r="AB245" s="906">
        <v>7</v>
      </c>
      <c r="AC245" s="906">
        <v>5</v>
      </c>
      <c r="AD245" s="906">
        <v>6</v>
      </c>
      <c r="AE245" s="906">
        <v>1</v>
      </c>
      <c r="AF245" s="906">
        <v>3</v>
      </c>
      <c r="AG245" s="906">
        <v>4</v>
      </c>
      <c r="AH245" s="906">
        <v>2</v>
      </c>
      <c r="AI245" s="907">
        <v>2</v>
      </c>
      <c r="AJ245" s="907">
        <v>3</v>
      </c>
      <c r="AK245" s="907">
        <v>2</v>
      </c>
      <c r="AL245" s="907">
        <v>1</v>
      </c>
      <c r="AM245" s="907">
        <v>1</v>
      </c>
      <c r="AN245" s="907">
        <v>2</v>
      </c>
      <c r="AO245" s="907">
        <v>1</v>
      </c>
      <c r="AP245" s="907">
        <v>1</v>
      </c>
      <c r="AQ245" s="907">
        <v>0</v>
      </c>
      <c r="AR245" s="907">
        <v>0</v>
      </c>
      <c r="AS245" s="907">
        <v>0</v>
      </c>
      <c r="AT245" s="907">
        <v>0</v>
      </c>
      <c r="AU245" s="907">
        <v>1</v>
      </c>
    </row>
    <row r="246" spans="1:47" hidden="1">
      <c r="A246" s="898">
        <v>245</v>
      </c>
      <c r="B246" s="899">
        <v>0</v>
      </c>
      <c r="C246" s="900">
        <v>0</v>
      </c>
      <c r="D246" s="900">
        <v>1</v>
      </c>
      <c r="E246" s="900">
        <v>0</v>
      </c>
      <c r="F246" s="900">
        <v>0</v>
      </c>
      <c r="G246" s="901">
        <v>4</v>
      </c>
      <c r="H246" s="901">
        <v>3</v>
      </c>
      <c r="I246" s="901">
        <v>2</v>
      </c>
      <c r="J246" s="901">
        <v>1</v>
      </c>
      <c r="K246" s="902">
        <v>1</v>
      </c>
      <c r="L246" s="902">
        <v>0</v>
      </c>
      <c r="M246" s="902">
        <v>0</v>
      </c>
      <c r="N246" s="902">
        <f t="shared" si="6"/>
        <v>1</v>
      </c>
      <c r="O246" s="903">
        <v>1</v>
      </c>
      <c r="P246" s="903">
        <v>0</v>
      </c>
      <c r="Q246" s="903">
        <v>0</v>
      </c>
      <c r="R246" s="903">
        <v>0</v>
      </c>
      <c r="S246" s="903">
        <f t="shared" si="7"/>
        <v>1</v>
      </c>
      <c r="T246" s="904">
        <v>1</v>
      </c>
      <c r="U246" s="905">
        <v>0</v>
      </c>
      <c r="V246" s="905">
        <v>0</v>
      </c>
      <c r="W246" s="905">
        <v>1</v>
      </c>
      <c r="X246" s="905">
        <v>0</v>
      </c>
      <c r="Y246" s="905">
        <v>0</v>
      </c>
      <c r="Z246" s="905">
        <v>1</v>
      </c>
      <c r="AA246" s="905">
        <v>0</v>
      </c>
      <c r="AB246" s="906">
        <v>3</v>
      </c>
      <c r="AC246" s="906">
        <v>4</v>
      </c>
      <c r="AD246" s="906">
        <v>5</v>
      </c>
      <c r="AE246" s="906">
        <v>7</v>
      </c>
      <c r="AF246" s="906">
        <v>2</v>
      </c>
      <c r="AG246" s="906">
        <v>1</v>
      </c>
      <c r="AH246" s="906">
        <v>6</v>
      </c>
      <c r="AI246" s="907">
        <v>0</v>
      </c>
      <c r="AJ246" s="907">
        <v>2</v>
      </c>
      <c r="AK246" s="907">
        <v>3</v>
      </c>
      <c r="AL246" s="907">
        <v>1</v>
      </c>
      <c r="AM246" s="907">
        <v>3</v>
      </c>
      <c r="AN246" s="907">
        <v>1</v>
      </c>
      <c r="AO246" s="907">
        <v>2</v>
      </c>
      <c r="AP246" s="907">
        <v>0</v>
      </c>
      <c r="AQ246" s="907">
        <v>1</v>
      </c>
      <c r="AR246" s="907">
        <v>0</v>
      </c>
      <c r="AS246" s="907">
        <v>0</v>
      </c>
      <c r="AT246" s="907">
        <v>0</v>
      </c>
      <c r="AU246" s="907">
        <v>0</v>
      </c>
    </row>
    <row r="247" spans="1:47" hidden="1">
      <c r="A247" s="898">
        <v>246</v>
      </c>
      <c r="B247" s="899">
        <v>1</v>
      </c>
      <c r="C247" s="900">
        <v>0</v>
      </c>
      <c r="D247" s="900">
        <v>0</v>
      </c>
      <c r="E247" s="900">
        <v>0</v>
      </c>
      <c r="F247" s="900">
        <v>1</v>
      </c>
      <c r="G247" s="901">
        <v>1</v>
      </c>
      <c r="H247" s="901">
        <v>4</v>
      </c>
      <c r="I247" s="901">
        <v>2</v>
      </c>
      <c r="J247" s="901">
        <v>3</v>
      </c>
      <c r="K247" s="902">
        <v>1</v>
      </c>
      <c r="L247" s="902">
        <v>0</v>
      </c>
      <c r="M247" s="902">
        <v>0</v>
      </c>
      <c r="N247" s="902">
        <f t="shared" si="6"/>
        <v>1</v>
      </c>
      <c r="O247" s="903">
        <v>1</v>
      </c>
      <c r="P247" s="903">
        <v>0</v>
      </c>
      <c r="Q247" s="903">
        <v>0</v>
      </c>
      <c r="R247" s="903">
        <v>0</v>
      </c>
      <c r="S247" s="903">
        <f t="shared" si="7"/>
        <v>1</v>
      </c>
      <c r="T247" s="904">
        <v>1</v>
      </c>
      <c r="U247" s="905">
        <v>1</v>
      </c>
      <c r="V247" s="905">
        <v>0</v>
      </c>
      <c r="W247" s="905">
        <v>0</v>
      </c>
      <c r="X247" s="905">
        <v>1</v>
      </c>
      <c r="Y247" s="905">
        <v>0</v>
      </c>
      <c r="Z247" s="905">
        <v>0</v>
      </c>
      <c r="AA247" s="905">
        <v>1</v>
      </c>
      <c r="AB247" s="906">
        <v>4</v>
      </c>
      <c r="AC247" s="906">
        <v>5</v>
      </c>
      <c r="AD247" s="906">
        <v>3</v>
      </c>
      <c r="AE247" s="906">
        <v>6</v>
      </c>
      <c r="AF247" s="906">
        <v>7</v>
      </c>
      <c r="AG247" s="906">
        <v>2</v>
      </c>
      <c r="AH247" s="906">
        <v>1</v>
      </c>
      <c r="AI247" s="907">
        <v>2</v>
      </c>
      <c r="AJ247" s="907">
        <v>2</v>
      </c>
      <c r="AK247" s="907">
        <v>1</v>
      </c>
      <c r="AL247" s="907">
        <v>1</v>
      </c>
      <c r="AM247" s="907">
        <v>1</v>
      </c>
      <c r="AN247" s="907">
        <v>1</v>
      </c>
      <c r="AO247" s="907">
        <v>3</v>
      </c>
      <c r="AP247" s="907">
        <v>0</v>
      </c>
      <c r="AQ247" s="907">
        <v>0</v>
      </c>
      <c r="AR247" s="907">
        <v>0</v>
      </c>
      <c r="AS247" s="907">
        <v>1</v>
      </c>
      <c r="AT247" s="907">
        <v>0</v>
      </c>
      <c r="AU247" s="907">
        <v>0</v>
      </c>
    </row>
    <row r="248" spans="1:47" hidden="1">
      <c r="A248" s="898">
        <v>247</v>
      </c>
      <c r="B248" s="899">
        <v>0</v>
      </c>
      <c r="C248" s="900">
        <v>0</v>
      </c>
      <c r="D248" s="900">
        <v>0</v>
      </c>
      <c r="E248" s="900">
        <v>1</v>
      </c>
      <c r="F248" s="900">
        <v>0</v>
      </c>
      <c r="G248" s="901">
        <v>3</v>
      </c>
      <c r="H248" s="901">
        <v>2</v>
      </c>
      <c r="I248" s="901">
        <v>1</v>
      </c>
      <c r="J248" s="901">
        <v>4</v>
      </c>
      <c r="K248" s="902">
        <v>1</v>
      </c>
      <c r="L248" s="902">
        <v>0</v>
      </c>
      <c r="M248" s="902">
        <v>0</v>
      </c>
      <c r="N248" s="902">
        <f t="shared" si="6"/>
        <v>1</v>
      </c>
      <c r="O248" s="903">
        <v>1</v>
      </c>
      <c r="P248" s="903">
        <v>0</v>
      </c>
      <c r="Q248" s="903">
        <v>0</v>
      </c>
      <c r="R248" s="903">
        <v>0</v>
      </c>
      <c r="S248" s="903">
        <f t="shared" si="7"/>
        <v>1</v>
      </c>
      <c r="T248" s="904">
        <v>1</v>
      </c>
      <c r="U248" s="905">
        <v>0</v>
      </c>
      <c r="V248" s="905">
        <v>1</v>
      </c>
      <c r="W248" s="905">
        <v>1</v>
      </c>
      <c r="X248" s="905">
        <v>0</v>
      </c>
      <c r="Y248" s="905">
        <v>0</v>
      </c>
      <c r="Z248" s="905">
        <v>1</v>
      </c>
      <c r="AA248" s="905">
        <v>0</v>
      </c>
      <c r="AB248" s="906">
        <v>3</v>
      </c>
      <c r="AC248" s="906">
        <v>5</v>
      </c>
      <c r="AD248" s="906">
        <v>2</v>
      </c>
      <c r="AE248" s="906">
        <v>6</v>
      </c>
      <c r="AF248" s="906">
        <v>1</v>
      </c>
      <c r="AG248" s="906">
        <v>4</v>
      </c>
      <c r="AH248" s="906">
        <v>7</v>
      </c>
      <c r="AI248" s="907">
        <v>1</v>
      </c>
      <c r="AJ248" s="907">
        <v>2</v>
      </c>
      <c r="AK248" s="907">
        <v>2</v>
      </c>
      <c r="AL248" s="907">
        <v>1</v>
      </c>
      <c r="AM248" s="907">
        <v>2</v>
      </c>
      <c r="AN248" s="907">
        <v>1</v>
      </c>
      <c r="AO248" s="907">
        <v>3</v>
      </c>
      <c r="AP248" s="907">
        <v>0</v>
      </c>
      <c r="AQ248" s="907">
        <v>0</v>
      </c>
      <c r="AR248" s="907">
        <v>0</v>
      </c>
      <c r="AS248" s="907">
        <v>0</v>
      </c>
      <c r="AT248" s="907">
        <v>1</v>
      </c>
      <c r="AU248" s="907">
        <v>0</v>
      </c>
    </row>
    <row r="249" spans="1:47" hidden="1">
      <c r="A249" s="898">
        <v>248</v>
      </c>
      <c r="B249" s="899">
        <v>1</v>
      </c>
      <c r="C249" s="900">
        <v>1</v>
      </c>
      <c r="D249" s="900">
        <v>0</v>
      </c>
      <c r="E249" s="900">
        <v>0</v>
      </c>
      <c r="F249" s="900">
        <v>0</v>
      </c>
      <c r="G249" s="901">
        <v>4</v>
      </c>
      <c r="H249" s="901">
        <v>1</v>
      </c>
      <c r="I249" s="901">
        <v>3</v>
      </c>
      <c r="J249" s="901">
        <v>2</v>
      </c>
      <c r="K249" s="902">
        <v>0</v>
      </c>
      <c r="L249" s="902">
        <v>1</v>
      </c>
      <c r="M249" s="902">
        <v>0</v>
      </c>
      <c r="N249" s="902">
        <f t="shared" si="6"/>
        <v>2</v>
      </c>
      <c r="O249" s="903">
        <v>1</v>
      </c>
      <c r="P249" s="903">
        <v>0</v>
      </c>
      <c r="Q249" s="903">
        <v>0</v>
      </c>
      <c r="R249" s="903">
        <v>0</v>
      </c>
      <c r="S249" s="903">
        <f t="shared" si="7"/>
        <v>1</v>
      </c>
      <c r="T249" s="904">
        <v>1</v>
      </c>
      <c r="U249" s="905">
        <v>0</v>
      </c>
      <c r="V249" s="905">
        <v>0</v>
      </c>
      <c r="W249" s="905">
        <v>0</v>
      </c>
      <c r="X249" s="905">
        <v>1</v>
      </c>
      <c r="Y249" s="905">
        <v>1</v>
      </c>
      <c r="Z249" s="905">
        <v>0</v>
      </c>
      <c r="AA249" s="905">
        <v>0</v>
      </c>
      <c r="AB249" s="906">
        <v>3</v>
      </c>
      <c r="AC249" s="906">
        <v>1</v>
      </c>
      <c r="AD249" s="906">
        <v>5</v>
      </c>
      <c r="AE249" s="906">
        <v>7</v>
      </c>
      <c r="AF249" s="906">
        <v>2</v>
      </c>
      <c r="AG249" s="906">
        <v>4</v>
      </c>
      <c r="AH249" s="906">
        <v>6</v>
      </c>
      <c r="AI249" s="907">
        <v>2</v>
      </c>
      <c r="AJ249" s="907">
        <v>2</v>
      </c>
      <c r="AK249" s="907">
        <v>1</v>
      </c>
      <c r="AL249" s="907">
        <v>1</v>
      </c>
      <c r="AM249" s="907">
        <v>1</v>
      </c>
      <c r="AN249" s="907">
        <v>2</v>
      </c>
      <c r="AO249" s="907">
        <v>2</v>
      </c>
      <c r="AP249" s="907">
        <v>0</v>
      </c>
      <c r="AQ249" s="907">
        <v>0</v>
      </c>
      <c r="AR249" s="907">
        <v>0</v>
      </c>
      <c r="AS249" s="907">
        <v>1</v>
      </c>
      <c r="AT249" s="907">
        <v>0</v>
      </c>
      <c r="AU249" s="907">
        <v>0</v>
      </c>
    </row>
    <row r="250" spans="1:47" hidden="1">
      <c r="A250" s="898">
        <v>249</v>
      </c>
      <c r="B250" s="899">
        <v>0</v>
      </c>
      <c r="C250" s="900">
        <v>1</v>
      </c>
      <c r="D250" s="900">
        <v>0</v>
      </c>
      <c r="E250" s="900">
        <v>0</v>
      </c>
      <c r="F250" s="900">
        <v>0</v>
      </c>
      <c r="G250" s="901">
        <v>1</v>
      </c>
      <c r="H250" s="901">
        <v>2</v>
      </c>
      <c r="I250" s="901">
        <v>3</v>
      </c>
      <c r="J250" s="901">
        <v>4</v>
      </c>
      <c r="K250" s="902">
        <v>0</v>
      </c>
      <c r="L250" s="902">
        <v>1</v>
      </c>
      <c r="M250" s="902">
        <v>0</v>
      </c>
      <c r="N250" s="902">
        <f t="shared" si="6"/>
        <v>2</v>
      </c>
      <c r="O250" s="903">
        <v>1</v>
      </c>
      <c r="P250" s="903">
        <v>0</v>
      </c>
      <c r="Q250" s="903">
        <v>0</v>
      </c>
      <c r="R250" s="903">
        <v>0</v>
      </c>
      <c r="S250" s="903">
        <f t="shared" si="7"/>
        <v>1</v>
      </c>
      <c r="T250" s="904">
        <v>1</v>
      </c>
      <c r="U250" s="905">
        <v>0</v>
      </c>
      <c r="V250" s="905">
        <v>0</v>
      </c>
      <c r="W250" s="905">
        <v>0</v>
      </c>
      <c r="X250" s="905">
        <v>0</v>
      </c>
      <c r="Y250" s="905">
        <v>1</v>
      </c>
      <c r="Z250" s="905">
        <v>0</v>
      </c>
      <c r="AA250" s="905">
        <v>0</v>
      </c>
      <c r="AB250" s="906">
        <v>4</v>
      </c>
      <c r="AC250" s="906">
        <v>6</v>
      </c>
      <c r="AD250" s="906">
        <v>1</v>
      </c>
      <c r="AE250" s="906">
        <v>7</v>
      </c>
      <c r="AF250" s="906">
        <v>5</v>
      </c>
      <c r="AG250" s="906">
        <v>3</v>
      </c>
      <c r="AH250" s="906">
        <v>2</v>
      </c>
      <c r="AI250" s="907">
        <v>1</v>
      </c>
      <c r="AJ250" s="907">
        <v>1</v>
      </c>
      <c r="AK250" s="907">
        <v>2</v>
      </c>
      <c r="AL250" s="907">
        <v>2</v>
      </c>
      <c r="AM250" s="907">
        <v>1</v>
      </c>
      <c r="AN250" s="907">
        <v>1</v>
      </c>
      <c r="AO250" s="907">
        <v>1</v>
      </c>
      <c r="AP250" s="907">
        <v>1</v>
      </c>
      <c r="AQ250" s="907">
        <v>1</v>
      </c>
      <c r="AR250" s="907">
        <v>0</v>
      </c>
      <c r="AS250" s="907">
        <v>0</v>
      </c>
      <c r="AT250" s="907">
        <v>0</v>
      </c>
      <c r="AU250" s="907">
        <v>0</v>
      </c>
    </row>
    <row r="251" spans="1:47" hidden="1">
      <c r="A251" s="898">
        <v>250</v>
      </c>
      <c r="B251" s="899">
        <v>0</v>
      </c>
      <c r="C251" s="900">
        <v>0</v>
      </c>
      <c r="D251" s="900">
        <v>1</v>
      </c>
      <c r="E251" s="900">
        <v>0</v>
      </c>
      <c r="F251" s="900">
        <v>0</v>
      </c>
      <c r="G251" s="901">
        <v>3</v>
      </c>
      <c r="H251" s="901">
        <v>2</v>
      </c>
      <c r="I251" s="901">
        <v>4</v>
      </c>
      <c r="J251" s="901">
        <v>1</v>
      </c>
      <c r="K251" s="902">
        <v>0</v>
      </c>
      <c r="L251" s="902">
        <v>1</v>
      </c>
      <c r="M251" s="902">
        <v>0</v>
      </c>
      <c r="N251" s="902">
        <f t="shared" si="6"/>
        <v>2</v>
      </c>
      <c r="O251" s="903">
        <v>1</v>
      </c>
      <c r="P251" s="903">
        <v>0</v>
      </c>
      <c r="Q251" s="903">
        <v>0</v>
      </c>
      <c r="R251" s="903">
        <v>0</v>
      </c>
      <c r="S251" s="903">
        <f t="shared" si="7"/>
        <v>1</v>
      </c>
      <c r="T251" s="904">
        <v>0</v>
      </c>
      <c r="U251" s="905">
        <v>0</v>
      </c>
      <c r="V251" s="905">
        <v>0</v>
      </c>
      <c r="W251" s="905">
        <v>1</v>
      </c>
      <c r="X251" s="905">
        <v>1</v>
      </c>
      <c r="Y251" s="905">
        <v>0</v>
      </c>
      <c r="Z251" s="905">
        <v>1</v>
      </c>
      <c r="AA251" s="905">
        <v>0</v>
      </c>
      <c r="AB251" s="906">
        <v>6</v>
      </c>
      <c r="AC251" s="906">
        <v>7</v>
      </c>
      <c r="AD251" s="906">
        <v>4</v>
      </c>
      <c r="AE251" s="906">
        <v>1</v>
      </c>
      <c r="AF251" s="906">
        <v>3</v>
      </c>
      <c r="AG251" s="906">
        <v>5</v>
      </c>
      <c r="AH251" s="906">
        <v>2</v>
      </c>
      <c r="AI251" s="907">
        <v>2</v>
      </c>
      <c r="AJ251" s="907">
        <v>2</v>
      </c>
      <c r="AK251" s="907">
        <v>3</v>
      </c>
      <c r="AL251" s="907">
        <v>4</v>
      </c>
      <c r="AM251" s="907">
        <v>1</v>
      </c>
      <c r="AN251" s="907">
        <v>1</v>
      </c>
      <c r="AO251" s="907">
        <v>2</v>
      </c>
      <c r="AP251" s="907">
        <v>0</v>
      </c>
      <c r="AQ251" s="907">
        <v>0</v>
      </c>
      <c r="AR251" s="907">
        <v>1</v>
      </c>
      <c r="AS251" s="907">
        <v>1</v>
      </c>
      <c r="AT251" s="907">
        <v>1</v>
      </c>
      <c r="AU251" s="907">
        <v>0</v>
      </c>
    </row>
    <row r="252" spans="1:47" hidden="1">
      <c r="A252" s="898">
        <v>251</v>
      </c>
      <c r="B252" s="899">
        <v>1</v>
      </c>
      <c r="C252" s="900">
        <v>0</v>
      </c>
      <c r="D252" s="900">
        <v>1</v>
      </c>
      <c r="E252" s="900">
        <v>0</v>
      </c>
      <c r="F252" s="900">
        <v>0</v>
      </c>
      <c r="G252" s="901">
        <v>3</v>
      </c>
      <c r="H252" s="901">
        <v>2</v>
      </c>
      <c r="I252" s="901">
        <v>4</v>
      </c>
      <c r="J252" s="901">
        <v>1</v>
      </c>
      <c r="K252" s="902">
        <v>1</v>
      </c>
      <c r="L252" s="902">
        <v>0</v>
      </c>
      <c r="M252" s="902">
        <v>0</v>
      </c>
      <c r="N252" s="902">
        <f t="shared" si="6"/>
        <v>1</v>
      </c>
      <c r="O252" s="903">
        <v>1</v>
      </c>
      <c r="P252" s="903">
        <v>0</v>
      </c>
      <c r="Q252" s="903">
        <v>0</v>
      </c>
      <c r="R252" s="903">
        <v>0</v>
      </c>
      <c r="S252" s="903">
        <f t="shared" si="7"/>
        <v>1</v>
      </c>
      <c r="T252" s="904">
        <v>0</v>
      </c>
      <c r="U252" s="905">
        <v>0</v>
      </c>
      <c r="V252" s="905">
        <v>1</v>
      </c>
      <c r="W252" s="905">
        <v>1</v>
      </c>
      <c r="X252" s="905">
        <v>1</v>
      </c>
      <c r="Y252" s="905">
        <v>0</v>
      </c>
      <c r="Z252" s="905">
        <v>1</v>
      </c>
      <c r="AA252" s="905">
        <v>0</v>
      </c>
      <c r="AB252" s="906">
        <v>1</v>
      </c>
      <c r="AC252" s="906">
        <v>3</v>
      </c>
      <c r="AD252" s="906">
        <v>5</v>
      </c>
      <c r="AE252" s="906">
        <v>6</v>
      </c>
      <c r="AF252" s="906">
        <v>2</v>
      </c>
      <c r="AG252" s="906">
        <v>4</v>
      </c>
      <c r="AH252" s="906">
        <v>7</v>
      </c>
      <c r="AI252" s="907">
        <v>1</v>
      </c>
      <c r="AJ252" s="907">
        <v>1</v>
      </c>
      <c r="AK252" s="907">
        <v>1</v>
      </c>
      <c r="AL252" s="907">
        <v>1</v>
      </c>
      <c r="AM252" s="907">
        <v>1</v>
      </c>
      <c r="AN252" s="907">
        <v>2</v>
      </c>
      <c r="AO252" s="907">
        <v>1</v>
      </c>
      <c r="AP252" s="907">
        <v>0</v>
      </c>
      <c r="AQ252" s="907">
        <v>0</v>
      </c>
      <c r="AR252" s="907">
        <v>0</v>
      </c>
      <c r="AS252" s="907">
        <v>0</v>
      </c>
      <c r="AT252" s="907">
        <v>0</v>
      </c>
      <c r="AU252" s="907">
        <v>0</v>
      </c>
    </row>
    <row r="253" spans="1:47" hidden="1">
      <c r="A253" s="898">
        <v>252</v>
      </c>
      <c r="B253" s="899">
        <v>1</v>
      </c>
      <c r="C253" s="900">
        <v>1</v>
      </c>
      <c r="D253" s="900">
        <v>0</v>
      </c>
      <c r="E253" s="900">
        <v>0</v>
      </c>
      <c r="F253" s="900">
        <v>0</v>
      </c>
      <c r="G253" s="901">
        <v>1</v>
      </c>
      <c r="H253" s="901">
        <v>3</v>
      </c>
      <c r="I253" s="901">
        <v>2</v>
      </c>
      <c r="J253" s="901">
        <v>4</v>
      </c>
      <c r="K253" s="902">
        <v>1</v>
      </c>
      <c r="L253" s="902">
        <v>0</v>
      </c>
      <c r="M253" s="902">
        <v>0</v>
      </c>
      <c r="N253" s="902">
        <f t="shared" si="6"/>
        <v>1</v>
      </c>
      <c r="O253" s="903">
        <v>1</v>
      </c>
      <c r="P253" s="903">
        <v>0</v>
      </c>
      <c r="Q253" s="903">
        <v>0</v>
      </c>
      <c r="R253" s="903">
        <v>0</v>
      </c>
      <c r="S253" s="903">
        <f t="shared" si="7"/>
        <v>1</v>
      </c>
      <c r="T253" s="904">
        <v>1</v>
      </c>
      <c r="U253" s="905">
        <v>0</v>
      </c>
      <c r="V253" s="905">
        <v>0</v>
      </c>
      <c r="W253" s="905">
        <v>0</v>
      </c>
      <c r="X253" s="905">
        <v>0</v>
      </c>
      <c r="Y253" s="905">
        <v>0</v>
      </c>
      <c r="Z253" s="905">
        <v>1</v>
      </c>
      <c r="AA253" s="905">
        <v>0</v>
      </c>
      <c r="AB253" s="906">
        <v>7</v>
      </c>
      <c r="AC253" s="906">
        <v>5</v>
      </c>
      <c r="AD253" s="906">
        <v>2</v>
      </c>
      <c r="AE253" s="906">
        <v>6</v>
      </c>
      <c r="AF253" s="906">
        <v>1</v>
      </c>
      <c r="AG253" s="906">
        <v>4</v>
      </c>
      <c r="AH253" s="906">
        <v>3</v>
      </c>
      <c r="AI253" s="907">
        <v>1</v>
      </c>
      <c r="AJ253" s="907">
        <v>1</v>
      </c>
      <c r="AK253" s="907">
        <v>1</v>
      </c>
      <c r="AL253" s="907">
        <v>1</v>
      </c>
      <c r="AM253" s="907">
        <v>1</v>
      </c>
      <c r="AN253" s="907">
        <v>1</v>
      </c>
      <c r="AO253" s="907">
        <v>1</v>
      </c>
      <c r="AP253" s="907">
        <v>1</v>
      </c>
      <c r="AQ253" s="907">
        <v>0</v>
      </c>
      <c r="AR253" s="907">
        <v>1</v>
      </c>
      <c r="AS253" s="907">
        <v>0</v>
      </c>
      <c r="AT253" s="907">
        <v>0</v>
      </c>
      <c r="AU253" s="907">
        <v>0</v>
      </c>
    </row>
    <row r="254" spans="1:47" hidden="1">
      <c r="A254" s="898">
        <v>253</v>
      </c>
      <c r="B254" s="899">
        <v>1</v>
      </c>
      <c r="C254" s="900">
        <v>0</v>
      </c>
      <c r="D254" s="900">
        <v>1</v>
      </c>
      <c r="E254" s="900">
        <v>0</v>
      </c>
      <c r="F254" s="900">
        <v>0</v>
      </c>
      <c r="G254" s="901">
        <v>3</v>
      </c>
      <c r="H254" s="901">
        <v>2</v>
      </c>
      <c r="I254" s="901">
        <v>1</v>
      </c>
      <c r="J254" s="901">
        <v>4</v>
      </c>
      <c r="K254" s="902">
        <v>1</v>
      </c>
      <c r="L254" s="902">
        <v>0</v>
      </c>
      <c r="M254" s="902">
        <v>0</v>
      </c>
      <c r="N254" s="902">
        <f t="shared" si="6"/>
        <v>1</v>
      </c>
      <c r="O254" s="903">
        <v>1</v>
      </c>
      <c r="P254" s="903">
        <v>0</v>
      </c>
      <c r="Q254" s="903">
        <v>0</v>
      </c>
      <c r="R254" s="903">
        <v>0</v>
      </c>
      <c r="S254" s="903">
        <f t="shared" si="7"/>
        <v>1</v>
      </c>
      <c r="T254" s="904">
        <v>1</v>
      </c>
      <c r="U254" s="905">
        <v>1</v>
      </c>
      <c r="V254" s="905">
        <v>1</v>
      </c>
      <c r="W254" s="905">
        <v>0</v>
      </c>
      <c r="X254" s="905">
        <v>1</v>
      </c>
      <c r="Y254" s="905">
        <v>0</v>
      </c>
      <c r="Z254" s="905">
        <v>1</v>
      </c>
      <c r="AA254" s="905">
        <v>0</v>
      </c>
      <c r="AB254" s="906">
        <v>6</v>
      </c>
      <c r="AC254" s="906">
        <v>3</v>
      </c>
      <c r="AD254" s="906">
        <v>4</v>
      </c>
      <c r="AE254" s="906">
        <v>7</v>
      </c>
      <c r="AF254" s="906">
        <v>2</v>
      </c>
      <c r="AG254" s="906">
        <v>1</v>
      </c>
      <c r="AH254" s="906">
        <v>5</v>
      </c>
      <c r="AI254" s="907">
        <v>1</v>
      </c>
      <c r="AJ254" s="907">
        <v>1</v>
      </c>
      <c r="AK254" s="907">
        <v>1</v>
      </c>
      <c r="AL254" s="907">
        <v>1</v>
      </c>
      <c r="AM254" s="907">
        <v>1</v>
      </c>
      <c r="AN254" s="907">
        <v>1</v>
      </c>
      <c r="AO254" s="907">
        <v>2</v>
      </c>
      <c r="AP254" s="907">
        <v>0</v>
      </c>
      <c r="AQ254" s="907">
        <v>0</v>
      </c>
      <c r="AR254" s="907">
        <v>1</v>
      </c>
      <c r="AS254" s="907">
        <v>1</v>
      </c>
      <c r="AT254" s="907">
        <v>0</v>
      </c>
      <c r="AU254" s="907">
        <v>0</v>
      </c>
    </row>
    <row r="255" spans="1:47" hidden="1">
      <c r="A255" s="898">
        <v>254</v>
      </c>
      <c r="B255" s="899">
        <v>0</v>
      </c>
      <c r="C255" s="900">
        <v>1</v>
      </c>
      <c r="D255" s="900">
        <v>0</v>
      </c>
      <c r="E255" s="900">
        <v>0</v>
      </c>
      <c r="F255" s="900">
        <v>0</v>
      </c>
      <c r="G255" s="901">
        <v>1</v>
      </c>
      <c r="H255" s="901">
        <v>2</v>
      </c>
      <c r="I255" s="901">
        <v>4</v>
      </c>
      <c r="J255" s="901">
        <v>3</v>
      </c>
      <c r="K255" s="902">
        <v>1</v>
      </c>
      <c r="L255" s="902">
        <v>0</v>
      </c>
      <c r="M255" s="902">
        <v>0</v>
      </c>
      <c r="N255" s="902">
        <f t="shared" si="6"/>
        <v>1</v>
      </c>
      <c r="O255" s="903">
        <v>1</v>
      </c>
      <c r="P255" s="903">
        <v>0</v>
      </c>
      <c r="Q255" s="903">
        <v>0</v>
      </c>
      <c r="R255" s="903">
        <v>0</v>
      </c>
      <c r="S255" s="903">
        <f t="shared" si="7"/>
        <v>1</v>
      </c>
      <c r="T255" s="904">
        <v>1</v>
      </c>
      <c r="U255" s="905">
        <v>0</v>
      </c>
      <c r="V255" s="905">
        <v>1</v>
      </c>
      <c r="W255" s="905">
        <v>1</v>
      </c>
      <c r="X255" s="905">
        <v>0</v>
      </c>
      <c r="Y255" s="905">
        <v>1</v>
      </c>
      <c r="Z255" s="905">
        <v>1</v>
      </c>
      <c r="AA255" s="905">
        <v>0</v>
      </c>
      <c r="AB255" s="906">
        <v>5</v>
      </c>
      <c r="AC255" s="906">
        <v>4</v>
      </c>
      <c r="AD255" s="906">
        <v>3</v>
      </c>
      <c r="AE255" s="906">
        <v>6</v>
      </c>
      <c r="AF255" s="906">
        <v>1</v>
      </c>
      <c r="AG255" s="906">
        <v>2</v>
      </c>
      <c r="AH255" s="906">
        <v>7</v>
      </c>
      <c r="AI255" s="907">
        <v>2</v>
      </c>
      <c r="AJ255" s="907">
        <v>2</v>
      </c>
      <c r="AK255" s="907">
        <v>2</v>
      </c>
      <c r="AL255" s="907">
        <v>2</v>
      </c>
      <c r="AM255" s="907">
        <v>1</v>
      </c>
      <c r="AN255" s="907">
        <v>2</v>
      </c>
      <c r="AO255" s="907">
        <v>2</v>
      </c>
      <c r="AP255" s="907">
        <v>0</v>
      </c>
      <c r="AQ255" s="907">
        <v>0</v>
      </c>
      <c r="AR255" s="907">
        <v>0</v>
      </c>
      <c r="AS255" s="907">
        <v>0</v>
      </c>
      <c r="AT255" s="907">
        <v>1</v>
      </c>
      <c r="AU255" s="907">
        <v>0</v>
      </c>
    </row>
    <row r="256" spans="1:47" hidden="1">
      <c r="A256" s="898">
        <v>255</v>
      </c>
      <c r="B256" s="899">
        <v>1</v>
      </c>
      <c r="C256" s="900">
        <v>0</v>
      </c>
      <c r="D256" s="900">
        <v>1</v>
      </c>
      <c r="E256" s="900">
        <v>0</v>
      </c>
      <c r="F256" s="900">
        <v>0</v>
      </c>
      <c r="G256" s="901">
        <v>4</v>
      </c>
      <c r="H256" s="901">
        <v>1</v>
      </c>
      <c r="I256" s="901">
        <v>2</v>
      </c>
      <c r="J256" s="901">
        <v>3</v>
      </c>
      <c r="K256" s="902">
        <v>1</v>
      </c>
      <c r="L256" s="902">
        <v>0</v>
      </c>
      <c r="M256" s="902">
        <v>0</v>
      </c>
      <c r="N256" s="902">
        <f t="shared" si="6"/>
        <v>1</v>
      </c>
      <c r="O256" s="903">
        <v>0</v>
      </c>
      <c r="P256" s="903">
        <v>1</v>
      </c>
      <c r="Q256" s="903">
        <v>0</v>
      </c>
      <c r="R256" s="903">
        <v>0</v>
      </c>
      <c r="S256" s="903">
        <f t="shared" si="7"/>
        <v>2</v>
      </c>
      <c r="T256" s="904">
        <v>1</v>
      </c>
      <c r="U256" s="905">
        <v>0</v>
      </c>
      <c r="V256" s="905">
        <v>0</v>
      </c>
      <c r="W256" s="905">
        <v>0</v>
      </c>
      <c r="X256" s="905">
        <v>1</v>
      </c>
      <c r="Y256" s="905">
        <v>0</v>
      </c>
      <c r="Z256" s="905">
        <v>1</v>
      </c>
      <c r="AA256" s="905">
        <v>0</v>
      </c>
      <c r="AB256" s="906">
        <v>6</v>
      </c>
      <c r="AC256" s="906">
        <v>3</v>
      </c>
      <c r="AD256" s="906">
        <v>7</v>
      </c>
      <c r="AE256" s="906">
        <v>4</v>
      </c>
      <c r="AF256" s="906">
        <v>1</v>
      </c>
      <c r="AG256" s="906">
        <v>5</v>
      </c>
      <c r="AH256" s="906">
        <v>2</v>
      </c>
      <c r="AI256" s="907">
        <v>2</v>
      </c>
      <c r="AJ256" s="907">
        <v>2</v>
      </c>
      <c r="AK256" s="907">
        <v>1</v>
      </c>
      <c r="AL256" s="907">
        <v>1</v>
      </c>
      <c r="AM256" s="907">
        <v>2</v>
      </c>
      <c r="AN256" s="907">
        <v>1</v>
      </c>
      <c r="AO256" s="907">
        <v>2</v>
      </c>
      <c r="AP256" s="907">
        <v>0</v>
      </c>
      <c r="AQ256" s="907">
        <v>0</v>
      </c>
      <c r="AR256" s="907">
        <v>0</v>
      </c>
      <c r="AS256" s="907">
        <v>1</v>
      </c>
      <c r="AT256" s="907">
        <v>0</v>
      </c>
      <c r="AU256" s="907">
        <v>0</v>
      </c>
    </row>
    <row r="257" spans="1:47" hidden="1">
      <c r="A257" s="898">
        <v>256</v>
      </c>
      <c r="B257" s="899">
        <v>0</v>
      </c>
      <c r="C257" s="900">
        <v>0</v>
      </c>
      <c r="D257" s="900">
        <v>1</v>
      </c>
      <c r="E257" s="900">
        <v>0</v>
      </c>
      <c r="F257" s="900">
        <v>0</v>
      </c>
      <c r="G257" s="901">
        <v>2</v>
      </c>
      <c r="H257" s="901">
        <v>3</v>
      </c>
      <c r="I257" s="901">
        <v>1</v>
      </c>
      <c r="J257" s="901">
        <v>4</v>
      </c>
      <c r="K257" s="902">
        <v>1</v>
      </c>
      <c r="L257" s="902">
        <v>0</v>
      </c>
      <c r="M257" s="902">
        <v>0</v>
      </c>
      <c r="N257" s="902">
        <f t="shared" si="6"/>
        <v>1</v>
      </c>
      <c r="O257" s="903">
        <v>1</v>
      </c>
      <c r="P257" s="903">
        <v>0</v>
      </c>
      <c r="Q257" s="903">
        <v>0</v>
      </c>
      <c r="R257" s="903">
        <v>0</v>
      </c>
      <c r="S257" s="903">
        <f t="shared" si="7"/>
        <v>1</v>
      </c>
      <c r="T257" s="904">
        <v>1</v>
      </c>
      <c r="U257" s="905">
        <v>0</v>
      </c>
      <c r="V257" s="905">
        <v>1</v>
      </c>
      <c r="W257" s="905">
        <v>1</v>
      </c>
      <c r="X257" s="905">
        <v>0</v>
      </c>
      <c r="Y257" s="905">
        <v>1</v>
      </c>
      <c r="Z257" s="905">
        <v>0</v>
      </c>
      <c r="AA257" s="905">
        <v>0</v>
      </c>
      <c r="AB257" s="906">
        <v>7</v>
      </c>
      <c r="AC257" s="906">
        <v>1</v>
      </c>
      <c r="AD257" s="906">
        <v>6</v>
      </c>
      <c r="AE257" s="906">
        <v>4</v>
      </c>
      <c r="AF257" s="906">
        <v>3</v>
      </c>
      <c r="AG257" s="906">
        <v>5</v>
      </c>
      <c r="AH257" s="906">
        <v>2</v>
      </c>
      <c r="AI257" s="907">
        <v>1</v>
      </c>
      <c r="AJ257" s="907">
        <v>2</v>
      </c>
      <c r="AK257" s="907">
        <v>2</v>
      </c>
      <c r="AL257" s="907">
        <v>2</v>
      </c>
      <c r="AM257" s="907">
        <v>1</v>
      </c>
      <c r="AN257" s="907">
        <v>1</v>
      </c>
      <c r="AO257" s="907">
        <v>1</v>
      </c>
      <c r="AP257" s="907">
        <v>1</v>
      </c>
      <c r="AQ257" s="907">
        <v>0</v>
      </c>
      <c r="AR257" s="907">
        <v>1</v>
      </c>
      <c r="AS257" s="907">
        <v>0</v>
      </c>
      <c r="AT257" s="907">
        <v>1</v>
      </c>
      <c r="AU257" s="907">
        <v>0</v>
      </c>
    </row>
    <row r="258" spans="1:47" hidden="1">
      <c r="A258" s="898">
        <v>257</v>
      </c>
      <c r="B258" s="899">
        <v>0</v>
      </c>
      <c r="C258" s="900">
        <v>1</v>
      </c>
      <c r="D258" s="900">
        <v>0</v>
      </c>
      <c r="E258" s="900">
        <v>0</v>
      </c>
      <c r="F258" s="900">
        <v>0</v>
      </c>
      <c r="G258" s="901">
        <v>3</v>
      </c>
      <c r="H258" s="901">
        <v>2</v>
      </c>
      <c r="I258" s="901">
        <v>4</v>
      </c>
      <c r="J258" s="901">
        <v>1</v>
      </c>
      <c r="K258" s="902">
        <v>1</v>
      </c>
      <c r="L258" s="902">
        <v>0</v>
      </c>
      <c r="M258" s="902">
        <v>0</v>
      </c>
      <c r="N258" s="902">
        <f t="shared" ref="N258:N321" si="8">+(K258*1)+(L258*2)+(M258*3)</f>
        <v>1</v>
      </c>
      <c r="O258" s="903">
        <v>1</v>
      </c>
      <c r="P258" s="903">
        <v>0</v>
      </c>
      <c r="Q258" s="903">
        <v>0</v>
      </c>
      <c r="R258" s="903">
        <v>0</v>
      </c>
      <c r="S258" s="903">
        <f t="shared" si="7"/>
        <v>1</v>
      </c>
      <c r="T258" s="904">
        <v>0</v>
      </c>
      <c r="U258" s="905">
        <v>0</v>
      </c>
      <c r="V258" s="905">
        <v>1</v>
      </c>
      <c r="W258" s="905">
        <v>0</v>
      </c>
      <c r="X258" s="905">
        <v>0</v>
      </c>
      <c r="Y258" s="905">
        <v>0</v>
      </c>
      <c r="Z258" s="905">
        <v>0</v>
      </c>
      <c r="AA258" s="905">
        <v>0</v>
      </c>
      <c r="AB258" s="906">
        <v>6</v>
      </c>
      <c r="AC258" s="906">
        <v>5</v>
      </c>
      <c r="AD258" s="906">
        <v>7</v>
      </c>
      <c r="AE258" s="906">
        <v>4</v>
      </c>
      <c r="AF258" s="906">
        <v>1</v>
      </c>
      <c r="AG258" s="906">
        <v>2</v>
      </c>
      <c r="AH258" s="906">
        <v>3</v>
      </c>
      <c r="AI258" s="907">
        <v>2</v>
      </c>
      <c r="AJ258" s="907">
        <v>2</v>
      </c>
      <c r="AK258" s="907">
        <v>3</v>
      </c>
      <c r="AL258" s="907">
        <v>4</v>
      </c>
      <c r="AM258" s="907">
        <v>1</v>
      </c>
      <c r="AN258" s="907">
        <v>1</v>
      </c>
      <c r="AO258" s="907">
        <v>1</v>
      </c>
      <c r="AP258" s="907">
        <v>0</v>
      </c>
      <c r="AQ258" s="907">
        <v>0</v>
      </c>
      <c r="AR258" s="907">
        <v>0</v>
      </c>
      <c r="AS258" s="907">
        <v>1</v>
      </c>
      <c r="AT258" s="907">
        <v>1</v>
      </c>
      <c r="AU258" s="907">
        <v>0</v>
      </c>
    </row>
    <row r="259" spans="1:47" hidden="1">
      <c r="A259" s="898">
        <v>258</v>
      </c>
      <c r="B259" s="899">
        <v>0</v>
      </c>
      <c r="C259" s="900">
        <v>1</v>
      </c>
      <c r="D259" s="900">
        <v>0</v>
      </c>
      <c r="E259" s="900">
        <v>0</v>
      </c>
      <c r="F259" s="900">
        <v>0</v>
      </c>
      <c r="G259" s="901">
        <v>3</v>
      </c>
      <c r="H259" s="901">
        <v>1</v>
      </c>
      <c r="I259" s="901">
        <v>4</v>
      </c>
      <c r="J259" s="901">
        <v>2</v>
      </c>
      <c r="K259" s="902">
        <v>0</v>
      </c>
      <c r="L259" s="902">
        <v>1</v>
      </c>
      <c r="M259" s="902">
        <v>0</v>
      </c>
      <c r="N259" s="902">
        <f t="shared" si="8"/>
        <v>2</v>
      </c>
      <c r="O259" s="903">
        <v>1</v>
      </c>
      <c r="P259" s="903">
        <v>0</v>
      </c>
      <c r="Q259" s="903">
        <v>0</v>
      </c>
      <c r="R259" s="903">
        <v>0</v>
      </c>
      <c r="S259" s="903">
        <f t="shared" ref="S259:S322" si="9">+(O259*1)+(P259*2)+(Q259*3)+(R259*4)</f>
        <v>1</v>
      </c>
      <c r="T259" s="904">
        <v>1</v>
      </c>
      <c r="U259" s="905">
        <v>0</v>
      </c>
      <c r="V259" s="905">
        <v>0</v>
      </c>
      <c r="W259" s="905">
        <v>1</v>
      </c>
      <c r="X259" s="905">
        <v>1</v>
      </c>
      <c r="Y259" s="905">
        <v>1</v>
      </c>
      <c r="Z259" s="905">
        <v>0</v>
      </c>
      <c r="AA259" s="905">
        <v>1</v>
      </c>
      <c r="AB259" s="906">
        <v>4</v>
      </c>
      <c r="AC259" s="906">
        <v>5</v>
      </c>
      <c r="AD259" s="906">
        <v>3</v>
      </c>
      <c r="AE259" s="906">
        <v>7</v>
      </c>
      <c r="AF259" s="906">
        <v>1</v>
      </c>
      <c r="AG259" s="906">
        <v>2</v>
      </c>
      <c r="AH259" s="906">
        <v>6</v>
      </c>
      <c r="AI259" s="907">
        <v>1</v>
      </c>
      <c r="AJ259" s="907">
        <v>1</v>
      </c>
      <c r="AK259" s="907">
        <v>2</v>
      </c>
      <c r="AL259" s="907">
        <v>2</v>
      </c>
      <c r="AM259" s="907">
        <v>1</v>
      </c>
      <c r="AN259" s="907">
        <v>1</v>
      </c>
      <c r="AO259" s="907">
        <v>2</v>
      </c>
      <c r="AP259" s="907">
        <v>0</v>
      </c>
      <c r="AQ259" s="907">
        <v>1</v>
      </c>
      <c r="AR259" s="907">
        <v>0</v>
      </c>
      <c r="AS259" s="907">
        <v>0</v>
      </c>
      <c r="AT259" s="907">
        <v>0</v>
      </c>
      <c r="AU259" s="907">
        <v>1</v>
      </c>
    </row>
    <row r="260" spans="1:47">
      <c r="A260" s="898">
        <v>259</v>
      </c>
      <c r="B260" s="899">
        <v>0</v>
      </c>
      <c r="C260" s="900">
        <v>1</v>
      </c>
      <c r="D260" s="900">
        <v>0</v>
      </c>
      <c r="E260" s="900">
        <v>0</v>
      </c>
      <c r="F260" s="900">
        <v>0</v>
      </c>
      <c r="G260" s="901">
        <v>1</v>
      </c>
      <c r="H260" s="901">
        <v>3</v>
      </c>
      <c r="I260" s="901">
        <v>2</v>
      </c>
      <c r="J260" s="901">
        <v>4</v>
      </c>
      <c r="K260" s="902">
        <v>1</v>
      </c>
      <c r="L260" s="902">
        <v>0</v>
      </c>
      <c r="M260" s="902">
        <v>0</v>
      </c>
      <c r="N260" s="902">
        <f t="shared" si="8"/>
        <v>1</v>
      </c>
      <c r="O260" s="903">
        <v>1</v>
      </c>
      <c r="P260" s="903">
        <v>0</v>
      </c>
      <c r="Q260" s="903">
        <v>0</v>
      </c>
      <c r="R260" s="903">
        <v>0</v>
      </c>
      <c r="S260" s="903">
        <f t="shared" si="9"/>
        <v>1</v>
      </c>
      <c r="T260" s="904">
        <v>1</v>
      </c>
      <c r="U260" s="905">
        <v>0</v>
      </c>
      <c r="V260" s="905">
        <v>0</v>
      </c>
      <c r="W260" s="905">
        <v>0</v>
      </c>
      <c r="X260" s="905">
        <v>1</v>
      </c>
      <c r="Y260" s="905">
        <v>1</v>
      </c>
      <c r="Z260" s="905">
        <v>0</v>
      </c>
      <c r="AA260" s="905">
        <v>1</v>
      </c>
      <c r="AB260" s="906">
        <v>2</v>
      </c>
      <c r="AC260" s="906">
        <v>5</v>
      </c>
      <c r="AD260" s="906">
        <v>1</v>
      </c>
      <c r="AE260" s="906">
        <v>3</v>
      </c>
      <c r="AF260" s="906">
        <v>4</v>
      </c>
      <c r="AG260" s="906">
        <v>6</v>
      </c>
      <c r="AH260" s="906">
        <v>7</v>
      </c>
      <c r="AI260" s="907">
        <v>1</v>
      </c>
      <c r="AJ260" s="907">
        <v>2</v>
      </c>
      <c r="AK260" s="907">
        <v>2</v>
      </c>
      <c r="AL260" s="907">
        <v>2</v>
      </c>
      <c r="AM260" s="907">
        <v>1</v>
      </c>
      <c r="AN260" s="907">
        <v>2</v>
      </c>
      <c r="AO260" s="907">
        <v>2</v>
      </c>
      <c r="AP260" s="907">
        <v>0</v>
      </c>
      <c r="AQ260" s="907">
        <v>0</v>
      </c>
      <c r="AR260" s="907">
        <v>1</v>
      </c>
      <c r="AS260" s="907">
        <v>0</v>
      </c>
      <c r="AT260" s="907">
        <v>1</v>
      </c>
      <c r="AU260" s="907">
        <v>0</v>
      </c>
    </row>
    <row r="261" spans="1:47" hidden="1">
      <c r="A261" s="898">
        <v>260</v>
      </c>
      <c r="B261" s="899">
        <v>1</v>
      </c>
      <c r="C261" s="900">
        <v>0</v>
      </c>
      <c r="D261" s="900">
        <v>1</v>
      </c>
      <c r="E261" s="900">
        <v>0</v>
      </c>
      <c r="F261" s="900">
        <v>0</v>
      </c>
      <c r="G261" s="901">
        <v>1</v>
      </c>
      <c r="H261" s="901">
        <v>3</v>
      </c>
      <c r="I261" s="901">
        <v>4</v>
      </c>
      <c r="J261" s="901">
        <v>2</v>
      </c>
      <c r="K261" s="902">
        <v>0</v>
      </c>
      <c r="L261" s="902">
        <v>1</v>
      </c>
      <c r="M261" s="902">
        <v>0</v>
      </c>
      <c r="N261" s="902">
        <f t="shared" si="8"/>
        <v>2</v>
      </c>
      <c r="O261" s="903">
        <v>2</v>
      </c>
      <c r="P261" s="903">
        <v>0</v>
      </c>
      <c r="Q261" s="903">
        <v>0</v>
      </c>
      <c r="R261" s="903">
        <v>0</v>
      </c>
      <c r="S261" s="903">
        <f t="shared" si="9"/>
        <v>2</v>
      </c>
      <c r="T261" s="904">
        <v>1</v>
      </c>
      <c r="U261" s="905">
        <v>0</v>
      </c>
      <c r="V261" s="905">
        <v>0</v>
      </c>
      <c r="W261" s="905">
        <v>0</v>
      </c>
      <c r="X261" s="905">
        <v>0</v>
      </c>
      <c r="Y261" s="905">
        <v>0</v>
      </c>
      <c r="Z261" s="905">
        <v>1</v>
      </c>
      <c r="AA261" s="905">
        <v>0</v>
      </c>
      <c r="AB261" s="906">
        <v>5</v>
      </c>
      <c r="AC261" s="906">
        <v>6</v>
      </c>
      <c r="AD261" s="906">
        <v>1</v>
      </c>
      <c r="AE261" s="906">
        <v>4</v>
      </c>
      <c r="AF261" s="906">
        <v>7</v>
      </c>
      <c r="AG261" s="906">
        <v>2</v>
      </c>
      <c r="AH261" s="906">
        <v>3</v>
      </c>
      <c r="AI261" s="907">
        <v>1</v>
      </c>
      <c r="AJ261" s="907">
        <v>1</v>
      </c>
      <c r="AK261" s="907">
        <v>1</v>
      </c>
      <c r="AL261" s="907">
        <v>1</v>
      </c>
      <c r="AM261" s="907">
        <v>1</v>
      </c>
      <c r="AN261" s="907">
        <v>1</v>
      </c>
      <c r="AO261" s="907">
        <v>1</v>
      </c>
      <c r="AP261" s="907">
        <v>0</v>
      </c>
      <c r="AQ261" s="907">
        <v>0</v>
      </c>
      <c r="AR261" s="907">
        <v>0</v>
      </c>
      <c r="AS261" s="907">
        <v>0</v>
      </c>
      <c r="AT261" s="907">
        <v>1</v>
      </c>
      <c r="AU261" s="907">
        <v>0</v>
      </c>
    </row>
    <row r="262" spans="1:47" hidden="1">
      <c r="A262" s="898">
        <v>261</v>
      </c>
      <c r="B262" s="899">
        <v>1</v>
      </c>
      <c r="C262" s="900">
        <v>1</v>
      </c>
      <c r="D262" s="900">
        <v>0</v>
      </c>
      <c r="E262" s="900">
        <v>0</v>
      </c>
      <c r="F262" s="900">
        <v>0</v>
      </c>
      <c r="G262" s="901">
        <v>2</v>
      </c>
      <c r="H262" s="901">
        <v>4</v>
      </c>
      <c r="I262" s="901">
        <v>3</v>
      </c>
      <c r="J262" s="901">
        <v>1</v>
      </c>
      <c r="K262" s="902">
        <v>1</v>
      </c>
      <c r="L262" s="902">
        <v>0</v>
      </c>
      <c r="M262" s="902">
        <v>0</v>
      </c>
      <c r="N262" s="902">
        <f t="shared" si="8"/>
        <v>1</v>
      </c>
      <c r="O262" s="903">
        <v>1</v>
      </c>
      <c r="P262" s="903">
        <v>0</v>
      </c>
      <c r="Q262" s="903">
        <v>0</v>
      </c>
      <c r="R262" s="903">
        <v>0</v>
      </c>
      <c r="S262" s="903">
        <f t="shared" si="9"/>
        <v>1</v>
      </c>
      <c r="T262" s="904">
        <v>1</v>
      </c>
      <c r="U262" s="905">
        <v>1</v>
      </c>
      <c r="V262" s="905">
        <v>1</v>
      </c>
      <c r="W262" s="905">
        <v>1</v>
      </c>
      <c r="X262" s="905">
        <v>1</v>
      </c>
      <c r="Y262" s="905">
        <v>1</v>
      </c>
      <c r="Z262" s="905">
        <v>0</v>
      </c>
      <c r="AA262" s="905">
        <v>0</v>
      </c>
      <c r="AB262" s="906">
        <v>6</v>
      </c>
      <c r="AC262" s="906">
        <v>1</v>
      </c>
      <c r="AD262" s="906">
        <v>2</v>
      </c>
      <c r="AE262" s="906">
        <v>3</v>
      </c>
      <c r="AF262" s="906">
        <v>7</v>
      </c>
      <c r="AG262" s="906">
        <v>4</v>
      </c>
      <c r="AH262" s="906">
        <v>5</v>
      </c>
      <c r="AI262" s="907">
        <v>2</v>
      </c>
      <c r="AJ262" s="907">
        <v>2</v>
      </c>
      <c r="AK262" s="907">
        <v>2</v>
      </c>
      <c r="AL262" s="907">
        <v>1</v>
      </c>
      <c r="AM262" s="907">
        <v>2</v>
      </c>
      <c r="AN262" s="907">
        <v>1</v>
      </c>
      <c r="AO262" s="907">
        <v>1</v>
      </c>
      <c r="AP262" s="907">
        <v>1</v>
      </c>
      <c r="AQ262" s="907">
        <v>0</v>
      </c>
      <c r="AR262" s="907">
        <v>1</v>
      </c>
      <c r="AS262" s="907">
        <v>1</v>
      </c>
      <c r="AT262" s="907">
        <v>0</v>
      </c>
      <c r="AU262" s="907">
        <v>0</v>
      </c>
    </row>
    <row r="263" spans="1:47" hidden="1">
      <c r="A263" s="898">
        <v>262</v>
      </c>
      <c r="B263" s="899">
        <v>0</v>
      </c>
      <c r="C263" s="900">
        <v>0</v>
      </c>
      <c r="D263" s="900">
        <v>1</v>
      </c>
      <c r="E263" s="900">
        <v>0</v>
      </c>
      <c r="F263" s="900">
        <v>0</v>
      </c>
      <c r="G263" s="901">
        <v>1</v>
      </c>
      <c r="H263" s="901">
        <v>4</v>
      </c>
      <c r="I263" s="901">
        <v>2</v>
      </c>
      <c r="J263" s="901">
        <v>3</v>
      </c>
      <c r="K263" s="902">
        <v>1</v>
      </c>
      <c r="L263" s="902">
        <v>0</v>
      </c>
      <c r="M263" s="902">
        <v>0</v>
      </c>
      <c r="N263" s="902">
        <f t="shared" si="8"/>
        <v>1</v>
      </c>
      <c r="O263" s="903">
        <v>1</v>
      </c>
      <c r="P263" s="903">
        <v>0</v>
      </c>
      <c r="Q263" s="903">
        <v>0</v>
      </c>
      <c r="R263" s="903">
        <v>0</v>
      </c>
      <c r="S263" s="903">
        <f t="shared" si="9"/>
        <v>1</v>
      </c>
      <c r="T263" s="904">
        <v>1</v>
      </c>
      <c r="U263" s="905">
        <v>0</v>
      </c>
      <c r="V263" s="905">
        <v>0</v>
      </c>
      <c r="W263" s="905">
        <v>0</v>
      </c>
      <c r="X263" s="905">
        <v>0</v>
      </c>
      <c r="Y263" s="905">
        <v>1</v>
      </c>
      <c r="Z263" s="905">
        <v>0</v>
      </c>
      <c r="AA263" s="905">
        <v>0</v>
      </c>
      <c r="AB263" s="906">
        <v>6</v>
      </c>
      <c r="AC263" s="906">
        <v>2</v>
      </c>
      <c r="AD263" s="906">
        <v>7</v>
      </c>
      <c r="AE263" s="906">
        <v>5</v>
      </c>
      <c r="AF263" s="906">
        <v>1</v>
      </c>
      <c r="AG263" s="906">
        <v>4</v>
      </c>
      <c r="AH263" s="906">
        <v>3</v>
      </c>
      <c r="AI263" s="907">
        <v>2</v>
      </c>
      <c r="AJ263" s="907">
        <v>1</v>
      </c>
      <c r="AK263" s="907">
        <v>1</v>
      </c>
      <c r="AL263" s="907">
        <v>1</v>
      </c>
      <c r="AM263" s="907">
        <v>1</v>
      </c>
      <c r="AN263" s="907">
        <v>1</v>
      </c>
      <c r="AO263" s="907">
        <v>2</v>
      </c>
      <c r="AP263" s="907">
        <v>0</v>
      </c>
      <c r="AQ263" s="907">
        <v>1</v>
      </c>
      <c r="AR263" s="907">
        <v>0</v>
      </c>
      <c r="AS263" s="907">
        <v>0</v>
      </c>
      <c r="AT263" s="907">
        <v>0</v>
      </c>
      <c r="AU263" s="907">
        <v>0</v>
      </c>
    </row>
    <row r="264" spans="1:47" hidden="1">
      <c r="A264" s="898">
        <v>263</v>
      </c>
      <c r="B264" s="899">
        <v>1</v>
      </c>
      <c r="C264" s="900">
        <v>0</v>
      </c>
      <c r="D264" s="900">
        <v>1</v>
      </c>
      <c r="E264" s="900">
        <v>0</v>
      </c>
      <c r="F264" s="900">
        <v>0</v>
      </c>
      <c r="G264" s="901">
        <v>1</v>
      </c>
      <c r="H264" s="901">
        <v>2</v>
      </c>
      <c r="I264" s="901">
        <v>3</v>
      </c>
      <c r="J264" s="901">
        <v>4</v>
      </c>
      <c r="K264" s="902">
        <v>1</v>
      </c>
      <c r="L264" s="902">
        <v>0</v>
      </c>
      <c r="M264" s="902">
        <v>0</v>
      </c>
      <c r="N264" s="902">
        <f t="shared" si="8"/>
        <v>1</v>
      </c>
      <c r="O264" s="903">
        <v>1</v>
      </c>
      <c r="P264" s="903">
        <v>0</v>
      </c>
      <c r="Q264" s="903">
        <v>0</v>
      </c>
      <c r="R264" s="903">
        <v>0</v>
      </c>
      <c r="S264" s="903">
        <f t="shared" si="9"/>
        <v>1</v>
      </c>
      <c r="T264" s="904">
        <v>1</v>
      </c>
      <c r="U264" s="905">
        <v>0</v>
      </c>
      <c r="V264" s="905">
        <v>1</v>
      </c>
      <c r="W264" s="905">
        <v>0</v>
      </c>
      <c r="X264" s="905">
        <v>0</v>
      </c>
      <c r="Y264" s="905">
        <v>0</v>
      </c>
      <c r="Z264" s="905">
        <v>0</v>
      </c>
      <c r="AA264" s="905">
        <v>0</v>
      </c>
      <c r="AB264" s="906">
        <v>5</v>
      </c>
      <c r="AC264" s="906">
        <v>3</v>
      </c>
      <c r="AD264" s="906">
        <v>2</v>
      </c>
      <c r="AE264" s="906">
        <v>4</v>
      </c>
      <c r="AF264" s="906">
        <v>1</v>
      </c>
      <c r="AG264" s="906">
        <v>7</v>
      </c>
      <c r="AH264" s="906">
        <v>6</v>
      </c>
      <c r="AI264" s="907">
        <v>1</v>
      </c>
      <c r="AJ264" s="907">
        <v>4</v>
      </c>
      <c r="AK264" s="907">
        <v>1</v>
      </c>
      <c r="AL264" s="907">
        <v>1</v>
      </c>
      <c r="AM264" s="907">
        <v>1</v>
      </c>
      <c r="AN264" s="907">
        <v>1</v>
      </c>
      <c r="AO264" s="907">
        <v>1</v>
      </c>
      <c r="AP264" s="907">
        <v>0</v>
      </c>
      <c r="AQ264" s="907">
        <v>0</v>
      </c>
      <c r="AR264" s="907">
        <v>0</v>
      </c>
      <c r="AS264" s="907">
        <v>1</v>
      </c>
      <c r="AT264" s="907">
        <v>0</v>
      </c>
      <c r="AU264" s="907">
        <v>0</v>
      </c>
    </row>
    <row r="265" spans="1:47">
      <c r="A265" s="898">
        <v>264</v>
      </c>
      <c r="B265" s="899">
        <v>0</v>
      </c>
      <c r="C265" s="900">
        <v>0</v>
      </c>
      <c r="D265" s="900">
        <v>1</v>
      </c>
      <c r="E265" s="900">
        <v>0</v>
      </c>
      <c r="F265" s="900">
        <v>0</v>
      </c>
      <c r="G265" s="901">
        <v>2</v>
      </c>
      <c r="H265" s="901">
        <v>4</v>
      </c>
      <c r="I265" s="901">
        <v>3</v>
      </c>
      <c r="J265" s="901">
        <v>1</v>
      </c>
      <c r="K265" s="902">
        <v>1</v>
      </c>
      <c r="L265" s="902">
        <v>0</v>
      </c>
      <c r="M265" s="902">
        <v>0</v>
      </c>
      <c r="N265" s="902">
        <f t="shared" si="8"/>
        <v>1</v>
      </c>
      <c r="O265" s="903">
        <v>1</v>
      </c>
      <c r="P265" s="903">
        <v>0</v>
      </c>
      <c r="Q265" s="903">
        <v>0</v>
      </c>
      <c r="R265" s="903">
        <v>0</v>
      </c>
      <c r="S265" s="903">
        <f t="shared" si="9"/>
        <v>1</v>
      </c>
      <c r="T265" s="904">
        <v>1</v>
      </c>
      <c r="U265" s="905">
        <v>0</v>
      </c>
      <c r="V265" s="905">
        <v>0</v>
      </c>
      <c r="W265" s="905">
        <v>1</v>
      </c>
      <c r="X265" s="905">
        <v>0</v>
      </c>
      <c r="Y265" s="905">
        <v>1</v>
      </c>
      <c r="Z265" s="905">
        <v>0</v>
      </c>
      <c r="AA265" s="905">
        <v>0</v>
      </c>
      <c r="AB265" s="906">
        <v>3</v>
      </c>
      <c r="AC265" s="906">
        <v>2</v>
      </c>
      <c r="AD265" s="906">
        <v>6</v>
      </c>
      <c r="AE265" s="906">
        <v>5</v>
      </c>
      <c r="AF265" s="906">
        <v>4</v>
      </c>
      <c r="AG265" s="906">
        <v>1</v>
      </c>
      <c r="AH265" s="906">
        <v>7</v>
      </c>
      <c r="AI265" s="907">
        <v>2</v>
      </c>
      <c r="AJ265" s="907">
        <v>2</v>
      </c>
      <c r="AK265" s="907">
        <v>3</v>
      </c>
      <c r="AL265" s="907">
        <v>3</v>
      </c>
      <c r="AM265" s="907">
        <v>1</v>
      </c>
      <c r="AN265" s="907">
        <v>1</v>
      </c>
      <c r="AO265" s="907">
        <v>4</v>
      </c>
      <c r="AP265" s="907">
        <v>0</v>
      </c>
      <c r="AQ265" s="907">
        <v>0</v>
      </c>
      <c r="AR265" s="907">
        <v>0</v>
      </c>
      <c r="AS265" s="907">
        <v>1</v>
      </c>
      <c r="AT265" s="907">
        <v>0</v>
      </c>
      <c r="AU265" s="907">
        <v>0</v>
      </c>
    </row>
    <row r="266" spans="1:47" hidden="1">
      <c r="A266" s="898">
        <v>265</v>
      </c>
      <c r="B266" s="899">
        <v>1</v>
      </c>
      <c r="C266" s="900">
        <v>0</v>
      </c>
      <c r="D266" s="900">
        <v>0</v>
      </c>
      <c r="E266" s="900">
        <v>0</v>
      </c>
      <c r="F266" s="900">
        <v>1</v>
      </c>
      <c r="G266" s="901">
        <v>4</v>
      </c>
      <c r="H266" s="901">
        <v>1</v>
      </c>
      <c r="I266" s="901">
        <v>3</v>
      </c>
      <c r="J266" s="901">
        <v>2</v>
      </c>
      <c r="K266" s="902">
        <v>0</v>
      </c>
      <c r="L266" s="902">
        <v>1</v>
      </c>
      <c r="M266" s="902">
        <v>0</v>
      </c>
      <c r="N266" s="902">
        <f t="shared" si="8"/>
        <v>2</v>
      </c>
      <c r="O266" s="903">
        <v>1</v>
      </c>
      <c r="P266" s="903">
        <v>0</v>
      </c>
      <c r="Q266" s="903">
        <v>0</v>
      </c>
      <c r="R266" s="903">
        <v>0</v>
      </c>
      <c r="S266" s="903">
        <f t="shared" si="9"/>
        <v>1</v>
      </c>
      <c r="T266" s="904">
        <v>1</v>
      </c>
      <c r="U266" s="905">
        <v>0</v>
      </c>
      <c r="V266" s="905">
        <v>0</v>
      </c>
      <c r="W266" s="905">
        <v>1</v>
      </c>
      <c r="X266" s="905">
        <v>0</v>
      </c>
      <c r="Y266" s="905">
        <v>0</v>
      </c>
      <c r="Z266" s="905">
        <v>0</v>
      </c>
      <c r="AA266" s="905">
        <v>0</v>
      </c>
      <c r="AB266" s="906">
        <v>3</v>
      </c>
      <c r="AC266" s="906">
        <v>1</v>
      </c>
      <c r="AD266" s="906">
        <v>6</v>
      </c>
      <c r="AE266" s="906">
        <v>5</v>
      </c>
      <c r="AF266" s="906">
        <v>7</v>
      </c>
      <c r="AG266" s="906">
        <v>2</v>
      </c>
      <c r="AH266" s="906">
        <v>4</v>
      </c>
      <c r="AI266" s="907">
        <v>1</v>
      </c>
      <c r="AJ266" s="907">
        <v>2</v>
      </c>
      <c r="AK266" s="907">
        <v>1</v>
      </c>
      <c r="AL266" s="907">
        <v>1</v>
      </c>
      <c r="AM266" s="907">
        <v>2</v>
      </c>
      <c r="AN266" s="907">
        <v>1</v>
      </c>
      <c r="AO266" s="907">
        <v>1</v>
      </c>
      <c r="AP266" s="907">
        <v>0</v>
      </c>
      <c r="AQ266" s="907">
        <v>0</v>
      </c>
      <c r="AR266" s="907">
        <v>0</v>
      </c>
      <c r="AS266" s="907">
        <v>1</v>
      </c>
      <c r="AT266" s="907">
        <v>0</v>
      </c>
      <c r="AU266" s="907">
        <v>1</v>
      </c>
    </row>
    <row r="267" spans="1:47">
      <c r="A267" s="898">
        <v>266</v>
      </c>
      <c r="B267" s="899">
        <v>0</v>
      </c>
      <c r="C267" s="900">
        <v>0</v>
      </c>
      <c r="D267" s="900">
        <v>1</v>
      </c>
      <c r="E267" s="900">
        <v>0</v>
      </c>
      <c r="F267" s="900">
        <v>0</v>
      </c>
      <c r="G267" s="901">
        <v>1</v>
      </c>
      <c r="H267" s="901">
        <v>3</v>
      </c>
      <c r="I267" s="901">
        <v>4</v>
      </c>
      <c r="J267" s="901">
        <v>2</v>
      </c>
      <c r="K267" s="902">
        <v>1</v>
      </c>
      <c r="L267" s="902">
        <v>0</v>
      </c>
      <c r="M267" s="902">
        <v>0</v>
      </c>
      <c r="N267" s="902">
        <f t="shared" si="8"/>
        <v>1</v>
      </c>
      <c r="O267" s="903">
        <v>0</v>
      </c>
      <c r="P267" s="903">
        <v>0</v>
      </c>
      <c r="Q267" s="903">
        <v>1</v>
      </c>
      <c r="R267" s="903">
        <v>0</v>
      </c>
      <c r="S267" s="903">
        <f t="shared" si="9"/>
        <v>3</v>
      </c>
      <c r="T267" s="904">
        <v>1</v>
      </c>
      <c r="U267" s="905">
        <v>0</v>
      </c>
      <c r="V267" s="905">
        <v>0</v>
      </c>
      <c r="W267" s="905">
        <v>0</v>
      </c>
      <c r="X267" s="905">
        <v>0</v>
      </c>
      <c r="Y267" s="905">
        <v>1</v>
      </c>
      <c r="Z267" s="905">
        <v>0</v>
      </c>
      <c r="AA267" s="905">
        <v>0</v>
      </c>
      <c r="AB267" s="906">
        <v>3</v>
      </c>
      <c r="AC267" s="906">
        <v>7</v>
      </c>
      <c r="AD267" s="906">
        <v>5</v>
      </c>
      <c r="AE267" s="906">
        <v>2</v>
      </c>
      <c r="AF267" s="906">
        <v>4</v>
      </c>
      <c r="AG267" s="906">
        <v>1</v>
      </c>
      <c r="AH267" s="906">
        <v>6</v>
      </c>
      <c r="AI267" s="907">
        <v>2</v>
      </c>
      <c r="AJ267" s="907">
        <v>2</v>
      </c>
      <c r="AK267" s="907">
        <v>1</v>
      </c>
      <c r="AL267" s="907">
        <v>3</v>
      </c>
      <c r="AM267" s="907">
        <v>1</v>
      </c>
      <c r="AN267" s="907">
        <v>1</v>
      </c>
      <c r="AO267" s="907">
        <v>1</v>
      </c>
      <c r="AP267" s="907">
        <v>0</v>
      </c>
      <c r="AQ267" s="907">
        <v>0</v>
      </c>
      <c r="AR267" s="907">
        <v>1</v>
      </c>
      <c r="AS267" s="907">
        <v>0</v>
      </c>
      <c r="AT267" s="907">
        <v>0</v>
      </c>
      <c r="AU267" s="907">
        <v>0</v>
      </c>
    </row>
    <row r="268" spans="1:47">
      <c r="A268" s="898">
        <v>267</v>
      </c>
      <c r="B268" s="899">
        <v>1</v>
      </c>
      <c r="C268" s="900">
        <v>0</v>
      </c>
      <c r="D268" s="900">
        <v>1</v>
      </c>
      <c r="E268" s="900">
        <v>0</v>
      </c>
      <c r="F268" s="900">
        <v>0</v>
      </c>
      <c r="G268" s="901">
        <v>2</v>
      </c>
      <c r="H268" s="901">
        <v>1</v>
      </c>
      <c r="I268" s="901">
        <v>3</v>
      </c>
      <c r="J268" s="901">
        <v>4</v>
      </c>
      <c r="K268" s="902">
        <v>0</v>
      </c>
      <c r="L268" s="902">
        <v>1</v>
      </c>
      <c r="M268" s="902">
        <v>0</v>
      </c>
      <c r="N268" s="902">
        <f t="shared" si="8"/>
        <v>2</v>
      </c>
      <c r="O268" s="903">
        <v>1</v>
      </c>
      <c r="P268" s="903">
        <v>0</v>
      </c>
      <c r="Q268" s="903">
        <v>0</v>
      </c>
      <c r="R268" s="903">
        <v>0</v>
      </c>
      <c r="S268" s="903">
        <f t="shared" si="9"/>
        <v>1</v>
      </c>
      <c r="T268" s="904">
        <v>1</v>
      </c>
      <c r="U268" s="905">
        <v>0</v>
      </c>
      <c r="V268" s="905"/>
      <c r="W268" s="905">
        <v>1</v>
      </c>
      <c r="X268" s="905">
        <v>0</v>
      </c>
      <c r="Y268" s="905">
        <v>0</v>
      </c>
      <c r="Z268" s="905">
        <v>0</v>
      </c>
      <c r="AA268" s="905">
        <v>0</v>
      </c>
      <c r="AB268" s="906">
        <v>5</v>
      </c>
      <c r="AC268" s="906">
        <v>7</v>
      </c>
      <c r="AD268" s="906">
        <v>1</v>
      </c>
      <c r="AE268" s="906">
        <v>2</v>
      </c>
      <c r="AF268" s="906">
        <v>4</v>
      </c>
      <c r="AG268" s="906">
        <v>3</v>
      </c>
      <c r="AH268" s="906">
        <v>6</v>
      </c>
      <c r="AI268" s="907">
        <v>2</v>
      </c>
      <c r="AJ268" s="907">
        <v>2</v>
      </c>
      <c r="AK268" s="907">
        <v>1</v>
      </c>
      <c r="AL268" s="907">
        <v>1</v>
      </c>
      <c r="AM268" s="907">
        <v>2</v>
      </c>
      <c r="AN268" s="907">
        <v>1</v>
      </c>
      <c r="AO268" s="907">
        <v>2</v>
      </c>
      <c r="AP268" s="907">
        <v>0</v>
      </c>
      <c r="AQ268" s="907">
        <v>0</v>
      </c>
      <c r="AR268" s="907">
        <v>0</v>
      </c>
      <c r="AS268" s="907">
        <v>0</v>
      </c>
      <c r="AT268" s="907">
        <v>0</v>
      </c>
      <c r="AU268" s="907">
        <v>1</v>
      </c>
    </row>
    <row r="269" spans="1:47" hidden="1">
      <c r="A269" s="898">
        <v>268</v>
      </c>
      <c r="B269" s="899">
        <v>1</v>
      </c>
      <c r="C269" s="900">
        <v>0</v>
      </c>
      <c r="D269" s="900">
        <v>0</v>
      </c>
      <c r="E269" s="900">
        <v>0</v>
      </c>
      <c r="F269" s="900">
        <v>1</v>
      </c>
      <c r="G269" s="901">
        <v>2</v>
      </c>
      <c r="H269" s="901">
        <v>3</v>
      </c>
      <c r="I269" s="901">
        <v>4</v>
      </c>
      <c r="J269" s="901">
        <v>1</v>
      </c>
      <c r="K269" s="902">
        <v>0</v>
      </c>
      <c r="L269" s="902">
        <v>0</v>
      </c>
      <c r="M269" s="902">
        <v>1</v>
      </c>
      <c r="N269" s="902">
        <f t="shared" si="8"/>
        <v>3</v>
      </c>
      <c r="O269" s="908">
        <v>1</v>
      </c>
      <c r="P269" s="908">
        <v>0</v>
      </c>
      <c r="Q269" s="908">
        <v>0</v>
      </c>
      <c r="R269" s="908">
        <v>0</v>
      </c>
      <c r="S269" s="903">
        <f t="shared" si="9"/>
        <v>1</v>
      </c>
      <c r="T269" s="904">
        <v>1</v>
      </c>
      <c r="U269" s="905">
        <v>0</v>
      </c>
      <c r="V269" s="905">
        <v>0</v>
      </c>
      <c r="W269" s="905">
        <v>1</v>
      </c>
      <c r="X269" s="905">
        <v>0</v>
      </c>
      <c r="Y269" s="905">
        <v>0</v>
      </c>
      <c r="Z269" s="905">
        <v>0</v>
      </c>
      <c r="AA269" s="905">
        <v>1</v>
      </c>
      <c r="AB269" s="906">
        <v>1</v>
      </c>
      <c r="AC269" s="906">
        <v>3</v>
      </c>
      <c r="AD269" s="906">
        <v>2</v>
      </c>
      <c r="AE269" s="906">
        <v>4</v>
      </c>
      <c r="AF269" s="906">
        <v>5</v>
      </c>
      <c r="AG269" s="906">
        <v>6</v>
      </c>
      <c r="AH269" s="906">
        <v>7</v>
      </c>
      <c r="AI269" s="907">
        <v>2</v>
      </c>
      <c r="AJ269" s="907">
        <v>1</v>
      </c>
      <c r="AK269" s="907">
        <v>1</v>
      </c>
      <c r="AL269" s="907">
        <v>2</v>
      </c>
      <c r="AM269" s="907">
        <v>2</v>
      </c>
      <c r="AN269" s="907">
        <v>2</v>
      </c>
      <c r="AO269" s="907">
        <v>0</v>
      </c>
      <c r="AP269" s="907">
        <v>0</v>
      </c>
      <c r="AQ269" s="907">
        <v>0</v>
      </c>
      <c r="AR269" s="907">
        <v>0</v>
      </c>
      <c r="AS269" s="907">
        <v>1</v>
      </c>
      <c r="AT269" s="907">
        <v>0</v>
      </c>
      <c r="AU269" s="907">
        <v>0</v>
      </c>
    </row>
    <row r="270" spans="1:47" hidden="1">
      <c r="A270" s="898">
        <v>269</v>
      </c>
      <c r="B270" s="899">
        <v>0</v>
      </c>
      <c r="C270" s="900">
        <v>0</v>
      </c>
      <c r="D270" s="900">
        <v>0</v>
      </c>
      <c r="E270" s="900">
        <v>1</v>
      </c>
      <c r="F270" s="900">
        <v>0</v>
      </c>
      <c r="G270" s="901">
        <v>4</v>
      </c>
      <c r="H270" s="901">
        <v>2</v>
      </c>
      <c r="I270" s="901">
        <v>3</v>
      </c>
      <c r="J270" s="901">
        <v>1</v>
      </c>
      <c r="K270" s="902">
        <v>0</v>
      </c>
      <c r="L270" s="902">
        <v>1</v>
      </c>
      <c r="M270" s="902">
        <v>0</v>
      </c>
      <c r="N270" s="902">
        <f t="shared" si="8"/>
        <v>2</v>
      </c>
      <c r="O270" s="903">
        <v>1</v>
      </c>
      <c r="P270" s="903">
        <v>0</v>
      </c>
      <c r="Q270" s="903">
        <v>0</v>
      </c>
      <c r="R270" s="903">
        <v>0</v>
      </c>
      <c r="S270" s="903">
        <f t="shared" si="9"/>
        <v>1</v>
      </c>
      <c r="T270" s="904">
        <v>1</v>
      </c>
      <c r="U270" s="905">
        <v>0</v>
      </c>
      <c r="V270" s="905">
        <v>0</v>
      </c>
      <c r="W270" s="905">
        <v>1</v>
      </c>
      <c r="X270" s="905">
        <v>0</v>
      </c>
      <c r="Y270" s="905">
        <v>0</v>
      </c>
      <c r="Z270" s="905">
        <v>0</v>
      </c>
      <c r="AA270" s="905">
        <v>0</v>
      </c>
      <c r="AB270" s="906">
        <v>5</v>
      </c>
      <c r="AC270" s="906">
        <v>7</v>
      </c>
      <c r="AD270" s="906">
        <v>3</v>
      </c>
      <c r="AE270" s="906">
        <v>4</v>
      </c>
      <c r="AF270" s="906">
        <v>1</v>
      </c>
      <c r="AG270" s="906">
        <v>2</v>
      </c>
      <c r="AH270" s="906">
        <v>6</v>
      </c>
      <c r="AI270" s="907">
        <v>2</v>
      </c>
      <c r="AJ270" s="907">
        <v>2</v>
      </c>
      <c r="AK270" s="907">
        <v>2</v>
      </c>
      <c r="AL270" s="907">
        <v>1</v>
      </c>
      <c r="AM270" s="907">
        <v>1</v>
      </c>
      <c r="AN270" s="907">
        <v>1</v>
      </c>
      <c r="AO270" s="907">
        <v>1</v>
      </c>
      <c r="AP270" s="907">
        <v>0</v>
      </c>
      <c r="AQ270" s="907">
        <v>0</v>
      </c>
      <c r="AR270" s="907">
        <v>0</v>
      </c>
      <c r="AS270" s="907">
        <v>1</v>
      </c>
      <c r="AT270" s="907">
        <v>1</v>
      </c>
      <c r="AU270" s="907">
        <v>0</v>
      </c>
    </row>
    <row r="271" spans="1:47" hidden="1">
      <c r="A271" s="898">
        <v>270</v>
      </c>
      <c r="B271" s="899">
        <v>1</v>
      </c>
      <c r="C271" s="900">
        <v>0</v>
      </c>
      <c r="D271" s="900">
        <v>1</v>
      </c>
      <c r="E271" s="900">
        <v>0</v>
      </c>
      <c r="F271" s="900">
        <v>0</v>
      </c>
      <c r="G271" s="901">
        <v>3</v>
      </c>
      <c r="H271" s="901">
        <v>2</v>
      </c>
      <c r="I271" s="901">
        <v>4</v>
      </c>
      <c r="J271" s="901">
        <v>1</v>
      </c>
      <c r="K271" s="902">
        <v>1</v>
      </c>
      <c r="L271" s="902">
        <v>0</v>
      </c>
      <c r="M271" s="902">
        <v>0</v>
      </c>
      <c r="N271" s="902">
        <f t="shared" si="8"/>
        <v>1</v>
      </c>
      <c r="O271" s="903">
        <v>1</v>
      </c>
      <c r="P271" s="903">
        <v>0</v>
      </c>
      <c r="Q271" s="903">
        <v>0</v>
      </c>
      <c r="R271" s="903">
        <v>0</v>
      </c>
      <c r="S271" s="903">
        <f t="shared" si="9"/>
        <v>1</v>
      </c>
      <c r="T271" s="904">
        <v>1</v>
      </c>
      <c r="U271" s="905">
        <v>0</v>
      </c>
      <c r="V271" s="905">
        <v>0</v>
      </c>
      <c r="W271" s="905">
        <v>0</v>
      </c>
      <c r="X271" s="905">
        <v>0</v>
      </c>
      <c r="Y271" s="905">
        <v>0</v>
      </c>
      <c r="Z271" s="905">
        <v>1</v>
      </c>
      <c r="AA271" s="905">
        <v>1</v>
      </c>
      <c r="AB271" s="906">
        <v>7</v>
      </c>
      <c r="AC271" s="906">
        <v>5</v>
      </c>
      <c r="AD271" s="906">
        <v>3</v>
      </c>
      <c r="AE271" s="906">
        <v>2</v>
      </c>
      <c r="AF271" s="906">
        <v>6</v>
      </c>
      <c r="AG271" s="906">
        <v>1</v>
      </c>
      <c r="AH271" s="906">
        <v>4</v>
      </c>
      <c r="AI271" s="907">
        <v>2</v>
      </c>
      <c r="AJ271" s="907">
        <v>2</v>
      </c>
      <c r="AK271" s="907">
        <v>1</v>
      </c>
      <c r="AL271" s="907">
        <v>1</v>
      </c>
      <c r="AM271" s="907">
        <v>1</v>
      </c>
      <c r="AN271" s="907">
        <v>1</v>
      </c>
      <c r="AO271" s="907">
        <v>3</v>
      </c>
      <c r="AP271" s="907">
        <v>1</v>
      </c>
      <c r="AQ271" s="907">
        <v>0</v>
      </c>
      <c r="AR271" s="907">
        <v>0</v>
      </c>
      <c r="AS271" s="907">
        <v>0</v>
      </c>
      <c r="AT271" s="907">
        <v>0</v>
      </c>
      <c r="AU271" s="907">
        <v>0</v>
      </c>
    </row>
    <row r="272" spans="1:47" hidden="1">
      <c r="A272" s="898">
        <v>271</v>
      </c>
      <c r="B272" s="899">
        <v>1</v>
      </c>
      <c r="C272" s="900">
        <v>0</v>
      </c>
      <c r="D272" s="900">
        <v>0</v>
      </c>
      <c r="E272" s="900">
        <v>0</v>
      </c>
      <c r="F272" s="900">
        <v>1</v>
      </c>
      <c r="G272" s="901">
        <v>2</v>
      </c>
      <c r="H272" s="901">
        <v>3</v>
      </c>
      <c r="I272" s="901">
        <v>4</v>
      </c>
      <c r="J272" s="901">
        <v>1</v>
      </c>
      <c r="K272" s="902">
        <v>1</v>
      </c>
      <c r="L272" s="902">
        <v>0</v>
      </c>
      <c r="M272" s="902">
        <v>0</v>
      </c>
      <c r="N272" s="902">
        <f t="shared" si="8"/>
        <v>1</v>
      </c>
      <c r="O272" s="903">
        <v>1</v>
      </c>
      <c r="P272" s="903">
        <v>0</v>
      </c>
      <c r="Q272" s="903">
        <v>0</v>
      </c>
      <c r="R272" s="903">
        <v>0</v>
      </c>
      <c r="S272" s="903">
        <f t="shared" si="9"/>
        <v>1</v>
      </c>
      <c r="T272" s="904">
        <v>1</v>
      </c>
      <c r="U272" s="905">
        <v>1</v>
      </c>
      <c r="V272" s="905">
        <v>0</v>
      </c>
      <c r="W272" s="905">
        <v>0</v>
      </c>
      <c r="X272" s="905">
        <v>0</v>
      </c>
      <c r="Y272" s="905">
        <v>0</v>
      </c>
      <c r="Z272" s="905">
        <v>0</v>
      </c>
      <c r="AA272" s="905">
        <v>1</v>
      </c>
      <c r="AB272" s="906">
        <v>3</v>
      </c>
      <c r="AC272" s="906">
        <v>4</v>
      </c>
      <c r="AD272" s="906">
        <v>5</v>
      </c>
      <c r="AE272" s="906">
        <v>2</v>
      </c>
      <c r="AF272" s="906">
        <v>1</v>
      </c>
      <c r="AG272" s="906">
        <v>7</v>
      </c>
      <c r="AH272" s="906">
        <v>6</v>
      </c>
      <c r="AI272" s="907">
        <v>2</v>
      </c>
      <c r="AJ272" s="907">
        <v>2</v>
      </c>
      <c r="AK272" s="907">
        <v>1</v>
      </c>
      <c r="AL272" s="907">
        <v>1</v>
      </c>
      <c r="AM272" s="907">
        <v>2</v>
      </c>
      <c r="AN272" s="907">
        <v>1</v>
      </c>
      <c r="AO272" s="907">
        <v>4</v>
      </c>
      <c r="AP272" s="907">
        <v>0</v>
      </c>
      <c r="AQ272" s="907">
        <v>0</v>
      </c>
      <c r="AR272" s="907">
        <v>0</v>
      </c>
      <c r="AS272" s="907">
        <v>0</v>
      </c>
      <c r="AT272" s="907">
        <v>1</v>
      </c>
      <c r="AU272" s="907">
        <v>0</v>
      </c>
    </row>
    <row r="273" spans="1:47" hidden="1">
      <c r="A273" s="898">
        <v>272</v>
      </c>
      <c r="B273" s="899">
        <v>0</v>
      </c>
      <c r="C273" s="900">
        <v>1</v>
      </c>
      <c r="D273" s="900">
        <v>0</v>
      </c>
      <c r="E273" s="900">
        <v>0</v>
      </c>
      <c r="F273" s="900">
        <v>0</v>
      </c>
      <c r="G273" s="901">
        <v>2</v>
      </c>
      <c r="H273" s="901">
        <v>4</v>
      </c>
      <c r="I273" s="901">
        <v>3</v>
      </c>
      <c r="J273" s="901">
        <v>1</v>
      </c>
      <c r="K273" s="902">
        <v>1</v>
      </c>
      <c r="L273" s="902">
        <v>0</v>
      </c>
      <c r="M273" s="902">
        <v>0</v>
      </c>
      <c r="N273" s="902">
        <f t="shared" si="8"/>
        <v>1</v>
      </c>
      <c r="O273" s="903">
        <v>0</v>
      </c>
      <c r="P273" s="903">
        <v>0</v>
      </c>
      <c r="Q273" s="903">
        <v>1</v>
      </c>
      <c r="R273" s="903">
        <v>0</v>
      </c>
      <c r="S273" s="903">
        <f t="shared" si="9"/>
        <v>3</v>
      </c>
      <c r="T273" s="904">
        <v>1</v>
      </c>
      <c r="U273" s="905">
        <v>0</v>
      </c>
      <c r="V273" s="905">
        <v>0</v>
      </c>
      <c r="W273" s="905">
        <v>0</v>
      </c>
      <c r="X273" s="905">
        <v>1</v>
      </c>
      <c r="Y273" s="905">
        <v>1</v>
      </c>
      <c r="Z273" s="905">
        <v>0</v>
      </c>
      <c r="AA273" s="905">
        <v>0</v>
      </c>
      <c r="AB273" s="906">
        <v>3</v>
      </c>
      <c r="AC273" s="906">
        <v>5</v>
      </c>
      <c r="AD273" s="906">
        <v>1</v>
      </c>
      <c r="AE273" s="906">
        <v>7</v>
      </c>
      <c r="AF273" s="906">
        <v>2</v>
      </c>
      <c r="AG273" s="906">
        <v>4</v>
      </c>
      <c r="AH273" s="906">
        <v>6</v>
      </c>
      <c r="AI273" s="907">
        <v>2</v>
      </c>
      <c r="AJ273" s="907">
        <v>2</v>
      </c>
      <c r="AK273" s="907">
        <v>4</v>
      </c>
      <c r="AL273" s="907">
        <v>4</v>
      </c>
      <c r="AM273" s="907">
        <v>1</v>
      </c>
      <c r="AN273" s="907">
        <v>1</v>
      </c>
      <c r="AO273" s="907">
        <v>4</v>
      </c>
      <c r="AP273" s="907">
        <v>1</v>
      </c>
      <c r="AQ273" s="907">
        <v>0</v>
      </c>
      <c r="AR273" s="907">
        <v>0</v>
      </c>
      <c r="AS273" s="907">
        <v>0</v>
      </c>
      <c r="AT273" s="907">
        <v>0</v>
      </c>
      <c r="AU273" s="907">
        <v>0</v>
      </c>
    </row>
    <row r="274" spans="1:47" hidden="1">
      <c r="A274" s="898">
        <v>273</v>
      </c>
      <c r="B274" s="899">
        <v>0</v>
      </c>
      <c r="C274" s="900">
        <v>0</v>
      </c>
      <c r="D274" s="900">
        <v>1</v>
      </c>
      <c r="E274" s="900">
        <v>0</v>
      </c>
      <c r="F274" s="900">
        <v>0</v>
      </c>
      <c r="G274" s="901">
        <v>3</v>
      </c>
      <c r="H274" s="901">
        <v>1</v>
      </c>
      <c r="I274" s="901">
        <v>4</v>
      </c>
      <c r="J274" s="901">
        <v>2</v>
      </c>
      <c r="K274" s="902">
        <v>1</v>
      </c>
      <c r="L274" s="902">
        <v>0</v>
      </c>
      <c r="M274" s="902">
        <v>0</v>
      </c>
      <c r="N274" s="902">
        <f t="shared" si="8"/>
        <v>1</v>
      </c>
      <c r="O274" s="903">
        <v>0</v>
      </c>
      <c r="P274" s="903">
        <v>1</v>
      </c>
      <c r="Q274" s="903">
        <v>0</v>
      </c>
      <c r="R274" s="903">
        <v>0</v>
      </c>
      <c r="S274" s="903">
        <f t="shared" si="9"/>
        <v>2</v>
      </c>
      <c r="T274" s="904">
        <v>0</v>
      </c>
      <c r="U274" s="905">
        <v>0</v>
      </c>
      <c r="V274" s="905">
        <v>0</v>
      </c>
      <c r="W274" s="905">
        <v>0</v>
      </c>
      <c r="X274" s="905">
        <v>0</v>
      </c>
      <c r="Y274" s="905">
        <v>1</v>
      </c>
      <c r="Z274" s="905">
        <v>0</v>
      </c>
      <c r="AA274" s="905">
        <v>0</v>
      </c>
      <c r="AB274" s="906">
        <v>2</v>
      </c>
      <c r="AC274" s="906">
        <v>7</v>
      </c>
      <c r="AD274" s="906">
        <v>6</v>
      </c>
      <c r="AE274" s="906">
        <v>3</v>
      </c>
      <c r="AF274" s="906">
        <v>1</v>
      </c>
      <c r="AG274" s="906">
        <v>5</v>
      </c>
      <c r="AH274" s="906">
        <v>4</v>
      </c>
      <c r="AI274" s="907">
        <v>1</v>
      </c>
      <c r="AJ274" s="907">
        <v>2</v>
      </c>
      <c r="AK274" s="907">
        <v>2</v>
      </c>
      <c r="AL274" s="907">
        <v>2</v>
      </c>
      <c r="AM274" s="907">
        <v>1</v>
      </c>
      <c r="AN274" s="907">
        <v>1</v>
      </c>
      <c r="AO274" s="907">
        <v>2</v>
      </c>
      <c r="AP274" s="907">
        <v>0</v>
      </c>
      <c r="AQ274" s="907">
        <v>0</v>
      </c>
      <c r="AR274" s="907">
        <v>0</v>
      </c>
      <c r="AS274" s="907">
        <v>0</v>
      </c>
      <c r="AT274" s="907">
        <v>1</v>
      </c>
      <c r="AU274" s="907">
        <v>0</v>
      </c>
    </row>
    <row r="275" spans="1:47" hidden="1">
      <c r="A275" s="898">
        <v>274</v>
      </c>
      <c r="B275" s="899">
        <v>1</v>
      </c>
      <c r="C275" s="900">
        <v>0</v>
      </c>
      <c r="D275" s="900">
        <v>1</v>
      </c>
      <c r="E275" s="900">
        <v>0</v>
      </c>
      <c r="F275" s="900">
        <v>0</v>
      </c>
      <c r="G275" s="901">
        <v>3</v>
      </c>
      <c r="H275" s="901">
        <v>2</v>
      </c>
      <c r="I275" s="901">
        <v>4</v>
      </c>
      <c r="J275" s="901">
        <v>1</v>
      </c>
      <c r="K275" s="902">
        <v>1</v>
      </c>
      <c r="L275" s="902">
        <v>0</v>
      </c>
      <c r="M275" s="902">
        <v>0</v>
      </c>
      <c r="N275" s="902">
        <f t="shared" si="8"/>
        <v>1</v>
      </c>
      <c r="O275" s="903">
        <v>1</v>
      </c>
      <c r="P275" s="903">
        <v>0</v>
      </c>
      <c r="Q275" s="903">
        <v>0</v>
      </c>
      <c r="R275" s="903">
        <v>0</v>
      </c>
      <c r="S275" s="903">
        <f t="shared" si="9"/>
        <v>1</v>
      </c>
      <c r="T275" s="904">
        <v>1</v>
      </c>
      <c r="U275" s="905">
        <v>1</v>
      </c>
      <c r="V275" s="905">
        <v>0</v>
      </c>
      <c r="W275" s="905">
        <v>0</v>
      </c>
      <c r="X275" s="905">
        <v>0</v>
      </c>
      <c r="Y275" s="905">
        <v>0</v>
      </c>
      <c r="Z275" s="905">
        <v>0</v>
      </c>
      <c r="AA275" s="905">
        <v>0</v>
      </c>
      <c r="AB275" s="906">
        <v>2</v>
      </c>
      <c r="AC275" s="906">
        <v>4</v>
      </c>
      <c r="AD275" s="906">
        <v>6</v>
      </c>
      <c r="AE275" s="906">
        <v>3</v>
      </c>
      <c r="AF275" s="906">
        <v>1</v>
      </c>
      <c r="AG275" s="906">
        <v>5</v>
      </c>
      <c r="AH275" s="906">
        <v>7</v>
      </c>
      <c r="AI275" s="907">
        <v>2</v>
      </c>
      <c r="AJ275" s="907">
        <v>1</v>
      </c>
      <c r="AK275" s="907">
        <v>1</v>
      </c>
      <c r="AL275" s="907">
        <v>1</v>
      </c>
      <c r="AM275" s="907">
        <v>1</v>
      </c>
      <c r="AN275" s="907">
        <v>1</v>
      </c>
      <c r="AO275" s="907">
        <v>2</v>
      </c>
      <c r="AP275" s="907">
        <v>0</v>
      </c>
      <c r="AQ275" s="907">
        <v>0</v>
      </c>
      <c r="AR275" s="907">
        <v>0</v>
      </c>
      <c r="AS275" s="907">
        <v>1</v>
      </c>
      <c r="AT275" s="907">
        <v>0</v>
      </c>
      <c r="AU275" s="907">
        <v>0</v>
      </c>
    </row>
    <row r="276" spans="1:47" hidden="1">
      <c r="A276" s="898">
        <v>275</v>
      </c>
      <c r="B276" s="899">
        <v>1</v>
      </c>
      <c r="C276" s="900">
        <v>1</v>
      </c>
      <c r="D276" s="900">
        <v>0</v>
      </c>
      <c r="E276" s="900">
        <v>0</v>
      </c>
      <c r="F276" s="900">
        <v>0</v>
      </c>
      <c r="G276" s="901">
        <v>1</v>
      </c>
      <c r="H276" s="901">
        <v>2</v>
      </c>
      <c r="I276" s="901">
        <v>3</v>
      </c>
      <c r="J276" s="901">
        <v>4</v>
      </c>
      <c r="K276" s="902">
        <v>1</v>
      </c>
      <c r="L276" s="902">
        <v>0</v>
      </c>
      <c r="M276" s="902">
        <v>0</v>
      </c>
      <c r="N276" s="902">
        <f t="shared" si="8"/>
        <v>1</v>
      </c>
      <c r="O276" s="903">
        <v>1</v>
      </c>
      <c r="P276" s="903">
        <v>0</v>
      </c>
      <c r="Q276" s="903">
        <v>0</v>
      </c>
      <c r="R276" s="903">
        <v>0</v>
      </c>
      <c r="S276" s="903">
        <f t="shared" si="9"/>
        <v>1</v>
      </c>
      <c r="T276" s="904">
        <v>1</v>
      </c>
      <c r="U276" s="905">
        <v>0</v>
      </c>
      <c r="V276" s="905">
        <v>1</v>
      </c>
      <c r="W276" s="905">
        <v>0</v>
      </c>
      <c r="X276" s="905">
        <v>0</v>
      </c>
      <c r="Y276" s="905">
        <v>0</v>
      </c>
      <c r="Z276" s="905">
        <v>0</v>
      </c>
      <c r="AA276" s="905">
        <v>0</v>
      </c>
      <c r="AB276" s="906">
        <v>3</v>
      </c>
      <c r="AC276" s="906">
        <v>6</v>
      </c>
      <c r="AD276" s="906">
        <v>4</v>
      </c>
      <c r="AE276" s="906">
        <v>2</v>
      </c>
      <c r="AF276" s="906">
        <v>1</v>
      </c>
      <c r="AG276" s="906">
        <v>5</v>
      </c>
      <c r="AH276" s="906">
        <v>7</v>
      </c>
      <c r="AI276" s="907">
        <v>4</v>
      </c>
      <c r="AJ276" s="907">
        <v>2</v>
      </c>
      <c r="AK276" s="907">
        <v>1</v>
      </c>
      <c r="AL276" s="907">
        <v>1</v>
      </c>
      <c r="AM276" s="907">
        <v>2</v>
      </c>
      <c r="AN276" s="907">
        <v>1</v>
      </c>
      <c r="AO276" s="907">
        <v>3</v>
      </c>
      <c r="AP276" s="907">
        <v>1</v>
      </c>
      <c r="AQ276" s="907">
        <v>0</v>
      </c>
      <c r="AR276" s="907">
        <v>0</v>
      </c>
      <c r="AS276" s="907">
        <v>0</v>
      </c>
      <c r="AT276" s="907">
        <v>0</v>
      </c>
      <c r="AU276" s="907">
        <v>0</v>
      </c>
    </row>
    <row r="277" spans="1:47" hidden="1">
      <c r="A277" s="898">
        <v>276</v>
      </c>
      <c r="B277" s="899">
        <v>1</v>
      </c>
      <c r="C277" s="900">
        <v>0</v>
      </c>
      <c r="D277" s="900">
        <v>0</v>
      </c>
      <c r="E277" s="900">
        <v>1</v>
      </c>
      <c r="F277" s="900">
        <v>0</v>
      </c>
      <c r="G277" s="901">
        <v>2</v>
      </c>
      <c r="H277" s="901">
        <v>3</v>
      </c>
      <c r="I277" s="901">
        <v>1</v>
      </c>
      <c r="J277" s="901">
        <v>4</v>
      </c>
      <c r="K277" s="902">
        <v>0</v>
      </c>
      <c r="L277" s="902">
        <v>1</v>
      </c>
      <c r="M277" s="902">
        <v>0</v>
      </c>
      <c r="N277" s="902">
        <f t="shared" si="8"/>
        <v>2</v>
      </c>
      <c r="O277" s="903">
        <v>1</v>
      </c>
      <c r="P277" s="903">
        <v>0</v>
      </c>
      <c r="Q277" s="903">
        <v>0</v>
      </c>
      <c r="R277" s="903">
        <v>0</v>
      </c>
      <c r="S277" s="903">
        <f t="shared" si="9"/>
        <v>1</v>
      </c>
      <c r="T277" s="904">
        <v>1</v>
      </c>
      <c r="U277" s="905">
        <v>0</v>
      </c>
      <c r="V277" s="905">
        <v>0</v>
      </c>
      <c r="W277" s="905">
        <v>1</v>
      </c>
      <c r="X277" s="905">
        <v>0</v>
      </c>
      <c r="Y277" s="905">
        <v>1</v>
      </c>
      <c r="Z277" s="905">
        <v>1</v>
      </c>
      <c r="AA277" s="905">
        <v>0</v>
      </c>
      <c r="AB277" s="906">
        <v>4</v>
      </c>
      <c r="AC277" s="906">
        <v>2</v>
      </c>
      <c r="AD277" s="906">
        <v>5</v>
      </c>
      <c r="AE277" s="906">
        <v>6</v>
      </c>
      <c r="AF277" s="906">
        <v>1</v>
      </c>
      <c r="AG277" s="906">
        <v>3</v>
      </c>
      <c r="AH277" s="906">
        <v>7</v>
      </c>
      <c r="AI277" s="907">
        <v>1</v>
      </c>
      <c r="AJ277" s="907">
        <v>2</v>
      </c>
      <c r="AK277" s="907">
        <v>2</v>
      </c>
      <c r="AL277" s="907">
        <v>2</v>
      </c>
      <c r="AM277" s="907">
        <v>2</v>
      </c>
      <c r="AN277" s="907">
        <v>2</v>
      </c>
      <c r="AO277" s="907">
        <v>3</v>
      </c>
      <c r="AP277" s="907">
        <v>0</v>
      </c>
      <c r="AQ277" s="907">
        <v>1</v>
      </c>
      <c r="AR277" s="907">
        <v>0</v>
      </c>
      <c r="AS277" s="907">
        <v>0</v>
      </c>
      <c r="AT277" s="907">
        <v>0</v>
      </c>
      <c r="AU277" s="907">
        <v>0</v>
      </c>
    </row>
    <row r="278" spans="1:47" hidden="1">
      <c r="A278" s="898">
        <v>277</v>
      </c>
      <c r="B278" s="899">
        <v>0</v>
      </c>
      <c r="C278" s="900">
        <v>1</v>
      </c>
      <c r="D278" s="900">
        <v>0</v>
      </c>
      <c r="E278" s="900">
        <v>0</v>
      </c>
      <c r="F278" s="900">
        <v>0</v>
      </c>
      <c r="G278" s="901">
        <v>3</v>
      </c>
      <c r="H278" s="901">
        <v>4</v>
      </c>
      <c r="I278" s="901">
        <v>1</v>
      </c>
      <c r="J278" s="901">
        <v>2</v>
      </c>
      <c r="K278" s="902">
        <v>1</v>
      </c>
      <c r="L278" s="902">
        <v>0</v>
      </c>
      <c r="M278" s="902">
        <v>0</v>
      </c>
      <c r="N278" s="902">
        <f t="shared" si="8"/>
        <v>1</v>
      </c>
      <c r="O278" s="903">
        <v>1</v>
      </c>
      <c r="P278" s="903">
        <v>0</v>
      </c>
      <c r="Q278" s="903">
        <v>0</v>
      </c>
      <c r="R278" s="903">
        <v>0</v>
      </c>
      <c r="S278" s="903">
        <f t="shared" si="9"/>
        <v>1</v>
      </c>
      <c r="T278" s="904">
        <v>1</v>
      </c>
      <c r="U278" s="905">
        <v>0</v>
      </c>
      <c r="V278" s="905">
        <v>0</v>
      </c>
      <c r="W278" s="905">
        <v>0</v>
      </c>
      <c r="X278" s="905">
        <v>0</v>
      </c>
      <c r="Y278" s="905">
        <v>0</v>
      </c>
      <c r="Z278" s="905">
        <v>1</v>
      </c>
      <c r="AA278" s="905">
        <v>1</v>
      </c>
      <c r="AB278" s="906">
        <v>4</v>
      </c>
      <c r="AC278" s="906">
        <v>3</v>
      </c>
      <c r="AD278" s="906">
        <v>7</v>
      </c>
      <c r="AE278" s="906">
        <v>5</v>
      </c>
      <c r="AF278" s="906">
        <v>1</v>
      </c>
      <c r="AG278" s="906">
        <v>2</v>
      </c>
      <c r="AH278" s="906">
        <v>6</v>
      </c>
      <c r="AI278" s="907">
        <v>1</v>
      </c>
      <c r="AJ278" s="907">
        <v>1</v>
      </c>
      <c r="AK278" s="907">
        <v>1</v>
      </c>
      <c r="AL278" s="907">
        <v>1</v>
      </c>
      <c r="AM278" s="907">
        <v>3</v>
      </c>
      <c r="AN278" s="907">
        <v>2</v>
      </c>
      <c r="AO278" s="907">
        <v>4</v>
      </c>
      <c r="AP278" s="907">
        <v>0</v>
      </c>
      <c r="AQ278" s="907">
        <v>0</v>
      </c>
      <c r="AR278" s="907">
        <v>0</v>
      </c>
      <c r="AS278" s="907">
        <v>1</v>
      </c>
      <c r="AT278" s="907">
        <v>0</v>
      </c>
      <c r="AU278" s="907">
        <v>0</v>
      </c>
    </row>
    <row r="279" spans="1:47" hidden="1">
      <c r="A279" s="898">
        <v>278</v>
      </c>
      <c r="B279" s="899">
        <v>0</v>
      </c>
      <c r="C279" s="900">
        <v>1</v>
      </c>
      <c r="D279" s="900">
        <v>0</v>
      </c>
      <c r="E279" s="900">
        <v>0</v>
      </c>
      <c r="F279" s="900">
        <v>0</v>
      </c>
      <c r="G279" s="901">
        <v>4</v>
      </c>
      <c r="H279" s="901">
        <v>3</v>
      </c>
      <c r="I279" s="901">
        <v>2</v>
      </c>
      <c r="J279" s="901">
        <v>1</v>
      </c>
      <c r="K279" s="902">
        <v>1</v>
      </c>
      <c r="L279" s="902">
        <v>0</v>
      </c>
      <c r="M279" s="902">
        <v>0</v>
      </c>
      <c r="N279" s="902">
        <f t="shared" si="8"/>
        <v>1</v>
      </c>
      <c r="O279" s="903">
        <v>1</v>
      </c>
      <c r="P279" s="903">
        <v>0</v>
      </c>
      <c r="Q279" s="903">
        <v>0</v>
      </c>
      <c r="R279" s="903">
        <v>0</v>
      </c>
      <c r="S279" s="903">
        <f t="shared" si="9"/>
        <v>1</v>
      </c>
      <c r="T279" s="904">
        <v>1</v>
      </c>
      <c r="U279" s="905">
        <v>1</v>
      </c>
      <c r="V279" s="905">
        <v>0</v>
      </c>
      <c r="W279" s="905">
        <v>0</v>
      </c>
      <c r="X279" s="905">
        <v>0</v>
      </c>
      <c r="Y279" s="905">
        <v>0</v>
      </c>
      <c r="Z279" s="905">
        <v>0</v>
      </c>
      <c r="AA279" s="905">
        <v>0</v>
      </c>
      <c r="AB279" s="906">
        <v>7</v>
      </c>
      <c r="AC279" s="906">
        <v>3</v>
      </c>
      <c r="AD279" s="906">
        <v>4</v>
      </c>
      <c r="AE279" s="906">
        <v>6</v>
      </c>
      <c r="AF279" s="906">
        <v>1</v>
      </c>
      <c r="AG279" s="906">
        <v>2</v>
      </c>
      <c r="AH279" s="906">
        <v>5</v>
      </c>
      <c r="AI279" s="907">
        <v>2</v>
      </c>
      <c r="AJ279" s="907">
        <v>2</v>
      </c>
      <c r="AK279" s="907">
        <v>1</v>
      </c>
      <c r="AL279" s="907">
        <v>1</v>
      </c>
      <c r="AM279" s="907">
        <v>1</v>
      </c>
      <c r="AN279" s="907">
        <v>1</v>
      </c>
      <c r="AO279" s="907">
        <v>4</v>
      </c>
      <c r="AP279" s="907">
        <v>1</v>
      </c>
      <c r="AQ279" s="907">
        <v>0</v>
      </c>
      <c r="AR279" s="907">
        <v>0</v>
      </c>
      <c r="AS279" s="907">
        <v>0</v>
      </c>
      <c r="AT279" s="907">
        <v>0</v>
      </c>
      <c r="AU279" s="907">
        <v>0</v>
      </c>
    </row>
    <row r="280" spans="1:47" hidden="1">
      <c r="A280" s="898">
        <v>279</v>
      </c>
      <c r="B280" s="899">
        <v>1</v>
      </c>
      <c r="C280" s="900">
        <v>0</v>
      </c>
      <c r="D280" s="900">
        <v>1</v>
      </c>
      <c r="E280" s="900">
        <v>0</v>
      </c>
      <c r="F280" s="900">
        <v>0</v>
      </c>
      <c r="G280" s="901">
        <v>4</v>
      </c>
      <c r="H280" s="901">
        <v>1</v>
      </c>
      <c r="I280" s="901">
        <v>3</v>
      </c>
      <c r="J280" s="901">
        <v>2</v>
      </c>
      <c r="K280" s="902">
        <v>0</v>
      </c>
      <c r="L280" s="902">
        <v>0</v>
      </c>
      <c r="M280" s="902">
        <v>1</v>
      </c>
      <c r="N280" s="902">
        <f t="shared" si="8"/>
        <v>3</v>
      </c>
      <c r="O280" s="908">
        <v>1</v>
      </c>
      <c r="P280" s="908">
        <v>0</v>
      </c>
      <c r="Q280" s="908">
        <v>0</v>
      </c>
      <c r="R280" s="908">
        <v>0</v>
      </c>
      <c r="S280" s="903">
        <f t="shared" si="9"/>
        <v>1</v>
      </c>
      <c r="T280" s="904">
        <v>1</v>
      </c>
      <c r="U280" s="905">
        <v>1</v>
      </c>
      <c r="V280" s="905">
        <v>0</v>
      </c>
      <c r="W280" s="905">
        <v>0</v>
      </c>
      <c r="X280" s="905">
        <v>0</v>
      </c>
      <c r="Y280" s="905">
        <v>0</v>
      </c>
      <c r="Z280" s="905">
        <v>0</v>
      </c>
      <c r="AA280" s="905">
        <v>0</v>
      </c>
      <c r="AB280" s="906">
        <v>7</v>
      </c>
      <c r="AC280" s="906">
        <v>3</v>
      </c>
      <c r="AD280" s="906">
        <v>4</v>
      </c>
      <c r="AE280" s="906">
        <v>5</v>
      </c>
      <c r="AF280" s="906">
        <v>1</v>
      </c>
      <c r="AG280" s="906">
        <v>2</v>
      </c>
      <c r="AH280" s="906">
        <v>6</v>
      </c>
      <c r="AI280" s="907">
        <v>3</v>
      </c>
      <c r="AJ280" s="907">
        <v>2</v>
      </c>
      <c r="AK280" s="907">
        <v>1</v>
      </c>
      <c r="AL280" s="907">
        <v>1</v>
      </c>
      <c r="AM280" s="907">
        <v>1</v>
      </c>
      <c r="AN280" s="907">
        <v>2</v>
      </c>
      <c r="AO280" s="907">
        <v>2</v>
      </c>
      <c r="AP280" s="907">
        <v>0</v>
      </c>
      <c r="AQ280" s="907">
        <v>0</v>
      </c>
      <c r="AR280" s="907">
        <v>0</v>
      </c>
      <c r="AS280" s="907">
        <v>1</v>
      </c>
      <c r="AT280" s="907">
        <v>0</v>
      </c>
      <c r="AU280" s="907">
        <v>0</v>
      </c>
    </row>
    <row r="281" spans="1:47" hidden="1">
      <c r="A281" s="898">
        <v>280</v>
      </c>
      <c r="B281" s="899">
        <v>0</v>
      </c>
      <c r="C281" s="900">
        <v>0</v>
      </c>
      <c r="D281" s="900">
        <v>1</v>
      </c>
      <c r="E281" s="900">
        <v>0</v>
      </c>
      <c r="F281" s="900">
        <v>0</v>
      </c>
      <c r="G281" s="901">
        <v>3</v>
      </c>
      <c r="H281" s="901">
        <v>4</v>
      </c>
      <c r="I281" s="901">
        <v>2</v>
      </c>
      <c r="J281" s="901">
        <v>1</v>
      </c>
      <c r="K281" s="902">
        <v>1</v>
      </c>
      <c r="L281" s="902">
        <v>0</v>
      </c>
      <c r="M281" s="902">
        <v>0</v>
      </c>
      <c r="N281" s="902">
        <f t="shared" si="8"/>
        <v>1</v>
      </c>
      <c r="O281" s="903">
        <v>1</v>
      </c>
      <c r="P281" s="903">
        <v>0</v>
      </c>
      <c r="Q281" s="903">
        <v>0</v>
      </c>
      <c r="R281" s="903">
        <v>0</v>
      </c>
      <c r="S281" s="903">
        <f t="shared" si="9"/>
        <v>1</v>
      </c>
      <c r="T281" s="904">
        <v>1</v>
      </c>
      <c r="U281" s="905">
        <v>1</v>
      </c>
      <c r="V281" s="905">
        <v>0</v>
      </c>
      <c r="W281" s="905">
        <v>0</v>
      </c>
      <c r="X281" s="905">
        <v>0</v>
      </c>
      <c r="Y281" s="905">
        <v>0</v>
      </c>
      <c r="Z281" s="905">
        <v>0</v>
      </c>
      <c r="AA281" s="905">
        <v>1</v>
      </c>
      <c r="AB281" s="906">
        <v>7</v>
      </c>
      <c r="AC281" s="906">
        <v>3</v>
      </c>
      <c r="AD281" s="906">
        <v>4</v>
      </c>
      <c r="AE281" s="906">
        <v>6</v>
      </c>
      <c r="AF281" s="906">
        <v>1</v>
      </c>
      <c r="AG281" s="906">
        <v>2</v>
      </c>
      <c r="AH281" s="906">
        <v>5</v>
      </c>
      <c r="AI281" s="907">
        <v>2</v>
      </c>
      <c r="AJ281" s="907">
        <v>2</v>
      </c>
      <c r="AK281" s="907">
        <v>1</v>
      </c>
      <c r="AL281" s="907">
        <v>1</v>
      </c>
      <c r="AM281" s="907">
        <v>1</v>
      </c>
      <c r="AN281" s="907">
        <v>1</v>
      </c>
      <c r="AO281" s="907">
        <v>4</v>
      </c>
      <c r="AP281" s="907">
        <v>0</v>
      </c>
      <c r="AQ281" s="907">
        <v>1</v>
      </c>
      <c r="AR281" s="907">
        <v>0</v>
      </c>
      <c r="AS281" s="907">
        <v>0</v>
      </c>
      <c r="AT281" s="907">
        <v>0</v>
      </c>
      <c r="AU281" s="907">
        <v>0</v>
      </c>
    </row>
    <row r="282" spans="1:47" hidden="1">
      <c r="A282" s="898">
        <v>281</v>
      </c>
      <c r="B282" s="899">
        <v>0</v>
      </c>
      <c r="C282" s="900">
        <v>1</v>
      </c>
      <c r="D282" s="900">
        <v>0</v>
      </c>
      <c r="E282" s="900">
        <v>0</v>
      </c>
      <c r="F282" s="900">
        <v>1</v>
      </c>
      <c r="G282" s="901">
        <v>2</v>
      </c>
      <c r="H282" s="901">
        <v>3</v>
      </c>
      <c r="I282" s="901">
        <v>1</v>
      </c>
      <c r="J282" s="901">
        <v>4</v>
      </c>
      <c r="K282" s="902">
        <v>0</v>
      </c>
      <c r="L282" s="902">
        <v>0</v>
      </c>
      <c r="M282" s="902">
        <v>1</v>
      </c>
      <c r="N282" s="902">
        <f t="shared" si="8"/>
        <v>3</v>
      </c>
      <c r="O282" s="908">
        <v>0</v>
      </c>
      <c r="P282" s="908">
        <v>0</v>
      </c>
      <c r="Q282" s="908">
        <v>0</v>
      </c>
      <c r="R282" s="908">
        <v>1</v>
      </c>
      <c r="S282" s="903">
        <f t="shared" si="9"/>
        <v>4</v>
      </c>
      <c r="T282" s="904">
        <v>0</v>
      </c>
      <c r="U282" s="905">
        <v>1</v>
      </c>
      <c r="V282" s="905">
        <v>0</v>
      </c>
      <c r="W282" s="905">
        <v>0</v>
      </c>
      <c r="X282" s="905">
        <v>0</v>
      </c>
      <c r="Y282" s="905">
        <v>0</v>
      </c>
      <c r="Z282" s="905">
        <v>0</v>
      </c>
      <c r="AA282" s="905">
        <v>0</v>
      </c>
      <c r="AB282" s="906">
        <v>4</v>
      </c>
      <c r="AC282" s="906">
        <v>2</v>
      </c>
      <c r="AD282" s="906">
        <v>5</v>
      </c>
      <c r="AE282" s="906">
        <v>6</v>
      </c>
      <c r="AF282" s="906">
        <v>1</v>
      </c>
      <c r="AG282" s="906">
        <v>3</v>
      </c>
      <c r="AH282" s="906">
        <v>7</v>
      </c>
      <c r="AI282" s="907">
        <v>3</v>
      </c>
      <c r="AJ282" s="907">
        <v>1</v>
      </c>
      <c r="AK282" s="907">
        <v>1</v>
      </c>
      <c r="AL282" s="907">
        <v>1</v>
      </c>
      <c r="AM282" s="907">
        <v>1</v>
      </c>
      <c r="AN282" s="907">
        <v>2</v>
      </c>
      <c r="AO282" s="907">
        <v>4</v>
      </c>
      <c r="AP282" s="907">
        <v>0</v>
      </c>
      <c r="AQ282" s="907">
        <v>0</v>
      </c>
      <c r="AR282" s="907">
        <v>0</v>
      </c>
      <c r="AS282" s="907">
        <v>0</v>
      </c>
      <c r="AT282" s="907">
        <v>0</v>
      </c>
      <c r="AU282" s="907">
        <v>1</v>
      </c>
    </row>
    <row r="283" spans="1:47" hidden="1">
      <c r="A283" s="898">
        <v>282</v>
      </c>
      <c r="B283" s="899">
        <v>0</v>
      </c>
      <c r="C283" s="900">
        <v>1</v>
      </c>
      <c r="D283" s="900">
        <v>0</v>
      </c>
      <c r="E283" s="900">
        <v>0</v>
      </c>
      <c r="F283" s="900">
        <v>0</v>
      </c>
      <c r="G283" s="901">
        <v>1</v>
      </c>
      <c r="H283" s="901">
        <v>3</v>
      </c>
      <c r="I283" s="901">
        <v>4</v>
      </c>
      <c r="J283" s="901">
        <v>2</v>
      </c>
      <c r="K283" s="902">
        <v>0</v>
      </c>
      <c r="L283" s="902">
        <v>1</v>
      </c>
      <c r="M283" s="902">
        <v>0</v>
      </c>
      <c r="N283" s="902">
        <f t="shared" si="8"/>
        <v>2</v>
      </c>
      <c r="O283" s="903">
        <v>1</v>
      </c>
      <c r="P283" s="903">
        <v>0</v>
      </c>
      <c r="Q283" s="903">
        <v>0</v>
      </c>
      <c r="R283" s="903">
        <v>0</v>
      </c>
      <c r="S283" s="903">
        <f t="shared" si="9"/>
        <v>1</v>
      </c>
      <c r="T283" s="904">
        <v>1</v>
      </c>
      <c r="U283" s="905">
        <v>0</v>
      </c>
      <c r="V283" s="905">
        <v>0</v>
      </c>
      <c r="W283" s="905">
        <v>0</v>
      </c>
      <c r="X283" s="905">
        <v>0</v>
      </c>
      <c r="Y283" s="905">
        <v>0</v>
      </c>
      <c r="Z283" s="905">
        <v>1</v>
      </c>
      <c r="AA283" s="905">
        <v>0</v>
      </c>
      <c r="AB283" s="906">
        <v>2</v>
      </c>
      <c r="AC283" s="906">
        <v>3</v>
      </c>
      <c r="AD283" s="906">
        <v>7</v>
      </c>
      <c r="AE283" s="906">
        <v>5</v>
      </c>
      <c r="AF283" s="906">
        <v>1</v>
      </c>
      <c r="AG283" s="906">
        <v>4</v>
      </c>
      <c r="AH283" s="906">
        <v>6</v>
      </c>
      <c r="AI283" s="907">
        <v>1</v>
      </c>
      <c r="AJ283" s="907">
        <v>1</v>
      </c>
      <c r="AK283" s="907">
        <v>1</v>
      </c>
      <c r="AL283" s="907">
        <v>1</v>
      </c>
      <c r="AM283" s="907">
        <v>3</v>
      </c>
      <c r="AN283" s="907">
        <v>2</v>
      </c>
      <c r="AO283" s="907">
        <v>3</v>
      </c>
      <c r="AP283" s="907">
        <v>0</v>
      </c>
      <c r="AQ283" s="907">
        <v>0</v>
      </c>
      <c r="AR283" s="907">
        <v>1</v>
      </c>
      <c r="AS283" s="907">
        <v>0</v>
      </c>
      <c r="AT283" s="907">
        <v>0</v>
      </c>
      <c r="AU283" s="907">
        <v>0</v>
      </c>
    </row>
    <row r="284" spans="1:47" hidden="1">
      <c r="A284" s="898">
        <v>283</v>
      </c>
      <c r="B284" s="899">
        <v>1</v>
      </c>
      <c r="C284" s="900">
        <v>0</v>
      </c>
      <c r="D284" s="900">
        <v>1</v>
      </c>
      <c r="E284" s="900">
        <v>0</v>
      </c>
      <c r="F284" s="900">
        <v>0</v>
      </c>
      <c r="G284" s="901">
        <v>1</v>
      </c>
      <c r="H284" s="901">
        <v>4</v>
      </c>
      <c r="I284" s="901">
        <v>2</v>
      </c>
      <c r="J284" s="901">
        <v>3</v>
      </c>
      <c r="K284" s="902">
        <v>1</v>
      </c>
      <c r="L284" s="902">
        <v>0</v>
      </c>
      <c r="M284" s="902">
        <v>0</v>
      </c>
      <c r="N284" s="902">
        <f t="shared" si="8"/>
        <v>1</v>
      </c>
      <c r="O284" s="903">
        <v>1</v>
      </c>
      <c r="P284" s="903">
        <v>0</v>
      </c>
      <c r="Q284" s="903">
        <v>0</v>
      </c>
      <c r="R284" s="903">
        <v>0</v>
      </c>
      <c r="S284" s="903">
        <f t="shared" si="9"/>
        <v>1</v>
      </c>
      <c r="T284" s="904">
        <v>1</v>
      </c>
      <c r="U284" s="905">
        <v>0</v>
      </c>
      <c r="V284" s="905">
        <v>0</v>
      </c>
      <c r="W284" s="905">
        <v>0</v>
      </c>
      <c r="X284" s="905">
        <v>0</v>
      </c>
      <c r="Y284" s="905">
        <v>0</v>
      </c>
      <c r="Z284" s="905">
        <v>1</v>
      </c>
      <c r="AA284" s="905">
        <v>0</v>
      </c>
      <c r="AB284" s="906">
        <v>2</v>
      </c>
      <c r="AC284" s="906">
        <v>3</v>
      </c>
      <c r="AD284" s="906">
        <v>5</v>
      </c>
      <c r="AE284" s="906">
        <v>7</v>
      </c>
      <c r="AF284" s="906">
        <v>1</v>
      </c>
      <c r="AG284" s="906">
        <v>4</v>
      </c>
      <c r="AH284" s="906">
        <v>6</v>
      </c>
      <c r="AI284" s="907">
        <v>1</v>
      </c>
      <c r="AJ284" s="907">
        <v>1</v>
      </c>
      <c r="AK284" s="907">
        <v>2</v>
      </c>
      <c r="AL284" s="907">
        <v>2</v>
      </c>
      <c r="AM284" s="907">
        <v>2</v>
      </c>
      <c r="AN284" s="907">
        <v>2</v>
      </c>
      <c r="AO284" s="907">
        <v>3</v>
      </c>
      <c r="AP284" s="907">
        <v>0</v>
      </c>
      <c r="AQ284" s="907">
        <v>0</v>
      </c>
      <c r="AR284" s="907">
        <v>0</v>
      </c>
      <c r="AS284" s="907">
        <v>0</v>
      </c>
      <c r="AT284" s="907">
        <v>1</v>
      </c>
      <c r="AU284" s="907">
        <v>0</v>
      </c>
    </row>
    <row r="285" spans="1:47" hidden="1">
      <c r="A285" s="898">
        <v>284</v>
      </c>
      <c r="B285" s="899">
        <v>0</v>
      </c>
      <c r="C285" s="900">
        <v>0</v>
      </c>
      <c r="D285" s="900">
        <v>0</v>
      </c>
      <c r="E285" s="900">
        <v>0</v>
      </c>
      <c r="F285" s="900">
        <v>1</v>
      </c>
      <c r="G285" s="901">
        <v>2</v>
      </c>
      <c r="H285" s="901">
        <v>1</v>
      </c>
      <c r="I285" s="901">
        <v>3</v>
      </c>
      <c r="J285" s="901">
        <v>4</v>
      </c>
      <c r="K285" s="902">
        <v>1</v>
      </c>
      <c r="L285" s="902">
        <v>0</v>
      </c>
      <c r="M285" s="902">
        <v>0</v>
      </c>
      <c r="N285" s="902">
        <f t="shared" si="8"/>
        <v>1</v>
      </c>
      <c r="O285" s="903">
        <v>1</v>
      </c>
      <c r="P285" s="903">
        <v>0</v>
      </c>
      <c r="Q285" s="903">
        <v>0</v>
      </c>
      <c r="R285" s="903">
        <v>0</v>
      </c>
      <c r="S285" s="903">
        <f t="shared" si="9"/>
        <v>1</v>
      </c>
      <c r="T285" s="904">
        <v>1</v>
      </c>
      <c r="U285" s="905">
        <v>1</v>
      </c>
      <c r="V285" s="905">
        <v>0</v>
      </c>
      <c r="W285" s="905">
        <v>0</v>
      </c>
      <c r="X285" s="905">
        <v>0</v>
      </c>
      <c r="Y285" s="905">
        <v>0</v>
      </c>
      <c r="Z285" s="905">
        <v>0</v>
      </c>
      <c r="AA285" s="905">
        <v>1</v>
      </c>
      <c r="AB285" s="906">
        <v>6</v>
      </c>
      <c r="AC285" s="906">
        <v>3</v>
      </c>
      <c r="AD285" s="906">
        <v>4</v>
      </c>
      <c r="AE285" s="906">
        <v>7</v>
      </c>
      <c r="AF285" s="906">
        <v>1</v>
      </c>
      <c r="AG285" s="906">
        <v>2</v>
      </c>
      <c r="AH285" s="906">
        <v>5</v>
      </c>
      <c r="AI285" s="907">
        <v>2</v>
      </c>
      <c r="AJ285" s="907">
        <v>2</v>
      </c>
      <c r="AK285" s="907">
        <v>1</v>
      </c>
      <c r="AL285" s="907">
        <v>1</v>
      </c>
      <c r="AM285" s="907">
        <v>1</v>
      </c>
      <c r="AN285" s="907">
        <v>2</v>
      </c>
      <c r="AO285" s="907">
        <v>3</v>
      </c>
      <c r="AP285" s="907">
        <v>0</v>
      </c>
      <c r="AQ285" s="907">
        <v>1</v>
      </c>
      <c r="AR285" s="907">
        <v>0</v>
      </c>
      <c r="AS285" s="907">
        <v>0</v>
      </c>
      <c r="AT285" s="907">
        <v>0</v>
      </c>
      <c r="AU285" s="907">
        <v>0</v>
      </c>
    </row>
    <row r="286" spans="1:47" hidden="1">
      <c r="A286" s="898">
        <v>285</v>
      </c>
      <c r="B286" s="899">
        <v>0</v>
      </c>
      <c r="C286" s="900">
        <v>0</v>
      </c>
      <c r="D286" s="900">
        <v>1</v>
      </c>
      <c r="E286" s="900">
        <v>0</v>
      </c>
      <c r="F286" s="900">
        <v>0</v>
      </c>
      <c r="G286" s="901">
        <v>2</v>
      </c>
      <c r="H286" s="901">
        <v>3</v>
      </c>
      <c r="I286" s="901">
        <v>1</v>
      </c>
      <c r="J286" s="901">
        <v>4</v>
      </c>
      <c r="K286" s="902">
        <v>0</v>
      </c>
      <c r="L286" s="902">
        <v>1</v>
      </c>
      <c r="M286" s="902">
        <v>0</v>
      </c>
      <c r="N286" s="902">
        <f t="shared" si="8"/>
        <v>2</v>
      </c>
      <c r="O286" s="903">
        <v>1</v>
      </c>
      <c r="P286" s="903">
        <v>0</v>
      </c>
      <c r="Q286" s="903">
        <v>0</v>
      </c>
      <c r="R286" s="903">
        <v>0</v>
      </c>
      <c r="S286" s="903">
        <f t="shared" si="9"/>
        <v>1</v>
      </c>
      <c r="T286" s="904">
        <v>1</v>
      </c>
      <c r="U286" s="905">
        <v>0</v>
      </c>
      <c r="V286" s="905">
        <v>0</v>
      </c>
      <c r="W286" s="905">
        <v>1</v>
      </c>
      <c r="X286" s="905">
        <v>0</v>
      </c>
      <c r="Y286" s="905">
        <v>0</v>
      </c>
      <c r="Z286" s="905">
        <v>1</v>
      </c>
      <c r="AA286" s="905">
        <v>0</v>
      </c>
      <c r="AB286" s="906">
        <v>4</v>
      </c>
      <c r="AC286" s="906">
        <v>3</v>
      </c>
      <c r="AD286" s="906">
        <v>5</v>
      </c>
      <c r="AE286" s="906">
        <v>7</v>
      </c>
      <c r="AF286" s="906">
        <v>1</v>
      </c>
      <c r="AG286" s="906">
        <v>2</v>
      </c>
      <c r="AH286" s="906">
        <v>6</v>
      </c>
      <c r="AI286" s="907">
        <v>1</v>
      </c>
      <c r="AJ286" s="907">
        <v>2</v>
      </c>
      <c r="AK286" s="907">
        <v>1</v>
      </c>
      <c r="AL286" s="907">
        <v>1</v>
      </c>
      <c r="AM286" s="907">
        <v>2</v>
      </c>
      <c r="AN286" s="907">
        <v>2</v>
      </c>
      <c r="AO286" s="907">
        <v>3</v>
      </c>
      <c r="AP286" s="907">
        <v>0</v>
      </c>
      <c r="AQ286" s="907">
        <v>0</v>
      </c>
      <c r="AR286" s="907">
        <v>0</v>
      </c>
      <c r="AS286" s="907">
        <v>0</v>
      </c>
      <c r="AT286" s="907">
        <v>0</v>
      </c>
      <c r="AU286" s="907">
        <v>1</v>
      </c>
    </row>
    <row r="287" spans="1:47" hidden="1">
      <c r="A287" s="898">
        <v>286</v>
      </c>
      <c r="B287" s="899">
        <v>0</v>
      </c>
      <c r="C287" s="900">
        <v>1</v>
      </c>
      <c r="D287" s="900">
        <v>0</v>
      </c>
      <c r="E287" s="900">
        <v>0</v>
      </c>
      <c r="F287" s="900">
        <v>0</v>
      </c>
      <c r="G287" s="901">
        <v>3</v>
      </c>
      <c r="H287" s="901">
        <v>2</v>
      </c>
      <c r="I287" s="901">
        <v>4</v>
      </c>
      <c r="J287" s="901">
        <v>1</v>
      </c>
      <c r="K287" s="902">
        <v>0</v>
      </c>
      <c r="L287" s="902">
        <v>0</v>
      </c>
      <c r="M287" s="902">
        <v>1</v>
      </c>
      <c r="N287" s="902">
        <f t="shared" si="8"/>
        <v>3</v>
      </c>
      <c r="O287" s="908">
        <v>0</v>
      </c>
      <c r="P287" s="908">
        <v>1</v>
      </c>
      <c r="Q287" s="908">
        <v>0</v>
      </c>
      <c r="R287" s="908">
        <v>0</v>
      </c>
      <c r="S287" s="903">
        <f t="shared" si="9"/>
        <v>2</v>
      </c>
      <c r="T287" s="904">
        <v>1</v>
      </c>
      <c r="U287" s="905">
        <v>1</v>
      </c>
      <c r="V287" s="905">
        <v>0</v>
      </c>
      <c r="W287" s="905">
        <v>0</v>
      </c>
      <c r="X287" s="905">
        <v>0</v>
      </c>
      <c r="Y287" s="905">
        <v>0</v>
      </c>
      <c r="Z287" s="905">
        <v>0</v>
      </c>
      <c r="AA287" s="905">
        <v>0</v>
      </c>
      <c r="AB287" s="906">
        <v>2</v>
      </c>
      <c r="AC287" s="906">
        <v>3</v>
      </c>
      <c r="AD287" s="906">
        <v>5</v>
      </c>
      <c r="AE287" s="906">
        <v>7</v>
      </c>
      <c r="AF287" s="906">
        <v>1</v>
      </c>
      <c r="AG287" s="906">
        <v>4</v>
      </c>
      <c r="AH287" s="906">
        <v>6</v>
      </c>
      <c r="AI287" s="907">
        <v>2</v>
      </c>
      <c r="AJ287" s="907">
        <v>2</v>
      </c>
      <c r="AK287" s="907">
        <v>1</v>
      </c>
      <c r="AL287" s="907">
        <v>1</v>
      </c>
      <c r="AM287" s="907">
        <v>1</v>
      </c>
      <c r="AN287" s="907">
        <v>1</v>
      </c>
      <c r="AO287" s="907">
        <v>2</v>
      </c>
      <c r="AP287" s="907">
        <v>0</v>
      </c>
      <c r="AQ287" s="907">
        <v>0</v>
      </c>
      <c r="AR287" s="907">
        <v>0</v>
      </c>
      <c r="AS287" s="907">
        <v>1</v>
      </c>
      <c r="AT287" s="907">
        <v>0</v>
      </c>
      <c r="AU287" s="907">
        <v>0</v>
      </c>
    </row>
    <row r="288" spans="1:47" hidden="1">
      <c r="A288" s="898">
        <v>287</v>
      </c>
      <c r="B288" s="899">
        <v>0</v>
      </c>
      <c r="C288" s="900">
        <v>0</v>
      </c>
      <c r="D288" s="900">
        <v>0</v>
      </c>
      <c r="E288" s="900">
        <v>0</v>
      </c>
      <c r="F288" s="900">
        <v>0</v>
      </c>
      <c r="G288" s="901">
        <v>3</v>
      </c>
      <c r="H288" s="901">
        <v>1</v>
      </c>
      <c r="I288" s="901">
        <v>4</v>
      </c>
      <c r="J288" s="901">
        <v>1</v>
      </c>
      <c r="K288" s="902">
        <v>1</v>
      </c>
      <c r="L288" s="902">
        <v>0</v>
      </c>
      <c r="M288" s="902">
        <v>0</v>
      </c>
      <c r="N288" s="902">
        <f t="shared" si="8"/>
        <v>1</v>
      </c>
      <c r="O288" s="903">
        <v>1</v>
      </c>
      <c r="P288" s="903">
        <v>0</v>
      </c>
      <c r="Q288" s="903">
        <v>0</v>
      </c>
      <c r="R288" s="903">
        <v>0</v>
      </c>
      <c r="S288" s="903">
        <f t="shared" si="9"/>
        <v>1</v>
      </c>
      <c r="T288" s="904">
        <v>1</v>
      </c>
      <c r="U288" s="905">
        <v>0</v>
      </c>
      <c r="V288" s="905">
        <v>0</v>
      </c>
      <c r="W288" s="905">
        <v>0</v>
      </c>
      <c r="X288" s="905">
        <v>0</v>
      </c>
      <c r="Y288" s="905">
        <v>0</v>
      </c>
      <c r="Z288" s="905">
        <v>1</v>
      </c>
      <c r="AA288" s="905">
        <v>0</v>
      </c>
      <c r="AB288" s="906">
        <v>4</v>
      </c>
      <c r="AC288" s="906">
        <v>2</v>
      </c>
      <c r="AD288" s="906">
        <v>6</v>
      </c>
      <c r="AE288" s="906">
        <v>5</v>
      </c>
      <c r="AF288" s="906">
        <v>3</v>
      </c>
      <c r="AG288" s="906">
        <v>1</v>
      </c>
      <c r="AH288" s="906">
        <v>7</v>
      </c>
      <c r="AI288" s="907">
        <v>1</v>
      </c>
      <c r="AJ288" s="907">
        <v>1</v>
      </c>
      <c r="AK288" s="907">
        <v>1</v>
      </c>
      <c r="AL288" s="907">
        <v>1</v>
      </c>
      <c r="AM288" s="907">
        <v>2</v>
      </c>
      <c r="AN288" s="907">
        <v>2</v>
      </c>
      <c r="AO288" s="907">
        <v>3</v>
      </c>
      <c r="AP288" s="907">
        <v>1</v>
      </c>
      <c r="AQ288" s="907">
        <v>0</v>
      </c>
      <c r="AR288" s="907">
        <v>0</v>
      </c>
      <c r="AS288" s="907">
        <v>0</v>
      </c>
      <c r="AT288" s="907">
        <v>0</v>
      </c>
      <c r="AU288" s="907">
        <v>0</v>
      </c>
    </row>
    <row r="289" spans="1:47" hidden="1">
      <c r="A289" s="898">
        <v>288</v>
      </c>
      <c r="B289" s="899">
        <v>0</v>
      </c>
      <c r="C289" s="900">
        <v>0</v>
      </c>
      <c r="D289" s="900">
        <v>0</v>
      </c>
      <c r="E289" s="900">
        <v>1</v>
      </c>
      <c r="F289" s="900">
        <v>0</v>
      </c>
      <c r="G289" s="901">
        <v>4</v>
      </c>
      <c r="H289" s="901">
        <v>2</v>
      </c>
      <c r="I289" s="901">
        <v>1</v>
      </c>
      <c r="J289" s="901">
        <v>3</v>
      </c>
      <c r="K289" s="902">
        <v>1</v>
      </c>
      <c r="L289" s="902">
        <v>0</v>
      </c>
      <c r="M289" s="902">
        <v>0</v>
      </c>
      <c r="N289" s="902">
        <f t="shared" si="8"/>
        <v>1</v>
      </c>
      <c r="O289" s="903">
        <v>1</v>
      </c>
      <c r="P289" s="903">
        <v>0</v>
      </c>
      <c r="Q289" s="903">
        <v>0</v>
      </c>
      <c r="R289" s="903">
        <v>0</v>
      </c>
      <c r="S289" s="903">
        <f t="shared" si="9"/>
        <v>1</v>
      </c>
      <c r="T289" s="904">
        <v>1</v>
      </c>
      <c r="U289" s="905">
        <v>1</v>
      </c>
      <c r="V289" s="905">
        <v>0</v>
      </c>
      <c r="W289" s="905">
        <v>0</v>
      </c>
      <c r="X289" s="905">
        <v>1</v>
      </c>
      <c r="Y289" s="905">
        <v>0</v>
      </c>
      <c r="Z289" s="905">
        <v>0</v>
      </c>
      <c r="AA289" s="905">
        <v>1</v>
      </c>
      <c r="AB289" s="906">
        <v>4</v>
      </c>
      <c r="AC289" s="906">
        <v>2</v>
      </c>
      <c r="AD289" s="906">
        <v>5</v>
      </c>
      <c r="AE289" s="906">
        <v>7</v>
      </c>
      <c r="AF289" s="906">
        <v>1</v>
      </c>
      <c r="AG289" s="906">
        <v>3</v>
      </c>
      <c r="AH289" s="906">
        <v>6</v>
      </c>
      <c r="AI289" s="907">
        <v>2</v>
      </c>
      <c r="AJ289" s="907">
        <v>1</v>
      </c>
      <c r="AK289" s="907">
        <v>2</v>
      </c>
      <c r="AL289" s="907">
        <v>1</v>
      </c>
      <c r="AM289" s="907">
        <v>1</v>
      </c>
      <c r="AN289" s="907">
        <v>1</v>
      </c>
      <c r="AO289" s="907">
        <v>3</v>
      </c>
      <c r="AP289" s="907">
        <v>0</v>
      </c>
      <c r="AQ289" s="907">
        <v>0</v>
      </c>
      <c r="AR289" s="907">
        <v>0</v>
      </c>
      <c r="AS289" s="907">
        <v>0</v>
      </c>
      <c r="AT289" s="907">
        <v>0</v>
      </c>
      <c r="AU289" s="907">
        <v>1</v>
      </c>
    </row>
    <row r="290" spans="1:47" hidden="1">
      <c r="A290" s="898">
        <v>289</v>
      </c>
      <c r="B290" s="899">
        <v>1</v>
      </c>
      <c r="C290" s="900">
        <v>0</v>
      </c>
      <c r="D290" s="900">
        <v>1</v>
      </c>
      <c r="E290" s="900">
        <v>0</v>
      </c>
      <c r="F290" s="900">
        <v>0</v>
      </c>
      <c r="G290" s="901">
        <v>1</v>
      </c>
      <c r="H290" s="901">
        <v>3</v>
      </c>
      <c r="I290" s="901">
        <v>2</v>
      </c>
      <c r="J290" s="901">
        <v>4</v>
      </c>
      <c r="K290" s="902">
        <v>0</v>
      </c>
      <c r="L290" s="902">
        <v>0</v>
      </c>
      <c r="M290" s="902">
        <v>1</v>
      </c>
      <c r="N290" s="902">
        <f t="shared" si="8"/>
        <v>3</v>
      </c>
      <c r="O290" s="908">
        <v>1</v>
      </c>
      <c r="P290" s="908">
        <v>0</v>
      </c>
      <c r="Q290" s="908">
        <v>0</v>
      </c>
      <c r="R290" s="908">
        <v>0</v>
      </c>
      <c r="S290" s="903">
        <f t="shared" si="9"/>
        <v>1</v>
      </c>
      <c r="T290" s="904">
        <v>1</v>
      </c>
      <c r="U290" s="905">
        <v>1</v>
      </c>
      <c r="V290" s="905">
        <v>0</v>
      </c>
      <c r="W290" s="905">
        <v>0</v>
      </c>
      <c r="X290" s="905">
        <v>0</v>
      </c>
      <c r="Y290" s="905">
        <v>0</v>
      </c>
      <c r="Z290" s="905">
        <v>0</v>
      </c>
      <c r="AA290" s="905">
        <v>0</v>
      </c>
      <c r="AB290" s="906">
        <v>4</v>
      </c>
      <c r="AC290" s="906">
        <v>3</v>
      </c>
      <c r="AD290" s="906">
        <v>6</v>
      </c>
      <c r="AE290" s="906">
        <v>5</v>
      </c>
      <c r="AF290" s="906">
        <v>1</v>
      </c>
      <c r="AG290" s="906">
        <v>2</v>
      </c>
      <c r="AH290" s="906">
        <v>7</v>
      </c>
      <c r="AI290" s="907">
        <v>2</v>
      </c>
      <c r="AJ290" s="907">
        <v>2</v>
      </c>
      <c r="AK290" s="907">
        <v>2</v>
      </c>
      <c r="AL290" s="907">
        <v>1</v>
      </c>
      <c r="AM290" s="907">
        <v>1</v>
      </c>
      <c r="AN290" s="907">
        <v>2</v>
      </c>
      <c r="AO290" s="907">
        <v>2</v>
      </c>
      <c r="AP290" s="907">
        <v>0</v>
      </c>
      <c r="AQ290" s="907">
        <v>0</v>
      </c>
      <c r="AR290" s="907">
        <v>0</v>
      </c>
      <c r="AS290" s="907">
        <v>0</v>
      </c>
      <c r="AT290" s="907">
        <v>0</v>
      </c>
      <c r="AU290" s="907">
        <v>1</v>
      </c>
    </row>
    <row r="291" spans="1:47" hidden="1">
      <c r="A291" s="898">
        <v>290</v>
      </c>
      <c r="B291" s="912">
        <v>1</v>
      </c>
      <c r="C291" s="913">
        <v>0</v>
      </c>
      <c r="D291" s="913">
        <v>0</v>
      </c>
      <c r="E291" s="913">
        <v>0</v>
      </c>
      <c r="F291" s="913">
        <v>1</v>
      </c>
      <c r="G291" s="914">
        <v>3</v>
      </c>
      <c r="H291" s="914">
        <v>2</v>
      </c>
      <c r="I291" s="914">
        <v>1</v>
      </c>
      <c r="J291" s="914">
        <v>4</v>
      </c>
      <c r="K291" s="915">
        <v>1</v>
      </c>
      <c r="L291" s="915">
        <v>0</v>
      </c>
      <c r="M291" s="915">
        <v>0</v>
      </c>
      <c r="N291" s="902">
        <f t="shared" si="8"/>
        <v>1</v>
      </c>
      <c r="O291" s="916">
        <v>1</v>
      </c>
      <c r="P291" s="916">
        <v>0</v>
      </c>
      <c r="Q291" s="916">
        <v>0</v>
      </c>
      <c r="R291" s="916">
        <v>0</v>
      </c>
      <c r="S291" s="903">
        <f t="shared" si="9"/>
        <v>1</v>
      </c>
      <c r="T291" s="917">
        <v>0</v>
      </c>
      <c r="U291" s="918">
        <v>1</v>
      </c>
      <c r="V291" s="918">
        <v>0</v>
      </c>
      <c r="W291" s="918">
        <v>1</v>
      </c>
      <c r="X291" s="918">
        <v>0</v>
      </c>
      <c r="Y291" s="918">
        <v>1</v>
      </c>
      <c r="Z291" s="918">
        <v>1</v>
      </c>
      <c r="AA291" s="918">
        <v>0</v>
      </c>
      <c r="AB291" s="919">
        <v>6</v>
      </c>
      <c r="AC291" s="919">
        <v>3</v>
      </c>
      <c r="AD291" s="919">
        <v>5</v>
      </c>
      <c r="AE291" s="919">
        <v>7</v>
      </c>
      <c r="AF291" s="919">
        <v>2</v>
      </c>
      <c r="AG291" s="919">
        <v>1</v>
      </c>
      <c r="AH291" s="919">
        <v>4</v>
      </c>
      <c r="AI291" s="920">
        <v>2</v>
      </c>
      <c r="AJ291" s="920">
        <v>2</v>
      </c>
      <c r="AK291" s="920">
        <v>2</v>
      </c>
      <c r="AL291" s="920">
        <v>2</v>
      </c>
      <c r="AM291" s="920">
        <v>1</v>
      </c>
      <c r="AN291" s="920">
        <v>1</v>
      </c>
      <c r="AO291" s="920">
        <v>2</v>
      </c>
      <c r="AP291" s="920">
        <v>0</v>
      </c>
      <c r="AQ291" s="920">
        <v>0</v>
      </c>
      <c r="AR291" s="920">
        <v>0</v>
      </c>
      <c r="AS291" s="920">
        <v>0</v>
      </c>
      <c r="AT291" s="920">
        <v>1</v>
      </c>
      <c r="AU291" s="920">
        <v>0</v>
      </c>
    </row>
    <row r="292" spans="1:47" hidden="1">
      <c r="A292" s="898">
        <v>291</v>
      </c>
      <c r="B292" s="899">
        <v>0</v>
      </c>
      <c r="C292" s="900">
        <v>1</v>
      </c>
      <c r="D292" s="900">
        <v>0</v>
      </c>
      <c r="E292" s="900">
        <v>0</v>
      </c>
      <c r="F292" s="900">
        <v>0</v>
      </c>
      <c r="G292" s="901">
        <v>2</v>
      </c>
      <c r="H292" s="901">
        <v>3</v>
      </c>
      <c r="I292" s="901">
        <v>4</v>
      </c>
      <c r="J292" s="901">
        <v>1</v>
      </c>
      <c r="K292" s="902">
        <v>0</v>
      </c>
      <c r="L292" s="902">
        <v>0</v>
      </c>
      <c r="M292" s="902">
        <v>1</v>
      </c>
      <c r="N292" s="902">
        <f t="shared" si="8"/>
        <v>3</v>
      </c>
      <c r="O292" s="908">
        <v>1</v>
      </c>
      <c r="P292" s="908">
        <v>0</v>
      </c>
      <c r="Q292" s="908">
        <v>0</v>
      </c>
      <c r="R292" s="908">
        <v>0</v>
      </c>
      <c r="S292" s="903">
        <f t="shared" si="9"/>
        <v>1</v>
      </c>
      <c r="T292" s="904">
        <v>1</v>
      </c>
      <c r="U292" s="905">
        <v>1</v>
      </c>
      <c r="V292" s="905">
        <v>0</v>
      </c>
      <c r="W292" s="905">
        <v>0</v>
      </c>
      <c r="X292" s="905">
        <v>0</v>
      </c>
      <c r="Y292" s="905">
        <v>0</v>
      </c>
      <c r="Z292" s="905">
        <v>0</v>
      </c>
      <c r="AA292" s="905">
        <v>0</v>
      </c>
      <c r="AB292" s="906">
        <v>4</v>
      </c>
      <c r="AC292" s="906">
        <v>3</v>
      </c>
      <c r="AD292" s="906">
        <v>6</v>
      </c>
      <c r="AE292" s="906">
        <v>5</v>
      </c>
      <c r="AF292" s="906">
        <v>1</v>
      </c>
      <c r="AG292" s="906">
        <v>2</v>
      </c>
      <c r="AH292" s="906">
        <v>7</v>
      </c>
      <c r="AI292" s="907">
        <v>2</v>
      </c>
      <c r="AJ292" s="907">
        <v>2</v>
      </c>
      <c r="AK292" s="907">
        <v>2</v>
      </c>
      <c r="AL292" s="907">
        <v>1</v>
      </c>
      <c r="AM292" s="907">
        <v>1</v>
      </c>
      <c r="AN292" s="907">
        <v>2</v>
      </c>
      <c r="AO292" s="907">
        <v>2</v>
      </c>
      <c r="AP292" s="907">
        <v>0</v>
      </c>
      <c r="AQ292" s="907">
        <v>0</v>
      </c>
      <c r="AR292" s="907">
        <v>0</v>
      </c>
      <c r="AS292" s="907">
        <v>0</v>
      </c>
      <c r="AT292" s="907">
        <v>0</v>
      </c>
      <c r="AU292" s="907">
        <v>1</v>
      </c>
    </row>
    <row r="293" spans="1:47" hidden="1">
      <c r="A293" s="898">
        <v>292</v>
      </c>
      <c r="B293" s="912">
        <v>0</v>
      </c>
      <c r="C293" s="913">
        <v>0</v>
      </c>
      <c r="D293" s="913">
        <v>1</v>
      </c>
      <c r="E293" s="913">
        <v>0</v>
      </c>
      <c r="F293" s="913">
        <v>0</v>
      </c>
      <c r="G293" s="914">
        <v>1</v>
      </c>
      <c r="H293" s="914">
        <v>4</v>
      </c>
      <c r="I293" s="914">
        <v>2</v>
      </c>
      <c r="J293" s="914">
        <v>3</v>
      </c>
      <c r="K293" s="915">
        <v>0</v>
      </c>
      <c r="L293" s="915">
        <v>1</v>
      </c>
      <c r="M293" s="915">
        <v>0</v>
      </c>
      <c r="N293" s="902">
        <f t="shared" si="8"/>
        <v>2</v>
      </c>
      <c r="O293" s="916">
        <v>1</v>
      </c>
      <c r="P293" s="916">
        <v>0</v>
      </c>
      <c r="Q293" s="916">
        <v>0</v>
      </c>
      <c r="R293" s="916">
        <v>0</v>
      </c>
      <c r="S293" s="903">
        <f t="shared" si="9"/>
        <v>1</v>
      </c>
      <c r="T293" s="917">
        <v>1</v>
      </c>
      <c r="U293" s="918">
        <v>0</v>
      </c>
      <c r="V293" s="918">
        <v>1</v>
      </c>
      <c r="W293" s="918">
        <v>0</v>
      </c>
      <c r="X293" s="918">
        <v>0</v>
      </c>
      <c r="Y293" s="918">
        <v>1</v>
      </c>
      <c r="Z293" s="918">
        <v>0</v>
      </c>
      <c r="AA293" s="918">
        <v>0</v>
      </c>
      <c r="AB293" s="919">
        <v>6</v>
      </c>
      <c r="AC293" s="919">
        <v>5</v>
      </c>
      <c r="AD293" s="919">
        <v>4</v>
      </c>
      <c r="AE293" s="919">
        <v>7</v>
      </c>
      <c r="AF293" s="919">
        <v>2</v>
      </c>
      <c r="AG293" s="919">
        <v>1</v>
      </c>
      <c r="AH293" s="919">
        <v>3</v>
      </c>
      <c r="AI293" s="920">
        <v>1</v>
      </c>
      <c r="AJ293" s="920">
        <v>2</v>
      </c>
      <c r="AK293" s="920">
        <v>2</v>
      </c>
      <c r="AL293" s="920">
        <v>2</v>
      </c>
      <c r="AM293" s="920">
        <v>1</v>
      </c>
      <c r="AN293" s="920">
        <v>1</v>
      </c>
      <c r="AO293" s="920">
        <v>3</v>
      </c>
      <c r="AP293" s="920">
        <v>0</v>
      </c>
      <c r="AQ293" s="920">
        <v>0</v>
      </c>
      <c r="AR293" s="920">
        <v>0</v>
      </c>
      <c r="AS293" s="920">
        <v>0</v>
      </c>
      <c r="AT293" s="920">
        <v>0</v>
      </c>
      <c r="AU293" s="920">
        <v>1</v>
      </c>
    </row>
    <row r="294" spans="1:47" hidden="1">
      <c r="A294" s="898">
        <v>293</v>
      </c>
      <c r="B294" s="912">
        <v>1</v>
      </c>
      <c r="C294" s="913">
        <v>0</v>
      </c>
      <c r="D294" s="913">
        <v>0</v>
      </c>
      <c r="E294" s="913">
        <v>1</v>
      </c>
      <c r="F294" s="913">
        <v>0</v>
      </c>
      <c r="G294" s="914">
        <v>1</v>
      </c>
      <c r="H294" s="914">
        <v>3</v>
      </c>
      <c r="I294" s="914">
        <v>4</v>
      </c>
      <c r="J294" s="914">
        <v>2</v>
      </c>
      <c r="K294" s="915">
        <v>1</v>
      </c>
      <c r="L294" s="915">
        <v>0</v>
      </c>
      <c r="M294" s="915">
        <v>0</v>
      </c>
      <c r="N294" s="902">
        <f t="shared" si="8"/>
        <v>1</v>
      </c>
      <c r="O294" s="916">
        <v>1</v>
      </c>
      <c r="P294" s="916">
        <v>0</v>
      </c>
      <c r="Q294" s="916">
        <v>0</v>
      </c>
      <c r="R294" s="916">
        <v>0</v>
      </c>
      <c r="S294" s="903">
        <f t="shared" si="9"/>
        <v>1</v>
      </c>
      <c r="T294" s="917">
        <v>0</v>
      </c>
      <c r="U294" s="918">
        <v>1</v>
      </c>
      <c r="V294" s="918">
        <v>0</v>
      </c>
      <c r="W294" s="918">
        <v>1</v>
      </c>
      <c r="X294" s="918">
        <v>0</v>
      </c>
      <c r="Y294" s="918">
        <v>0</v>
      </c>
      <c r="Z294" s="918">
        <v>1</v>
      </c>
      <c r="AA294" s="918">
        <v>0</v>
      </c>
      <c r="AB294" s="919">
        <v>2</v>
      </c>
      <c r="AC294" s="919">
        <v>7</v>
      </c>
      <c r="AD294" s="919">
        <v>4</v>
      </c>
      <c r="AE294" s="919">
        <v>5</v>
      </c>
      <c r="AF294" s="919">
        <v>6</v>
      </c>
      <c r="AG294" s="919">
        <v>1</v>
      </c>
      <c r="AH294" s="919">
        <v>3</v>
      </c>
      <c r="AI294" s="920">
        <v>2</v>
      </c>
      <c r="AJ294" s="920">
        <v>2</v>
      </c>
      <c r="AK294" s="920">
        <v>2</v>
      </c>
      <c r="AL294" s="920">
        <v>2</v>
      </c>
      <c r="AM294" s="920">
        <v>1</v>
      </c>
      <c r="AN294" s="920">
        <v>1</v>
      </c>
      <c r="AO294" s="920">
        <v>2</v>
      </c>
      <c r="AP294" s="920">
        <v>0</v>
      </c>
      <c r="AQ294" s="920">
        <v>0</v>
      </c>
      <c r="AR294" s="920">
        <v>1</v>
      </c>
      <c r="AS294" s="920">
        <v>0</v>
      </c>
      <c r="AT294" s="920">
        <v>0</v>
      </c>
      <c r="AU294" s="920">
        <v>0</v>
      </c>
    </row>
    <row r="295" spans="1:47">
      <c r="A295" s="898">
        <v>294</v>
      </c>
      <c r="B295" s="912">
        <v>0</v>
      </c>
      <c r="C295" s="913">
        <v>0</v>
      </c>
      <c r="D295" s="913">
        <v>1</v>
      </c>
      <c r="E295" s="913">
        <v>0</v>
      </c>
      <c r="F295" s="913">
        <v>0</v>
      </c>
      <c r="G295" s="914">
        <v>4</v>
      </c>
      <c r="H295" s="914">
        <v>1</v>
      </c>
      <c r="I295" s="914">
        <v>2</v>
      </c>
      <c r="J295" s="914">
        <v>3</v>
      </c>
      <c r="K295" s="915">
        <v>0</v>
      </c>
      <c r="L295" s="915">
        <v>1</v>
      </c>
      <c r="M295" s="915">
        <v>0</v>
      </c>
      <c r="N295" s="902">
        <f t="shared" si="8"/>
        <v>2</v>
      </c>
      <c r="O295" s="916">
        <v>1</v>
      </c>
      <c r="P295" s="916">
        <v>0</v>
      </c>
      <c r="Q295" s="916">
        <v>0</v>
      </c>
      <c r="R295" s="916">
        <v>0</v>
      </c>
      <c r="S295" s="903">
        <f t="shared" si="9"/>
        <v>1</v>
      </c>
      <c r="T295" s="917">
        <v>1</v>
      </c>
      <c r="U295" s="918">
        <v>1</v>
      </c>
      <c r="V295" s="918">
        <v>1</v>
      </c>
      <c r="W295" s="918">
        <v>0</v>
      </c>
      <c r="X295" s="918">
        <v>0</v>
      </c>
      <c r="Y295" s="918">
        <v>0</v>
      </c>
      <c r="Z295" s="918">
        <v>0</v>
      </c>
      <c r="AA295" s="918">
        <v>0</v>
      </c>
      <c r="AB295" s="919">
        <v>2</v>
      </c>
      <c r="AC295" s="919">
        <v>1</v>
      </c>
      <c r="AD295" s="919">
        <v>6</v>
      </c>
      <c r="AE295" s="919">
        <v>7</v>
      </c>
      <c r="AF295" s="919">
        <v>4</v>
      </c>
      <c r="AG295" s="919">
        <v>5</v>
      </c>
      <c r="AH295" s="919">
        <v>2</v>
      </c>
      <c r="AI295" s="920">
        <v>2</v>
      </c>
      <c r="AJ295" s="920">
        <v>1</v>
      </c>
      <c r="AK295" s="920">
        <v>1</v>
      </c>
      <c r="AL295" s="920">
        <v>1</v>
      </c>
      <c r="AM295" s="920">
        <v>1</v>
      </c>
      <c r="AN295" s="920">
        <v>1</v>
      </c>
      <c r="AO295" s="920">
        <v>1</v>
      </c>
      <c r="AP295" s="920">
        <v>1</v>
      </c>
      <c r="AQ295" s="920">
        <v>0</v>
      </c>
      <c r="AR295" s="920">
        <v>0</v>
      </c>
      <c r="AS295" s="920">
        <v>0</v>
      </c>
      <c r="AT295" s="920">
        <v>0</v>
      </c>
      <c r="AU295" s="920">
        <v>0</v>
      </c>
    </row>
    <row r="296" spans="1:47">
      <c r="A296" s="898">
        <v>295</v>
      </c>
      <c r="B296" s="899">
        <v>1</v>
      </c>
      <c r="C296" s="900">
        <v>0</v>
      </c>
      <c r="D296" s="900">
        <v>1</v>
      </c>
      <c r="E296" s="900">
        <v>0</v>
      </c>
      <c r="F296" s="900">
        <v>0</v>
      </c>
      <c r="G296" s="901">
        <v>3</v>
      </c>
      <c r="H296" s="901">
        <v>2</v>
      </c>
      <c r="I296" s="901">
        <v>1</v>
      </c>
      <c r="J296" s="901">
        <v>4</v>
      </c>
      <c r="K296" s="902">
        <v>0</v>
      </c>
      <c r="L296" s="902">
        <v>1</v>
      </c>
      <c r="M296" s="902">
        <v>0</v>
      </c>
      <c r="N296" s="902">
        <f t="shared" si="8"/>
        <v>2</v>
      </c>
      <c r="O296" s="903">
        <v>1</v>
      </c>
      <c r="P296" s="903">
        <v>0</v>
      </c>
      <c r="Q296" s="903">
        <v>0</v>
      </c>
      <c r="R296" s="903">
        <v>0</v>
      </c>
      <c r="S296" s="903">
        <f t="shared" si="9"/>
        <v>1</v>
      </c>
      <c r="T296" s="904">
        <v>0</v>
      </c>
      <c r="U296" s="905">
        <v>0</v>
      </c>
      <c r="V296" s="905">
        <v>0</v>
      </c>
      <c r="W296" s="905">
        <v>1</v>
      </c>
      <c r="X296" s="905">
        <v>1</v>
      </c>
      <c r="Y296" s="905">
        <v>0</v>
      </c>
      <c r="Z296" s="905">
        <v>0</v>
      </c>
      <c r="AA296" s="905">
        <v>0</v>
      </c>
      <c r="AB296" s="906">
        <v>7</v>
      </c>
      <c r="AC296" s="906">
        <v>5</v>
      </c>
      <c r="AD296" s="906">
        <v>6</v>
      </c>
      <c r="AE296" s="906">
        <v>2</v>
      </c>
      <c r="AF296" s="906">
        <v>4</v>
      </c>
      <c r="AG296" s="906">
        <v>1</v>
      </c>
      <c r="AH296" s="906">
        <v>3</v>
      </c>
      <c r="AI296" s="907">
        <v>1</v>
      </c>
      <c r="AJ296" s="907">
        <v>1</v>
      </c>
      <c r="AK296" s="907">
        <v>1</v>
      </c>
      <c r="AL296" s="907">
        <v>2</v>
      </c>
      <c r="AM296" s="907">
        <v>1</v>
      </c>
      <c r="AN296" s="907">
        <v>1</v>
      </c>
      <c r="AO296" s="907">
        <v>2</v>
      </c>
      <c r="AP296" s="907">
        <v>0</v>
      </c>
      <c r="AQ296" s="907">
        <v>0</v>
      </c>
      <c r="AR296" s="907">
        <v>1</v>
      </c>
      <c r="AS296" s="907">
        <v>0</v>
      </c>
      <c r="AT296" s="907">
        <v>0</v>
      </c>
      <c r="AU296" s="907">
        <v>0</v>
      </c>
    </row>
    <row r="297" spans="1:47">
      <c r="A297" s="898">
        <v>296</v>
      </c>
      <c r="B297" s="899">
        <v>0</v>
      </c>
      <c r="C297" s="900">
        <v>0</v>
      </c>
      <c r="D297" s="900">
        <v>1</v>
      </c>
      <c r="E297" s="900">
        <v>0</v>
      </c>
      <c r="F297" s="900">
        <v>0</v>
      </c>
      <c r="G297" s="901">
        <v>2</v>
      </c>
      <c r="H297" s="901">
        <v>4</v>
      </c>
      <c r="I297" s="901">
        <v>3</v>
      </c>
      <c r="J297" s="901">
        <v>1</v>
      </c>
      <c r="K297" s="902">
        <v>0</v>
      </c>
      <c r="L297" s="902">
        <v>1</v>
      </c>
      <c r="M297" s="902">
        <v>0</v>
      </c>
      <c r="N297" s="902">
        <f t="shared" si="8"/>
        <v>2</v>
      </c>
      <c r="O297" s="903">
        <v>0</v>
      </c>
      <c r="P297" s="903">
        <v>1</v>
      </c>
      <c r="Q297" s="903">
        <v>0</v>
      </c>
      <c r="R297" s="903">
        <v>0</v>
      </c>
      <c r="S297" s="903">
        <f t="shared" si="9"/>
        <v>2</v>
      </c>
      <c r="T297" s="904">
        <v>0</v>
      </c>
      <c r="U297" s="905">
        <v>0</v>
      </c>
      <c r="V297" s="905">
        <v>0</v>
      </c>
      <c r="W297" s="905">
        <v>0</v>
      </c>
      <c r="X297" s="905">
        <v>0</v>
      </c>
      <c r="Y297" s="905">
        <v>1</v>
      </c>
      <c r="Z297" s="905">
        <v>0</v>
      </c>
      <c r="AA297" s="905">
        <v>0</v>
      </c>
      <c r="AB297" s="906">
        <v>2</v>
      </c>
      <c r="AC297" s="906">
        <v>3</v>
      </c>
      <c r="AD297" s="906">
        <v>1</v>
      </c>
      <c r="AE297" s="906">
        <v>6</v>
      </c>
      <c r="AF297" s="906">
        <v>4</v>
      </c>
      <c r="AG297" s="906">
        <v>6</v>
      </c>
      <c r="AH297" s="906">
        <v>5</v>
      </c>
      <c r="AI297" s="907">
        <v>1</v>
      </c>
      <c r="AJ297" s="907">
        <v>1</v>
      </c>
      <c r="AK297" s="907">
        <v>2</v>
      </c>
      <c r="AL297" s="907">
        <v>2</v>
      </c>
      <c r="AM297" s="907">
        <v>1</v>
      </c>
      <c r="AN297" s="907">
        <v>2</v>
      </c>
      <c r="AO297" s="907">
        <v>2</v>
      </c>
      <c r="AP297" s="907">
        <v>0</v>
      </c>
      <c r="AQ297" s="907">
        <v>0</v>
      </c>
      <c r="AR297" s="907">
        <v>0</v>
      </c>
      <c r="AS297" s="907">
        <v>1</v>
      </c>
      <c r="AT297" s="907">
        <v>0</v>
      </c>
      <c r="AU297" s="907">
        <v>0</v>
      </c>
    </row>
    <row r="298" spans="1:47">
      <c r="A298" s="898">
        <v>297</v>
      </c>
      <c r="B298" s="899">
        <v>1</v>
      </c>
      <c r="C298" s="900">
        <v>0</v>
      </c>
      <c r="D298" s="900">
        <v>1</v>
      </c>
      <c r="E298" s="900">
        <v>0</v>
      </c>
      <c r="F298" s="900">
        <v>0</v>
      </c>
      <c r="G298" s="901">
        <v>4</v>
      </c>
      <c r="H298" s="901">
        <v>1</v>
      </c>
      <c r="I298" s="901">
        <v>2</v>
      </c>
      <c r="J298" s="901">
        <v>3</v>
      </c>
      <c r="K298" s="902">
        <v>0</v>
      </c>
      <c r="L298" s="902">
        <v>1</v>
      </c>
      <c r="M298" s="902">
        <v>0</v>
      </c>
      <c r="N298" s="902">
        <f t="shared" si="8"/>
        <v>2</v>
      </c>
      <c r="O298" s="903">
        <v>1</v>
      </c>
      <c r="P298" s="903">
        <v>0</v>
      </c>
      <c r="Q298" s="903">
        <v>0</v>
      </c>
      <c r="R298" s="903">
        <v>0</v>
      </c>
      <c r="S298" s="903">
        <f t="shared" si="9"/>
        <v>1</v>
      </c>
      <c r="T298" s="904">
        <v>1</v>
      </c>
      <c r="U298" s="905">
        <v>0</v>
      </c>
      <c r="V298" s="905">
        <v>1</v>
      </c>
      <c r="W298" s="905">
        <v>1</v>
      </c>
      <c r="X298" s="905">
        <v>0</v>
      </c>
      <c r="Y298" s="905">
        <v>0</v>
      </c>
      <c r="Z298" s="905">
        <v>0</v>
      </c>
      <c r="AA298" s="905">
        <v>0</v>
      </c>
      <c r="AB298" s="906">
        <v>7</v>
      </c>
      <c r="AC298" s="906">
        <v>2</v>
      </c>
      <c r="AD298" s="906">
        <v>5</v>
      </c>
      <c r="AE298" s="906">
        <v>6</v>
      </c>
      <c r="AF298" s="906">
        <v>4</v>
      </c>
      <c r="AG298" s="906">
        <v>1</v>
      </c>
      <c r="AH298" s="906">
        <v>3</v>
      </c>
      <c r="AI298" s="907">
        <v>2</v>
      </c>
      <c r="AJ298" s="907">
        <v>2</v>
      </c>
      <c r="AK298" s="907">
        <v>2</v>
      </c>
      <c r="AL298" s="907">
        <v>1</v>
      </c>
      <c r="AM298" s="907">
        <v>1</v>
      </c>
      <c r="AN298" s="907">
        <v>1</v>
      </c>
      <c r="AO298" s="907">
        <v>2</v>
      </c>
      <c r="AP298" s="907">
        <v>0</v>
      </c>
      <c r="AQ298" s="907">
        <v>0</v>
      </c>
      <c r="AR298" s="907">
        <v>0</v>
      </c>
      <c r="AS298" s="907">
        <v>1</v>
      </c>
      <c r="AT298" s="907">
        <v>0</v>
      </c>
      <c r="AU298" s="907">
        <v>0</v>
      </c>
    </row>
    <row r="299" spans="1:47">
      <c r="A299" s="898">
        <v>298</v>
      </c>
      <c r="B299" s="899">
        <v>0</v>
      </c>
      <c r="C299" s="900">
        <v>1</v>
      </c>
      <c r="D299" s="900">
        <v>0</v>
      </c>
      <c r="E299" s="900">
        <v>0</v>
      </c>
      <c r="F299" s="900">
        <v>0</v>
      </c>
      <c r="G299" s="901">
        <v>2</v>
      </c>
      <c r="H299" s="901">
        <v>3</v>
      </c>
      <c r="I299" s="901">
        <v>4</v>
      </c>
      <c r="J299" s="901">
        <v>1</v>
      </c>
      <c r="K299" s="902">
        <v>0</v>
      </c>
      <c r="L299" s="902">
        <v>1</v>
      </c>
      <c r="M299" s="902">
        <v>0</v>
      </c>
      <c r="N299" s="902">
        <f t="shared" si="8"/>
        <v>2</v>
      </c>
      <c r="O299" s="903">
        <v>1</v>
      </c>
      <c r="P299" s="903">
        <v>0</v>
      </c>
      <c r="Q299" s="903">
        <v>0</v>
      </c>
      <c r="R299" s="903">
        <v>0</v>
      </c>
      <c r="S299" s="903">
        <f t="shared" si="9"/>
        <v>1</v>
      </c>
      <c r="T299" s="904">
        <v>1</v>
      </c>
      <c r="U299" s="905">
        <v>0</v>
      </c>
      <c r="V299" s="905">
        <v>0</v>
      </c>
      <c r="W299" s="905">
        <v>1</v>
      </c>
      <c r="X299" s="905">
        <v>0</v>
      </c>
      <c r="Y299" s="905">
        <v>0</v>
      </c>
      <c r="Z299" s="905">
        <v>0</v>
      </c>
      <c r="AA299" s="905">
        <v>0</v>
      </c>
      <c r="AB299" s="906">
        <v>3</v>
      </c>
      <c r="AC299" s="906">
        <v>2</v>
      </c>
      <c r="AD299" s="906">
        <v>1</v>
      </c>
      <c r="AE299" s="906">
        <v>7</v>
      </c>
      <c r="AF299" s="906">
        <v>4</v>
      </c>
      <c r="AG299" s="906">
        <v>5</v>
      </c>
      <c r="AH299" s="906">
        <v>6</v>
      </c>
      <c r="AI299" s="907">
        <v>1</v>
      </c>
      <c r="AJ299" s="907">
        <v>1</v>
      </c>
      <c r="AK299" s="907">
        <v>2</v>
      </c>
      <c r="AL299" s="907">
        <v>2</v>
      </c>
      <c r="AM299" s="907">
        <v>1</v>
      </c>
      <c r="AN299" s="907">
        <v>1</v>
      </c>
      <c r="AO299" s="907">
        <v>1</v>
      </c>
      <c r="AP299" s="907">
        <v>0</v>
      </c>
      <c r="AQ299" s="907">
        <v>0</v>
      </c>
      <c r="AR299" s="907">
        <v>0</v>
      </c>
      <c r="AS299" s="907">
        <v>0</v>
      </c>
      <c r="AT299" s="907">
        <v>1</v>
      </c>
      <c r="AU299" s="907">
        <v>0</v>
      </c>
    </row>
    <row r="300" spans="1:47" hidden="1">
      <c r="A300" s="898">
        <v>299</v>
      </c>
      <c r="B300" s="899">
        <v>0</v>
      </c>
      <c r="C300" s="900">
        <v>1</v>
      </c>
      <c r="D300" s="900">
        <v>0</v>
      </c>
      <c r="E300" s="900">
        <v>0</v>
      </c>
      <c r="F300" s="900">
        <v>0</v>
      </c>
      <c r="G300" s="901">
        <v>1</v>
      </c>
      <c r="H300" s="901">
        <v>4</v>
      </c>
      <c r="I300" s="901">
        <v>3</v>
      </c>
      <c r="J300" s="901">
        <v>2</v>
      </c>
      <c r="K300" s="902">
        <v>1</v>
      </c>
      <c r="L300" s="902">
        <v>0</v>
      </c>
      <c r="M300" s="902">
        <v>0</v>
      </c>
      <c r="N300" s="902">
        <f t="shared" si="8"/>
        <v>1</v>
      </c>
      <c r="O300" s="903">
        <v>1</v>
      </c>
      <c r="P300" s="903">
        <v>0</v>
      </c>
      <c r="Q300" s="903">
        <v>0</v>
      </c>
      <c r="R300" s="903">
        <v>0</v>
      </c>
      <c r="S300" s="903">
        <f t="shared" si="9"/>
        <v>1</v>
      </c>
      <c r="T300" s="904">
        <v>1</v>
      </c>
      <c r="U300" s="905">
        <v>0</v>
      </c>
      <c r="V300" s="905">
        <v>0</v>
      </c>
      <c r="W300" s="905">
        <v>0</v>
      </c>
      <c r="X300" s="905">
        <v>1</v>
      </c>
      <c r="Y300" s="905">
        <v>0</v>
      </c>
      <c r="Z300" s="905">
        <v>0</v>
      </c>
      <c r="AA300" s="905">
        <v>0</v>
      </c>
      <c r="AB300" s="906">
        <v>6</v>
      </c>
      <c r="AC300" s="906">
        <v>1</v>
      </c>
      <c r="AD300" s="906">
        <v>2</v>
      </c>
      <c r="AE300" s="906">
        <v>7</v>
      </c>
      <c r="AF300" s="906">
        <v>5</v>
      </c>
      <c r="AG300" s="906">
        <v>3</v>
      </c>
      <c r="AH300" s="906">
        <v>4</v>
      </c>
      <c r="AI300" s="907">
        <v>1</v>
      </c>
      <c r="AJ300" s="907">
        <v>2</v>
      </c>
      <c r="AK300" s="907">
        <v>2</v>
      </c>
      <c r="AL300" s="907">
        <v>2</v>
      </c>
      <c r="AM300" s="907">
        <v>1</v>
      </c>
      <c r="AN300" s="907">
        <v>1</v>
      </c>
      <c r="AO300" s="907">
        <v>1</v>
      </c>
      <c r="AP300" s="907">
        <v>0</v>
      </c>
      <c r="AQ300" s="907">
        <v>0</v>
      </c>
      <c r="AR300" s="907">
        <v>0</v>
      </c>
      <c r="AS300" s="907">
        <v>1</v>
      </c>
      <c r="AT300" s="907">
        <v>0</v>
      </c>
      <c r="AU300" s="907">
        <v>0</v>
      </c>
    </row>
    <row r="301" spans="1:47" hidden="1">
      <c r="A301" s="898">
        <v>300</v>
      </c>
      <c r="B301" s="899">
        <v>1</v>
      </c>
      <c r="C301" s="900">
        <v>0</v>
      </c>
      <c r="D301" s="900">
        <v>1</v>
      </c>
      <c r="E301" s="900">
        <v>0</v>
      </c>
      <c r="F301" s="900">
        <v>0</v>
      </c>
      <c r="G301" s="901">
        <v>4</v>
      </c>
      <c r="H301" s="901">
        <v>2</v>
      </c>
      <c r="I301" s="901">
        <v>3</v>
      </c>
      <c r="J301" s="901">
        <v>1</v>
      </c>
      <c r="K301" s="902">
        <v>1</v>
      </c>
      <c r="L301" s="902">
        <v>0</v>
      </c>
      <c r="M301" s="902">
        <v>0</v>
      </c>
      <c r="N301" s="902">
        <f t="shared" si="8"/>
        <v>1</v>
      </c>
      <c r="O301" s="903">
        <v>1</v>
      </c>
      <c r="P301" s="903">
        <v>0</v>
      </c>
      <c r="Q301" s="903">
        <v>0</v>
      </c>
      <c r="R301" s="903">
        <v>0</v>
      </c>
      <c r="S301" s="903">
        <f t="shared" si="9"/>
        <v>1</v>
      </c>
      <c r="T301" s="904">
        <v>1</v>
      </c>
      <c r="U301" s="905">
        <v>1</v>
      </c>
      <c r="V301" s="905">
        <v>0</v>
      </c>
      <c r="W301" s="905">
        <v>0</v>
      </c>
      <c r="X301" s="905">
        <v>1</v>
      </c>
      <c r="Y301" s="905">
        <v>0</v>
      </c>
      <c r="Z301" s="905">
        <v>0</v>
      </c>
      <c r="AA301" s="905">
        <v>1</v>
      </c>
      <c r="AB301" s="906">
        <v>2</v>
      </c>
      <c r="AC301" s="906">
        <v>6</v>
      </c>
      <c r="AD301" s="906">
        <v>5</v>
      </c>
      <c r="AE301" s="906">
        <v>3</v>
      </c>
      <c r="AF301" s="906">
        <v>1</v>
      </c>
      <c r="AG301" s="906">
        <v>7</v>
      </c>
      <c r="AH301" s="906">
        <v>4</v>
      </c>
      <c r="AI301" s="907">
        <v>2</v>
      </c>
      <c r="AJ301" s="907">
        <v>2</v>
      </c>
      <c r="AK301" s="907">
        <v>1</v>
      </c>
      <c r="AL301" s="907">
        <v>1</v>
      </c>
      <c r="AM301" s="907">
        <v>1</v>
      </c>
      <c r="AN301" s="907">
        <v>1</v>
      </c>
      <c r="AO301" s="907">
        <v>4</v>
      </c>
      <c r="AP301" s="907">
        <v>0</v>
      </c>
      <c r="AQ301" s="907">
        <v>0</v>
      </c>
      <c r="AR301" s="907">
        <v>1</v>
      </c>
      <c r="AS301" s="907">
        <v>0</v>
      </c>
      <c r="AT301" s="907">
        <v>0</v>
      </c>
      <c r="AU301" s="907">
        <v>0</v>
      </c>
    </row>
    <row r="302" spans="1:47">
      <c r="A302" s="898">
        <v>301</v>
      </c>
      <c r="B302" s="912">
        <v>0</v>
      </c>
      <c r="C302" s="913">
        <v>1</v>
      </c>
      <c r="D302" s="913">
        <v>0</v>
      </c>
      <c r="E302" s="913">
        <v>0</v>
      </c>
      <c r="F302" s="913">
        <v>0</v>
      </c>
      <c r="G302" s="914">
        <v>2</v>
      </c>
      <c r="H302" s="914">
        <v>1</v>
      </c>
      <c r="I302" s="914">
        <v>3</v>
      </c>
      <c r="J302" s="914">
        <v>4</v>
      </c>
      <c r="K302" s="915">
        <v>1</v>
      </c>
      <c r="L302" s="915">
        <v>0</v>
      </c>
      <c r="M302" s="915">
        <v>0</v>
      </c>
      <c r="N302" s="902">
        <f t="shared" si="8"/>
        <v>1</v>
      </c>
      <c r="O302" s="916">
        <v>1</v>
      </c>
      <c r="P302" s="916">
        <v>0</v>
      </c>
      <c r="Q302" s="916">
        <v>0</v>
      </c>
      <c r="R302" s="916">
        <v>0</v>
      </c>
      <c r="S302" s="903">
        <f t="shared" si="9"/>
        <v>1</v>
      </c>
      <c r="T302" s="917">
        <v>1</v>
      </c>
      <c r="U302" s="918">
        <v>0</v>
      </c>
      <c r="V302" s="918">
        <v>0</v>
      </c>
      <c r="W302" s="918">
        <v>0</v>
      </c>
      <c r="X302" s="918">
        <v>0</v>
      </c>
      <c r="Y302" s="918">
        <v>1</v>
      </c>
      <c r="Z302" s="918">
        <v>0</v>
      </c>
      <c r="AA302" s="918">
        <v>0</v>
      </c>
      <c r="AB302" s="919">
        <v>6</v>
      </c>
      <c r="AC302" s="919">
        <v>5</v>
      </c>
      <c r="AD302" s="919">
        <v>1</v>
      </c>
      <c r="AE302" s="919">
        <v>2</v>
      </c>
      <c r="AF302" s="919">
        <v>4</v>
      </c>
      <c r="AG302" s="919">
        <v>3</v>
      </c>
      <c r="AH302" s="919">
        <v>7</v>
      </c>
      <c r="AI302" s="920">
        <v>2</v>
      </c>
      <c r="AJ302" s="920">
        <v>2</v>
      </c>
      <c r="AK302" s="920">
        <v>2</v>
      </c>
      <c r="AL302" s="920">
        <v>2</v>
      </c>
      <c r="AM302" s="920">
        <v>1</v>
      </c>
      <c r="AN302" s="920">
        <v>1</v>
      </c>
      <c r="AO302" s="920">
        <v>2</v>
      </c>
      <c r="AP302" s="920">
        <v>1</v>
      </c>
      <c r="AQ302" s="920">
        <v>0</v>
      </c>
      <c r="AR302" s="920">
        <v>0</v>
      </c>
      <c r="AS302" s="920">
        <v>0</v>
      </c>
      <c r="AT302" s="920">
        <v>0</v>
      </c>
      <c r="AU302" s="920">
        <v>0</v>
      </c>
    </row>
    <row r="303" spans="1:47" hidden="1">
      <c r="A303" s="898">
        <v>302</v>
      </c>
      <c r="B303" s="912">
        <v>0</v>
      </c>
      <c r="C303" s="913">
        <v>0</v>
      </c>
      <c r="D303" s="913">
        <v>1</v>
      </c>
      <c r="E303" s="913">
        <v>0</v>
      </c>
      <c r="F303" s="913">
        <v>0</v>
      </c>
      <c r="G303" s="914">
        <v>2</v>
      </c>
      <c r="H303" s="914">
        <v>1</v>
      </c>
      <c r="I303" s="914">
        <v>4</v>
      </c>
      <c r="J303" s="914">
        <v>3</v>
      </c>
      <c r="K303" s="915">
        <v>1</v>
      </c>
      <c r="L303" s="915">
        <v>0</v>
      </c>
      <c r="M303" s="915">
        <v>0</v>
      </c>
      <c r="N303" s="902">
        <f t="shared" si="8"/>
        <v>1</v>
      </c>
      <c r="O303" s="916">
        <v>1</v>
      </c>
      <c r="P303" s="916">
        <v>0</v>
      </c>
      <c r="Q303" s="916">
        <v>0</v>
      </c>
      <c r="R303" s="916">
        <v>0</v>
      </c>
      <c r="S303" s="903">
        <f t="shared" si="9"/>
        <v>1</v>
      </c>
      <c r="T303" s="917">
        <v>1</v>
      </c>
      <c r="U303" s="918">
        <v>0</v>
      </c>
      <c r="V303" s="918">
        <v>0</v>
      </c>
      <c r="W303" s="918">
        <v>0</v>
      </c>
      <c r="X303" s="918">
        <v>0</v>
      </c>
      <c r="Y303" s="918">
        <v>1</v>
      </c>
      <c r="Z303" s="918">
        <v>1</v>
      </c>
      <c r="AA303" s="918">
        <v>1</v>
      </c>
      <c r="AB303" s="919">
        <v>4</v>
      </c>
      <c r="AC303" s="919">
        <v>2</v>
      </c>
      <c r="AD303" s="919">
        <v>6</v>
      </c>
      <c r="AE303" s="919">
        <v>3</v>
      </c>
      <c r="AF303" s="919">
        <v>1</v>
      </c>
      <c r="AG303" s="919">
        <v>5</v>
      </c>
      <c r="AH303" s="919">
        <v>7</v>
      </c>
      <c r="AI303" s="920">
        <v>1</v>
      </c>
      <c r="AJ303" s="920">
        <v>2</v>
      </c>
      <c r="AK303" s="920">
        <v>2</v>
      </c>
      <c r="AL303" s="920">
        <v>3</v>
      </c>
      <c r="AM303" s="920">
        <v>1</v>
      </c>
      <c r="AN303" s="920">
        <v>1</v>
      </c>
      <c r="AO303" s="920">
        <v>2</v>
      </c>
      <c r="AP303" s="920">
        <v>0</v>
      </c>
      <c r="AQ303" s="920">
        <v>0</v>
      </c>
      <c r="AR303" s="920">
        <v>1</v>
      </c>
      <c r="AS303" s="920">
        <v>0</v>
      </c>
      <c r="AT303" s="920">
        <v>0</v>
      </c>
      <c r="AU303" s="920">
        <v>0</v>
      </c>
    </row>
    <row r="304" spans="1:47" hidden="1">
      <c r="A304" s="898">
        <v>303</v>
      </c>
      <c r="B304" s="912">
        <v>1</v>
      </c>
      <c r="C304" s="913">
        <v>0</v>
      </c>
      <c r="D304" s="913">
        <v>0</v>
      </c>
      <c r="E304" s="913">
        <v>1</v>
      </c>
      <c r="F304" s="913">
        <v>0</v>
      </c>
      <c r="G304" s="914">
        <v>3</v>
      </c>
      <c r="H304" s="914">
        <v>4</v>
      </c>
      <c r="I304" s="914">
        <v>1</v>
      </c>
      <c r="J304" s="914">
        <v>2</v>
      </c>
      <c r="K304" s="915">
        <v>1</v>
      </c>
      <c r="L304" s="915">
        <v>0</v>
      </c>
      <c r="M304" s="915">
        <v>0</v>
      </c>
      <c r="N304" s="902">
        <f t="shared" si="8"/>
        <v>1</v>
      </c>
      <c r="O304" s="916">
        <v>1</v>
      </c>
      <c r="P304" s="916">
        <v>0</v>
      </c>
      <c r="Q304" s="916">
        <v>0</v>
      </c>
      <c r="R304" s="916">
        <v>0</v>
      </c>
      <c r="S304" s="903">
        <f t="shared" si="9"/>
        <v>1</v>
      </c>
      <c r="T304" s="917">
        <v>1</v>
      </c>
      <c r="U304" s="918">
        <v>1</v>
      </c>
      <c r="V304" s="918">
        <v>0</v>
      </c>
      <c r="W304" s="918">
        <v>1</v>
      </c>
      <c r="X304" s="918">
        <v>0</v>
      </c>
      <c r="Y304" s="918">
        <v>0</v>
      </c>
      <c r="Z304" s="918">
        <v>0</v>
      </c>
      <c r="AA304" s="918">
        <v>0</v>
      </c>
      <c r="AB304" s="919">
        <v>5</v>
      </c>
      <c r="AC304" s="919">
        <v>3</v>
      </c>
      <c r="AD304" s="919">
        <v>2</v>
      </c>
      <c r="AE304" s="919">
        <v>7</v>
      </c>
      <c r="AF304" s="919">
        <v>6</v>
      </c>
      <c r="AG304" s="919">
        <v>1</v>
      </c>
      <c r="AH304" s="919">
        <v>4</v>
      </c>
      <c r="AI304" s="920">
        <v>2</v>
      </c>
      <c r="AJ304" s="920">
        <v>2</v>
      </c>
      <c r="AK304" s="920">
        <v>1</v>
      </c>
      <c r="AL304" s="920">
        <v>1</v>
      </c>
      <c r="AM304" s="920">
        <v>1</v>
      </c>
      <c r="AN304" s="920">
        <v>1</v>
      </c>
      <c r="AO304" s="920">
        <v>1</v>
      </c>
      <c r="AP304" s="920">
        <v>0</v>
      </c>
      <c r="AQ304" s="920">
        <v>0</v>
      </c>
      <c r="AR304" s="920">
        <v>0</v>
      </c>
      <c r="AS304" s="920">
        <v>0</v>
      </c>
      <c r="AT304" s="920">
        <v>1</v>
      </c>
      <c r="AU304" s="920">
        <v>0</v>
      </c>
    </row>
    <row r="305" spans="1:47" hidden="1">
      <c r="A305" s="898">
        <v>304</v>
      </c>
      <c r="B305" s="912">
        <v>0</v>
      </c>
      <c r="C305" s="913">
        <v>0</v>
      </c>
      <c r="D305" s="913">
        <v>1</v>
      </c>
      <c r="E305" s="913">
        <v>0</v>
      </c>
      <c r="F305" s="913">
        <v>0</v>
      </c>
      <c r="G305" s="914">
        <v>4</v>
      </c>
      <c r="H305" s="914">
        <v>2</v>
      </c>
      <c r="I305" s="914">
        <v>1</v>
      </c>
      <c r="J305" s="914">
        <v>3</v>
      </c>
      <c r="K305" s="915">
        <v>1</v>
      </c>
      <c r="L305" s="915">
        <v>0</v>
      </c>
      <c r="M305" s="915">
        <v>0</v>
      </c>
      <c r="N305" s="902">
        <f t="shared" si="8"/>
        <v>1</v>
      </c>
      <c r="O305" s="916">
        <v>1</v>
      </c>
      <c r="P305" s="916">
        <v>0</v>
      </c>
      <c r="Q305" s="916">
        <v>0</v>
      </c>
      <c r="R305" s="916">
        <v>0</v>
      </c>
      <c r="S305" s="903">
        <f t="shared" si="9"/>
        <v>1</v>
      </c>
      <c r="T305" s="917">
        <v>1</v>
      </c>
      <c r="U305" s="918">
        <v>1</v>
      </c>
      <c r="V305" s="918">
        <v>0</v>
      </c>
      <c r="W305" s="918">
        <v>1</v>
      </c>
      <c r="X305" s="918">
        <v>0</v>
      </c>
      <c r="Y305" s="918">
        <v>1</v>
      </c>
      <c r="Z305" s="918">
        <v>0</v>
      </c>
      <c r="AA305" s="918">
        <v>0</v>
      </c>
      <c r="AB305" s="919">
        <v>7</v>
      </c>
      <c r="AC305" s="919">
        <v>5</v>
      </c>
      <c r="AD305" s="919">
        <v>2</v>
      </c>
      <c r="AE305" s="919">
        <v>4</v>
      </c>
      <c r="AF305" s="919">
        <v>6</v>
      </c>
      <c r="AG305" s="919">
        <v>3</v>
      </c>
      <c r="AH305" s="919">
        <v>1</v>
      </c>
      <c r="AI305" s="920">
        <v>1</v>
      </c>
      <c r="AJ305" s="920">
        <v>2</v>
      </c>
      <c r="AK305" s="920">
        <v>2</v>
      </c>
      <c r="AL305" s="920">
        <v>2</v>
      </c>
      <c r="AM305" s="920">
        <v>1</v>
      </c>
      <c r="AN305" s="920">
        <v>1</v>
      </c>
      <c r="AO305" s="920">
        <v>2</v>
      </c>
      <c r="AP305" s="920">
        <v>0</v>
      </c>
      <c r="AQ305" s="920">
        <v>0</v>
      </c>
      <c r="AR305" s="920">
        <v>0</v>
      </c>
      <c r="AS305" s="920">
        <v>1</v>
      </c>
      <c r="AT305" s="920">
        <v>0</v>
      </c>
      <c r="AU305" s="920">
        <v>0</v>
      </c>
    </row>
    <row r="306" spans="1:47" hidden="1">
      <c r="A306" s="898">
        <v>305</v>
      </c>
      <c r="B306" s="912">
        <v>1</v>
      </c>
      <c r="C306" s="913">
        <v>0</v>
      </c>
      <c r="D306" s="913">
        <v>1</v>
      </c>
      <c r="E306" s="913">
        <v>0</v>
      </c>
      <c r="F306" s="913">
        <v>0</v>
      </c>
      <c r="G306" s="914">
        <v>4</v>
      </c>
      <c r="H306" s="914">
        <v>1</v>
      </c>
      <c r="I306" s="914">
        <v>3</v>
      </c>
      <c r="J306" s="914">
        <v>2</v>
      </c>
      <c r="K306" s="915">
        <v>1</v>
      </c>
      <c r="L306" s="915">
        <v>0</v>
      </c>
      <c r="M306" s="915">
        <v>0</v>
      </c>
      <c r="N306" s="902">
        <f t="shared" si="8"/>
        <v>1</v>
      </c>
      <c r="O306" s="916">
        <v>1</v>
      </c>
      <c r="P306" s="916">
        <v>0</v>
      </c>
      <c r="Q306" s="916">
        <v>0</v>
      </c>
      <c r="R306" s="916">
        <v>0</v>
      </c>
      <c r="S306" s="903">
        <f t="shared" si="9"/>
        <v>1</v>
      </c>
      <c r="T306" s="917">
        <v>1</v>
      </c>
      <c r="U306" s="918">
        <v>0</v>
      </c>
      <c r="V306" s="918">
        <v>0</v>
      </c>
      <c r="W306" s="918">
        <v>1</v>
      </c>
      <c r="X306" s="918">
        <v>1</v>
      </c>
      <c r="Y306" s="918">
        <v>0</v>
      </c>
      <c r="Z306" s="918">
        <v>0</v>
      </c>
      <c r="AA306" s="918">
        <v>0</v>
      </c>
      <c r="AB306" s="919">
        <v>7</v>
      </c>
      <c r="AC306" s="919">
        <v>6</v>
      </c>
      <c r="AD306" s="919">
        <v>4</v>
      </c>
      <c r="AE306" s="919">
        <v>5</v>
      </c>
      <c r="AF306" s="919">
        <v>2</v>
      </c>
      <c r="AG306" s="919">
        <v>1</v>
      </c>
      <c r="AH306" s="919">
        <v>3</v>
      </c>
      <c r="AI306" s="920">
        <v>2</v>
      </c>
      <c r="AJ306" s="920">
        <v>2</v>
      </c>
      <c r="AK306" s="920">
        <v>1</v>
      </c>
      <c r="AL306" s="920">
        <v>1</v>
      </c>
      <c r="AM306" s="920">
        <v>1</v>
      </c>
      <c r="AN306" s="920">
        <v>1</v>
      </c>
      <c r="AO306" s="920">
        <v>1</v>
      </c>
      <c r="AP306" s="920">
        <v>1</v>
      </c>
      <c r="AQ306" s="920">
        <v>0</v>
      </c>
      <c r="AR306" s="920">
        <v>0</v>
      </c>
      <c r="AS306" s="920">
        <v>0</v>
      </c>
      <c r="AT306" s="920">
        <v>1</v>
      </c>
      <c r="AU306" s="920">
        <v>0</v>
      </c>
    </row>
    <row r="307" spans="1:47" hidden="1">
      <c r="A307" s="898">
        <v>306</v>
      </c>
      <c r="B307" s="912">
        <v>0</v>
      </c>
      <c r="C307" s="913">
        <v>0</v>
      </c>
      <c r="D307" s="913">
        <v>0</v>
      </c>
      <c r="E307" s="913">
        <v>1</v>
      </c>
      <c r="F307" s="913">
        <v>0</v>
      </c>
      <c r="G307" s="914">
        <v>3</v>
      </c>
      <c r="H307" s="914">
        <v>2</v>
      </c>
      <c r="I307" s="914">
        <v>1</v>
      </c>
      <c r="J307" s="914">
        <v>4</v>
      </c>
      <c r="K307" s="915">
        <v>1</v>
      </c>
      <c r="L307" s="915">
        <v>0</v>
      </c>
      <c r="M307" s="915">
        <v>0</v>
      </c>
      <c r="N307" s="902">
        <f t="shared" si="8"/>
        <v>1</v>
      </c>
      <c r="O307" s="916">
        <v>1</v>
      </c>
      <c r="P307" s="916">
        <v>0</v>
      </c>
      <c r="Q307" s="916">
        <v>0</v>
      </c>
      <c r="R307" s="916">
        <v>0</v>
      </c>
      <c r="S307" s="903">
        <f t="shared" si="9"/>
        <v>1</v>
      </c>
      <c r="T307" s="917">
        <v>0</v>
      </c>
      <c r="U307" s="918">
        <v>1</v>
      </c>
      <c r="V307" s="918">
        <v>0</v>
      </c>
      <c r="W307" s="918">
        <v>1</v>
      </c>
      <c r="X307" s="918">
        <v>0</v>
      </c>
      <c r="Y307" s="918">
        <v>1</v>
      </c>
      <c r="Z307" s="918">
        <v>1</v>
      </c>
      <c r="AA307" s="918">
        <v>0</v>
      </c>
      <c r="AB307" s="919">
        <v>6</v>
      </c>
      <c r="AC307" s="919">
        <v>3</v>
      </c>
      <c r="AD307" s="919">
        <v>5</v>
      </c>
      <c r="AE307" s="919">
        <v>7</v>
      </c>
      <c r="AF307" s="919">
        <v>2</v>
      </c>
      <c r="AG307" s="919">
        <v>1</v>
      </c>
      <c r="AH307" s="919">
        <v>4</v>
      </c>
      <c r="AI307" s="920">
        <v>2</v>
      </c>
      <c r="AJ307" s="920">
        <v>2</v>
      </c>
      <c r="AK307" s="920">
        <v>2</v>
      </c>
      <c r="AL307" s="920">
        <v>2</v>
      </c>
      <c r="AM307" s="920">
        <v>1</v>
      </c>
      <c r="AN307" s="920">
        <v>1</v>
      </c>
      <c r="AO307" s="920">
        <v>2</v>
      </c>
      <c r="AP307" s="920">
        <v>0</v>
      </c>
      <c r="AQ307" s="920">
        <v>0</v>
      </c>
      <c r="AR307" s="920">
        <v>0</v>
      </c>
      <c r="AS307" s="920">
        <v>0</v>
      </c>
      <c r="AT307" s="920">
        <v>1</v>
      </c>
      <c r="AU307" s="920">
        <v>0</v>
      </c>
    </row>
    <row r="308" spans="1:47" hidden="1">
      <c r="A308" s="898">
        <v>307</v>
      </c>
      <c r="B308" s="912">
        <v>0</v>
      </c>
      <c r="C308" s="913">
        <v>0</v>
      </c>
      <c r="D308" s="913">
        <v>1</v>
      </c>
      <c r="E308" s="913">
        <v>0</v>
      </c>
      <c r="F308" s="913">
        <v>0</v>
      </c>
      <c r="G308" s="914">
        <v>1</v>
      </c>
      <c r="H308" s="914">
        <v>3</v>
      </c>
      <c r="I308" s="914">
        <v>2</v>
      </c>
      <c r="J308" s="914">
        <v>4</v>
      </c>
      <c r="K308" s="915">
        <v>1</v>
      </c>
      <c r="L308" s="915">
        <v>0</v>
      </c>
      <c r="M308" s="915">
        <v>0</v>
      </c>
      <c r="N308" s="902">
        <f t="shared" si="8"/>
        <v>1</v>
      </c>
      <c r="O308" s="916">
        <v>1</v>
      </c>
      <c r="P308" s="916">
        <v>0</v>
      </c>
      <c r="Q308" s="916">
        <v>0</v>
      </c>
      <c r="R308" s="916">
        <v>0</v>
      </c>
      <c r="S308" s="903">
        <f t="shared" si="9"/>
        <v>1</v>
      </c>
      <c r="T308" s="917">
        <v>1</v>
      </c>
      <c r="U308" s="918">
        <v>1</v>
      </c>
      <c r="V308" s="918">
        <v>0</v>
      </c>
      <c r="W308" s="918">
        <v>1</v>
      </c>
      <c r="X308" s="918">
        <v>0</v>
      </c>
      <c r="Y308" s="918">
        <v>0</v>
      </c>
      <c r="Z308" s="918">
        <v>1</v>
      </c>
      <c r="AA308" s="918">
        <v>0</v>
      </c>
      <c r="AB308" s="919">
        <v>7</v>
      </c>
      <c r="AC308" s="919">
        <v>5</v>
      </c>
      <c r="AD308" s="919">
        <v>4</v>
      </c>
      <c r="AE308" s="919">
        <v>6</v>
      </c>
      <c r="AF308" s="919">
        <v>1</v>
      </c>
      <c r="AG308" s="919">
        <v>2</v>
      </c>
      <c r="AH308" s="919">
        <v>3</v>
      </c>
      <c r="AI308" s="920">
        <v>2</v>
      </c>
      <c r="AJ308" s="920">
        <v>2</v>
      </c>
      <c r="AK308" s="920">
        <v>2</v>
      </c>
      <c r="AL308" s="920">
        <v>1</v>
      </c>
      <c r="AM308" s="920">
        <v>2</v>
      </c>
      <c r="AN308" s="920">
        <v>2</v>
      </c>
      <c r="AO308" s="920">
        <v>0</v>
      </c>
      <c r="AP308" s="920">
        <v>0</v>
      </c>
      <c r="AQ308" s="920">
        <v>0</v>
      </c>
      <c r="AR308" s="920">
        <v>0</v>
      </c>
      <c r="AS308" s="920">
        <v>0</v>
      </c>
      <c r="AT308" s="920">
        <v>1</v>
      </c>
      <c r="AU308" s="920">
        <v>0</v>
      </c>
    </row>
    <row r="309" spans="1:47" hidden="1">
      <c r="A309" s="898">
        <v>308</v>
      </c>
      <c r="B309" s="912">
        <v>0</v>
      </c>
      <c r="C309" s="913">
        <v>0</v>
      </c>
      <c r="D309" s="913">
        <v>1</v>
      </c>
      <c r="E309" s="913">
        <v>0</v>
      </c>
      <c r="F309" s="913">
        <v>0</v>
      </c>
      <c r="G309" s="914">
        <v>4</v>
      </c>
      <c r="H309" s="914">
        <v>1</v>
      </c>
      <c r="I309" s="914">
        <v>2</v>
      </c>
      <c r="J309" s="914">
        <v>3</v>
      </c>
      <c r="K309" s="915">
        <v>0</v>
      </c>
      <c r="L309" s="915">
        <v>1</v>
      </c>
      <c r="M309" s="915">
        <v>0</v>
      </c>
      <c r="N309" s="902">
        <f t="shared" si="8"/>
        <v>2</v>
      </c>
      <c r="O309" s="916">
        <v>1</v>
      </c>
      <c r="P309" s="916">
        <v>0</v>
      </c>
      <c r="Q309" s="916">
        <v>0</v>
      </c>
      <c r="R309" s="916">
        <v>0</v>
      </c>
      <c r="S309" s="903">
        <f t="shared" si="9"/>
        <v>1</v>
      </c>
      <c r="T309" s="917">
        <v>1</v>
      </c>
      <c r="U309" s="918">
        <v>1</v>
      </c>
      <c r="V309" s="918">
        <v>0</v>
      </c>
      <c r="W309" s="918">
        <v>1</v>
      </c>
      <c r="X309" s="918">
        <v>0</v>
      </c>
      <c r="Y309" s="918">
        <v>0</v>
      </c>
      <c r="Z309" s="918">
        <v>1</v>
      </c>
      <c r="AA309" s="918">
        <v>0</v>
      </c>
      <c r="AB309" s="919">
        <v>5</v>
      </c>
      <c r="AC309" s="919">
        <v>3</v>
      </c>
      <c r="AD309" s="919">
        <v>6</v>
      </c>
      <c r="AE309" s="919">
        <v>7</v>
      </c>
      <c r="AF309" s="919">
        <v>2</v>
      </c>
      <c r="AG309" s="919">
        <v>1</v>
      </c>
      <c r="AH309" s="919">
        <v>4</v>
      </c>
      <c r="AI309" s="920">
        <v>2</v>
      </c>
      <c r="AJ309" s="920">
        <v>2</v>
      </c>
      <c r="AK309" s="920">
        <v>2</v>
      </c>
      <c r="AL309" s="920">
        <v>2</v>
      </c>
      <c r="AM309" s="920">
        <v>1</v>
      </c>
      <c r="AN309" s="920">
        <v>2</v>
      </c>
      <c r="AO309" s="920">
        <v>2</v>
      </c>
      <c r="AP309" s="920">
        <v>0</v>
      </c>
      <c r="AQ309" s="920">
        <v>0</v>
      </c>
      <c r="AR309" s="920">
        <v>0</v>
      </c>
      <c r="AS309" s="920">
        <v>0</v>
      </c>
      <c r="AT309" s="920">
        <v>0</v>
      </c>
      <c r="AU309" s="920">
        <v>1</v>
      </c>
    </row>
    <row r="310" spans="1:47" hidden="1">
      <c r="A310" s="898">
        <v>309</v>
      </c>
      <c r="B310" s="912">
        <v>1</v>
      </c>
      <c r="C310" s="913">
        <v>0</v>
      </c>
      <c r="D310" s="913">
        <v>1</v>
      </c>
      <c r="E310" s="913">
        <v>0</v>
      </c>
      <c r="F310" s="913">
        <v>0</v>
      </c>
      <c r="G310" s="914">
        <v>4</v>
      </c>
      <c r="H310" s="914">
        <v>1</v>
      </c>
      <c r="I310" s="914">
        <v>2</v>
      </c>
      <c r="J310" s="914">
        <v>3</v>
      </c>
      <c r="K310" s="915">
        <v>1</v>
      </c>
      <c r="L310" s="915">
        <v>0</v>
      </c>
      <c r="M310" s="915">
        <v>0</v>
      </c>
      <c r="N310" s="902">
        <f t="shared" si="8"/>
        <v>1</v>
      </c>
      <c r="O310" s="916">
        <v>1</v>
      </c>
      <c r="P310" s="916">
        <v>0</v>
      </c>
      <c r="Q310" s="916">
        <v>0</v>
      </c>
      <c r="R310" s="916">
        <v>0</v>
      </c>
      <c r="S310" s="903">
        <f t="shared" si="9"/>
        <v>1</v>
      </c>
      <c r="T310" s="917">
        <v>1</v>
      </c>
      <c r="U310" s="918">
        <v>0</v>
      </c>
      <c r="V310" s="918">
        <v>0</v>
      </c>
      <c r="W310" s="918">
        <v>1</v>
      </c>
      <c r="X310" s="918">
        <v>0</v>
      </c>
      <c r="Y310" s="918">
        <v>0</v>
      </c>
      <c r="Z310" s="918">
        <v>0</v>
      </c>
      <c r="AA310" s="918">
        <v>0</v>
      </c>
      <c r="AB310" s="919">
        <v>6</v>
      </c>
      <c r="AC310" s="919">
        <v>5</v>
      </c>
      <c r="AD310" s="919">
        <v>4</v>
      </c>
      <c r="AE310" s="919">
        <v>2</v>
      </c>
      <c r="AF310" s="919">
        <v>1</v>
      </c>
      <c r="AG310" s="919">
        <v>7</v>
      </c>
      <c r="AH310" s="919">
        <v>3</v>
      </c>
      <c r="AI310" s="920">
        <v>1</v>
      </c>
      <c r="AJ310" s="920">
        <v>2</v>
      </c>
      <c r="AK310" s="920">
        <v>1</v>
      </c>
      <c r="AL310" s="920">
        <v>1</v>
      </c>
      <c r="AM310" s="920">
        <v>1</v>
      </c>
      <c r="AN310" s="920">
        <v>1</v>
      </c>
      <c r="AO310" s="920">
        <v>1</v>
      </c>
      <c r="AP310" s="920">
        <v>0</v>
      </c>
      <c r="AQ310" s="920">
        <v>0</v>
      </c>
      <c r="AR310" s="920">
        <v>1</v>
      </c>
      <c r="AS310" s="920">
        <v>0</v>
      </c>
      <c r="AT310" s="920">
        <v>0</v>
      </c>
      <c r="AU310" s="920">
        <v>0</v>
      </c>
    </row>
    <row r="311" spans="1:47" hidden="1">
      <c r="A311" s="898">
        <v>310</v>
      </c>
      <c r="B311" s="912">
        <v>0</v>
      </c>
      <c r="C311" s="913">
        <v>0</v>
      </c>
      <c r="D311" s="913">
        <v>0</v>
      </c>
      <c r="E311" s="913">
        <v>1</v>
      </c>
      <c r="F311" s="913">
        <v>0</v>
      </c>
      <c r="G311" s="914">
        <v>4</v>
      </c>
      <c r="H311" s="914">
        <v>1</v>
      </c>
      <c r="I311" s="914">
        <v>2</v>
      </c>
      <c r="J311" s="914">
        <v>3</v>
      </c>
      <c r="K311" s="915">
        <v>1</v>
      </c>
      <c r="L311" s="915">
        <v>0</v>
      </c>
      <c r="M311" s="915">
        <v>0</v>
      </c>
      <c r="N311" s="902">
        <f t="shared" si="8"/>
        <v>1</v>
      </c>
      <c r="O311" s="916">
        <v>1</v>
      </c>
      <c r="P311" s="916">
        <v>0</v>
      </c>
      <c r="Q311" s="916">
        <v>0</v>
      </c>
      <c r="R311" s="916">
        <v>0</v>
      </c>
      <c r="S311" s="903">
        <f t="shared" si="9"/>
        <v>1</v>
      </c>
      <c r="T311" s="917">
        <v>1</v>
      </c>
      <c r="U311" s="918">
        <v>1</v>
      </c>
      <c r="V311" s="918">
        <v>0</v>
      </c>
      <c r="W311" s="918">
        <v>1</v>
      </c>
      <c r="X311" s="918">
        <v>0</v>
      </c>
      <c r="Y311" s="918">
        <v>0</v>
      </c>
      <c r="Z311" s="918">
        <v>0</v>
      </c>
      <c r="AA311" s="918">
        <v>0</v>
      </c>
      <c r="AB311" s="919">
        <v>4</v>
      </c>
      <c r="AC311" s="919">
        <v>3</v>
      </c>
      <c r="AD311" s="919">
        <v>1</v>
      </c>
      <c r="AE311" s="919">
        <v>7</v>
      </c>
      <c r="AF311" s="919">
        <v>6</v>
      </c>
      <c r="AG311" s="919">
        <v>2</v>
      </c>
      <c r="AH311" s="919">
        <v>5</v>
      </c>
      <c r="AI311" s="920">
        <v>2</v>
      </c>
      <c r="AJ311" s="920">
        <v>2</v>
      </c>
      <c r="AK311" s="920">
        <v>2</v>
      </c>
      <c r="AL311" s="920">
        <v>2</v>
      </c>
      <c r="AM311" s="920">
        <v>1</v>
      </c>
      <c r="AN311" s="920">
        <v>1</v>
      </c>
      <c r="AO311" s="920">
        <v>2</v>
      </c>
      <c r="AP311" s="920">
        <v>0</v>
      </c>
      <c r="AQ311" s="920">
        <v>0</v>
      </c>
      <c r="AR311" s="920">
        <v>0</v>
      </c>
      <c r="AS311" s="920">
        <v>0</v>
      </c>
      <c r="AT311" s="920">
        <v>1</v>
      </c>
      <c r="AU311" s="920">
        <v>0</v>
      </c>
    </row>
    <row r="312" spans="1:47" hidden="1">
      <c r="A312" s="898">
        <v>311</v>
      </c>
      <c r="B312" s="912">
        <v>0</v>
      </c>
      <c r="C312" s="913">
        <v>0</v>
      </c>
      <c r="D312" s="913">
        <v>0</v>
      </c>
      <c r="E312" s="913">
        <v>1</v>
      </c>
      <c r="F312" s="913">
        <v>0</v>
      </c>
      <c r="G312" s="914">
        <v>2</v>
      </c>
      <c r="H312" s="914">
        <v>1</v>
      </c>
      <c r="I312" s="914">
        <v>4</v>
      </c>
      <c r="J312" s="914">
        <v>3</v>
      </c>
      <c r="K312" s="915">
        <v>1</v>
      </c>
      <c r="L312" s="915">
        <v>0</v>
      </c>
      <c r="M312" s="915">
        <v>0</v>
      </c>
      <c r="N312" s="902">
        <f t="shared" si="8"/>
        <v>1</v>
      </c>
      <c r="O312" s="916">
        <v>1</v>
      </c>
      <c r="P312" s="916">
        <v>0</v>
      </c>
      <c r="Q312" s="916">
        <v>0</v>
      </c>
      <c r="R312" s="916">
        <v>0</v>
      </c>
      <c r="S312" s="903">
        <f t="shared" si="9"/>
        <v>1</v>
      </c>
      <c r="T312" s="917">
        <v>1</v>
      </c>
      <c r="U312" s="918">
        <v>0</v>
      </c>
      <c r="V312" s="918">
        <v>0</v>
      </c>
      <c r="W312" s="918">
        <v>1</v>
      </c>
      <c r="X312" s="918">
        <v>1</v>
      </c>
      <c r="Y312" s="918">
        <v>0</v>
      </c>
      <c r="Z312" s="918">
        <v>0</v>
      </c>
      <c r="AA312" s="918">
        <v>1</v>
      </c>
      <c r="AB312" s="919">
        <v>4</v>
      </c>
      <c r="AC312" s="919">
        <v>3</v>
      </c>
      <c r="AD312" s="919">
        <v>2</v>
      </c>
      <c r="AE312" s="919">
        <v>6</v>
      </c>
      <c r="AF312" s="919">
        <v>1</v>
      </c>
      <c r="AG312" s="919">
        <v>5</v>
      </c>
      <c r="AH312" s="919">
        <v>7</v>
      </c>
      <c r="AI312" s="920">
        <v>2</v>
      </c>
      <c r="AJ312" s="920">
        <v>2</v>
      </c>
      <c r="AK312" s="920">
        <v>2</v>
      </c>
      <c r="AL312" s="920">
        <v>2</v>
      </c>
      <c r="AM312" s="920">
        <v>1</v>
      </c>
      <c r="AN312" s="920">
        <v>1</v>
      </c>
      <c r="AO312" s="920">
        <v>2</v>
      </c>
      <c r="AP312" s="920">
        <v>1</v>
      </c>
      <c r="AQ312" s="920">
        <v>0</v>
      </c>
      <c r="AR312" s="920">
        <v>0</v>
      </c>
      <c r="AS312" s="920">
        <v>0</v>
      </c>
      <c r="AT312" s="920">
        <v>0</v>
      </c>
      <c r="AU312" s="920">
        <v>0</v>
      </c>
    </row>
    <row r="313" spans="1:47" hidden="1">
      <c r="A313" s="898">
        <v>312</v>
      </c>
      <c r="B313" s="912">
        <v>0</v>
      </c>
      <c r="C313" s="913">
        <v>0</v>
      </c>
      <c r="D313" s="913">
        <v>1</v>
      </c>
      <c r="E313" s="913">
        <v>0</v>
      </c>
      <c r="F313" s="913">
        <v>0</v>
      </c>
      <c r="G313" s="914">
        <v>4</v>
      </c>
      <c r="H313" s="914">
        <v>2</v>
      </c>
      <c r="I313" s="914">
        <v>3</v>
      </c>
      <c r="J313" s="914">
        <v>1</v>
      </c>
      <c r="K313" s="915">
        <v>0</v>
      </c>
      <c r="L313" s="915">
        <v>1</v>
      </c>
      <c r="M313" s="915">
        <v>0</v>
      </c>
      <c r="N313" s="902">
        <f t="shared" si="8"/>
        <v>2</v>
      </c>
      <c r="O313" s="916">
        <v>1</v>
      </c>
      <c r="P313" s="916">
        <v>0</v>
      </c>
      <c r="Q313" s="916">
        <v>0</v>
      </c>
      <c r="R313" s="916">
        <v>0</v>
      </c>
      <c r="S313" s="903">
        <f t="shared" si="9"/>
        <v>1</v>
      </c>
      <c r="T313" s="917">
        <v>0</v>
      </c>
      <c r="U313" s="918">
        <v>1</v>
      </c>
      <c r="V313" s="918">
        <v>1</v>
      </c>
      <c r="W313" s="918">
        <v>0</v>
      </c>
      <c r="X313" s="918">
        <v>0</v>
      </c>
      <c r="Y313" s="918">
        <v>1</v>
      </c>
      <c r="Z313" s="918">
        <v>0</v>
      </c>
      <c r="AA313" s="918">
        <v>0</v>
      </c>
      <c r="AB313" s="919">
        <v>6</v>
      </c>
      <c r="AC313" s="919">
        <v>7</v>
      </c>
      <c r="AD313" s="919">
        <v>3</v>
      </c>
      <c r="AE313" s="919">
        <v>4</v>
      </c>
      <c r="AF313" s="919">
        <v>5</v>
      </c>
      <c r="AG313" s="919">
        <v>2</v>
      </c>
      <c r="AH313" s="919">
        <v>1</v>
      </c>
      <c r="AI313" s="920">
        <v>2</v>
      </c>
      <c r="AJ313" s="920">
        <v>2</v>
      </c>
      <c r="AK313" s="920">
        <v>3</v>
      </c>
      <c r="AL313" s="920">
        <v>4</v>
      </c>
      <c r="AM313" s="920">
        <v>1</v>
      </c>
      <c r="AN313" s="920">
        <v>1</v>
      </c>
      <c r="AO313" s="920">
        <v>2</v>
      </c>
      <c r="AP313" s="920">
        <v>0</v>
      </c>
      <c r="AQ313" s="920">
        <v>0</v>
      </c>
      <c r="AR313" s="920">
        <v>0</v>
      </c>
      <c r="AS313" s="920">
        <v>1</v>
      </c>
      <c r="AT313" s="920">
        <v>0</v>
      </c>
      <c r="AU313" s="920">
        <v>0</v>
      </c>
    </row>
    <row r="314" spans="1:47" hidden="1">
      <c r="A314" s="898">
        <v>313</v>
      </c>
      <c r="B314" s="912">
        <v>0</v>
      </c>
      <c r="C314" s="913">
        <v>0</v>
      </c>
      <c r="D314" s="913">
        <v>0</v>
      </c>
      <c r="E314" s="913">
        <v>1</v>
      </c>
      <c r="F314" s="913">
        <v>0</v>
      </c>
      <c r="G314" s="914">
        <v>1</v>
      </c>
      <c r="H314" s="914">
        <v>3</v>
      </c>
      <c r="I314" s="914">
        <v>2</v>
      </c>
      <c r="J314" s="914">
        <v>4</v>
      </c>
      <c r="K314" s="915">
        <v>1</v>
      </c>
      <c r="L314" s="915">
        <v>0</v>
      </c>
      <c r="M314" s="915">
        <v>0</v>
      </c>
      <c r="N314" s="902">
        <f t="shared" si="8"/>
        <v>1</v>
      </c>
      <c r="O314" s="916">
        <v>1</v>
      </c>
      <c r="P314" s="916">
        <v>0</v>
      </c>
      <c r="Q314" s="916">
        <v>0</v>
      </c>
      <c r="R314" s="916">
        <v>0</v>
      </c>
      <c r="S314" s="903">
        <f t="shared" si="9"/>
        <v>1</v>
      </c>
      <c r="T314" s="917">
        <v>1</v>
      </c>
      <c r="U314" s="918">
        <v>0</v>
      </c>
      <c r="V314" s="918">
        <v>0</v>
      </c>
      <c r="W314" s="918">
        <v>1</v>
      </c>
      <c r="X314" s="918">
        <v>0</v>
      </c>
      <c r="Y314" s="918">
        <v>0</v>
      </c>
      <c r="Z314" s="918">
        <v>0</v>
      </c>
      <c r="AA314" s="918">
        <v>0</v>
      </c>
      <c r="AB314" s="919">
        <v>4</v>
      </c>
      <c r="AC314" s="919">
        <v>2</v>
      </c>
      <c r="AD314" s="919">
        <v>6</v>
      </c>
      <c r="AE314" s="919">
        <v>5</v>
      </c>
      <c r="AF314" s="919">
        <v>1</v>
      </c>
      <c r="AG314" s="919">
        <v>3</v>
      </c>
      <c r="AH314" s="919">
        <v>7</v>
      </c>
      <c r="AI314" s="920">
        <v>1</v>
      </c>
      <c r="AJ314" s="920">
        <v>1</v>
      </c>
      <c r="AK314" s="920">
        <v>1</v>
      </c>
      <c r="AL314" s="920">
        <v>1</v>
      </c>
      <c r="AM314" s="920">
        <v>1</v>
      </c>
      <c r="AN314" s="920">
        <v>1</v>
      </c>
      <c r="AO314" s="920">
        <v>1</v>
      </c>
      <c r="AP314" s="920">
        <v>0</v>
      </c>
      <c r="AQ314" s="920">
        <v>0</v>
      </c>
      <c r="AR314" s="920">
        <v>0</v>
      </c>
      <c r="AS314" s="920">
        <v>0</v>
      </c>
      <c r="AT314" s="920">
        <v>1</v>
      </c>
      <c r="AU314" s="920">
        <v>0</v>
      </c>
    </row>
    <row r="315" spans="1:47" hidden="1">
      <c r="A315" s="898">
        <v>314</v>
      </c>
      <c r="B315" s="912">
        <v>0</v>
      </c>
      <c r="C315" s="913">
        <v>0</v>
      </c>
      <c r="D315" s="913">
        <v>1</v>
      </c>
      <c r="E315" s="913">
        <v>0</v>
      </c>
      <c r="F315" s="913">
        <v>0</v>
      </c>
      <c r="G315" s="914">
        <v>4</v>
      </c>
      <c r="H315" s="914">
        <v>2</v>
      </c>
      <c r="I315" s="914">
        <v>3</v>
      </c>
      <c r="J315" s="914">
        <v>1</v>
      </c>
      <c r="K315" s="915">
        <v>0</v>
      </c>
      <c r="L315" s="915">
        <v>1</v>
      </c>
      <c r="M315" s="915">
        <v>0</v>
      </c>
      <c r="N315" s="902">
        <f t="shared" si="8"/>
        <v>2</v>
      </c>
      <c r="O315" s="916">
        <v>1</v>
      </c>
      <c r="P315" s="916">
        <v>0</v>
      </c>
      <c r="Q315" s="916">
        <v>0</v>
      </c>
      <c r="R315" s="916">
        <v>0</v>
      </c>
      <c r="S315" s="903">
        <f t="shared" si="9"/>
        <v>1</v>
      </c>
      <c r="T315" s="917">
        <v>0</v>
      </c>
      <c r="U315" s="918">
        <v>1</v>
      </c>
      <c r="V315" s="918">
        <v>1</v>
      </c>
      <c r="W315" s="918">
        <v>0</v>
      </c>
      <c r="X315" s="918">
        <v>0</v>
      </c>
      <c r="Y315" s="918">
        <v>1</v>
      </c>
      <c r="Z315" s="918">
        <v>0</v>
      </c>
      <c r="AA315" s="918">
        <v>0</v>
      </c>
      <c r="AB315" s="919">
        <v>6</v>
      </c>
      <c r="AC315" s="919">
        <v>7</v>
      </c>
      <c r="AD315" s="919">
        <v>3</v>
      </c>
      <c r="AE315" s="919">
        <v>4</v>
      </c>
      <c r="AF315" s="919">
        <v>5</v>
      </c>
      <c r="AG315" s="919">
        <v>2</v>
      </c>
      <c r="AH315" s="919">
        <v>1</v>
      </c>
      <c r="AI315" s="920">
        <v>2</v>
      </c>
      <c r="AJ315" s="920">
        <v>2</v>
      </c>
      <c r="AK315" s="920">
        <v>3</v>
      </c>
      <c r="AL315" s="920">
        <v>4</v>
      </c>
      <c r="AM315" s="920">
        <v>1</v>
      </c>
      <c r="AN315" s="920">
        <v>1</v>
      </c>
      <c r="AO315" s="920">
        <v>2</v>
      </c>
      <c r="AP315" s="920">
        <v>0</v>
      </c>
      <c r="AQ315" s="920">
        <v>0</v>
      </c>
      <c r="AR315" s="920">
        <v>0</v>
      </c>
      <c r="AS315" s="920">
        <v>1</v>
      </c>
      <c r="AT315" s="920">
        <v>0</v>
      </c>
      <c r="AU315" s="920">
        <v>0</v>
      </c>
    </row>
    <row r="316" spans="1:47" hidden="1">
      <c r="A316" s="898">
        <v>315</v>
      </c>
      <c r="B316" s="912">
        <v>0</v>
      </c>
      <c r="C316" s="913">
        <v>0</v>
      </c>
      <c r="D316" s="913">
        <v>0</v>
      </c>
      <c r="E316" s="913">
        <v>1</v>
      </c>
      <c r="F316" s="913">
        <v>0</v>
      </c>
      <c r="G316" s="914">
        <v>3</v>
      </c>
      <c r="H316" s="914">
        <v>4</v>
      </c>
      <c r="I316" s="914">
        <v>1</v>
      </c>
      <c r="J316" s="914">
        <v>2</v>
      </c>
      <c r="K316" s="915">
        <v>1</v>
      </c>
      <c r="L316" s="915">
        <v>0</v>
      </c>
      <c r="M316" s="915">
        <v>0</v>
      </c>
      <c r="N316" s="902">
        <f t="shared" si="8"/>
        <v>1</v>
      </c>
      <c r="O316" s="916">
        <v>1</v>
      </c>
      <c r="P316" s="916">
        <v>0</v>
      </c>
      <c r="Q316" s="916">
        <v>0</v>
      </c>
      <c r="R316" s="916">
        <v>0</v>
      </c>
      <c r="S316" s="903">
        <f t="shared" si="9"/>
        <v>1</v>
      </c>
      <c r="T316" s="917">
        <v>0</v>
      </c>
      <c r="U316" s="918">
        <v>0</v>
      </c>
      <c r="V316" s="918">
        <v>1</v>
      </c>
      <c r="W316" s="918">
        <v>1</v>
      </c>
      <c r="X316" s="918">
        <v>0</v>
      </c>
      <c r="Y316" s="918">
        <v>1</v>
      </c>
      <c r="Z316" s="918">
        <v>0</v>
      </c>
      <c r="AA316" s="918">
        <v>0</v>
      </c>
      <c r="AB316" s="919">
        <v>5</v>
      </c>
      <c r="AC316" s="919">
        <v>7</v>
      </c>
      <c r="AD316" s="919">
        <v>6</v>
      </c>
      <c r="AE316" s="919">
        <v>2</v>
      </c>
      <c r="AF316" s="919">
        <v>1</v>
      </c>
      <c r="AG316" s="919">
        <v>3</v>
      </c>
      <c r="AH316" s="919">
        <v>4</v>
      </c>
      <c r="AI316" s="920">
        <v>2</v>
      </c>
      <c r="AJ316" s="920">
        <v>2</v>
      </c>
      <c r="AK316" s="920">
        <v>3</v>
      </c>
      <c r="AL316" s="920">
        <v>3</v>
      </c>
      <c r="AM316" s="920">
        <v>1</v>
      </c>
      <c r="AN316" s="920">
        <v>1</v>
      </c>
      <c r="AO316" s="920">
        <v>2</v>
      </c>
      <c r="AP316" s="920">
        <v>1</v>
      </c>
      <c r="AQ316" s="920">
        <v>0</v>
      </c>
      <c r="AR316" s="920">
        <v>0</v>
      </c>
      <c r="AS316" s="920">
        <v>0</v>
      </c>
      <c r="AT316" s="920">
        <v>0</v>
      </c>
      <c r="AU316" s="920">
        <v>0</v>
      </c>
    </row>
    <row r="317" spans="1:47">
      <c r="A317" s="898">
        <v>316</v>
      </c>
      <c r="B317" s="912">
        <v>0</v>
      </c>
      <c r="C317" s="913">
        <v>0</v>
      </c>
      <c r="D317" s="913">
        <v>1</v>
      </c>
      <c r="E317" s="913">
        <v>0</v>
      </c>
      <c r="F317" s="913">
        <v>0</v>
      </c>
      <c r="G317" s="914">
        <v>3</v>
      </c>
      <c r="H317" s="914">
        <v>2</v>
      </c>
      <c r="I317" s="914">
        <v>4</v>
      </c>
      <c r="J317" s="914">
        <v>1</v>
      </c>
      <c r="K317" s="915">
        <v>1</v>
      </c>
      <c r="L317" s="915">
        <v>0</v>
      </c>
      <c r="M317" s="915">
        <v>0</v>
      </c>
      <c r="N317" s="902">
        <f t="shared" si="8"/>
        <v>1</v>
      </c>
      <c r="O317" s="916">
        <v>0</v>
      </c>
      <c r="P317" s="916">
        <v>1</v>
      </c>
      <c r="Q317" s="916">
        <v>0</v>
      </c>
      <c r="R317" s="916">
        <v>0</v>
      </c>
      <c r="S317" s="903">
        <f t="shared" si="9"/>
        <v>2</v>
      </c>
      <c r="T317" s="917">
        <v>1</v>
      </c>
      <c r="U317" s="918">
        <v>0</v>
      </c>
      <c r="V317" s="918">
        <v>0</v>
      </c>
      <c r="W317" s="918">
        <v>0</v>
      </c>
      <c r="X317" s="918">
        <v>1</v>
      </c>
      <c r="Y317" s="918">
        <v>1</v>
      </c>
      <c r="Z317" s="918">
        <v>11</v>
      </c>
      <c r="AA317" s="918">
        <v>0</v>
      </c>
      <c r="AB317" s="919">
        <v>7</v>
      </c>
      <c r="AC317" s="919">
        <v>5</v>
      </c>
      <c r="AD317" s="919">
        <v>1</v>
      </c>
      <c r="AE317" s="919">
        <v>6</v>
      </c>
      <c r="AF317" s="919">
        <v>4</v>
      </c>
      <c r="AG317" s="919">
        <v>3</v>
      </c>
      <c r="AH317" s="919">
        <v>2</v>
      </c>
      <c r="AI317" s="920">
        <v>2</v>
      </c>
      <c r="AJ317" s="920">
        <v>2</v>
      </c>
      <c r="AK317" s="920">
        <v>2</v>
      </c>
      <c r="AL317" s="920">
        <v>4</v>
      </c>
      <c r="AM317" s="920">
        <v>2</v>
      </c>
      <c r="AN317" s="920">
        <v>1</v>
      </c>
      <c r="AO317" s="920">
        <v>1</v>
      </c>
      <c r="AP317" s="920">
        <v>0</v>
      </c>
      <c r="AQ317" s="920">
        <v>0</v>
      </c>
      <c r="AR317" s="920">
        <v>0</v>
      </c>
      <c r="AS317" s="920">
        <v>0</v>
      </c>
      <c r="AT317" s="920">
        <v>1</v>
      </c>
      <c r="AU317" s="920">
        <v>0</v>
      </c>
    </row>
    <row r="318" spans="1:47">
      <c r="A318" s="898">
        <v>317</v>
      </c>
      <c r="B318" s="912">
        <v>0</v>
      </c>
      <c r="C318" s="913">
        <v>0</v>
      </c>
      <c r="D318" s="913">
        <v>1</v>
      </c>
      <c r="E318" s="913">
        <v>0</v>
      </c>
      <c r="F318" s="913">
        <v>0</v>
      </c>
      <c r="G318" s="914">
        <v>1</v>
      </c>
      <c r="H318" s="914">
        <v>3</v>
      </c>
      <c r="I318" s="914">
        <v>4</v>
      </c>
      <c r="J318" s="914">
        <v>2</v>
      </c>
      <c r="K318" s="915">
        <v>1</v>
      </c>
      <c r="L318" s="915">
        <v>0</v>
      </c>
      <c r="M318" s="915">
        <v>0</v>
      </c>
      <c r="N318" s="902">
        <f t="shared" si="8"/>
        <v>1</v>
      </c>
      <c r="O318" s="916">
        <v>1</v>
      </c>
      <c r="P318" s="916">
        <v>0</v>
      </c>
      <c r="Q318" s="916">
        <v>0</v>
      </c>
      <c r="R318" s="916">
        <v>0</v>
      </c>
      <c r="S318" s="903">
        <f t="shared" si="9"/>
        <v>1</v>
      </c>
      <c r="T318" s="917">
        <v>1</v>
      </c>
      <c r="U318" s="918">
        <v>0</v>
      </c>
      <c r="V318" s="918">
        <v>1</v>
      </c>
      <c r="W318" s="918">
        <v>0</v>
      </c>
      <c r="X318" s="918">
        <v>0</v>
      </c>
      <c r="Y318" s="918">
        <v>0</v>
      </c>
      <c r="Z318" s="918">
        <v>0</v>
      </c>
      <c r="AA318" s="918">
        <v>0</v>
      </c>
      <c r="AB318" s="919">
        <v>3</v>
      </c>
      <c r="AC318" s="919">
        <v>2</v>
      </c>
      <c r="AD318" s="919">
        <v>5</v>
      </c>
      <c r="AE318" s="919">
        <v>6</v>
      </c>
      <c r="AF318" s="919">
        <v>4</v>
      </c>
      <c r="AG318" s="919">
        <v>1</v>
      </c>
      <c r="AH318" s="919">
        <v>7</v>
      </c>
      <c r="AI318" s="920">
        <v>1</v>
      </c>
      <c r="AJ318" s="920">
        <v>2</v>
      </c>
      <c r="AK318" s="920">
        <v>2</v>
      </c>
      <c r="AL318" s="920">
        <v>3</v>
      </c>
      <c r="AM318" s="920">
        <v>1</v>
      </c>
      <c r="AN318" s="920">
        <v>1</v>
      </c>
      <c r="AO318" s="920">
        <v>1</v>
      </c>
      <c r="AP318" s="920">
        <v>0</v>
      </c>
      <c r="AQ318" s="920">
        <v>1</v>
      </c>
      <c r="AR318" s="920">
        <v>0</v>
      </c>
      <c r="AS318" s="920">
        <v>0</v>
      </c>
      <c r="AT318" s="920">
        <v>0</v>
      </c>
      <c r="AU318" s="920">
        <v>0</v>
      </c>
    </row>
    <row r="319" spans="1:47">
      <c r="A319" s="898">
        <v>318</v>
      </c>
      <c r="B319" s="912">
        <v>0</v>
      </c>
      <c r="C319" s="913">
        <v>0</v>
      </c>
      <c r="D319" s="913">
        <v>0</v>
      </c>
      <c r="E319" s="913">
        <v>1</v>
      </c>
      <c r="F319" s="913">
        <v>0</v>
      </c>
      <c r="G319" s="914">
        <v>3</v>
      </c>
      <c r="H319" s="914">
        <v>2</v>
      </c>
      <c r="I319" s="914">
        <v>4</v>
      </c>
      <c r="J319" s="914">
        <v>1</v>
      </c>
      <c r="K319" s="915">
        <v>1</v>
      </c>
      <c r="L319" s="915">
        <v>0</v>
      </c>
      <c r="M319" s="915">
        <v>0</v>
      </c>
      <c r="N319" s="902">
        <f t="shared" si="8"/>
        <v>1</v>
      </c>
      <c r="O319" s="916">
        <v>1</v>
      </c>
      <c r="P319" s="916">
        <v>0</v>
      </c>
      <c r="Q319" s="916">
        <v>0</v>
      </c>
      <c r="R319" s="916">
        <v>0</v>
      </c>
      <c r="S319" s="903">
        <f t="shared" si="9"/>
        <v>1</v>
      </c>
      <c r="T319" s="917">
        <v>1</v>
      </c>
      <c r="U319" s="918">
        <v>0</v>
      </c>
      <c r="V319" s="918">
        <v>0</v>
      </c>
      <c r="W319" s="918">
        <v>1</v>
      </c>
      <c r="X319" s="918">
        <v>0</v>
      </c>
      <c r="Y319" s="918">
        <v>1</v>
      </c>
      <c r="Z319" s="918">
        <v>0</v>
      </c>
      <c r="AA319" s="918">
        <v>0</v>
      </c>
      <c r="AB319" s="919">
        <v>7</v>
      </c>
      <c r="AC319" s="919">
        <v>6</v>
      </c>
      <c r="AD319" s="919">
        <v>1</v>
      </c>
      <c r="AE319" s="919">
        <v>5</v>
      </c>
      <c r="AF319" s="919">
        <v>4</v>
      </c>
      <c r="AG319" s="919">
        <v>2</v>
      </c>
      <c r="AH319" s="919">
        <v>3</v>
      </c>
      <c r="AI319" s="920">
        <v>2</v>
      </c>
      <c r="AJ319" s="920">
        <v>2</v>
      </c>
      <c r="AK319" s="920">
        <v>3</v>
      </c>
      <c r="AL319" s="920">
        <v>1</v>
      </c>
      <c r="AM319" s="920">
        <v>1</v>
      </c>
      <c r="AN319" s="920">
        <v>1</v>
      </c>
      <c r="AO319" s="920">
        <v>2</v>
      </c>
      <c r="AP319" s="920">
        <v>0</v>
      </c>
      <c r="AQ319" s="920">
        <v>1</v>
      </c>
      <c r="AR319" s="920">
        <v>0</v>
      </c>
      <c r="AS319" s="920">
        <v>0</v>
      </c>
      <c r="AT319" s="920">
        <v>0</v>
      </c>
      <c r="AU319" s="920">
        <v>0</v>
      </c>
    </row>
    <row r="320" spans="1:47" hidden="1">
      <c r="A320" s="898">
        <v>319</v>
      </c>
      <c r="B320" s="912">
        <v>0</v>
      </c>
      <c r="C320" s="913">
        <v>1</v>
      </c>
      <c r="D320" s="913">
        <v>0</v>
      </c>
      <c r="E320" s="913">
        <v>0</v>
      </c>
      <c r="F320" s="913">
        <v>0</v>
      </c>
      <c r="G320" s="914">
        <v>4</v>
      </c>
      <c r="H320" s="914">
        <v>2</v>
      </c>
      <c r="I320" s="914">
        <v>3</v>
      </c>
      <c r="J320" s="914">
        <v>1</v>
      </c>
      <c r="K320" s="915">
        <v>0</v>
      </c>
      <c r="L320" s="915">
        <v>1</v>
      </c>
      <c r="M320" s="915">
        <v>0</v>
      </c>
      <c r="N320" s="902">
        <f t="shared" si="8"/>
        <v>2</v>
      </c>
      <c r="O320" s="916">
        <v>1</v>
      </c>
      <c r="P320" s="916">
        <v>0</v>
      </c>
      <c r="Q320" s="916">
        <v>0</v>
      </c>
      <c r="R320" s="916">
        <v>0</v>
      </c>
      <c r="S320" s="903">
        <f t="shared" si="9"/>
        <v>1</v>
      </c>
      <c r="T320" s="917">
        <v>1</v>
      </c>
      <c r="U320" s="918">
        <v>0</v>
      </c>
      <c r="V320" s="918">
        <v>0</v>
      </c>
      <c r="W320" s="918">
        <v>0</v>
      </c>
      <c r="X320" s="918">
        <v>0</v>
      </c>
      <c r="Y320" s="918">
        <v>1</v>
      </c>
      <c r="Z320" s="918">
        <v>1</v>
      </c>
      <c r="AA320" s="918">
        <v>0</v>
      </c>
      <c r="AB320" s="919">
        <v>3</v>
      </c>
      <c r="AC320" s="919">
        <v>2</v>
      </c>
      <c r="AD320" s="919">
        <v>4</v>
      </c>
      <c r="AE320" s="919">
        <v>5</v>
      </c>
      <c r="AF320" s="919">
        <v>2</v>
      </c>
      <c r="AG320" s="919">
        <v>6</v>
      </c>
      <c r="AH320" s="919">
        <v>7</v>
      </c>
      <c r="AI320" s="920">
        <v>2</v>
      </c>
      <c r="AJ320" s="920">
        <v>1</v>
      </c>
      <c r="AK320" s="920">
        <v>2</v>
      </c>
      <c r="AL320" s="920">
        <v>2</v>
      </c>
      <c r="AM320" s="920">
        <v>1</v>
      </c>
      <c r="AN320" s="920">
        <v>2</v>
      </c>
      <c r="AO320" s="920">
        <v>2</v>
      </c>
      <c r="AP320" s="920">
        <v>0</v>
      </c>
      <c r="AQ320" s="920">
        <v>0</v>
      </c>
      <c r="AR320" s="920">
        <v>0</v>
      </c>
      <c r="AS320" s="920">
        <v>0</v>
      </c>
      <c r="AT320" s="920">
        <v>0</v>
      </c>
      <c r="AU320" s="920">
        <v>1</v>
      </c>
    </row>
    <row r="321" spans="1:47" hidden="1">
      <c r="A321" s="898">
        <v>320</v>
      </c>
      <c r="B321" s="912">
        <v>0</v>
      </c>
      <c r="C321" s="913">
        <v>0</v>
      </c>
      <c r="D321" s="913">
        <v>0</v>
      </c>
      <c r="E321" s="913">
        <v>1</v>
      </c>
      <c r="F321" s="913">
        <v>0</v>
      </c>
      <c r="G321" s="914">
        <v>4</v>
      </c>
      <c r="H321" s="914">
        <v>2</v>
      </c>
      <c r="I321" s="914">
        <v>3</v>
      </c>
      <c r="J321" s="914">
        <v>1</v>
      </c>
      <c r="K321" s="915">
        <v>1</v>
      </c>
      <c r="L321" s="915">
        <v>0</v>
      </c>
      <c r="M321" s="915">
        <v>0</v>
      </c>
      <c r="N321" s="902">
        <f t="shared" si="8"/>
        <v>1</v>
      </c>
      <c r="O321" s="916">
        <v>1</v>
      </c>
      <c r="P321" s="916">
        <v>0</v>
      </c>
      <c r="Q321" s="916">
        <v>0</v>
      </c>
      <c r="R321" s="916">
        <v>0</v>
      </c>
      <c r="S321" s="903">
        <f t="shared" si="9"/>
        <v>1</v>
      </c>
      <c r="T321" s="917">
        <v>1</v>
      </c>
      <c r="U321" s="918">
        <v>0</v>
      </c>
      <c r="V321" s="918">
        <v>0</v>
      </c>
      <c r="W321" s="918">
        <v>0</v>
      </c>
      <c r="X321" s="918">
        <v>0</v>
      </c>
      <c r="Y321" s="918">
        <v>1</v>
      </c>
      <c r="Z321" s="918">
        <v>1</v>
      </c>
      <c r="AA321" s="918">
        <v>0</v>
      </c>
      <c r="AB321" s="919">
        <v>6</v>
      </c>
      <c r="AC321" s="919">
        <v>5</v>
      </c>
      <c r="AD321" s="919">
        <v>4</v>
      </c>
      <c r="AE321" s="919">
        <v>7</v>
      </c>
      <c r="AF321" s="919">
        <v>1</v>
      </c>
      <c r="AG321" s="919">
        <v>2</v>
      </c>
      <c r="AH321" s="919">
        <v>3</v>
      </c>
      <c r="AI321" s="920">
        <v>1</v>
      </c>
      <c r="AJ321" s="920">
        <v>2</v>
      </c>
      <c r="AK321" s="920">
        <v>1</v>
      </c>
      <c r="AL321" s="920">
        <v>2</v>
      </c>
      <c r="AM321" s="920">
        <v>1</v>
      </c>
      <c r="AN321" s="920">
        <v>1</v>
      </c>
      <c r="AO321" s="920">
        <v>1</v>
      </c>
      <c r="AP321" s="920">
        <v>0</v>
      </c>
      <c r="AQ321" s="920">
        <v>1</v>
      </c>
      <c r="AR321" s="920">
        <v>0</v>
      </c>
      <c r="AS321" s="920">
        <v>0</v>
      </c>
      <c r="AT321" s="920">
        <v>0</v>
      </c>
      <c r="AU321" s="920">
        <v>1</v>
      </c>
    </row>
    <row r="322" spans="1:47">
      <c r="A322" s="898">
        <v>321</v>
      </c>
      <c r="B322" s="912">
        <v>0</v>
      </c>
      <c r="C322" s="913">
        <v>0</v>
      </c>
      <c r="D322" s="913">
        <v>1</v>
      </c>
      <c r="E322" s="913">
        <v>0</v>
      </c>
      <c r="F322" s="913">
        <v>0</v>
      </c>
      <c r="G322" s="914">
        <v>3</v>
      </c>
      <c r="H322" s="914">
        <v>4</v>
      </c>
      <c r="I322" s="914">
        <v>1</v>
      </c>
      <c r="J322" s="914">
        <v>2</v>
      </c>
      <c r="K322" s="915">
        <v>1</v>
      </c>
      <c r="L322" s="915">
        <v>0</v>
      </c>
      <c r="M322" s="915">
        <v>0</v>
      </c>
      <c r="N322" s="902">
        <f t="shared" ref="N322:N385" si="10">+(K322*1)+(L322*2)+(M322*3)</f>
        <v>1</v>
      </c>
      <c r="O322" s="916">
        <v>1</v>
      </c>
      <c r="P322" s="916">
        <v>0</v>
      </c>
      <c r="Q322" s="916">
        <v>0</v>
      </c>
      <c r="R322" s="916">
        <v>0</v>
      </c>
      <c r="S322" s="903">
        <f t="shared" si="9"/>
        <v>1</v>
      </c>
      <c r="T322" s="917">
        <v>1</v>
      </c>
      <c r="U322" s="918">
        <v>0</v>
      </c>
      <c r="V322" s="918">
        <v>0</v>
      </c>
      <c r="W322" s="918">
        <v>1</v>
      </c>
      <c r="X322" s="918">
        <v>1</v>
      </c>
      <c r="Y322" s="918">
        <v>1</v>
      </c>
      <c r="Z322" s="918">
        <v>1</v>
      </c>
      <c r="AA322" s="918">
        <v>1</v>
      </c>
      <c r="AB322" s="919">
        <v>6</v>
      </c>
      <c r="AC322" s="919">
        <v>7</v>
      </c>
      <c r="AD322" s="919">
        <v>1</v>
      </c>
      <c r="AE322" s="919">
        <v>3</v>
      </c>
      <c r="AF322" s="919">
        <v>4</v>
      </c>
      <c r="AG322" s="919">
        <v>5</v>
      </c>
      <c r="AH322" s="919">
        <v>2</v>
      </c>
      <c r="AI322" s="920">
        <v>1</v>
      </c>
      <c r="AJ322" s="920">
        <v>2</v>
      </c>
      <c r="AK322" s="920">
        <v>3</v>
      </c>
      <c r="AL322" s="920">
        <v>3</v>
      </c>
      <c r="AM322" s="920">
        <v>1</v>
      </c>
      <c r="AN322" s="920">
        <v>1</v>
      </c>
      <c r="AO322" s="920">
        <v>2</v>
      </c>
      <c r="AP322" s="920">
        <v>0</v>
      </c>
      <c r="AQ322" s="920">
        <v>1</v>
      </c>
      <c r="AR322" s="920">
        <v>0</v>
      </c>
      <c r="AS322" s="920">
        <v>0</v>
      </c>
      <c r="AT322" s="920">
        <v>0</v>
      </c>
      <c r="AU322" s="920">
        <v>0</v>
      </c>
    </row>
    <row r="323" spans="1:47">
      <c r="A323" s="898">
        <v>322</v>
      </c>
      <c r="B323" s="912">
        <v>1</v>
      </c>
      <c r="C323" s="913">
        <v>0</v>
      </c>
      <c r="D323" s="913">
        <v>0</v>
      </c>
      <c r="E323" s="913">
        <v>1</v>
      </c>
      <c r="F323" s="913">
        <v>0</v>
      </c>
      <c r="G323" s="914">
        <v>3</v>
      </c>
      <c r="H323" s="914">
        <v>1</v>
      </c>
      <c r="I323" s="914">
        <v>4</v>
      </c>
      <c r="J323" s="914">
        <v>2</v>
      </c>
      <c r="K323" s="915">
        <v>0</v>
      </c>
      <c r="L323" s="915">
        <v>1</v>
      </c>
      <c r="M323" s="915">
        <v>0</v>
      </c>
      <c r="N323" s="902">
        <f t="shared" si="10"/>
        <v>2</v>
      </c>
      <c r="O323" s="916">
        <v>1</v>
      </c>
      <c r="P323" s="916">
        <v>0</v>
      </c>
      <c r="Q323" s="916">
        <v>0</v>
      </c>
      <c r="R323" s="916">
        <v>0</v>
      </c>
      <c r="S323" s="903">
        <f t="shared" ref="S323:S386" si="11">+(O323*1)+(P323*2)+(Q323*3)+(R323*4)</f>
        <v>1</v>
      </c>
      <c r="T323" s="917">
        <v>1</v>
      </c>
      <c r="U323" s="918">
        <v>0</v>
      </c>
      <c r="V323" s="918">
        <v>0</v>
      </c>
      <c r="W323" s="918">
        <v>1</v>
      </c>
      <c r="X323" s="918">
        <v>0</v>
      </c>
      <c r="Y323" s="918">
        <v>0</v>
      </c>
      <c r="Z323" s="918">
        <v>1</v>
      </c>
      <c r="AA323" s="918">
        <v>0</v>
      </c>
      <c r="AB323" s="919">
        <v>6</v>
      </c>
      <c r="AC323" s="919">
        <v>1</v>
      </c>
      <c r="AD323" s="919">
        <v>5</v>
      </c>
      <c r="AE323" s="919">
        <v>7</v>
      </c>
      <c r="AF323" s="919">
        <v>4</v>
      </c>
      <c r="AG323" s="919">
        <v>3</v>
      </c>
      <c r="AH323" s="919">
        <v>2</v>
      </c>
      <c r="AI323" s="920">
        <v>1</v>
      </c>
      <c r="AJ323" s="920">
        <v>2</v>
      </c>
      <c r="AK323" s="920">
        <v>2</v>
      </c>
      <c r="AL323" s="920">
        <v>1</v>
      </c>
      <c r="AM323" s="920">
        <v>1</v>
      </c>
      <c r="AN323" s="920">
        <v>1</v>
      </c>
      <c r="AO323" s="920">
        <v>1</v>
      </c>
      <c r="AP323" s="920">
        <v>0</v>
      </c>
      <c r="AQ323" s="920">
        <v>0</v>
      </c>
      <c r="AR323" s="920">
        <v>0</v>
      </c>
      <c r="AS323" s="920">
        <v>0</v>
      </c>
      <c r="AT323" s="920">
        <v>1</v>
      </c>
      <c r="AU323" s="920">
        <v>0</v>
      </c>
    </row>
    <row r="324" spans="1:47" hidden="1">
      <c r="A324" s="898">
        <v>323</v>
      </c>
      <c r="B324" s="912">
        <v>1</v>
      </c>
      <c r="C324" s="913">
        <v>0</v>
      </c>
      <c r="D324" s="913">
        <v>0</v>
      </c>
      <c r="E324" s="913">
        <v>1</v>
      </c>
      <c r="F324" s="913">
        <v>0</v>
      </c>
      <c r="G324" s="914">
        <v>1</v>
      </c>
      <c r="H324" s="914">
        <v>2</v>
      </c>
      <c r="I324" s="914">
        <v>3</v>
      </c>
      <c r="J324" s="914">
        <v>4</v>
      </c>
      <c r="K324" s="915">
        <v>1</v>
      </c>
      <c r="L324" s="915">
        <v>0</v>
      </c>
      <c r="M324" s="915">
        <v>0</v>
      </c>
      <c r="N324" s="902">
        <f t="shared" si="10"/>
        <v>1</v>
      </c>
      <c r="O324" s="916">
        <v>1</v>
      </c>
      <c r="P324" s="916">
        <v>0</v>
      </c>
      <c r="Q324" s="916">
        <v>0</v>
      </c>
      <c r="R324" s="916">
        <v>0</v>
      </c>
      <c r="S324" s="903">
        <f t="shared" si="11"/>
        <v>1</v>
      </c>
      <c r="T324" s="917">
        <v>1</v>
      </c>
      <c r="U324" s="918">
        <v>0</v>
      </c>
      <c r="V324" s="918">
        <v>1</v>
      </c>
      <c r="W324" s="918">
        <v>0</v>
      </c>
      <c r="X324" s="918">
        <v>0</v>
      </c>
      <c r="Y324" s="918">
        <v>0</v>
      </c>
      <c r="Z324" s="918">
        <v>0</v>
      </c>
      <c r="AA324" s="918">
        <v>0</v>
      </c>
      <c r="AB324" s="919">
        <v>5</v>
      </c>
      <c r="AC324" s="919">
        <v>3</v>
      </c>
      <c r="AD324" s="919">
        <v>4</v>
      </c>
      <c r="AE324" s="919">
        <v>7</v>
      </c>
      <c r="AF324" s="919">
        <v>6</v>
      </c>
      <c r="AG324" s="919">
        <v>1</v>
      </c>
      <c r="AH324" s="919">
        <v>2</v>
      </c>
      <c r="AI324" s="920">
        <v>2</v>
      </c>
      <c r="AJ324" s="920">
        <v>2</v>
      </c>
      <c r="AK324" s="920">
        <v>1</v>
      </c>
      <c r="AL324" s="920">
        <v>1</v>
      </c>
      <c r="AM324" s="920">
        <v>2</v>
      </c>
      <c r="AN324" s="920">
        <v>1</v>
      </c>
      <c r="AO324" s="920">
        <v>1</v>
      </c>
      <c r="AP324" s="920">
        <v>0</v>
      </c>
      <c r="AQ324" s="920">
        <v>0</v>
      </c>
      <c r="AR324" s="920">
        <v>0</v>
      </c>
      <c r="AS324" s="920">
        <v>0</v>
      </c>
      <c r="AT324" s="920">
        <v>1</v>
      </c>
      <c r="AU324" s="920">
        <v>0</v>
      </c>
    </row>
    <row r="325" spans="1:47" hidden="1">
      <c r="A325" s="898">
        <v>324</v>
      </c>
      <c r="B325" s="912">
        <v>1</v>
      </c>
      <c r="C325" s="913">
        <v>0</v>
      </c>
      <c r="D325" s="913">
        <v>1</v>
      </c>
      <c r="E325" s="913">
        <v>0</v>
      </c>
      <c r="F325" s="913">
        <v>0</v>
      </c>
      <c r="G325" s="914">
        <v>4</v>
      </c>
      <c r="H325" s="914">
        <v>2</v>
      </c>
      <c r="I325" s="914">
        <v>3</v>
      </c>
      <c r="J325" s="914">
        <v>1</v>
      </c>
      <c r="K325" s="915">
        <v>0</v>
      </c>
      <c r="L325" s="915">
        <v>1</v>
      </c>
      <c r="M325" s="915">
        <v>0</v>
      </c>
      <c r="N325" s="902">
        <f t="shared" si="10"/>
        <v>2</v>
      </c>
      <c r="O325" s="916">
        <v>1</v>
      </c>
      <c r="P325" s="916">
        <v>0</v>
      </c>
      <c r="Q325" s="916">
        <v>0</v>
      </c>
      <c r="R325" s="916">
        <v>0</v>
      </c>
      <c r="S325" s="903">
        <f t="shared" si="11"/>
        <v>1</v>
      </c>
      <c r="T325" s="917">
        <v>1</v>
      </c>
      <c r="U325" s="918">
        <v>0</v>
      </c>
      <c r="V325" s="918">
        <v>1</v>
      </c>
      <c r="W325" s="918">
        <v>1</v>
      </c>
      <c r="X325" s="918">
        <v>0</v>
      </c>
      <c r="Y325" s="918">
        <v>0</v>
      </c>
      <c r="Z325" s="918">
        <v>0</v>
      </c>
      <c r="AA325" s="918">
        <v>0</v>
      </c>
      <c r="AB325" s="919">
        <v>5</v>
      </c>
      <c r="AC325" s="919">
        <v>7</v>
      </c>
      <c r="AD325" s="919">
        <v>2</v>
      </c>
      <c r="AE325" s="919">
        <v>4</v>
      </c>
      <c r="AF325" s="919">
        <v>3</v>
      </c>
      <c r="AG325" s="919">
        <v>1</v>
      </c>
      <c r="AH325" s="919">
        <v>6</v>
      </c>
      <c r="AI325" s="920">
        <v>2</v>
      </c>
      <c r="AJ325" s="920">
        <v>1</v>
      </c>
      <c r="AK325" s="920">
        <v>1</v>
      </c>
      <c r="AL325" s="920">
        <v>1</v>
      </c>
      <c r="AM325" s="920">
        <v>1</v>
      </c>
      <c r="AN325" s="920">
        <v>1</v>
      </c>
      <c r="AO325" s="920">
        <v>2</v>
      </c>
      <c r="AP325" s="920">
        <v>1</v>
      </c>
      <c r="AQ325" s="920">
        <v>0</v>
      </c>
      <c r="AR325" s="920">
        <v>0</v>
      </c>
      <c r="AS325" s="920">
        <v>0</v>
      </c>
      <c r="AT325" s="920">
        <v>0</v>
      </c>
      <c r="AU325" s="920">
        <v>0</v>
      </c>
    </row>
    <row r="326" spans="1:47">
      <c r="A326" s="898">
        <v>325</v>
      </c>
      <c r="B326" s="912">
        <v>0</v>
      </c>
      <c r="C326" s="913">
        <v>0</v>
      </c>
      <c r="D326" s="913">
        <v>0</v>
      </c>
      <c r="E326" s="913">
        <v>0</v>
      </c>
      <c r="F326" s="913">
        <v>1</v>
      </c>
      <c r="G326" s="914">
        <v>2</v>
      </c>
      <c r="H326" s="914">
        <v>3</v>
      </c>
      <c r="I326" s="914">
        <v>4</v>
      </c>
      <c r="J326" s="914">
        <v>1</v>
      </c>
      <c r="K326" s="915">
        <v>1</v>
      </c>
      <c r="L326" s="915">
        <v>0</v>
      </c>
      <c r="M326" s="915">
        <v>0</v>
      </c>
      <c r="N326" s="902">
        <f t="shared" si="10"/>
        <v>1</v>
      </c>
      <c r="O326" s="916">
        <v>1</v>
      </c>
      <c r="P326" s="916">
        <v>0</v>
      </c>
      <c r="Q326" s="916">
        <v>0</v>
      </c>
      <c r="R326" s="916">
        <v>0</v>
      </c>
      <c r="S326" s="903">
        <f t="shared" si="11"/>
        <v>1</v>
      </c>
      <c r="T326" s="917">
        <v>1</v>
      </c>
      <c r="U326" s="918">
        <v>0</v>
      </c>
      <c r="V326" s="918">
        <v>0</v>
      </c>
      <c r="W326" s="918">
        <v>0</v>
      </c>
      <c r="X326" s="918">
        <v>1</v>
      </c>
      <c r="Y326" s="918">
        <v>1</v>
      </c>
      <c r="Z326" s="918">
        <v>0</v>
      </c>
      <c r="AA326" s="918">
        <v>0</v>
      </c>
      <c r="AB326" s="919">
        <v>5</v>
      </c>
      <c r="AC326" s="919">
        <v>6</v>
      </c>
      <c r="AD326" s="919">
        <v>3</v>
      </c>
      <c r="AE326" s="919">
        <v>2</v>
      </c>
      <c r="AF326" s="919">
        <v>4</v>
      </c>
      <c r="AG326" s="919">
        <v>1</v>
      </c>
      <c r="AH326" s="919">
        <v>7</v>
      </c>
      <c r="AI326" s="920">
        <v>1</v>
      </c>
      <c r="AJ326" s="920">
        <v>2</v>
      </c>
      <c r="AK326" s="920">
        <v>3</v>
      </c>
      <c r="AL326" s="920">
        <v>4</v>
      </c>
      <c r="AM326" s="920">
        <v>1</v>
      </c>
      <c r="AN326" s="920">
        <v>1</v>
      </c>
      <c r="AO326" s="920">
        <v>2</v>
      </c>
      <c r="AP326" s="920">
        <v>0</v>
      </c>
      <c r="AQ326" s="920">
        <v>0</v>
      </c>
      <c r="AR326" s="920">
        <v>0</v>
      </c>
      <c r="AS326" s="920">
        <v>0</v>
      </c>
      <c r="AT326" s="920">
        <v>1</v>
      </c>
      <c r="AU326" s="920">
        <v>0</v>
      </c>
    </row>
    <row r="327" spans="1:47" hidden="1">
      <c r="A327" s="898">
        <v>326</v>
      </c>
      <c r="B327" s="912">
        <v>0</v>
      </c>
      <c r="C327" s="913">
        <v>0</v>
      </c>
      <c r="D327" s="913">
        <v>1</v>
      </c>
      <c r="E327" s="913">
        <v>0</v>
      </c>
      <c r="F327" s="913">
        <v>0</v>
      </c>
      <c r="G327" s="914">
        <v>2</v>
      </c>
      <c r="H327" s="914">
        <v>4</v>
      </c>
      <c r="I327" s="914">
        <v>1</v>
      </c>
      <c r="J327" s="914">
        <v>3</v>
      </c>
      <c r="K327" s="915">
        <v>1</v>
      </c>
      <c r="L327" s="915">
        <v>0</v>
      </c>
      <c r="M327" s="915">
        <v>0</v>
      </c>
      <c r="N327" s="902">
        <f t="shared" si="10"/>
        <v>1</v>
      </c>
      <c r="O327" s="916">
        <v>1</v>
      </c>
      <c r="P327" s="916">
        <v>0</v>
      </c>
      <c r="Q327" s="916">
        <v>0</v>
      </c>
      <c r="R327" s="916">
        <v>0</v>
      </c>
      <c r="S327" s="903">
        <f t="shared" si="11"/>
        <v>1</v>
      </c>
      <c r="T327" s="917">
        <v>1</v>
      </c>
      <c r="U327" s="918">
        <v>0</v>
      </c>
      <c r="V327" s="918">
        <v>0</v>
      </c>
      <c r="W327" s="918">
        <v>0</v>
      </c>
      <c r="X327" s="918">
        <v>1</v>
      </c>
      <c r="Y327" s="918">
        <v>1</v>
      </c>
      <c r="Z327" s="918">
        <v>0</v>
      </c>
      <c r="AA327" s="918">
        <v>0</v>
      </c>
      <c r="AB327" s="919">
        <v>7</v>
      </c>
      <c r="AC327" s="919">
        <v>1</v>
      </c>
      <c r="AD327" s="919">
        <v>5</v>
      </c>
      <c r="AE327" s="919">
        <v>6</v>
      </c>
      <c r="AF327" s="919">
        <v>2</v>
      </c>
      <c r="AG327" s="919">
        <v>4</v>
      </c>
      <c r="AH327" s="919">
        <v>3</v>
      </c>
      <c r="AI327" s="920">
        <v>1</v>
      </c>
      <c r="AJ327" s="920">
        <v>1</v>
      </c>
      <c r="AK327" s="920">
        <v>1</v>
      </c>
      <c r="AL327" s="920">
        <v>1</v>
      </c>
      <c r="AM327" s="920">
        <v>1</v>
      </c>
      <c r="AN327" s="920">
        <v>1</v>
      </c>
      <c r="AO327" s="920">
        <v>2</v>
      </c>
      <c r="AP327" s="920">
        <v>0</v>
      </c>
      <c r="AQ327" s="920">
        <v>0</v>
      </c>
      <c r="AR327" s="920">
        <v>0</v>
      </c>
      <c r="AS327" s="920">
        <v>0</v>
      </c>
      <c r="AT327" s="920">
        <v>0</v>
      </c>
      <c r="AU327" s="920">
        <v>1</v>
      </c>
    </row>
    <row r="328" spans="1:47" hidden="1">
      <c r="A328" s="898">
        <v>327</v>
      </c>
      <c r="B328" s="912">
        <v>1</v>
      </c>
      <c r="C328" s="913">
        <v>0</v>
      </c>
      <c r="D328" s="913">
        <v>1</v>
      </c>
      <c r="E328" s="913">
        <v>0</v>
      </c>
      <c r="F328" s="913">
        <v>0</v>
      </c>
      <c r="G328" s="914">
        <v>4</v>
      </c>
      <c r="H328" s="914">
        <v>2</v>
      </c>
      <c r="I328" s="914">
        <v>3</v>
      </c>
      <c r="J328" s="914">
        <v>1</v>
      </c>
      <c r="K328" s="915">
        <v>0</v>
      </c>
      <c r="L328" s="915">
        <v>1</v>
      </c>
      <c r="M328" s="915">
        <v>0</v>
      </c>
      <c r="N328" s="902">
        <f t="shared" si="10"/>
        <v>2</v>
      </c>
      <c r="O328" s="916">
        <v>1</v>
      </c>
      <c r="P328" s="916">
        <v>0</v>
      </c>
      <c r="Q328" s="916">
        <v>0</v>
      </c>
      <c r="R328" s="916">
        <v>0</v>
      </c>
      <c r="S328" s="903">
        <f t="shared" si="11"/>
        <v>1</v>
      </c>
      <c r="T328" s="917">
        <v>1</v>
      </c>
      <c r="U328" s="918">
        <v>0</v>
      </c>
      <c r="V328" s="918">
        <v>0</v>
      </c>
      <c r="W328" s="918">
        <v>1</v>
      </c>
      <c r="X328" s="918">
        <v>1</v>
      </c>
      <c r="Y328" s="918">
        <v>0</v>
      </c>
      <c r="Z328" s="918">
        <v>0</v>
      </c>
      <c r="AA328" s="918">
        <v>0</v>
      </c>
      <c r="AB328" s="919">
        <v>7</v>
      </c>
      <c r="AC328" s="919">
        <v>6</v>
      </c>
      <c r="AD328" s="919">
        <v>4</v>
      </c>
      <c r="AE328" s="919">
        <v>3</v>
      </c>
      <c r="AF328" s="919">
        <v>2</v>
      </c>
      <c r="AG328" s="919">
        <v>1</v>
      </c>
      <c r="AH328" s="919">
        <v>5</v>
      </c>
      <c r="AI328" s="920">
        <v>2</v>
      </c>
      <c r="AJ328" s="920">
        <v>2</v>
      </c>
      <c r="AK328" s="920">
        <v>1</v>
      </c>
      <c r="AL328" s="920">
        <v>1</v>
      </c>
      <c r="AM328" s="920">
        <v>1</v>
      </c>
      <c r="AN328" s="920">
        <v>1</v>
      </c>
      <c r="AO328" s="920">
        <v>1</v>
      </c>
      <c r="AP328" s="920">
        <v>0</v>
      </c>
      <c r="AQ328" s="920">
        <v>1</v>
      </c>
      <c r="AR328" s="920">
        <v>0</v>
      </c>
      <c r="AS328" s="920">
        <v>0</v>
      </c>
      <c r="AT328" s="920">
        <v>0</v>
      </c>
      <c r="AU328" s="920">
        <v>0</v>
      </c>
    </row>
    <row r="329" spans="1:47" hidden="1">
      <c r="A329" s="898">
        <v>328</v>
      </c>
      <c r="B329" s="912">
        <v>1</v>
      </c>
      <c r="C329" s="913">
        <v>0</v>
      </c>
      <c r="D329" s="913">
        <v>1</v>
      </c>
      <c r="E329" s="913">
        <v>0</v>
      </c>
      <c r="F329" s="913">
        <v>0</v>
      </c>
      <c r="G329" s="914">
        <v>3</v>
      </c>
      <c r="H329" s="914">
        <v>2</v>
      </c>
      <c r="I329" s="914">
        <v>1</v>
      </c>
      <c r="J329" s="914">
        <v>4</v>
      </c>
      <c r="K329" s="915">
        <v>1</v>
      </c>
      <c r="L329" s="915">
        <v>0</v>
      </c>
      <c r="M329" s="915">
        <v>0</v>
      </c>
      <c r="N329" s="902">
        <f t="shared" si="10"/>
        <v>1</v>
      </c>
      <c r="O329" s="916">
        <v>0</v>
      </c>
      <c r="P329" s="916">
        <v>1</v>
      </c>
      <c r="Q329" s="916">
        <v>0</v>
      </c>
      <c r="R329" s="916">
        <v>0</v>
      </c>
      <c r="S329" s="903">
        <f t="shared" si="11"/>
        <v>2</v>
      </c>
      <c r="T329" s="917">
        <v>1</v>
      </c>
      <c r="U329" s="918">
        <v>0</v>
      </c>
      <c r="V329" s="918">
        <v>1</v>
      </c>
      <c r="W329" s="918">
        <v>1</v>
      </c>
      <c r="X329" s="918">
        <v>1</v>
      </c>
      <c r="Y329" s="918">
        <v>0</v>
      </c>
      <c r="Z329" s="918">
        <v>1</v>
      </c>
      <c r="AA329" s="918">
        <v>1</v>
      </c>
      <c r="AB329" s="919">
        <v>7</v>
      </c>
      <c r="AC329" s="919">
        <v>5</v>
      </c>
      <c r="AD329" s="919">
        <v>3</v>
      </c>
      <c r="AE329" s="919">
        <v>4</v>
      </c>
      <c r="AF329" s="919">
        <v>6</v>
      </c>
      <c r="AG329" s="919">
        <v>2</v>
      </c>
      <c r="AH329" s="919">
        <v>1</v>
      </c>
      <c r="AI329" s="920">
        <v>2</v>
      </c>
      <c r="AJ329" s="920">
        <v>2</v>
      </c>
      <c r="AK329" s="920">
        <v>3</v>
      </c>
      <c r="AL329" s="920">
        <v>3</v>
      </c>
      <c r="AM329" s="920">
        <v>1</v>
      </c>
      <c r="AN329" s="920">
        <v>1</v>
      </c>
      <c r="AO329" s="920">
        <v>2</v>
      </c>
      <c r="AP329" s="920">
        <v>0</v>
      </c>
      <c r="AQ329" s="920">
        <v>0</v>
      </c>
      <c r="AR329" s="920">
        <v>0</v>
      </c>
      <c r="AS329" s="920">
        <v>0</v>
      </c>
      <c r="AT329" s="920">
        <v>1</v>
      </c>
      <c r="AU329" s="920">
        <v>0</v>
      </c>
    </row>
    <row r="330" spans="1:47" hidden="1">
      <c r="A330" s="898">
        <v>329</v>
      </c>
      <c r="B330" s="912">
        <v>1</v>
      </c>
      <c r="C330" s="913">
        <v>0</v>
      </c>
      <c r="D330" s="913">
        <v>1</v>
      </c>
      <c r="E330" s="913">
        <v>0</v>
      </c>
      <c r="F330" s="913">
        <v>0</v>
      </c>
      <c r="G330" s="914">
        <v>3</v>
      </c>
      <c r="H330" s="914">
        <v>2</v>
      </c>
      <c r="I330" s="914">
        <v>1</v>
      </c>
      <c r="J330" s="914">
        <v>4</v>
      </c>
      <c r="K330" s="915">
        <v>1</v>
      </c>
      <c r="L330" s="915">
        <v>0</v>
      </c>
      <c r="M330" s="915">
        <v>0</v>
      </c>
      <c r="N330" s="902">
        <f t="shared" si="10"/>
        <v>1</v>
      </c>
      <c r="O330" s="916">
        <v>1</v>
      </c>
      <c r="P330" s="916">
        <v>0</v>
      </c>
      <c r="Q330" s="916">
        <v>0</v>
      </c>
      <c r="R330" s="916">
        <v>0</v>
      </c>
      <c r="S330" s="903">
        <f t="shared" si="11"/>
        <v>1</v>
      </c>
      <c r="T330" s="917">
        <v>1</v>
      </c>
      <c r="U330" s="918">
        <v>0</v>
      </c>
      <c r="V330" s="918">
        <v>0</v>
      </c>
      <c r="W330" s="918">
        <v>0</v>
      </c>
      <c r="X330" s="918">
        <v>1</v>
      </c>
      <c r="Y330" s="918">
        <v>0</v>
      </c>
      <c r="Z330" s="918">
        <v>0</v>
      </c>
      <c r="AA330" s="918">
        <v>0</v>
      </c>
      <c r="AB330" s="919">
        <v>1</v>
      </c>
      <c r="AC330" s="919">
        <v>5</v>
      </c>
      <c r="AD330" s="919">
        <v>6</v>
      </c>
      <c r="AE330" s="919">
        <v>4</v>
      </c>
      <c r="AF330" s="919">
        <v>2</v>
      </c>
      <c r="AG330" s="919">
        <v>3</v>
      </c>
      <c r="AH330" s="919">
        <v>7</v>
      </c>
      <c r="AI330" s="920">
        <v>2</v>
      </c>
      <c r="AJ330" s="920">
        <v>2</v>
      </c>
      <c r="AK330" s="920">
        <v>1</v>
      </c>
      <c r="AL330" s="920">
        <v>1</v>
      </c>
      <c r="AM330" s="920">
        <v>1</v>
      </c>
      <c r="AN330" s="920">
        <v>1</v>
      </c>
      <c r="AO330" s="920">
        <v>1</v>
      </c>
      <c r="AP330" s="920">
        <v>0</v>
      </c>
      <c r="AQ330" s="920">
        <v>0</v>
      </c>
      <c r="AR330" s="920">
        <v>0</v>
      </c>
      <c r="AS330" s="920">
        <v>0</v>
      </c>
      <c r="AT330" s="920">
        <v>1</v>
      </c>
      <c r="AU330" s="920">
        <v>0</v>
      </c>
    </row>
    <row r="331" spans="1:47" hidden="1">
      <c r="A331" s="898">
        <v>330</v>
      </c>
      <c r="B331" s="912">
        <v>0</v>
      </c>
      <c r="C331" s="913">
        <v>0</v>
      </c>
      <c r="D331" s="913">
        <v>1</v>
      </c>
      <c r="E331" s="913">
        <v>0</v>
      </c>
      <c r="F331" s="913">
        <v>0</v>
      </c>
      <c r="G331" s="914">
        <v>3</v>
      </c>
      <c r="H331" s="914">
        <v>1</v>
      </c>
      <c r="I331" s="914">
        <v>4</v>
      </c>
      <c r="J331" s="914">
        <v>2</v>
      </c>
      <c r="K331" s="915">
        <v>1</v>
      </c>
      <c r="L331" s="915">
        <v>0</v>
      </c>
      <c r="M331" s="915">
        <v>0</v>
      </c>
      <c r="N331" s="902">
        <f t="shared" si="10"/>
        <v>1</v>
      </c>
      <c r="O331" s="916">
        <v>1</v>
      </c>
      <c r="P331" s="916">
        <v>0</v>
      </c>
      <c r="Q331" s="916">
        <v>0</v>
      </c>
      <c r="R331" s="916">
        <v>0</v>
      </c>
      <c r="S331" s="903">
        <f t="shared" si="11"/>
        <v>1</v>
      </c>
      <c r="T331" s="917">
        <v>1</v>
      </c>
      <c r="U331" s="918">
        <v>0</v>
      </c>
      <c r="V331" s="918">
        <v>0</v>
      </c>
      <c r="W331" s="918">
        <v>1</v>
      </c>
      <c r="X331" s="918">
        <v>0</v>
      </c>
      <c r="Y331" s="918">
        <v>0</v>
      </c>
      <c r="Z331" s="918">
        <v>0</v>
      </c>
      <c r="AA331" s="918">
        <v>1</v>
      </c>
      <c r="AB331" s="919">
        <v>4</v>
      </c>
      <c r="AC331" s="919">
        <v>3</v>
      </c>
      <c r="AD331" s="919">
        <v>5</v>
      </c>
      <c r="AE331" s="919">
        <v>6</v>
      </c>
      <c r="AF331" s="919">
        <v>7</v>
      </c>
      <c r="AG331" s="919">
        <v>2</v>
      </c>
      <c r="AH331" s="919">
        <v>1</v>
      </c>
      <c r="AI331" s="920">
        <v>2</v>
      </c>
      <c r="AJ331" s="920">
        <v>1</v>
      </c>
      <c r="AK331" s="920">
        <v>2</v>
      </c>
      <c r="AL331" s="920">
        <v>1</v>
      </c>
      <c r="AM331" s="920">
        <v>1</v>
      </c>
      <c r="AN331" s="920">
        <v>1</v>
      </c>
      <c r="AO331" s="920">
        <v>2</v>
      </c>
      <c r="AP331" s="920">
        <v>0</v>
      </c>
      <c r="AQ331" s="920">
        <v>1</v>
      </c>
      <c r="AR331" s="920">
        <v>0</v>
      </c>
      <c r="AS331" s="920">
        <v>0</v>
      </c>
      <c r="AT331" s="920">
        <v>0</v>
      </c>
      <c r="AU331" s="920">
        <v>0</v>
      </c>
    </row>
    <row r="332" spans="1:47" hidden="1">
      <c r="A332" s="898">
        <v>331</v>
      </c>
      <c r="B332" s="912">
        <v>1</v>
      </c>
      <c r="C332" s="913">
        <v>0</v>
      </c>
      <c r="D332" s="913">
        <v>1</v>
      </c>
      <c r="E332" s="913">
        <v>0</v>
      </c>
      <c r="F332" s="913">
        <v>0</v>
      </c>
      <c r="G332" s="914">
        <v>2</v>
      </c>
      <c r="H332" s="914">
        <v>3</v>
      </c>
      <c r="I332" s="914">
        <v>4</v>
      </c>
      <c r="J332" s="914">
        <v>1</v>
      </c>
      <c r="K332" s="915">
        <v>1</v>
      </c>
      <c r="L332" s="915">
        <v>0</v>
      </c>
      <c r="M332" s="915">
        <v>0</v>
      </c>
      <c r="N332" s="902">
        <f t="shared" si="10"/>
        <v>1</v>
      </c>
      <c r="O332" s="916">
        <v>1</v>
      </c>
      <c r="P332" s="916">
        <v>0</v>
      </c>
      <c r="Q332" s="916">
        <v>0</v>
      </c>
      <c r="R332" s="916">
        <v>0</v>
      </c>
      <c r="S332" s="903">
        <f t="shared" si="11"/>
        <v>1</v>
      </c>
      <c r="T332" s="917">
        <v>1</v>
      </c>
      <c r="U332" s="918">
        <v>1</v>
      </c>
      <c r="V332" s="918">
        <v>0</v>
      </c>
      <c r="W332" s="918">
        <v>0</v>
      </c>
      <c r="X332" s="918">
        <v>1</v>
      </c>
      <c r="Y332" s="918">
        <v>0</v>
      </c>
      <c r="Z332" s="918">
        <v>0</v>
      </c>
      <c r="AA332" s="918">
        <v>0</v>
      </c>
      <c r="AB332" s="919">
        <v>7</v>
      </c>
      <c r="AC332" s="919">
        <v>4</v>
      </c>
      <c r="AD332" s="919">
        <v>1</v>
      </c>
      <c r="AE332" s="919">
        <v>2</v>
      </c>
      <c r="AF332" s="919">
        <v>6</v>
      </c>
      <c r="AG332" s="919">
        <v>3</v>
      </c>
      <c r="AH332" s="919">
        <v>5</v>
      </c>
      <c r="AI332" s="920">
        <v>2</v>
      </c>
      <c r="AJ332" s="920">
        <v>2</v>
      </c>
      <c r="AK332" s="920">
        <v>1</v>
      </c>
      <c r="AL332" s="920">
        <v>1</v>
      </c>
      <c r="AM332" s="920">
        <v>1</v>
      </c>
      <c r="AN332" s="920">
        <v>1</v>
      </c>
      <c r="AO332" s="920">
        <v>1</v>
      </c>
      <c r="AP332" s="920">
        <v>0</v>
      </c>
      <c r="AQ332" s="920">
        <v>1</v>
      </c>
      <c r="AR332" s="920">
        <v>0</v>
      </c>
      <c r="AS332" s="920">
        <v>0</v>
      </c>
      <c r="AT332" s="920">
        <v>0</v>
      </c>
      <c r="AU332" s="920">
        <v>0</v>
      </c>
    </row>
    <row r="333" spans="1:47" hidden="1">
      <c r="A333" s="898">
        <v>332</v>
      </c>
      <c r="B333" s="912">
        <v>0</v>
      </c>
      <c r="C333" s="913">
        <v>0</v>
      </c>
      <c r="D333" s="913">
        <v>1</v>
      </c>
      <c r="E333" s="913">
        <v>0</v>
      </c>
      <c r="F333" s="913">
        <v>0</v>
      </c>
      <c r="G333" s="914">
        <v>1</v>
      </c>
      <c r="H333" s="914">
        <v>4</v>
      </c>
      <c r="I333" s="914">
        <v>2</v>
      </c>
      <c r="J333" s="914">
        <v>3</v>
      </c>
      <c r="K333" s="915">
        <v>0</v>
      </c>
      <c r="L333" s="915">
        <v>1</v>
      </c>
      <c r="M333" s="915">
        <v>0</v>
      </c>
      <c r="N333" s="902">
        <f t="shared" si="10"/>
        <v>2</v>
      </c>
      <c r="O333" s="916">
        <v>1</v>
      </c>
      <c r="P333" s="916">
        <v>0</v>
      </c>
      <c r="Q333" s="916">
        <v>0</v>
      </c>
      <c r="R333" s="916">
        <v>0</v>
      </c>
      <c r="S333" s="903">
        <f t="shared" si="11"/>
        <v>1</v>
      </c>
      <c r="T333" s="917">
        <v>1</v>
      </c>
      <c r="U333" s="918">
        <v>0</v>
      </c>
      <c r="V333" s="918">
        <v>1</v>
      </c>
      <c r="W333" s="918">
        <v>0</v>
      </c>
      <c r="X333" s="918">
        <v>0</v>
      </c>
      <c r="Y333" s="918">
        <v>1</v>
      </c>
      <c r="Z333" s="918">
        <v>0</v>
      </c>
      <c r="AA333" s="918">
        <v>0</v>
      </c>
      <c r="AB333" s="919">
        <v>6</v>
      </c>
      <c r="AC333" s="919">
        <v>5</v>
      </c>
      <c r="AD333" s="919">
        <v>4</v>
      </c>
      <c r="AE333" s="919">
        <v>7</v>
      </c>
      <c r="AF333" s="919">
        <v>2</v>
      </c>
      <c r="AG333" s="919">
        <v>1</v>
      </c>
      <c r="AH333" s="919">
        <v>3</v>
      </c>
      <c r="AI333" s="920">
        <v>1</v>
      </c>
      <c r="AJ333" s="920">
        <v>2</v>
      </c>
      <c r="AK333" s="920">
        <v>2</v>
      </c>
      <c r="AL333" s="920">
        <v>2</v>
      </c>
      <c r="AM333" s="920">
        <v>1</v>
      </c>
      <c r="AN333" s="920">
        <v>1</v>
      </c>
      <c r="AO333" s="920">
        <v>3</v>
      </c>
      <c r="AP333" s="920">
        <v>0</v>
      </c>
      <c r="AQ333" s="920">
        <v>0</v>
      </c>
      <c r="AR333" s="920">
        <v>0</v>
      </c>
      <c r="AS333" s="920">
        <v>0</v>
      </c>
      <c r="AT333" s="920">
        <v>0</v>
      </c>
      <c r="AU333" s="920">
        <v>1</v>
      </c>
    </row>
    <row r="334" spans="1:47" hidden="1">
      <c r="A334" s="898">
        <v>333</v>
      </c>
      <c r="B334" s="912">
        <v>1</v>
      </c>
      <c r="C334" s="913">
        <v>0</v>
      </c>
      <c r="D334" s="913">
        <v>0</v>
      </c>
      <c r="E334" s="913">
        <v>1</v>
      </c>
      <c r="F334" s="913">
        <v>0</v>
      </c>
      <c r="G334" s="914">
        <v>1</v>
      </c>
      <c r="H334" s="914">
        <v>3</v>
      </c>
      <c r="I334" s="914">
        <v>4</v>
      </c>
      <c r="J334" s="914">
        <v>2</v>
      </c>
      <c r="K334" s="915">
        <v>1</v>
      </c>
      <c r="L334" s="915">
        <v>0</v>
      </c>
      <c r="M334" s="915">
        <v>0</v>
      </c>
      <c r="N334" s="902">
        <f t="shared" si="10"/>
        <v>1</v>
      </c>
      <c r="O334" s="916">
        <v>1</v>
      </c>
      <c r="P334" s="916">
        <v>0</v>
      </c>
      <c r="Q334" s="916">
        <v>0</v>
      </c>
      <c r="R334" s="916">
        <v>0</v>
      </c>
      <c r="S334" s="903">
        <f t="shared" si="11"/>
        <v>1</v>
      </c>
      <c r="T334" s="917">
        <v>0</v>
      </c>
      <c r="U334" s="918">
        <v>1</v>
      </c>
      <c r="V334" s="918">
        <v>0</v>
      </c>
      <c r="W334" s="918">
        <v>1</v>
      </c>
      <c r="X334" s="918">
        <v>0</v>
      </c>
      <c r="Y334" s="918">
        <v>0</v>
      </c>
      <c r="Z334" s="918">
        <v>1</v>
      </c>
      <c r="AA334" s="918">
        <v>0</v>
      </c>
      <c r="AB334" s="919">
        <v>2</v>
      </c>
      <c r="AC334" s="919">
        <v>7</v>
      </c>
      <c r="AD334" s="919">
        <v>4</v>
      </c>
      <c r="AE334" s="919">
        <v>5</v>
      </c>
      <c r="AF334" s="919">
        <v>6</v>
      </c>
      <c r="AG334" s="919">
        <v>1</v>
      </c>
      <c r="AH334" s="919">
        <v>3</v>
      </c>
      <c r="AI334" s="920">
        <v>2</v>
      </c>
      <c r="AJ334" s="920">
        <v>2</v>
      </c>
      <c r="AK334" s="920">
        <v>2</v>
      </c>
      <c r="AL334" s="920">
        <v>2</v>
      </c>
      <c r="AM334" s="920">
        <v>1</v>
      </c>
      <c r="AN334" s="920">
        <v>1</v>
      </c>
      <c r="AO334" s="920">
        <v>2</v>
      </c>
      <c r="AP334" s="920">
        <v>0</v>
      </c>
      <c r="AQ334" s="920">
        <v>0</v>
      </c>
      <c r="AR334" s="920">
        <v>1</v>
      </c>
      <c r="AS334" s="920">
        <v>0</v>
      </c>
      <c r="AT334" s="920">
        <v>0</v>
      </c>
      <c r="AU334" s="920">
        <v>0</v>
      </c>
    </row>
    <row r="335" spans="1:47">
      <c r="A335" s="898">
        <v>334</v>
      </c>
      <c r="B335" s="912">
        <v>0</v>
      </c>
      <c r="C335" s="913">
        <v>0</v>
      </c>
      <c r="D335" s="913">
        <v>1</v>
      </c>
      <c r="E335" s="913">
        <v>0</v>
      </c>
      <c r="F335" s="913">
        <v>0</v>
      </c>
      <c r="G335" s="914">
        <v>4</v>
      </c>
      <c r="H335" s="914">
        <v>1</v>
      </c>
      <c r="I335" s="914">
        <v>2</v>
      </c>
      <c r="J335" s="914">
        <v>3</v>
      </c>
      <c r="K335" s="915">
        <v>0</v>
      </c>
      <c r="L335" s="915">
        <v>1</v>
      </c>
      <c r="M335" s="915">
        <v>0</v>
      </c>
      <c r="N335" s="902">
        <f t="shared" si="10"/>
        <v>2</v>
      </c>
      <c r="O335" s="916">
        <v>1</v>
      </c>
      <c r="P335" s="916">
        <v>0</v>
      </c>
      <c r="Q335" s="916">
        <v>0</v>
      </c>
      <c r="R335" s="916">
        <v>0</v>
      </c>
      <c r="S335" s="903">
        <f t="shared" si="11"/>
        <v>1</v>
      </c>
      <c r="T335" s="917">
        <v>1</v>
      </c>
      <c r="U335" s="918">
        <v>1</v>
      </c>
      <c r="V335" s="918">
        <v>1</v>
      </c>
      <c r="W335" s="918">
        <v>0</v>
      </c>
      <c r="X335" s="918">
        <v>0</v>
      </c>
      <c r="Y335" s="918">
        <v>0</v>
      </c>
      <c r="Z335" s="918">
        <v>0</v>
      </c>
      <c r="AA335" s="918">
        <v>0</v>
      </c>
      <c r="AB335" s="919">
        <v>2</v>
      </c>
      <c r="AC335" s="919">
        <v>1</v>
      </c>
      <c r="AD335" s="919">
        <v>6</v>
      </c>
      <c r="AE335" s="919">
        <v>7</v>
      </c>
      <c r="AF335" s="919">
        <v>4</v>
      </c>
      <c r="AG335" s="919">
        <v>5</v>
      </c>
      <c r="AH335" s="919">
        <v>2</v>
      </c>
      <c r="AI335" s="920">
        <v>2</v>
      </c>
      <c r="AJ335" s="920">
        <v>1</v>
      </c>
      <c r="AK335" s="920">
        <v>1</v>
      </c>
      <c r="AL335" s="920">
        <v>1</v>
      </c>
      <c r="AM335" s="920">
        <v>1</v>
      </c>
      <c r="AN335" s="920">
        <v>1</v>
      </c>
      <c r="AO335" s="920">
        <v>1</v>
      </c>
      <c r="AP335" s="920">
        <v>1</v>
      </c>
      <c r="AQ335" s="920">
        <v>0</v>
      </c>
      <c r="AR335" s="920">
        <v>0</v>
      </c>
      <c r="AS335" s="920">
        <v>0</v>
      </c>
      <c r="AT335" s="920">
        <v>0</v>
      </c>
      <c r="AU335" s="920">
        <v>0</v>
      </c>
    </row>
    <row r="336" spans="1:47" hidden="1">
      <c r="A336" s="898">
        <v>335</v>
      </c>
      <c r="B336" s="912">
        <v>0</v>
      </c>
      <c r="C336" s="913">
        <v>0</v>
      </c>
      <c r="D336" s="913">
        <v>1</v>
      </c>
      <c r="E336" s="913">
        <v>0</v>
      </c>
      <c r="F336" s="913">
        <v>0</v>
      </c>
      <c r="G336" s="914">
        <v>3</v>
      </c>
      <c r="H336" s="914">
        <v>2</v>
      </c>
      <c r="I336" s="914">
        <v>1</v>
      </c>
      <c r="J336" s="914">
        <v>4</v>
      </c>
      <c r="K336" s="915">
        <v>1</v>
      </c>
      <c r="L336" s="915">
        <v>0</v>
      </c>
      <c r="M336" s="915">
        <v>0</v>
      </c>
      <c r="N336" s="902">
        <f t="shared" si="10"/>
        <v>1</v>
      </c>
      <c r="O336" s="916">
        <v>1</v>
      </c>
      <c r="P336" s="916">
        <v>0</v>
      </c>
      <c r="Q336" s="916">
        <v>0</v>
      </c>
      <c r="R336" s="916">
        <v>0</v>
      </c>
      <c r="S336" s="903">
        <f t="shared" si="11"/>
        <v>1</v>
      </c>
      <c r="T336" s="917">
        <v>1</v>
      </c>
      <c r="U336" s="918">
        <v>0</v>
      </c>
      <c r="V336" s="918">
        <v>1</v>
      </c>
      <c r="W336" s="918">
        <v>1</v>
      </c>
      <c r="X336" s="918">
        <v>1</v>
      </c>
      <c r="Y336" s="918">
        <v>0</v>
      </c>
      <c r="Z336" s="918">
        <v>0</v>
      </c>
      <c r="AA336" s="918">
        <v>0</v>
      </c>
      <c r="AB336" s="919">
        <v>7</v>
      </c>
      <c r="AC336" s="919">
        <v>2</v>
      </c>
      <c r="AD336" s="919">
        <v>6</v>
      </c>
      <c r="AE336" s="919">
        <v>5</v>
      </c>
      <c r="AF336" s="919">
        <v>3</v>
      </c>
      <c r="AG336" s="919">
        <v>1</v>
      </c>
      <c r="AH336" s="919">
        <v>4</v>
      </c>
      <c r="AI336" s="920">
        <v>2</v>
      </c>
      <c r="AJ336" s="920">
        <v>1</v>
      </c>
      <c r="AK336" s="920">
        <v>1</v>
      </c>
      <c r="AL336" s="920">
        <v>1</v>
      </c>
      <c r="AM336" s="920">
        <v>1</v>
      </c>
      <c r="AN336" s="920">
        <v>1</v>
      </c>
      <c r="AO336" s="920">
        <v>1</v>
      </c>
      <c r="AP336" s="920">
        <v>0</v>
      </c>
      <c r="AQ336" s="920">
        <v>1</v>
      </c>
      <c r="AR336" s="920">
        <v>0</v>
      </c>
      <c r="AS336" s="920">
        <v>0</v>
      </c>
      <c r="AT336" s="920">
        <v>0</v>
      </c>
      <c r="AU336" s="920">
        <v>0</v>
      </c>
    </row>
    <row r="337" spans="1:47" hidden="1">
      <c r="A337" s="898">
        <v>336</v>
      </c>
      <c r="B337" s="912">
        <v>1</v>
      </c>
      <c r="C337" s="913">
        <v>0</v>
      </c>
      <c r="D337" s="913">
        <v>1</v>
      </c>
      <c r="E337" s="913">
        <v>0</v>
      </c>
      <c r="F337" s="913">
        <v>0</v>
      </c>
      <c r="G337" s="914">
        <v>1</v>
      </c>
      <c r="H337" s="914">
        <v>3</v>
      </c>
      <c r="I337" s="914">
        <v>4</v>
      </c>
      <c r="J337" s="914">
        <v>2</v>
      </c>
      <c r="K337" s="915">
        <v>0</v>
      </c>
      <c r="L337" s="915">
        <v>1</v>
      </c>
      <c r="M337" s="915">
        <v>0</v>
      </c>
      <c r="N337" s="902">
        <f t="shared" si="10"/>
        <v>2</v>
      </c>
      <c r="O337" s="916">
        <v>1</v>
      </c>
      <c r="P337" s="916">
        <v>0</v>
      </c>
      <c r="Q337" s="916">
        <v>0</v>
      </c>
      <c r="R337" s="916">
        <v>0</v>
      </c>
      <c r="S337" s="903">
        <f t="shared" si="11"/>
        <v>1</v>
      </c>
      <c r="T337" s="917">
        <v>1</v>
      </c>
      <c r="U337" s="918">
        <v>0</v>
      </c>
      <c r="V337" s="918">
        <v>0</v>
      </c>
      <c r="W337" s="918">
        <v>1</v>
      </c>
      <c r="X337" s="918">
        <v>1</v>
      </c>
      <c r="Y337" s="918">
        <v>0</v>
      </c>
      <c r="Z337" s="918">
        <v>1</v>
      </c>
      <c r="AA337" s="918">
        <v>0</v>
      </c>
      <c r="AB337" s="919">
        <v>1</v>
      </c>
      <c r="AC337" s="919">
        <v>5</v>
      </c>
      <c r="AD337" s="919">
        <v>2</v>
      </c>
      <c r="AE337" s="919">
        <v>3</v>
      </c>
      <c r="AF337" s="919">
        <v>6</v>
      </c>
      <c r="AG337" s="919">
        <v>7</v>
      </c>
      <c r="AH337" s="919">
        <v>4</v>
      </c>
      <c r="AI337" s="920">
        <v>2</v>
      </c>
      <c r="AJ337" s="920">
        <v>2</v>
      </c>
      <c r="AK337" s="920">
        <v>1</v>
      </c>
      <c r="AL337" s="920">
        <v>1</v>
      </c>
      <c r="AM337" s="920">
        <v>1</v>
      </c>
      <c r="AN337" s="920">
        <v>1</v>
      </c>
      <c r="AO337" s="920">
        <v>2</v>
      </c>
      <c r="AP337" s="920">
        <v>1</v>
      </c>
      <c r="AQ337" s="920">
        <v>0</v>
      </c>
      <c r="AR337" s="920">
        <v>0</v>
      </c>
      <c r="AS337" s="920">
        <v>0</v>
      </c>
      <c r="AT337" s="920">
        <v>0</v>
      </c>
      <c r="AU337" s="920">
        <v>0</v>
      </c>
    </row>
    <row r="338" spans="1:47" hidden="1">
      <c r="A338" s="898">
        <v>337</v>
      </c>
      <c r="B338" s="912">
        <v>0</v>
      </c>
      <c r="C338" s="913">
        <v>0</v>
      </c>
      <c r="D338" s="913">
        <v>1</v>
      </c>
      <c r="E338" s="913">
        <v>0</v>
      </c>
      <c r="F338" s="913">
        <v>0</v>
      </c>
      <c r="G338" s="914">
        <v>1</v>
      </c>
      <c r="H338" s="914">
        <v>4</v>
      </c>
      <c r="I338" s="914">
        <v>2</v>
      </c>
      <c r="J338" s="914">
        <v>3</v>
      </c>
      <c r="K338" s="915">
        <v>0</v>
      </c>
      <c r="L338" s="915">
        <v>1</v>
      </c>
      <c r="M338" s="915">
        <v>0</v>
      </c>
      <c r="N338" s="902">
        <f t="shared" si="10"/>
        <v>2</v>
      </c>
      <c r="O338" s="916">
        <v>1</v>
      </c>
      <c r="P338" s="916">
        <v>0</v>
      </c>
      <c r="Q338" s="916">
        <v>0</v>
      </c>
      <c r="R338" s="916">
        <v>0</v>
      </c>
      <c r="S338" s="903">
        <f t="shared" si="11"/>
        <v>1</v>
      </c>
      <c r="T338" s="917">
        <v>1</v>
      </c>
      <c r="U338" s="918">
        <v>0</v>
      </c>
      <c r="V338" s="918">
        <v>0</v>
      </c>
      <c r="W338" s="918">
        <v>1</v>
      </c>
      <c r="X338" s="918">
        <v>0</v>
      </c>
      <c r="Y338" s="918">
        <v>1</v>
      </c>
      <c r="Z338" s="918">
        <v>0</v>
      </c>
      <c r="AA338" s="918">
        <v>0</v>
      </c>
      <c r="AB338" s="919">
        <v>6</v>
      </c>
      <c r="AC338" s="919">
        <v>5</v>
      </c>
      <c r="AD338" s="919">
        <v>4</v>
      </c>
      <c r="AE338" s="919">
        <v>7</v>
      </c>
      <c r="AF338" s="919">
        <v>2</v>
      </c>
      <c r="AG338" s="919">
        <v>1</v>
      </c>
      <c r="AH338" s="919">
        <v>3</v>
      </c>
      <c r="AI338" s="920">
        <v>1</v>
      </c>
      <c r="AJ338" s="920">
        <v>2</v>
      </c>
      <c r="AK338" s="920">
        <v>2</v>
      </c>
      <c r="AL338" s="920">
        <v>2</v>
      </c>
      <c r="AM338" s="920">
        <v>1</v>
      </c>
      <c r="AN338" s="920">
        <v>1</v>
      </c>
      <c r="AO338" s="920">
        <v>3</v>
      </c>
      <c r="AP338" s="920">
        <v>0</v>
      </c>
      <c r="AQ338" s="920">
        <v>0</v>
      </c>
      <c r="AR338" s="920">
        <v>0</v>
      </c>
      <c r="AS338" s="920">
        <v>0</v>
      </c>
      <c r="AT338" s="920">
        <v>0</v>
      </c>
      <c r="AU338" s="920">
        <v>1</v>
      </c>
    </row>
    <row r="339" spans="1:47" hidden="1">
      <c r="A339" s="898">
        <v>338</v>
      </c>
      <c r="B339" s="912">
        <v>1</v>
      </c>
      <c r="C339" s="913">
        <v>0</v>
      </c>
      <c r="D339" s="913">
        <v>0</v>
      </c>
      <c r="E339" s="913">
        <v>1</v>
      </c>
      <c r="F339" s="913">
        <v>0</v>
      </c>
      <c r="G339" s="914">
        <v>3</v>
      </c>
      <c r="H339" s="914">
        <v>1</v>
      </c>
      <c r="I339" s="914">
        <v>2</v>
      </c>
      <c r="J339" s="914">
        <v>4</v>
      </c>
      <c r="K339" s="915">
        <v>0</v>
      </c>
      <c r="L339" s="915">
        <v>1</v>
      </c>
      <c r="M339" s="915">
        <v>0</v>
      </c>
      <c r="N339" s="902">
        <f t="shared" si="10"/>
        <v>2</v>
      </c>
      <c r="O339" s="916">
        <v>1</v>
      </c>
      <c r="P339" s="916">
        <v>0</v>
      </c>
      <c r="Q339" s="916">
        <v>0</v>
      </c>
      <c r="R339" s="916">
        <v>0</v>
      </c>
      <c r="S339" s="903">
        <f t="shared" si="11"/>
        <v>1</v>
      </c>
      <c r="T339" s="917">
        <v>1</v>
      </c>
      <c r="U339" s="918">
        <v>0</v>
      </c>
      <c r="V339" s="918">
        <v>0</v>
      </c>
      <c r="W339" s="918">
        <v>0</v>
      </c>
      <c r="X339" s="918">
        <v>1</v>
      </c>
      <c r="Y339" s="918">
        <v>1</v>
      </c>
      <c r="Z339" s="918">
        <v>0</v>
      </c>
      <c r="AA339" s="918">
        <v>1</v>
      </c>
      <c r="AB339" s="919">
        <v>3</v>
      </c>
      <c r="AC339" s="919">
        <v>5</v>
      </c>
      <c r="AD339" s="919">
        <v>2</v>
      </c>
      <c r="AE339" s="919">
        <v>1</v>
      </c>
      <c r="AF339" s="919">
        <v>7</v>
      </c>
      <c r="AG339" s="919">
        <v>6</v>
      </c>
      <c r="AH339" s="919">
        <v>4</v>
      </c>
      <c r="AI339" s="920">
        <v>1</v>
      </c>
      <c r="AJ339" s="920">
        <v>1</v>
      </c>
      <c r="AK339" s="920">
        <v>2</v>
      </c>
      <c r="AL339" s="920">
        <v>3</v>
      </c>
      <c r="AM339" s="920">
        <v>1</v>
      </c>
      <c r="AN339" s="920">
        <v>1</v>
      </c>
      <c r="AO339" s="920">
        <v>3</v>
      </c>
      <c r="AP339" s="920">
        <v>0</v>
      </c>
      <c r="AQ339" s="920">
        <v>0</v>
      </c>
      <c r="AR339" s="920">
        <v>0</v>
      </c>
      <c r="AS339" s="920">
        <v>1</v>
      </c>
      <c r="AT339" s="920">
        <v>0</v>
      </c>
      <c r="AU339" s="920">
        <v>0</v>
      </c>
    </row>
    <row r="340" spans="1:47" hidden="1">
      <c r="A340" s="898">
        <v>339</v>
      </c>
      <c r="B340" s="912">
        <v>1</v>
      </c>
      <c r="C340" s="913">
        <v>1</v>
      </c>
      <c r="D340" s="913">
        <v>0</v>
      </c>
      <c r="E340" s="913">
        <v>0</v>
      </c>
      <c r="F340" s="913">
        <v>0</v>
      </c>
      <c r="G340" s="914">
        <v>3</v>
      </c>
      <c r="H340" s="914">
        <v>1</v>
      </c>
      <c r="I340" s="914">
        <v>4</v>
      </c>
      <c r="J340" s="914">
        <v>2</v>
      </c>
      <c r="K340" s="915">
        <v>1</v>
      </c>
      <c r="L340" s="915">
        <v>0</v>
      </c>
      <c r="M340" s="915">
        <v>0</v>
      </c>
      <c r="N340" s="902">
        <f t="shared" si="10"/>
        <v>1</v>
      </c>
      <c r="O340" s="916">
        <v>1</v>
      </c>
      <c r="P340" s="916">
        <v>0</v>
      </c>
      <c r="Q340" s="916">
        <v>0</v>
      </c>
      <c r="R340" s="916">
        <v>0</v>
      </c>
      <c r="S340" s="903">
        <f t="shared" si="11"/>
        <v>1</v>
      </c>
      <c r="T340" s="917">
        <v>1</v>
      </c>
      <c r="U340" s="918">
        <v>0</v>
      </c>
      <c r="V340" s="918">
        <v>0</v>
      </c>
      <c r="W340" s="918">
        <v>1</v>
      </c>
      <c r="X340" s="918">
        <v>0</v>
      </c>
      <c r="Y340" s="918">
        <v>0</v>
      </c>
      <c r="Z340" s="918">
        <v>0</v>
      </c>
      <c r="AA340" s="918">
        <v>0</v>
      </c>
      <c r="AB340" s="919">
        <v>1</v>
      </c>
      <c r="AC340" s="919">
        <v>7</v>
      </c>
      <c r="AD340" s="919">
        <v>2</v>
      </c>
      <c r="AE340" s="919">
        <v>3</v>
      </c>
      <c r="AF340" s="919">
        <v>5</v>
      </c>
      <c r="AG340" s="919">
        <v>4</v>
      </c>
      <c r="AH340" s="919">
        <v>6</v>
      </c>
      <c r="AI340" s="920">
        <v>2</v>
      </c>
      <c r="AJ340" s="920">
        <v>2</v>
      </c>
      <c r="AK340" s="920">
        <v>1</v>
      </c>
      <c r="AL340" s="920">
        <v>1</v>
      </c>
      <c r="AM340" s="920">
        <v>1</v>
      </c>
      <c r="AN340" s="920">
        <v>1</v>
      </c>
      <c r="AO340" s="920">
        <v>2</v>
      </c>
      <c r="AP340" s="920">
        <v>1</v>
      </c>
      <c r="AQ340" s="920">
        <v>0</v>
      </c>
      <c r="AR340" s="920">
        <v>0</v>
      </c>
      <c r="AS340" s="920">
        <v>0</v>
      </c>
      <c r="AT340" s="920">
        <v>0</v>
      </c>
      <c r="AU340" s="920">
        <v>0</v>
      </c>
    </row>
    <row r="341" spans="1:47">
      <c r="A341" s="898">
        <v>340</v>
      </c>
      <c r="B341" s="912">
        <v>0</v>
      </c>
      <c r="C341" s="913">
        <v>0</v>
      </c>
      <c r="D341" s="913">
        <v>1</v>
      </c>
      <c r="E341" s="913">
        <v>0</v>
      </c>
      <c r="F341" s="913">
        <v>0</v>
      </c>
      <c r="G341" s="914">
        <v>3</v>
      </c>
      <c r="H341" s="914">
        <v>4</v>
      </c>
      <c r="I341" s="914">
        <v>1</v>
      </c>
      <c r="J341" s="914">
        <v>2</v>
      </c>
      <c r="K341" s="915">
        <v>1</v>
      </c>
      <c r="L341" s="915">
        <v>0</v>
      </c>
      <c r="M341" s="915">
        <v>0</v>
      </c>
      <c r="N341" s="902">
        <f t="shared" si="10"/>
        <v>1</v>
      </c>
      <c r="O341" s="916">
        <v>1</v>
      </c>
      <c r="P341" s="916">
        <v>0</v>
      </c>
      <c r="Q341" s="916">
        <v>0</v>
      </c>
      <c r="R341" s="916">
        <v>0</v>
      </c>
      <c r="S341" s="903">
        <f t="shared" si="11"/>
        <v>1</v>
      </c>
      <c r="T341" s="917">
        <v>1</v>
      </c>
      <c r="U341" s="918">
        <v>0</v>
      </c>
      <c r="V341" s="918">
        <v>0</v>
      </c>
      <c r="W341" s="918">
        <v>1</v>
      </c>
      <c r="X341" s="918">
        <v>1</v>
      </c>
      <c r="Y341" s="918">
        <v>1</v>
      </c>
      <c r="Z341" s="918">
        <v>1</v>
      </c>
      <c r="AA341" s="918">
        <v>1</v>
      </c>
      <c r="AB341" s="919">
        <v>6</v>
      </c>
      <c r="AC341" s="919">
        <v>7</v>
      </c>
      <c r="AD341" s="919">
        <v>3</v>
      </c>
      <c r="AE341" s="919">
        <v>1</v>
      </c>
      <c r="AF341" s="919">
        <v>4</v>
      </c>
      <c r="AG341" s="919">
        <v>5</v>
      </c>
      <c r="AH341" s="919">
        <v>2</v>
      </c>
      <c r="AI341" s="920">
        <v>1</v>
      </c>
      <c r="AJ341" s="920">
        <v>2</v>
      </c>
      <c r="AK341" s="920">
        <v>3</v>
      </c>
      <c r="AL341" s="920">
        <v>3</v>
      </c>
      <c r="AM341" s="920">
        <v>1</v>
      </c>
      <c r="AN341" s="920">
        <v>1</v>
      </c>
      <c r="AO341" s="920">
        <v>2</v>
      </c>
      <c r="AP341" s="920">
        <v>0</v>
      </c>
      <c r="AQ341" s="920">
        <v>1</v>
      </c>
      <c r="AR341" s="920">
        <v>0</v>
      </c>
      <c r="AS341" s="920">
        <v>0</v>
      </c>
      <c r="AT341" s="920">
        <v>0</v>
      </c>
      <c r="AU341" s="920">
        <v>0</v>
      </c>
    </row>
    <row r="342" spans="1:47" hidden="1">
      <c r="A342" s="898">
        <v>341</v>
      </c>
      <c r="B342" s="912">
        <v>0</v>
      </c>
      <c r="C342" s="913">
        <v>0</v>
      </c>
      <c r="D342" s="913">
        <v>0</v>
      </c>
      <c r="E342" s="913">
        <v>0</v>
      </c>
      <c r="F342" s="913">
        <v>1</v>
      </c>
      <c r="G342" s="914">
        <v>4</v>
      </c>
      <c r="H342" s="914">
        <v>2</v>
      </c>
      <c r="I342" s="914">
        <v>3</v>
      </c>
      <c r="J342" s="914">
        <v>1</v>
      </c>
      <c r="K342" s="915">
        <v>1</v>
      </c>
      <c r="L342" s="915">
        <v>0</v>
      </c>
      <c r="M342" s="915">
        <v>0</v>
      </c>
      <c r="N342" s="902">
        <f t="shared" si="10"/>
        <v>1</v>
      </c>
      <c r="O342" s="916">
        <v>1</v>
      </c>
      <c r="P342" s="916">
        <v>0</v>
      </c>
      <c r="Q342" s="916">
        <v>0</v>
      </c>
      <c r="R342" s="916">
        <v>0</v>
      </c>
      <c r="S342" s="903">
        <f t="shared" si="11"/>
        <v>1</v>
      </c>
      <c r="T342" s="917">
        <v>1</v>
      </c>
      <c r="U342" s="918">
        <v>0</v>
      </c>
      <c r="V342" s="918">
        <v>0</v>
      </c>
      <c r="W342" s="918">
        <v>0</v>
      </c>
      <c r="X342" s="918">
        <v>0</v>
      </c>
      <c r="Y342" s="918">
        <v>0</v>
      </c>
      <c r="Z342" s="918">
        <v>1</v>
      </c>
      <c r="AA342" s="918">
        <v>0</v>
      </c>
      <c r="AB342" s="919">
        <v>6</v>
      </c>
      <c r="AC342" s="919">
        <v>2</v>
      </c>
      <c r="AD342" s="919">
        <v>4</v>
      </c>
      <c r="AE342" s="919">
        <v>7</v>
      </c>
      <c r="AF342" s="919">
        <v>5</v>
      </c>
      <c r="AG342" s="919">
        <v>3</v>
      </c>
      <c r="AH342" s="919">
        <v>1</v>
      </c>
      <c r="AI342" s="920">
        <v>1</v>
      </c>
      <c r="AJ342" s="920">
        <v>1</v>
      </c>
      <c r="AK342" s="920">
        <v>1</v>
      </c>
      <c r="AL342" s="920">
        <v>1</v>
      </c>
      <c r="AM342" s="920">
        <v>2</v>
      </c>
      <c r="AN342" s="920">
        <v>1</v>
      </c>
      <c r="AO342" s="920">
        <v>1</v>
      </c>
      <c r="AP342" s="920">
        <v>0</v>
      </c>
      <c r="AQ342" s="920">
        <v>1</v>
      </c>
      <c r="AR342" s="920">
        <v>0</v>
      </c>
      <c r="AS342" s="920">
        <v>0</v>
      </c>
      <c r="AT342" s="920">
        <v>0</v>
      </c>
      <c r="AU342" s="920">
        <v>0</v>
      </c>
    </row>
    <row r="343" spans="1:47" hidden="1">
      <c r="A343" s="898">
        <v>342</v>
      </c>
      <c r="B343" s="912">
        <v>0</v>
      </c>
      <c r="C343" s="913">
        <v>0</v>
      </c>
      <c r="D343" s="913">
        <v>1</v>
      </c>
      <c r="E343" s="913">
        <v>0</v>
      </c>
      <c r="F343" s="913">
        <v>0</v>
      </c>
      <c r="G343" s="914">
        <v>1</v>
      </c>
      <c r="H343" s="914">
        <v>3</v>
      </c>
      <c r="I343" s="914">
        <v>2</v>
      </c>
      <c r="J343" s="914">
        <v>4</v>
      </c>
      <c r="K343" s="915">
        <v>1</v>
      </c>
      <c r="L343" s="915">
        <v>0</v>
      </c>
      <c r="M343" s="915">
        <v>0</v>
      </c>
      <c r="N343" s="902">
        <f t="shared" si="10"/>
        <v>1</v>
      </c>
      <c r="O343" s="916">
        <v>1</v>
      </c>
      <c r="P343" s="916">
        <v>0</v>
      </c>
      <c r="Q343" s="916">
        <v>0</v>
      </c>
      <c r="R343" s="916">
        <v>0</v>
      </c>
      <c r="S343" s="903">
        <f t="shared" si="11"/>
        <v>1</v>
      </c>
      <c r="T343" s="917">
        <v>1</v>
      </c>
      <c r="U343" s="918">
        <v>0</v>
      </c>
      <c r="V343" s="918">
        <v>0</v>
      </c>
      <c r="W343" s="918">
        <v>0</v>
      </c>
      <c r="X343" s="918">
        <v>0</v>
      </c>
      <c r="Y343" s="918">
        <v>0</v>
      </c>
      <c r="Z343" s="918">
        <v>1</v>
      </c>
      <c r="AA343" s="918">
        <v>0</v>
      </c>
      <c r="AB343" s="919">
        <v>6</v>
      </c>
      <c r="AC343" s="919">
        <v>5</v>
      </c>
      <c r="AD343" s="919">
        <v>1</v>
      </c>
      <c r="AE343" s="919">
        <v>3</v>
      </c>
      <c r="AF343" s="919">
        <v>2</v>
      </c>
      <c r="AG343" s="919">
        <v>4</v>
      </c>
      <c r="AH343" s="919">
        <v>7</v>
      </c>
      <c r="AI343" s="920">
        <v>2</v>
      </c>
      <c r="AJ343" s="920">
        <v>1</v>
      </c>
      <c r="AK343" s="920">
        <v>2</v>
      </c>
      <c r="AL343" s="920">
        <v>1</v>
      </c>
      <c r="AM343" s="920">
        <v>2</v>
      </c>
      <c r="AN343" s="920">
        <v>1</v>
      </c>
      <c r="AO343" s="920">
        <v>1</v>
      </c>
      <c r="AP343" s="920">
        <v>0</v>
      </c>
      <c r="AQ343" s="920">
        <v>0</v>
      </c>
      <c r="AR343" s="920">
        <v>1</v>
      </c>
      <c r="AS343" s="920">
        <v>0</v>
      </c>
      <c r="AT343" s="920">
        <v>0</v>
      </c>
      <c r="AU343" s="920">
        <v>0</v>
      </c>
    </row>
    <row r="344" spans="1:47" hidden="1">
      <c r="A344" s="898">
        <v>343</v>
      </c>
      <c r="B344" s="912">
        <v>0</v>
      </c>
      <c r="C344" s="913">
        <v>0</v>
      </c>
      <c r="D344" s="913">
        <v>0</v>
      </c>
      <c r="E344" s="913">
        <v>1</v>
      </c>
      <c r="F344" s="913">
        <v>0</v>
      </c>
      <c r="G344" s="914">
        <v>4</v>
      </c>
      <c r="H344" s="914">
        <v>2</v>
      </c>
      <c r="I344" s="914">
        <v>3</v>
      </c>
      <c r="J344" s="914">
        <v>1</v>
      </c>
      <c r="K344" s="915">
        <v>0</v>
      </c>
      <c r="L344" s="915">
        <v>1</v>
      </c>
      <c r="M344" s="915">
        <v>0</v>
      </c>
      <c r="N344" s="902">
        <f t="shared" si="10"/>
        <v>2</v>
      </c>
      <c r="O344" s="916">
        <v>1</v>
      </c>
      <c r="P344" s="916">
        <v>0</v>
      </c>
      <c r="Q344" s="916">
        <v>0</v>
      </c>
      <c r="R344" s="916">
        <v>0</v>
      </c>
      <c r="S344" s="903">
        <f t="shared" si="11"/>
        <v>1</v>
      </c>
      <c r="T344" s="917">
        <v>1</v>
      </c>
      <c r="U344" s="918">
        <v>0</v>
      </c>
      <c r="V344" s="918">
        <v>1</v>
      </c>
      <c r="W344" s="918">
        <v>0</v>
      </c>
      <c r="X344" s="918">
        <v>0</v>
      </c>
      <c r="Y344" s="918">
        <v>0</v>
      </c>
      <c r="Z344" s="918">
        <v>0</v>
      </c>
      <c r="AA344" s="918">
        <v>0</v>
      </c>
      <c r="AB344" s="919">
        <v>6</v>
      </c>
      <c r="AC344" s="919">
        <v>4</v>
      </c>
      <c r="AD344" s="919">
        <v>5</v>
      </c>
      <c r="AE344" s="919">
        <v>7</v>
      </c>
      <c r="AF344" s="919">
        <v>2</v>
      </c>
      <c r="AG344" s="919">
        <v>1</v>
      </c>
      <c r="AH344" s="919">
        <v>3</v>
      </c>
      <c r="AI344" s="920">
        <v>1</v>
      </c>
      <c r="AJ344" s="920">
        <v>2</v>
      </c>
      <c r="AK344" s="920">
        <v>2</v>
      </c>
      <c r="AL344" s="920">
        <v>2</v>
      </c>
      <c r="AM344" s="920">
        <v>1</v>
      </c>
      <c r="AN344" s="920">
        <v>1</v>
      </c>
      <c r="AO344" s="920">
        <v>2</v>
      </c>
      <c r="AP344" s="920">
        <v>0</v>
      </c>
      <c r="AQ344" s="920">
        <v>1</v>
      </c>
      <c r="AR344" s="920">
        <v>0</v>
      </c>
      <c r="AS344" s="920">
        <v>0</v>
      </c>
      <c r="AT344" s="920">
        <v>0</v>
      </c>
      <c r="AU344" s="920">
        <v>0</v>
      </c>
    </row>
    <row r="345" spans="1:47">
      <c r="A345" s="898">
        <v>344</v>
      </c>
      <c r="B345" s="912">
        <v>1</v>
      </c>
      <c r="C345" s="913">
        <v>0</v>
      </c>
      <c r="D345" s="913">
        <v>0</v>
      </c>
      <c r="E345" s="913">
        <v>1</v>
      </c>
      <c r="F345" s="913">
        <v>0</v>
      </c>
      <c r="G345" s="914">
        <v>4</v>
      </c>
      <c r="H345" s="914">
        <v>2</v>
      </c>
      <c r="I345" s="914">
        <v>3</v>
      </c>
      <c r="J345" s="914">
        <v>1</v>
      </c>
      <c r="K345" s="915">
        <v>0</v>
      </c>
      <c r="L345" s="915">
        <v>0</v>
      </c>
      <c r="M345" s="915">
        <v>1</v>
      </c>
      <c r="N345" s="902">
        <f t="shared" si="10"/>
        <v>3</v>
      </c>
      <c r="O345" s="921">
        <v>1</v>
      </c>
      <c r="P345" s="921">
        <v>0</v>
      </c>
      <c r="Q345" s="921">
        <v>0</v>
      </c>
      <c r="R345" s="921">
        <v>0</v>
      </c>
      <c r="S345" s="903">
        <f t="shared" si="11"/>
        <v>1</v>
      </c>
      <c r="T345" s="917">
        <v>1</v>
      </c>
      <c r="U345" s="918">
        <v>0</v>
      </c>
      <c r="V345" s="918">
        <v>1</v>
      </c>
      <c r="W345" s="918">
        <v>1</v>
      </c>
      <c r="X345" s="918">
        <v>0</v>
      </c>
      <c r="Y345" s="918">
        <v>0</v>
      </c>
      <c r="Z345" s="918">
        <v>0</v>
      </c>
      <c r="AA345" s="918">
        <v>0</v>
      </c>
      <c r="AB345" s="919">
        <v>6</v>
      </c>
      <c r="AC345" s="919">
        <v>7</v>
      </c>
      <c r="AD345" s="919">
        <v>3</v>
      </c>
      <c r="AE345" s="919">
        <v>1</v>
      </c>
      <c r="AF345" s="919">
        <v>4</v>
      </c>
      <c r="AG345" s="919">
        <v>5</v>
      </c>
      <c r="AH345" s="919">
        <v>2</v>
      </c>
      <c r="AI345" s="920">
        <v>2</v>
      </c>
      <c r="AJ345" s="920">
        <v>2</v>
      </c>
      <c r="AK345" s="920">
        <v>1</v>
      </c>
      <c r="AL345" s="920">
        <v>1</v>
      </c>
      <c r="AM345" s="920">
        <v>1</v>
      </c>
      <c r="AN345" s="920">
        <v>1</v>
      </c>
      <c r="AO345" s="920">
        <v>1</v>
      </c>
      <c r="AP345" s="920">
        <v>0</v>
      </c>
      <c r="AQ345" s="920">
        <v>1</v>
      </c>
      <c r="AR345" s="920">
        <v>0</v>
      </c>
      <c r="AS345" s="920">
        <v>0</v>
      </c>
      <c r="AT345" s="920">
        <v>1</v>
      </c>
      <c r="AU345" s="920">
        <v>0</v>
      </c>
    </row>
    <row r="346" spans="1:47" hidden="1">
      <c r="A346" s="898">
        <v>345</v>
      </c>
      <c r="B346" s="912">
        <v>1</v>
      </c>
      <c r="C346" s="913">
        <v>0</v>
      </c>
      <c r="D346" s="913">
        <v>0</v>
      </c>
      <c r="E346" s="913">
        <v>0</v>
      </c>
      <c r="F346" s="913">
        <v>1</v>
      </c>
      <c r="G346" s="914">
        <v>3</v>
      </c>
      <c r="H346" s="914">
        <v>4</v>
      </c>
      <c r="I346" s="914">
        <v>2</v>
      </c>
      <c r="J346" s="914">
        <v>1</v>
      </c>
      <c r="K346" s="915">
        <v>1</v>
      </c>
      <c r="L346" s="915">
        <v>0</v>
      </c>
      <c r="M346" s="915">
        <v>0</v>
      </c>
      <c r="N346" s="902">
        <f t="shared" si="10"/>
        <v>1</v>
      </c>
      <c r="O346" s="916">
        <v>1</v>
      </c>
      <c r="P346" s="916">
        <v>0</v>
      </c>
      <c r="Q346" s="916">
        <v>0</v>
      </c>
      <c r="R346" s="916">
        <v>0</v>
      </c>
      <c r="S346" s="903">
        <f t="shared" si="11"/>
        <v>1</v>
      </c>
      <c r="T346" s="917">
        <v>1</v>
      </c>
      <c r="U346" s="918">
        <v>0</v>
      </c>
      <c r="V346" s="918">
        <v>0</v>
      </c>
      <c r="W346" s="918">
        <v>1</v>
      </c>
      <c r="X346" s="918">
        <v>0</v>
      </c>
      <c r="Y346" s="918">
        <v>0</v>
      </c>
      <c r="Z346" s="918">
        <v>0</v>
      </c>
      <c r="AA346" s="918">
        <v>0</v>
      </c>
      <c r="AB346" s="919">
        <v>6</v>
      </c>
      <c r="AC346" s="919">
        <v>4</v>
      </c>
      <c r="AD346" s="919">
        <v>5</v>
      </c>
      <c r="AE346" s="919">
        <v>7</v>
      </c>
      <c r="AF346" s="919">
        <v>2</v>
      </c>
      <c r="AG346" s="919">
        <v>1</v>
      </c>
      <c r="AH346" s="919">
        <v>3</v>
      </c>
      <c r="AI346" s="920">
        <v>2</v>
      </c>
      <c r="AJ346" s="920">
        <v>2</v>
      </c>
      <c r="AK346" s="920">
        <v>1</v>
      </c>
      <c r="AL346" s="920">
        <v>2</v>
      </c>
      <c r="AM346" s="920">
        <v>1</v>
      </c>
      <c r="AN346" s="920">
        <v>1</v>
      </c>
      <c r="AO346" s="920">
        <v>1</v>
      </c>
      <c r="AP346" s="920">
        <v>0</v>
      </c>
      <c r="AQ346" s="920">
        <v>1</v>
      </c>
      <c r="AR346" s="920">
        <v>0</v>
      </c>
      <c r="AS346" s="920">
        <v>0</v>
      </c>
      <c r="AT346" s="920">
        <v>0</v>
      </c>
      <c r="AU346" s="920">
        <v>0</v>
      </c>
    </row>
    <row r="347" spans="1:47" hidden="1">
      <c r="A347" s="898">
        <v>346</v>
      </c>
      <c r="B347" s="912">
        <v>0</v>
      </c>
      <c r="C347" s="913">
        <v>0</v>
      </c>
      <c r="D347" s="913">
        <v>1</v>
      </c>
      <c r="E347" s="913">
        <v>0</v>
      </c>
      <c r="F347" s="913">
        <v>0</v>
      </c>
      <c r="G347" s="914">
        <v>2</v>
      </c>
      <c r="H347" s="914">
        <v>3</v>
      </c>
      <c r="I347" s="914">
        <v>1</v>
      </c>
      <c r="J347" s="914">
        <v>4</v>
      </c>
      <c r="K347" s="915">
        <v>1</v>
      </c>
      <c r="L347" s="915">
        <v>0</v>
      </c>
      <c r="M347" s="915">
        <v>0</v>
      </c>
      <c r="N347" s="902">
        <f t="shared" si="10"/>
        <v>1</v>
      </c>
      <c r="O347" s="916">
        <v>1</v>
      </c>
      <c r="P347" s="916">
        <v>0</v>
      </c>
      <c r="Q347" s="916">
        <v>0</v>
      </c>
      <c r="R347" s="916">
        <v>0</v>
      </c>
      <c r="S347" s="903">
        <f t="shared" si="11"/>
        <v>1</v>
      </c>
      <c r="T347" s="917">
        <v>0</v>
      </c>
      <c r="U347" s="918">
        <v>0</v>
      </c>
      <c r="V347" s="918">
        <v>1</v>
      </c>
      <c r="W347" s="918">
        <v>0</v>
      </c>
      <c r="X347" s="918">
        <v>1</v>
      </c>
      <c r="Y347" s="918">
        <v>0</v>
      </c>
      <c r="Z347" s="918">
        <v>0</v>
      </c>
      <c r="AA347" s="918">
        <v>1</v>
      </c>
      <c r="AB347" s="919">
        <v>5</v>
      </c>
      <c r="AC347" s="919">
        <v>4</v>
      </c>
      <c r="AD347" s="919">
        <v>7</v>
      </c>
      <c r="AE347" s="919">
        <v>3</v>
      </c>
      <c r="AF347" s="919">
        <v>6</v>
      </c>
      <c r="AG347" s="919">
        <v>1</v>
      </c>
      <c r="AH347" s="919">
        <v>2</v>
      </c>
      <c r="AI347" s="920">
        <v>2</v>
      </c>
      <c r="AJ347" s="920">
        <v>2</v>
      </c>
      <c r="AK347" s="920">
        <v>2</v>
      </c>
      <c r="AL347" s="920">
        <v>2</v>
      </c>
      <c r="AM347" s="920">
        <v>1</v>
      </c>
      <c r="AN347" s="920">
        <v>1</v>
      </c>
      <c r="AO347" s="920">
        <v>2</v>
      </c>
      <c r="AP347" s="920">
        <v>1</v>
      </c>
      <c r="AQ347" s="920">
        <v>0</v>
      </c>
      <c r="AR347" s="920">
        <v>0</v>
      </c>
      <c r="AS347" s="920">
        <v>0</v>
      </c>
      <c r="AT347" s="920">
        <v>0</v>
      </c>
      <c r="AU347" s="920">
        <v>0</v>
      </c>
    </row>
    <row r="348" spans="1:47" hidden="1">
      <c r="A348" s="898">
        <v>347</v>
      </c>
      <c r="B348" s="912">
        <v>0</v>
      </c>
      <c r="C348" s="913">
        <v>0</v>
      </c>
      <c r="D348" s="913">
        <v>0</v>
      </c>
      <c r="E348" s="913">
        <v>1</v>
      </c>
      <c r="F348" s="913">
        <v>0</v>
      </c>
      <c r="G348" s="914">
        <v>4</v>
      </c>
      <c r="H348" s="914">
        <v>1</v>
      </c>
      <c r="I348" s="914">
        <v>3</v>
      </c>
      <c r="J348" s="914">
        <v>2</v>
      </c>
      <c r="K348" s="915">
        <v>0</v>
      </c>
      <c r="L348" s="915">
        <v>1</v>
      </c>
      <c r="M348" s="915">
        <v>0</v>
      </c>
      <c r="N348" s="902">
        <f t="shared" si="10"/>
        <v>2</v>
      </c>
      <c r="O348" s="916">
        <v>1</v>
      </c>
      <c r="P348" s="916">
        <v>0</v>
      </c>
      <c r="Q348" s="916">
        <v>0</v>
      </c>
      <c r="R348" s="916">
        <v>0</v>
      </c>
      <c r="S348" s="903">
        <f t="shared" si="11"/>
        <v>1</v>
      </c>
      <c r="T348" s="917">
        <v>0</v>
      </c>
      <c r="U348" s="918">
        <v>0</v>
      </c>
      <c r="V348" s="918">
        <v>1</v>
      </c>
      <c r="W348" s="918">
        <v>1</v>
      </c>
      <c r="X348" s="918">
        <v>1</v>
      </c>
      <c r="Y348" s="918">
        <v>0</v>
      </c>
      <c r="Z348" s="918">
        <v>0</v>
      </c>
      <c r="AA348" s="918">
        <v>0</v>
      </c>
      <c r="AB348" s="919">
        <v>2</v>
      </c>
      <c r="AC348" s="919">
        <v>1</v>
      </c>
      <c r="AD348" s="919">
        <v>7</v>
      </c>
      <c r="AE348" s="919">
        <v>6</v>
      </c>
      <c r="AF348" s="919">
        <v>3</v>
      </c>
      <c r="AG348" s="919">
        <v>4</v>
      </c>
      <c r="AH348" s="919">
        <v>5</v>
      </c>
      <c r="AI348" s="920">
        <v>2</v>
      </c>
      <c r="AJ348" s="920">
        <v>1</v>
      </c>
      <c r="AK348" s="920">
        <v>1</v>
      </c>
      <c r="AL348" s="920">
        <v>1</v>
      </c>
      <c r="AM348" s="920">
        <v>1</v>
      </c>
      <c r="AN348" s="920">
        <v>1</v>
      </c>
      <c r="AO348" s="920">
        <v>1</v>
      </c>
      <c r="AP348" s="920">
        <v>0</v>
      </c>
      <c r="AQ348" s="920">
        <v>1</v>
      </c>
      <c r="AR348" s="920">
        <v>0</v>
      </c>
      <c r="AS348" s="920">
        <v>0</v>
      </c>
      <c r="AT348" s="920">
        <v>0</v>
      </c>
      <c r="AU348" s="920">
        <v>0</v>
      </c>
    </row>
    <row r="349" spans="1:47" hidden="1">
      <c r="A349" s="898">
        <v>348</v>
      </c>
      <c r="B349" s="912">
        <v>0</v>
      </c>
      <c r="C349" s="913">
        <v>1</v>
      </c>
      <c r="D349" s="913">
        <v>0</v>
      </c>
      <c r="E349" s="913">
        <v>0</v>
      </c>
      <c r="F349" s="913">
        <v>0</v>
      </c>
      <c r="G349" s="914">
        <v>4</v>
      </c>
      <c r="H349" s="914">
        <v>2</v>
      </c>
      <c r="I349" s="914">
        <v>3</v>
      </c>
      <c r="J349" s="914">
        <v>1</v>
      </c>
      <c r="K349" s="915">
        <v>0</v>
      </c>
      <c r="L349" s="915">
        <v>1</v>
      </c>
      <c r="M349" s="915">
        <v>0</v>
      </c>
      <c r="N349" s="902">
        <f t="shared" si="10"/>
        <v>2</v>
      </c>
      <c r="O349" s="916">
        <v>1</v>
      </c>
      <c r="P349" s="916">
        <v>0</v>
      </c>
      <c r="Q349" s="916">
        <v>0</v>
      </c>
      <c r="R349" s="916">
        <v>0</v>
      </c>
      <c r="S349" s="903">
        <f t="shared" si="11"/>
        <v>1</v>
      </c>
      <c r="T349" s="917">
        <v>1</v>
      </c>
      <c r="U349" s="918">
        <v>0</v>
      </c>
      <c r="V349" s="918">
        <v>1</v>
      </c>
      <c r="W349" s="918">
        <v>1</v>
      </c>
      <c r="X349" s="918">
        <v>1</v>
      </c>
      <c r="Y349" s="918">
        <v>0</v>
      </c>
      <c r="Z349" s="918">
        <v>0</v>
      </c>
      <c r="AA349" s="918">
        <v>1</v>
      </c>
      <c r="AB349" s="919">
        <v>7</v>
      </c>
      <c r="AC349" s="919">
        <v>1</v>
      </c>
      <c r="AD349" s="919">
        <v>5</v>
      </c>
      <c r="AE349" s="919">
        <v>6</v>
      </c>
      <c r="AF349" s="919">
        <v>2</v>
      </c>
      <c r="AG349" s="919">
        <v>4</v>
      </c>
      <c r="AH349" s="919">
        <v>3</v>
      </c>
      <c r="AI349" s="920">
        <v>1</v>
      </c>
      <c r="AJ349" s="920">
        <v>2</v>
      </c>
      <c r="AK349" s="920">
        <v>2</v>
      </c>
      <c r="AL349" s="920">
        <v>2</v>
      </c>
      <c r="AM349" s="920">
        <v>1</v>
      </c>
      <c r="AN349" s="920">
        <v>1</v>
      </c>
      <c r="AO349" s="920">
        <v>2</v>
      </c>
      <c r="AP349" s="920">
        <v>0</v>
      </c>
      <c r="AQ349" s="920">
        <v>1</v>
      </c>
      <c r="AR349" s="920">
        <v>0</v>
      </c>
      <c r="AS349" s="920">
        <v>0</v>
      </c>
      <c r="AT349" s="920">
        <v>0</v>
      </c>
      <c r="AU349" s="920">
        <v>0</v>
      </c>
    </row>
    <row r="350" spans="1:47" hidden="1">
      <c r="A350" s="898">
        <v>349</v>
      </c>
      <c r="B350" s="912">
        <v>1</v>
      </c>
      <c r="C350" s="913">
        <v>0</v>
      </c>
      <c r="D350" s="913">
        <v>1</v>
      </c>
      <c r="E350" s="913">
        <v>0</v>
      </c>
      <c r="F350" s="913">
        <v>0</v>
      </c>
      <c r="G350" s="914">
        <v>3</v>
      </c>
      <c r="H350" s="914">
        <v>2</v>
      </c>
      <c r="I350" s="914">
        <v>4</v>
      </c>
      <c r="J350" s="914">
        <v>1</v>
      </c>
      <c r="K350" s="915">
        <v>0</v>
      </c>
      <c r="L350" s="915">
        <v>1</v>
      </c>
      <c r="M350" s="915">
        <v>0</v>
      </c>
      <c r="N350" s="902">
        <f t="shared" si="10"/>
        <v>2</v>
      </c>
      <c r="O350" s="916">
        <v>1</v>
      </c>
      <c r="P350" s="916">
        <v>0</v>
      </c>
      <c r="Q350" s="916">
        <v>0</v>
      </c>
      <c r="R350" s="916">
        <v>0</v>
      </c>
      <c r="S350" s="903">
        <f t="shared" si="11"/>
        <v>1</v>
      </c>
      <c r="T350" s="917">
        <v>0</v>
      </c>
      <c r="U350" s="918">
        <v>1</v>
      </c>
      <c r="V350" s="918">
        <v>0</v>
      </c>
      <c r="W350" s="918">
        <v>1</v>
      </c>
      <c r="X350" s="918">
        <v>0</v>
      </c>
      <c r="Y350" s="918">
        <v>0</v>
      </c>
      <c r="Z350" s="918">
        <v>0</v>
      </c>
      <c r="AA350" s="918">
        <v>0</v>
      </c>
      <c r="AB350" s="919">
        <v>6</v>
      </c>
      <c r="AC350" s="919">
        <v>5</v>
      </c>
      <c r="AD350" s="919">
        <v>3</v>
      </c>
      <c r="AE350" s="919">
        <v>7</v>
      </c>
      <c r="AF350" s="919">
        <v>2</v>
      </c>
      <c r="AG350" s="919">
        <v>1</v>
      </c>
      <c r="AH350" s="919">
        <v>4</v>
      </c>
      <c r="AI350" s="920">
        <v>2</v>
      </c>
      <c r="AJ350" s="920">
        <v>1</v>
      </c>
      <c r="AK350" s="920">
        <v>1</v>
      </c>
      <c r="AL350" s="920">
        <v>2</v>
      </c>
      <c r="AM350" s="920">
        <v>1</v>
      </c>
      <c r="AN350" s="920">
        <v>2</v>
      </c>
      <c r="AO350" s="920">
        <v>2</v>
      </c>
      <c r="AP350" s="920">
        <v>0</v>
      </c>
      <c r="AQ350" s="920">
        <v>0</v>
      </c>
      <c r="AR350" s="920">
        <v>0</v>
      </c>
      <c r="AS350" s="920">
        <v>0</v>
      </c>
      <c r="AT350" s="920">
        <v>0</v>
      </c>
      <c r="AU350" s="920">
        <v>1</v>
      </c>
    </row>
    <row r="351" spans="1:47" hidden="1">
      <c r="A351" s="898">
        <v>350</v>
      </c>
      <c r="B351" s="912">
        <v>0</v>
      </c>
      <c r="C351" s="913">
        <v>0</v>
      </c>
      <c r="D351" s="913">
        <v>1</v>
      </c>
      <c r="E351" s="913">
        <v>0</v>
      </c>
      <c r="F351" s="913">
        <v>0</v>
      </c>
      <c r="G351" s="914">
        <v>4</v>
      </c>
      <c r="H351" s="914">
        <v>1</v>
      </c>
      <c r="I351" s="914">
        <v>3</v>
      </c>
      <c r="J351" s="914">
        <v>2</v>
      </c>
      <c r="K351" s="915">
        <v>0</v>
      </c>
      <c r="L351" s="915">
        <v>1</v>
      </c>
      <c r="M351" s="915">
        <v>0</v>
      </c>
      <c r="N351" s="902">
        <f t="shared" si="10"/>
        <v>2</v>
      </c>
      <c r="O351" s="916">
        <v>1</v>
      </c>
      <c r="P351" s="916">
        <v>0</v>
      </c>
      <c r="Q351" s="916">
        <v>0</v>
      </c>
      <c r="R351" s="916">
        <v>0</v>
      </c>
      <c r="S351" s="903">
        <f t="shared" si="11"/>
        <v>1</v>
      </c>
      <c r="T351" s="917">
        <v>1</v>
      </c>
      <c r="U351" s="918">
        <v>1</v>
      </c>
      <c r="V351" s="918">
        <v>0</v>
      </c>
      <c r="W351" s="918">
        <v>1</v>
      </c>
      <c r="X351" s="918">
        <v>1</v>
      </c>
      <c r="Y351" s="918">
        <v>0</v>
      </c>
      <c r="Z351" s="918">
        <v>0</v>
      </c>
      <c r="AA351" s="918">
        <v>0</v>
      </c>
      <c r="AB351" s="919">
        <v>5</v>
      </c>
      <c r="AC351" s="919">
        <v>4</v>
      </c>
      <c r="AD351" s="919">
        <v>6</v>
      </c>
      <c r="AE351" s="919">
        <v>1</v>
      </c>
      <c r="AF351" s="919">
        <v>7</v>
      </c>
      <c r="AG351" s="919">
        <v>3</v>
      </c>
      <c r="AH351" s="919">
        <v>2</v>
      </c>
      <c r="AI351" s="920">
        <v>2</v>
      </c>
      <c r="AJ351" s="920">
        <v>1</v>
      </c>
      <c r="AK351" s="920">
        <v>1</v>
      </c>
      <c r="AL351" s="920">
        <v>1</v>
      </c>
      <c r="AM351" s="920">
        <v>1</v>
      </c>
      <c r="AN351" s="920">
        <v>1</v>
      </c>
      <c r="AO351" s="920">
        <v>1</v>
      </c>
      <c r="AP351" s="920">
        <v>0</v>
      </c>
      <c r="AQ351" s="920">
        <v>0</v>
      </c>
      <c r="AR351" s="920">
        <v>0</v>
      </c>
      <c r="AS351" s="920">
        <v>1</v>
      </c>
      <c r="AT351" s="920">
        <v>0</v>
      </c>
      <c r="AU351" s="920">
        <v>0</v>
      </c>
    </row>
    <row r="352" spans="1:47" hidden="1">
      <c r="A352" s="898">
        <v>351</v>
      </c>
      <c r="B352" s="899">
        <v>0</v>
      </c>
      <c r="C352" s="900">
        <v>0</v>
      </c>
      <c r="D352" s="900">
        <v>0</v>
      </c>
      <c r="E352" s="900">
        <v>1</v>
      </c>
      <c r="F352" s="900">
        <v>0</v>
      </c>
      <c r="G352" s="901">
        <v>2</v>
      </c>
      <c r="H352" s="901">
        <v>3</v>
      </c>
      <c r="I352" s="901">
        <v>4</v>
      </c>
      <c r="J352" s="901">
        <v>1</v>
      </c>
      <c r="K352" s="902">
        <v>1</v>
      </c>
      <c r="L352" s="902">
        <v>0</v>
      </c>
      <c r="M352" s="902">
        <v>0</v>
      </c>
      <c r="N352" s="902">
        <f t="shared" si="10"/>
        <v>1</v>
      </c>
      <c r="O352" s="903">
        <v>1</v>
      </c>
      <c r="P352" s="903">
        <v>0</v>
      </c>
      <c r="Q352" s="903">
        <v>0</v>
      </c>
      <c r="R352" s="903">
        <v>0</v>
      </c>
      <c r="S352" s="903">
        <f t="shared" si="11"/>
        <v>1</v>
      </c>
      <c r="T352" s="904">
        <v>0</v>
      </c>
      <c r="U352" s="905">
        <v>0</v>
      </c>
      <c r="V352" s="905">
        <v>0</v>
      </c>
      <c r="W352" s="905">
        <v>1</v>
      </c>
      <c r="X352" s="905">
        <v>1</v>
      </c>
      <c r="Y352" s="905">
        <v>1</v>
      </c>
      <c r="Z352" s="905">
        <v>1</v>
      </c>
      <c r="AA352" s="905">
        <v>1</v>
      </c>
      <c r="AB352" s="906">
        <v>6</v>
      </c>
      <c r="AC352" s="906">
        <v>7</v>
      </c>
      <c r="AD352" s="906">
        <v>5</v>
      </c>
      <c r="AE352" s="906">
        <v>2</v>
      </c>
      <c r="AF352" s="906">
        <v>1</v>
      </c>
      <c r="AG352" s="906">
        <v>3</v>
      </c>
      <c r="AH352" s="906">
        <v>4</v>
      </c>
      <c r="AI352" s="907">
        <v>1</v>
      </c>
      <c r="AJ352" s="907">
        <v>2</v>
      </c>
      <c r="AK352" s="907">
        <v>2</v>
      </c>
      <c r="AL352" s="907">
        <v>2</v>
      </c>
      <c r="AM352" s="907">
        <v>1</v>
      </c>
      <c r="AN352" s="907">
        <v>1</v>
      </c>
      <c r="AO352" s="907">
        <v>2</v>
      </c>
      <c r="AP352" s="907">
        <v>1</v>
      </c>
      <c r="AQ352" s="907">
        <v>0</v>
      </c>
      <c r="AR352" s="907">
        <v>0</v>
      </c>
      <c r="AS352" s="907">
        <v>0</v>
      </c>
      <c r="AT352" s="907">
        <v>0</v>
      </c>
      <c r="AU352" s="907">
        <v>0</v>
      </c>
    </row>
    <row r="353" spans="1:47" hidden="1">
      <c r="A353" s="898">
        <v>352</v>
      </c>
      <c r="B353" s="899">
        <v>0</v>
      </c>
      <c r="C353" s="900">
        <v>0</v>
      </c>
      <c r="D353" s="900">
        <v>1</v>
      </c>
      <c r="E353" s="900">
        <v>0</v>
      </c>
      <c r="F353" s="900">
        <v>0</v>
      </c>
      <c r="G353" s="901">
        <v>4</v>
      </c>
      <c r="H353" s="901">
        <v>2</v>
      </c>
      <c r="I353" s="901">
        <v>1</v>
      </c>
      <c r="J353" s="901">
        <v>3</v>
      </c>
      <c r="K353" s="902">
        <v>0</v>
      </c>
      <c r="L353" s="902">
        <v>1</v>
      </c>
      <c r="M353" s="902">
        <v>0</v>
      </c>
      <c r="N353" s="902">
        <f t="shared" si="10"/>
        <v>2</v>
      </c>
      <c r="O353" s="903">
        <v>1</v>
      </c>
      <c r="P353" s="903">
        <v>0</v>
      </c>
      <c r="Q353" s="903">
        <v>0</v>
      </c>
      <c r="R353" s="903">
        <v>0</v>
      </c>
      <c r="S353" s="903">
        <f t="shared" si="11"/>
        <v>1</v>
      </c>
      <c r="T353" s="904">
        <v>1</v>
      </c>
      <c r="U353" s="905">
        <v>0</v>
      </c>
      <c r="V353" s="905">
        <v>0</v>
      </c>
      <c r="W353" s="905">
        <v>0</v>
      </c>
      <c r="X353" s="905">
        <v>0</v>
      </c>
      <c r="Y353" s="905">
        <v>1</v>
      </c>
      <c r="Z353" s="905">
        <v>1</v>
      </c>
      <c r="AA353" s="905">
        <v>0</v>
      </c>
      <c r="AB353" s="906">
        <v>7</v>
      </c>
      <c r="AC353" s="906">
        <v>4</v>
      </c>
      <c r="AD353" s="906">
        <v>1</v>
      </c>
      <c r="AE353" s="906">
        <v>6</v>
      </c>
      <c r="AF353" s="906">
        <v>5</v>
      </c>
      <c r="AG353" s="906">
        <v>2</v>
      </c>
      <c r="AH353" s="906">
        <v>3</v>
      </c>
      <c r="AI353" s="907">
        <v>1</v>
      </c>
      <c r="AJ353" s="907">
        <v>1</v>
      </c>
      <c r="AK353" s="907">
        <v>2</v>
      </c>
      <c r="AL353" s="907">
        <v>2</v>
      </c>
      <c r="AM353" s="907">
        <v>1</v>
      </c>
      <c r="AN353" s="907">
        <v>1</v>
      </c>
      <c r="AO353" s="907">
        <v>2</v>
      </c>
      <c r="AP353" s="907">
        <v>0</v>
      </c>
      <c r="AQ353" s="907">
        <v>0</v>
      </c>
      <c r="AR353" s="907">
        <v>0</v>
      </c>
      <c r="AS353" s="907">
        <v>0</v>
      </c>
      <c r="AT353" s="907">
        <v>1</v>
      </c>
      <c r="AU353" s="907">
        <v>0</v>
      </c>
    </row>
    <row r="354" spans="1:47">
      <c r="A354" s="898">
        <v>353</v>
      </c>
      <c r="B354" s="899">
        <v>1</v>
      </c>
      <c r="C354" s="900">
        <v>0</v>
      </c>
      <c r="D354" s="900">
        <v>1</v>
      </c>
      <c r="E354" s="900">
        <v>0</v>
      </c>
      <c r="F354" s="900">
        <v>0</v>
      </c>
      <c r="G354" s="901">
        <v>4</v>
      </c>
      <c r="H354" s="901">
        <v>1</v>
      </c>
      <c r="I354" s="901">
        <v>3</v>
      </c>
      <c r="J354" s="901">
        <v>2</v>
      </c>
      <c r="K354" s="902">
        <v>1</v>
      </c>
      <c r="L354" s="902">
        <v>0</v>
      </c>
      <c r="M354" s="902">
        <v>0</v>
      </c>
      <c r="N354" s="902">
        <f t="shared" si="10"/>
        <v>1</v>
      </c>
      <c r="O354" s="903">
        <v>1</v>
      </c>
      <c r="P354" s="903">
        <v>0</v>
      </c>
      <c r="Q354" s="903">
        <v>0</v>
      </c>
      <c r="R354" s="903">
        <v>0</v>
      </c>
      <c r="S354" s="903">
        <f t="shared" si="11"/>
        <v>1</v>
      </c>
      <c r="T354" s="904">
        <v>1</v>
      </c>
      <c r="U354" s="905">
        <v>0</v>
      </c>
      <c r="V354" s="905">
        <v>1</v>
      </c>
      <c r="W354" s="905">
        <v>1</v>
      </c>
      <c r="X354" s="905">
        <v>1</v>
      </c>
      <c r="Y354" s="905">
        <v>0</v>
      </c>
      <c r="Z354" s="905">
        <v>0</v>
      </c>
      <c r="AA354" s="905">
        <v>0</v>
      </c>
      <c r="AB354" s="906">
        <v>6</v>
      </c>
      <c r="AC354" s="906">
        <v>7</v>
      </c>
      <c r="AD354" s="906">
        <v>1</v>
      </c>
      <c r="AE354" s="906">
        <v>5</v>
      </c>
      <c r="AF354" s="906">
        <v>4</v>
      </c>
      <c r="AG354" s="906">
        <v>1</v>
      </c>
      <c r="AH354" s="906">
        <v>3</v>
      </c>
      <c r="AI354" s="907">
        <v>2</v>
      </c>
      <c r="AJ354" s="907">
        <v>1</v>
      </c>
      <c r="AK354" s="907">
        <v>1</v>
      </c>
      <c r="AL354" s="907">
        <v>1</v>
      </c>
      <c r="AM354" s="907">
        <v>2</v>
      </c>
      <c r="AN354" s="907">
        <v>1</v>
      </c>
      <c r="AO354" s="907">
        <v>1</v>
      </c>
      <c r="AP354" s="907">
        <v>0</v>
      </c>
      <c r="AQ354" s="907">
        <v>0</v>
      </c>
      <c r="AR354" s="907">
        <v>1</v>
      </c>
      <c r="AS354" s="907">
        <v>0</v>
      </c>
      <c r="AT354" s="907">
        <v>0</v>
      </c>
      <c r="AU354" s="907">
        <v>0</v>
      </c>
    </row>
    <row r="355" spans="1:47" hidden="1">
      <c r="A355" s="898">
        <v>354</v>
      </c>
      <c r="B355" s="899">
        <v>0</v>
      </c>
      <c r="C355" s="900">
        <v>0</v>
      </c>
      <c r="D355" s="900">
        <v>1</v>
      </c>
      <c r="E355" s="900">
        <v>0</v>
      </c>
      <c r="F355" s="900">
        <v>0</v>
      </c>
      <c r="G355" s="901">
        <v>4</v>
      </c>
      <c r="H355" s="901">
        <v>3</v>
      </c>
      <c r="I355" s="901">
        <v>1</v>
      </c>
      <c r="J355" s="901">
        <v>2</v>
      </c>
      <c r="K355" s="902">
        <v>1</v>
      </c>
      <c r="L355" s="902">
        <v>0</v>
      </c>
      <c r="M355" s="902">
        <v>0</v>
      </c>
      <c r="N355" s="902">
        <f t="shared" si="10"/>
        <v>1</v>
      </c>
      <c r="O355" s="903">
        <v>1</v>
      </c>
      <c r="P355" s="903">
        <v>0</v>
      </c>
      <c r="Q355" s="903">
        <v>0</v>
      </c>
      <c r="R355" s="903">
        <v>0</v>
      </c>
      <c r="S355" s="903">
        <f t="shared" si="11"/>
        <v>1</v>
      </c>
      <c r="T355" s="904">
        <v>1</v>
      </c>
      <c r="U355" s="905">
        <v>0</v>
      </c>
      <c r="V355" s="905">
        <v>0</v>
      </c>
      <c r="W355" s="905">
        <v>1</v>
      </c>
      <c r="X355" s="905">
        <v>0</v>
      </c>
      <c r="Y355" s="905">
        <v>1</v>
      </c>
      <c r="Z355" s="905">
        <v>1</v>
      </c>
      <c r="AA355" s="905">
        <v>0</v>
      </c>
      <c r="AB355" s="906">
        <v>6</v>
      </c>
      <c r="AC355" s="906">
        <v>1</v>
      </c>
      <c r="AD355" s="906">
        <v>7</v>
      </c>
      <c r="AE355" s="906">
        <v>4</v>
      </c>
      <c r="AF355" s="906">
        <v>5</v>
      </c>
      <c r="AG355" s="906">
        <v>3</v>
      </c>
      <c r="AH355" s="906">
        <v>2</v>
      </c>
      <c r="AI355" s="907">
        <v>1</v>
      </c>
      <c r="AJ355" s="907">
        <v>2</v>
      </c>
      <c r="AK355" s="907">
        <v>1</v>
      </c>
      <c r="AL355" s="907">
        <v>3</v>
      </c>
      <c r="AM355" s="907">
        <v>1</v>
      </c>
      <c r="AN355" s="907">
        <v>1</v>
      </c>
      <c r="AO355" s="907">
        <v>2</v>
      </c>
      <c r="AP355" s="907">
        <v>0</v>
      </c>
      <c r="AQ355" s="907">
        <v>0</v>
      </c>
      <c r="AR355" s="907">
        <v>0</v>
      </c>
      <c r="AS355" s="907">
        <v>0</v>
      </c>
      <c r="AT355" s="907">
        <v>1</v>
      </c>
      <c r="AU355" s="907">
        <v>0</v>
      </c>
    </row>
    <row r="356" spans="1:47" hidden="1">
      <c r="A356" s="898">
        <v>355</v>
      </c>
      <c r="B356" s="899">
        <v>1</v>
      </c>
      <c r="C356" s="900">
        <v>0</v>
      </c>
      <c r="D356" s="900">
        <v>1</v>
      </c>
      <c r="E356" s="900">
        <v>0</v>
      </c>
      <c r="F356" s="900">
        <v>0</v>
      </c>
      <c r="G356" s="901">
        <v>4</v>
      </c>
      <c r="H356" s="901">
        <v>3</v>
      </c>
      <c r="I356" s="901">
        <v>1</v>
      </c>
      <c r="J356" s="901">
        <v>2</v>
      </c>
      <c r="K356" s="902">
        <v>1</v>
      </c>
      <c r="L356" s="902">
        <v>0</v>
      </c>
      <c r="M356" s="902">
        <v>0</v>
      </c>
      <c r="N356" s="902">
        <f t="shared" si="10"/>
        <v>1</v>
      </c>
      <c r="O356" s="903">
        <v>1</v>
      </c>
      <c r="P356" s="903">
        <v>0</v>
      </c>
      <c r="Q356" s="903">
        <v>0</v>
      </c>
      <c r="R356" s="903">
        <v>0</v>
      </c>
      <c r="S356" s="903">
        <f t="shared" si="11"/>
        <v>1</v>
      </c>
      <c r="T356" s="904">
        <v>1</v>
      </c>
      <c r="U356" s="905">
        <v>0</v>
      </c>
      <c r="V356" s="905">
        <v>0</v>
      </c>
      <c r="W356" s="905">
        <v>0</v>
      </c>
      <c r="X356" s="905">
        <v>1</v>
      </c>
      <c r="Y356" s="905">
        <v>0</v>
      </c>
      <c r="Z356" s="905">
        <v>1</v>
      </c>
      <c r="AA356" s="905">
        <v>0</v>
      </c>
      <c r="AB356" s="906">
        <v>1</v>
      </c>
      <c r="AC356" s="906">
        <v>7</v>
      </c>
      <c r="AD356" s="906">
        <v>4</v>
      </c>
      <c r="AE356" s="906">
        <v>2</v>
      </c>
      <c r="AF356" s="906">
        <v>3</v>
      </c>
      <c r="AG356" s="906">
        <v>5</v>
      </c>
      <c r="AH356" s="906">
        <v>6</v>
      </c>
      <c r="AI356" s="907">
        <v>2</v>
      </c>
      <c r="AJ356" s="907">
        <v>2</v>
      </c>
      <c r="AK356" s="907">
        <v>1</v>
      </c>
      <c r="AL356" s="907">
        <v>1</v>
      </c>
      <c r="AM356" s="907">
        <v>1</v>
      </c>
      <c r="AN356" s="907">
        <v>1</v>
      </c>
      <c r="AO356" s="907">
        <v>2</v>
      </c>
      <c r="AP356" s="907">
        <v>0</v>
      </c>
      <c r="AQ356" s="907">
        <v>1</v>
      </c>
      <c r="AR356" s="907">
        <v>0</v>
      </c>
      <c r="AS356" s="907">
        <v>0</v>
      </c>
      <c r="AT356" s="907">
        <v>0</v>
      </c>
      <c r="AU356" s="907">
        <v>0</v>
      </c>
    </row>
    <row r="357" spans="1:47" hidden="1">
      <c r="A357" s="898">
        <v>356</v>
      </c>
      <c r="B357" s="899">
        <v>0</v>
      </c>
      <c r="C357" s="900">
        <v>1</v>
      </c>
      <c r="D357" s="900">
        <v>0</v>
      </c>
      <c r="E357" s="900">
        <v>0</v>
      </c>
      <c r="F357" s="900">
        <v>0</v>
      </c>
      <c r="G357" s="901">
        <v>4</v>
      </c>
      <c r="H357" s="901">
        <v>2</v>
      </c>
      <c r="I357" s="901">
        <v>3</v>
      </c>
      <c r="J357" s="901">
        <v>1</v>
      </c>
      <c r="K357" s="902">
        <v>1</v>
      </c>
      <c r="L357" s="902">
        <v>0</v>
      </c>
      <c r="M357" s="902">
        <v>0</v>
      </c>
      <c r="N357" s="902">
        <f t="shared" si="10"/>
        <v>1</v>
      </c>
      <c r="O357" s="903">
        <v>1</v>
      </c>
      <c r="P357" s="903">
        <v>0</v>
      </c>
      <c r="Q357" s="903">
        <v>0</v>
      </c>
      <c r="R357" s="903">
        <v>0</v>
      </c>
      <c r="S357" s="903">
        <f t="shared" si="11"/>
        <v>1</v>
      </c>
      <c r="T357" s="904">
        <v>1</v>
      </c>
      <c r="U357" s="905">
        <v>0</v>
      </c>
      <c r="V357" s="905">
        <v>0</v>
      </c>
      <c r="W357" s="905">
        <v>1</v>
      </c>
      <c r="X357" s="905">
        <v>0</v>
      </c>
      <c r="Y357" s="905">
        <v>1</v>
      </c>
      <c r="Z357" s="905">
        <v>0</v>
      </c>
      <c r="AA357" s="905">
        <v>0</v>
      </c>
      <c r="AB357" s="906">
        <v>4</v>
      </c>
      <c r="AC357" s="906">
        <v>5</v>
      </c>
      <c r="AD357" s="906">
        <v>7</v>
      </c>
      <c r="AE357" s="906">
        <v>3</v>
      </c>
      <c r="AF357" s="906">
        <v>2</v>
      </c>
      <c r="AG357" s="906">
        <v>1</v>
      </c>
      <c r="AH357" s="906">
        <v>6</v>
      </c>
      <c r="AI357" s="907">
        <v>2</v>
      </c>
      <c r="AJ357" s="907">
        <v>2</v>
      </c>
      <c r="AK357" s="907">
        <v>2</v>
      </c>
      <c r="AL357" s="907">
        <v>2</v>
      </c>
      <c r="AM357" s="907">
        <v>1</v>
      </c>
      <c r="AN357" s="907">
        <v>1</v>
      </c>
      <c r="AO357" s="907">
        <v>2</v>
      </c>
      <c r="AP357" s="907">
        <v>1</v>
      </c>
      <c r="AQ357" s="907">
        <v>0</v>
      </c>
      <c r="AR357" s="907">
        <v>1</v>
      </c>
      <c r="AS357" s="907">
        <v>0</v>
      </c>
      <c r="AT357" s="907">
        <v>1</v>
      </c>
      <c r="AU357" s="907">
        <v>0</v>
      </c>
    </row>
    <row r="358" spans="1:47" hidden="1">
      <c r="A358" s="898">
        <v>357</v>
      </c>
      <c r="B358" s="899">
        <v>0</v>
      </c>
      <c r="C358" s="900">
        <v>1</v>
      </c>
      <c r="D358" s="900">
        <v>0</v>
      </c>
      <c r="E358" s="900">
        <v>0</v>
      </c>
      <c r="F358" s="900">
        <v>0</v>
      </c>
      <c r="G358" s="901">
        <v>2</v>
      </c>
      <c r="H358" s="901">
        <v>1</v>
      </c>
      <c r="I358" s="901">
        <v>4</v>
      </c>
      <c r="J358" s="901">
        <v>3</v>
      </c>
      <c r="K358" s="902">
        <v>1</v>
      </c>
      <c r="L358" s="902">
        <v>0</v>
      </c>
      <c r="M358" s="902">
        <v>0</v>
      </c>
      <c r="N358" s="902">
        <f t="shared" si="10"/>
        <v>1</v>
      </c>
      <c r="O358" s="903">
        <v>1</v>
      </c>
      <c r="P358" s="903">
        <v>0</v>
      </c>
      <c r="Q358" s="903">
        <v>0</v>
      </c>
      <c r="R358" s="903">
        <v>0</v>
      </c>
      <c r="S358" s="903">
        <f t="shared" si="11"/>
        <v>1</v>
      </c>
      <c r="T358" s="904">
        <v>0</v>
      </c>
      <c r="U358" s="905">
        <v>0</v>
      </c>
      <c r="V358" s="905">
        <v>1</v>
      </c>
      <c r="W358" s="905">
        <v>1</v>
      </c>
      <c r="X358" s="905">
        <v>0</v>
      </c>
      <c r="Y358" s="905">
        <v>1</v>
      </c>
      <c r="Z358" s="905">
        <v>0</v>
      </c>
      <c r="AA358" s="905">
        <v>1</v>
      </c>
      <c r="AB358" s="906">
        <v>7</v>
      </c>
      <c r="AC358" s="906">
        <v>3</v>
      </c>
      <c r="AD358" s="906">
        <v>4</v>
      </c>
      <c r="AE358" s="906">
        <v>5</v>
      </c>
      <c r="AF358" s="906">
        <v>6</v>
      </c>
      <c r="AG358" s="906">
        <v>1</v>
      </c>
      <c r="AH358" s="906">
        <v>2</v>
      </c>
      <c r="AI358" s="907">
        <v>1</v>
      </c>
      <c r="AJ358" s="907">
        <v>2</v>
      </c>
      <c r="AK358" s="907">
        <v>2</v>
      </c>
      <c r="AL358" s="907">
        <v>2</v>
      </c>
      <c r="AM358" s="907">
        <v>1</v>
      </c>
      <c r="AN358" s="907">
        <v>1</v>
      </c>
      <c r="AO358" s="907">
        <v>2</v>
      </c>
      <c r="AP358" s="907">
        <v>1</v>
      </c>
      <c r="AQ358" s="907">
        <v>0</v>
      </c>
      <c r="AR358" s="907">
        <v>0</v>
      </c>
      <c r="AS358" s="907">
        <v>0</v>
      </c>
      <c r="AT358" s="907">
        <v>0</v>
      </c>
      <c r="AU358" s="907">
        <v>0</v>
      </c>
    </row>
    <row r="359" spans="1:47" hidden="1">
      <c r="A359" s="898">
        <v>358</v>
      </c>
      <c r="B359" s="899">
        <v>0</v>
      </c>
      <c r="C359" s="900">
        <v>0</v>
      </c>
      <c r="D359" s="900">
        <v>1</v>
      </c>
      <c r="E359" s="900">
        <v>0</v>
      </c>
      <c r="F359" s="900">
        <v>0</v>
      </c>
      <c r="G359" s="901">
        <v>1</v>
      </c>
      <c r="H359" s="901">
        <v>2</v>
      </c>
      <c r="I359" s="901">
        <v>3</v>
      </c>
      <c r="J359" s="901">
        <v>4</v>
      </c>
      <c r="K359" s="902">
        <v>1</v>
      </c>
      <c r="L359" s="902">
        <v>0</v>
      </c>
      <c r="M359" s="902">
        <v>0</v>
      </c>
      <c r="N359" s="902">
        <f t="shared" si="10"/>
        <v>1</v>
      </c>
      <c r="O359" s="903">
        <v>1</v>
      </c>
      <c r="P359" s="903">
        <v>0</v>
      </c>
      <c r="Q359" s="903">
        <v>0</v>
      </c>
      <c r="R359" s="903">
        <v>0</v>
      </c>
      <c r="S359" s="903">
        <f t="shared" si="11"/>
        <v>1</v>
      </c>
      <c r="T359" s="904">
        <v>1</v>
      </c>
      <c r="U359" s="905">
        <v>0</v>
      </c>
      <c r="V359" s="905">
        <v>0</v>
      </c>
      <c r="W359" s="905">
        <v>0</v>
      </c>
      <c r="X359" s="905">
        <v>1</v>
      </c>
      <c r="Y359" s="905">
        <v>1</v>
      </c>
      <c r="Z359" s="905">
        <v>0</v>
      </c>
      <c r="AA359" s="905">
        <v>0</v>
      </c>
      <c r="AB359" s="906">
        <v>2</v>
      </c>
      <c r="AC359" s="906">
        <v>7</v>
      </c>
      <c r="AD359" s="906">
        <v>5</v>
      </c>
      <c r="AE359" s="906">
        <v>1</v>
      </c>
      <c r="AF359" s="906">
        <v>3</v>
      </c>
      <c r="AG359" s="906">
        <v>4</v>
      </c>
      <c r="AH359" s="906">
        <v>6</v>
      </c>
      <c r="AI359" s="907">
        <v>1</v>
      </c>
      <c r="AJ359" s="907">
        <v>2</v>
      </c>
      <c r="AK359" s="907">
        <v>2</v>
      </c>
      <c r="AL359" s="907">
        <v>2</v>
      </c>
      <c r="AM359" s="907">
        <v>1</v>
      </c>
      <c r="AN359" s="907">
        <v>1</v>
      </c>
      <c r="AO359" s="907">
        <v>1</v>
      </c>
      <c r="AP359" s="907">
        <v>0</v>
      </c>
      <c r="AQ359" s="907">
        <v>0</v>
      </c>
      <c r="AR359" s="907">
        <v>0</v>
      </c>
      <c r="AS359" s="907">
        <v>0</v>
      </c>
      <c r="AT359" s="907">
        <v>1</v>
      </c>
      <c r="AU359" s="907">
        <v>0</v>
      </c>
    </row>
    <row r="360" spans="1:47" hidden="1">
      <c r="A360" s="898">
        <v>359</v>
      </c>
      <c r="B360" s="899">
        <v>0</v>
      </c>
      <c r="C360" s="900">
        <v>0</v>
      </c>
      <c r="D360" s="900">
        <v>0</v>
      </c>
      <c r="E360" s="900">
        <v>1</v>
      </c>
      <c r="F360" s="900">
        <v>0</v>
      </c>
      <c r="G360" s="901">
        <v>3</v>
      </c>
      <c r="H360" s="901">
        <v>1</v>
      </c>
      <c r="I360" s="901">
        <v>4</v>
      </c>
      <c r="J360" s="901">
        <v>2</v>
      </c>
      <c r="K360" s="902">
        <v>1</v>
      </c>
      <c r="L360" s="902">
        <v>0</v>
      </c>
      <c r="M360" s="902">
        <v>0</v>
      </c>
      <c r="N360" s="902">
        <f t="shared" si="10"/>
        <v>1</v>
      </c>
      <c r="O360" s="903">
        <v>1</v>
      </c>
      <c r="P360" s="903">
        <v>0</v>
      </c>
      <c r="Q360" s="903">
        <v>0</v>
      </c>
      <c r="R360" s="903">
        <v>0</v>
      </c>
      <c r="S360" s="903">
        <f t="shared" si="11"/>
        <v>1</v>
      </c>
      <c r="T360" s="904">
        <v>0</v>
      </c>
      <c r="U360" s="905">
        <v>0</v>
      </c>
      <c r="V360" s="905">
        <v>0</v>
      </c>
      <c r="W360" s="905">
        <v>0</v>
      </c>
      <c r="X360" s="905">
        <v>1</v>
      </c>
      <c r="Y360" s="905">
        <v>1</v>
      </c>
      <c r="Z360" s="905">
        <v>1</v>
      </c>
      <c r="AA360" s="905">
        <v>0</v>
      </c>
      <c r="AB360" s="906">
        <v>4</v>
      </c>
      <c r="AC360" s="906">
        <v>7</v>
      </c>
      <c r="AD360" s="906">
        <v>1</v>
      </c>
      <c r="AE360" s="906">
        <v>6</v>
      </c>
      <c r="AF360" s="906">
        <v>2</v>
      </c>
      <c r="AG360" s="906">
        <v>3</v>
      </c>
      <c r="AH360" s="906">
        <v>5</v>
      </c>
      <c r="AI360" s="907">
        <v>1</v>
      </c>
      <c r="AJ360" s="907">
        <v>1</v>
      </c>
      <c r="AK360" s="907">
        <v>2</v>
      </c>
      <c r="AL360" s="907">
        <v>2</v>
      </c>
      <c r="AM360" s="907">
        <v>1</v>
      </c>
      <c r="AN360" s="907">
        <v>1</v>
      </c>
      <c r="AO360" s="907">
        <v>2</v>
      </c>
      <c r="AP360" s="907">
        <v>0</v>
      </c>
      <c r="AQ360" s="907">
        <v>0</v>
      </c>
      <c r="AR360" s="907">
        <v>0</v>
      </c>
      <c r="AS360" s="907">
        <v>0</v>
      </c>
      <c r="AT360" s="907">
        <v>1</v>
      </c>
      <c r="AU360" s="907">
        <v>0</v>
      </c>
    </row>
    <row r="361" spans="1:47" hidden="1">
      <c r="A361" s="898">
        <v>360</v>
      </c>
      <c r="B361" s="899">
        <v>0</v>
      </c>
      <c r="C361" s="900">
        <v>0</v>
      </c>
      <c r="D361" s="900">
        <v>1</v>
      </c>
      <c r="E361" s="900">
        <v>0</v>
      </c>
      <c r="F361" s="900">
        <v>0</v>
      </c>
      <c r="G361" s="901">
        <v>3</v>
      </c>
      <c r="H361" s="901">
        <v>4</v>
      </c>
      <c r="I361" s="901">
        <v>1</v>
      </c>
      <c r="J361" s="901">
        <v>2</v>
      </c>
      <c r="K361" s="902">
        <v>1</v>
      </c>
      <c r="L361" s="902">
        <v>0</v>
      </c>
      <c r="M361" s="902">
        <v>0</v>
      </c>
      <c r="N361" s="902">
        <f t="shared" si="10"/>
        <v>1</v>
      </c>
      <c r="O361" s="903">
        <v>1</v>
      </c>
      <c r="P361" s="903">
        <v>0</v>
      </c>
      <c r="Q361" s="903">
        <v>0</v>
      </c>
      <c r="R361" s="903">
        <v>0</v>
      </c>
      <c r="S361" s="903">
        <f t="shared" si="11"/>
        <v>1</v>
      </c>
      <c r="T361" s="904">
        <v>1</v>
      </c>
      <c r="U361" s="905">
        <v>0</v>
      </c>
      <c r="V361" s="905">
        <v>0</v>
      </c>
      <c r="W361" s="905">
        <v>0</v>
      </c>
      <c r="X361" s="905">
        <v>1</v>
      </c>
      <c r="Y361" s="905">
        <v>0</v>
      </c>
      <c r="Z361" s="905">
        <v>0</v>
      </c>
      <c r="AA361" s="905">
        <v>0</v>
      </c>
      <c r="AB361" s="906">
        <v>3</v>
      </c>
      <c r="AC361" s="906">
        <v>7</v>
      </c>
      <c r="AD361" s="906">
        <v>2</v>
      </c>
      <c r="AE361" s="906">
        <v>6</v>
      </c>
      <c r="AF361" s="906">
        <v>1</v>
      </c>
      <c r="AG361" s="906">
        <v>4</v>
      </c>
      <c r="AH361" s="906">
        <v>5</v>
      </c>
      <c r="AI361" s="907">
        <v>2</v>
      </c>
      <c r="AJ361" s="907">
        <v>1</v>
      </c>
      <c r="AK361" s="907">
        <v>1</v>
      </c>
      <c r="AL361" s="907">
        <v>1</v>
      </c>
      <c r="AM361" s="907">
        <v>1</v>
      </c>
      <c r="AN361" s="907">
        <v>1</v>
      </c>
      <c r="AO361" s="907">
        <v>2</v>
      </c>
      <c r="AP361" s="907">
        <v>0</v>
      </c>
      <c r="AQ361" s="907">
        <v>0</v>
      </c>
      <c r="AR361" s="907">
        <v>0</v>
      </c>
      <c r="AS361" s="907">
        <v>0</v>
      </c>
      <c r="AT361" s="907">
        <v>0</v>
      </c>
      <c r="AU361" s="907">
        <v>1</v>
      </c>
    </row>
    <row r="362" spans="1:47">
      <c r="A362" s="898">
        <v>361</v>
      </c>
      <c r="B362" s="899">
        <v>0</v>
      </c>
      <c r="C362" s="900">
        <v>0</v>
      </c>
      <c r="D362" s="900">
        <v>1</v>
      </c>
      <c r="E362" s="900">
        <v>0</v>
      </c>
      <c r="F362" s="900">
        <v>0</v>
      </c>
      <c r="G362" s="901">
        <v>2</v>
      </c>
      <c r="H362" s="901">
        <v>4</v>
      </c>
      <c r="I362" s="901">
        <v>3</v>
      </c>
      <c r="J362" s="901">
        <v>1</v>
      </c>
      <c r="K362" s="902">
        <v>0</v>
      </c>
      <c r="L362" s="902">
        <v>1</v>
      </c>
      <c r="M362" s="902">
        <v>0</v>
      </c>
      <c r="N362" s="902">
        <f t="shared" si="10"/>
        <v>2</v>
      </c>
      <c r="O362" s="903">
        <v>0</v>
      </c>
      <c r="P362" s="903">
        <v>1</v>
      </c>
      <c r="Q362" s="903">
        <v>0</v>
      </c>
      <c r="R362" s="903">
        <v>0</v>
      </c>
      <c r="S362" s="903">
        <f t="shared" si="11"/>
        <v>2</v>
      </c>
      <c r="T362" s="904">
        <v>0</v>
      </c>
      <c r="U362" s="905">
        <v>0</v>
      </c>
      <c r="V362" s="905">
        <v>0</v>
      </c>
      <c r="W362" s="905">
        <v>0</v>
      </c>
      <c r="X362" s="905">
        <v>0</v>
      </c>
      <c r="Y362" s="905">
        <v>1</v>
      </c>
      <c r="Z362" s="905">
        <v>0</v>
      </c>
      <c r="AA362" s="905">
        <v>0</v>
      </c>
      <c r="AB362" s="906">
        <v>2</v>
      </c>
      <c r="AC362" s="906">
        <v>3</v>
      </c>
      <c r="AD362" s="906">
        <v>1</v>
      </c>
      <c r="AE362" s="906">
        <v>6</v>
      </c>
      <c r="AF362" s="906">
        <v>4</v>
      </c>
      <c r="AG362" s="906">
        <v>6</v>
      </c>
      <c r="AH362" s="906">
        <v>5</v>
      </c>
      <c r="AI362" s="907">
        <v>1</v>
      </c>
      <c r="AJ362" s="907">
        <v>1</v>
      </c>
      <c r="AK362" s="907">
        <v>2</v>
      </c>
      <c r="AL362" s="907">
        <v>2</v>
      </c>
      <c r="AM362" s="907">
        <v>1</v>
      </c>
      <c r="AN362" s="907">
        <v>2</v>
      </c>
      <c r="AO362" s="907">
        <v>2</v>
      </c>
      <c r="AP362" s="907">
        <v>0</v>
      </c>
      <c r="AQ362" s="907">
        <v>0</v>
      </c>
      <c r="AR362" s="907">
        <v>0</v>
      </c>
      <c r="AS362" s="907">
        <v>1</v>
      </c>
      <c r="AT362" s="907">
        <v>0</v>
      </c>
      <c r="AU362" s="907">
        <v>0</v>
      </c>
    </row>
    <row r="363" spans="1:47">
      <c r="A363" s="898">
        <v>362</v>
      </c>
      <c r="B363" s="899">
        <v>1</v>
      </c>
      <c r="C363" s="900">
        <v>0</v>
      </c>
      <c r="D363" s="900">
        <v>1</v>
      </c>
      <c r="E363" s="900">
        <v>0</v>
      </c>
      <c r="F363" s="900">
        <v>0</v>
      </c>
      <c r="G363" s="901">
        <v>4</v>
      </c>
      <c r="H363" s="901">
        <v>1</v>
      </c>
      <c r="I363" s="901">
        <v>2</v>
      </c>
      <c r="J363" s="901">
        <v>3</v>
      </c>
      <c r="K363" s="902">
        <v>0</v>
      </c>
      <c r="L363" s="902">
        <v>1</v>
      </c>
      <c r="M363" s="902">
        <v>0</v>
      </c>
      <c r="N363" s="902">
        <f t="shared" si="10"/>
        <v>2</v>
      </c>
      <c r="O363" s="903">
        <v>1</v>
      </c>
      <c r="P363" s="903">
        <v>0</v>
      </c>
      <c r="Q363" s="903">
        <v>0</v>
      </c>
      <c r="R363" s="903">
        <v>0</v>
      </c>
      <c r="S363" s="903">
        <f t="shared" si="11"/>
        <v>1</v>
      </c>
      <c r="T363" s="904">
        <v>1</v>
      </c>
      <c r="U363" s="905">
        <v>0</v>
      </c>
      <c r="V363" s="905">
        <v>1</v>
      </c>
      <c r="W363" s="905">
        <v>1</v>
      </c>
      <c r="X363" s="905">
        <v>0</v>
      </c>
      <c r="Y363" s="905">
        <v>0</v>
      </c>
      <c r="Z363" s="905">
        <v>0</v>
      </c>
      <c r="AA363" s="905">
        <v>0</v>
      </c>
      <c r="AB363" s="906">
        <v>7</v>
      </c>
      <c r="AC363" s="906">
        <v>2</v>
      </c>
      <c r="AD363" s="906">
        <v>5</v>
      </c>
      <c r="AE363" s="906">
        <v>6</v>
      </c>
      <c r="AF363" s="906">
        <v>4</v>
      </c>
      <c r="AG363" s="906">
        <v>1</v>
      </c>
      <c r="AH363" s="906">
        <v>3</v>
      </c>
      <c r="AI363" s="907">
        <v>2</v>
      </c>
      <c r="AJ363" s="907">
        <v>2</v>
      </c>
      <c r="AK363" s="907">
        <v>2</v>
      </c>
      <c r="AL363" s="907">
        <v>1</v>
      </c>
      <c r="AM363" s="907">
        <v>1</v>
      </c>
      <c r="AN363" s="907">
        <v>1</v>
      </c>
      <c r="AO363" s="907">
        <v>2</v>
      </c>
      <c r="AP363" s="907">
        <v>0</v>
      </c>
      <c r="AQ363" s="907">
        <v>0</v>
      </c>
      <c r="AR363" s="907">
        <v>0</v>
      </c>
      <c r="AS363" s="907">
        <v>1</v>
      </c>
      <c r="AT363" s="907">
        <v>0</v>
      </c>
      <c r="AU363" s="907">
        <v>0</v>
      </c>
    </row>
    <row r="364" spans="1:47">
      <c r="A364" s="898">
        <v>363</v>
      </c>
      <c r="B364" s="899">
        <v>0</v>
      </c>
      <c r="C364" s="900">
        <v>1</v>
      </c>
      <c r="D364" s="900">
        <v>0</v>
      </c>
      <c r="E364" s="900">
        <v>0</v>
      </c>
      <c r="F364" s="900">
        <v>0</v>
      </c>
      <c r="G364" s="901">
        <v>2</v>
      </c>
      <c r="H364" s="901">
        <v>3</v>
      </c>
      <c r="I364" s="901">
        <v>4</v>
      </c>
      <c r="J364" s="901">
        <v>1</v>
      </c>
      <c r="K364" s="902">
        <v>0</v>
      </c>
      <c r="L364" s="902">
        <v>1</v>
      </c>
      <c r="M364" s="902">
        <v>0</v>
      </c>
      <c r="N364" s="902">
        <f t="shared" si="10"/>
        <v>2</v>
      </c>
      <c r="O364" s="903">
        <v>1</v>
      </c>
      <c r="P364" s="903">
        <v>0</v>
      </c>
      <c r="Q364" s="903">
        <v>0</v>
      </c>
      <c r="R364" s="903">
        <v>0</v>
      </c>
      <c r="S364" s="903">
        <f t="shared" si="11"/>
        <v>1</v>
      </c>
      <c r="T364" s="904">
        <v>1</v>
      </c>
      <c r="U364" s="905">
        <v>0</v>
      </c>
      <c r="V364" s="905">
        <v>0</v>
      </c>
      <c r="W364" s="905">
        <v>1</v>
      </c>
      <c r="X364" s="905">
        <v>0</v>
      </c>
      <c r="Y364" s="905">
        <v>0</v>
      </c>
      <c r="Z364" s="905">
        <v>0</v>
      </c>
      <c r="AA364" s="905">
        <v>0</v>
      </c>
      <c r="AB364" s="906">
        <v>3</v>
      </c>
      <c r="AC364" s="906">
        <v>2</v>
      </c>
      <c r="AD364" s="906">
        <v>1</v>
      </c>
      <c r="AE364" s="906">
        <v>7</v>
      </c>
      <c r="AF364" s="906">
        <v>4</v>
      </c>
      <c r="AG364" s="906">
        <v>5</v>
      </c>
      <c r="AH364" s="906">
        <v>6</v>
      </c>
      <c r="AI364" s="907">
        <v>1</v>
      </c>
      <c r="AJ364" s="907">
        <v>1</v>
      </c>
      <c r="AK364" s="907">
        <v>2</v>
      </c>
      <c r="AL364" s="907">
        <v>2</v>
      </c>
      <c r="AM364" s="907">
        <v>1</v>
      </c>
      <c r="AN364" s="907">
        <v>1</v>
      </c>
      <c r="AO364" s="907">
        <v>1</v>
      </c>
      <c r="AP364" s="907">
        <v>0</v>
      </c>
      <c r="AQ364" s="907">
        <v>0</v>
      </c>
      <c r="AR364" s="907">
        <v>0</v>
      </c>
      <c r="AS364" s="907">
        <v>0</v>
      </c>
      <c r="AT364" s="907">
        <v>1</v>
      </c>
      <c r="AU364" s="907">
        <v>0</v>
      </c>
    </row>
    <row r="365" spans="1:47" hidden="1">
      <c r="A365" s="898">
        <v>364</v>
      </c>
      <c r="B365" s="899">
        <v>0</v>
      </c>
      <c r="C365" s="900">
        <v>1</v>
      </c>
      <c r="D365" s="900">
        <v>0</v>
      </c>
      <c r="E365" s="900">
        <v>0</v>
      </c>
      <c r="F365" s="900">
        <v>0</v>
      </c>
      <c r="G365" s="901">
        <v>1</v>
      </c>
      <c r="H365" s="901">
        <v>4</v>
      </c>
      <c r="I365" s="901">
        <v>3</v>
      </c>
      <c r="J365" s="901">
        <v>2</v>
      </c>
      <c r="K365" s="902">
        <v>1</v>
      </c>
      <c r="L365" s="902">
        <v>0</v>
      </c>
      <c r="M365" s="902">
        <v>0</v>
      </c>
      <c r="N365" s="902">
        <f t="shared" si="10"/>
        <v>1</v>
      </c>
      <c r="O365" s="903">
        <v>1</v>
      </c>
      <c r="P365" s="903">
        <v>0</v>
      </c>
      <c r="Q365" s="903">
        <v>0</v>
      </c>
      <c r="R365" s="903">
        <v>0</v>
      </c>
      <c r="S365" s="903">
        <f t="shared" si="11"/>
        <v>1</v>
      </c>
      <c r="T365" s="904">
        <v>1</v>
      </c>
      <c r="U365" s="905">
        <v>0</v>
      </c>
      <c r="V365" s="905">
        <v>0</v>
      </c>
      <c r="W365" s="905">
        <v>0</v>
      </c>
      <c r="X365" s="905">
        <v>1</v>
      </c>
      <c r="Y365" s="905">
        <v>0</v>
      </c>
      <c r="Z365" s="905">
        <v>0</v>
      </c>
      <c r="AA365" s="905">
        <v>0</v>
      </c>
      <c r="AB365" s="906">
        <v>6</v>
      </c>
      <c r="AC365" s="906">
        <v>1</v>
      </c>
      <c r="AD365" s="906">
        <v>2</v>
      </c>
      <c r="AE365" s="906">
        <v>7</v>
      </c>
      <c r="AF365" s="906">
        <v>5</v>
      </c>
      <c r="AG365" s="906">
        <v>3</v>
      </c>
      <c r="AH365" s="906">
        <v>4</v>
      </c>
      <c r="AI365" s="907">
        <v>1</v>
      </c>
      <c r="AJ365" s="907">
        <v>2</v>
      </c>
      <c r="AK365" s="907">
        <v>2</v>
      </c>
      <c r="AL365" s="907">
        <v>2</v>
      </c>
      <c r="AM365" s="907">
        <v>1</v>
      </c>
      <c r="AN365" s="907">
        <v>1</v>
      </c>
      <c r="AO365" s="907">
        <v>1</v>
      </c>
      <c r="AP365" s="907">
        <v>0</v>
      </c>
      <c r="AQ365" s="907">
        <v>0</v>
      </c>
      <c r="AR365" s="907">
        <v>0</v>
      </c>
      <c r="AS365" s="907">
        <v>1</v>
      </c>
      <c r="AT365" s="907">
        <v>0</v>
      </c>
      <c r="AU365" s="907">
        <v>0</v>
      </c>
    </row>
    <row r="366" spans="1:47" hidden="1">
      <c r="A366" s="898">
        <v>365</v>
      </c>
      <c r="B366" s="899">
        <v>1</v>
      </c>
      <c r="C366" s="900">
        <v>0</v>
      </c>
      <c r="D366" s="900">
        <v>1</v>
      </c>
      <c r="E366" s="900">
        <v>0</v>
      </c>
      <c r="F366" s="900">
        <v>0</v>
      </c>
      <c r="G366" s="901">
        <v>3</v>
      </c>
      <c r="H366" s="901">
        <v>2</v>
      </c>
      <c r="I366" s="901">
        <v>1</v>
      </c>
      <c r="J366" s="901">
        <v>4</v>
      </c>
      <c r="K366" s="902">
        <v>1</v>
      </c>
      <c r="L366" s="902">
        <v>0</v>
      </c>
      <c r="M366" s="902">
        <v>0</v>
      </c>
      <c r="N366" s="902">
        <f t="shared" si="10"/>
        <v>1</v>
      </c>
      <c r="O366" s="903">
        <v>1</v>
      </c>
      <c r="P366" s="903">
        <v>0</v>
      </c>
      <c r="Q366" s="903">
        <v>0</v>
      </c>
      <c r="R366" s="903">
        <v>0</v>
      </c>
      <c r="S366" s="903">
        <f t="shared" si="11"/>
        <v>1</v>
      </c>
      <c r="T366" s="904">
        <v>1</v>
      </c>
      <c r="U366" s="905">
        <v>1</v>
      </c>
      <c r="V366" s="905">
        <v>0</v>
      </c>
      <c r="W366" s="905">
        <v>0</v>
      </c>
      <c r="X366" s="905">
        <v>1</v>
      </c>
      <c r="Y366" s="905">
        <v>0</v>
      </c>
      <c r="Z366" s="905">
        <v>0</v>
      </c>
      <c r="AA366" s="905">
        <v>0</v>
      </c>
      <c r="AB366" s="906">
        <v>4</v>
      </c>
      <c r="AC366" s="906">
        <v>1</v>
      </c>
      <c r="AD366" s="906">
        <v>6</v>
      </c>
      <c r="AE366" s="906">
        <v>7</v>
      </c>
      <c r="AF366" s="906">
        <v>3</v>
      </c>
      <c r="AG366" s="906">
        <v>5</v>
      </c>
      <c r="AH366" s="906">
        <v>2</v>
      </c>
      <c r="AI366" s="907">
        <v>2</v>
      </c>
      <c r="AJ366" s="907">
        <v>1</v>
      </c>
      <c r="AK366" s="907">
        <v>1</v>
      </c>
      <c r="AL366" s="907">
        <v>1</v>
      </c>
      <c r="AM366" s="907">
        <v>1</v>
      </c>
      <c r="AN366" s="907">
        <v>1</v>
      </c>
      <c r="AO366" s="907">
        <v>1</v>
      </c>
      <c r="AP366" s="907">
        <v>1</v>
      </c>
      <c r="AQ366" s="907">
        <v>0</v>
      </c>
      <c r="AR366" s="907">
        <v>0</v>
      </c>
      <c r="AS366" s="907">
        <v>0</v>
      </c>
      <c r="AT366" s="907">
        <v>1</v>
      </c>
      <c r="AU366" s="907">
        <v>0</v>
      </c>
    </row>
    <row r="367" spans="1:47" hidden="1">
      <c r="A367" s="898">
        <v>366</v>
      </c>
      <c r="B367" s="899">
        <v>1</v>
      </c>
      <c r="C367" s="900">
        <v>0</v>
      </c>
      <c r="D367" s="900">
        <v>0</v>
      </c>
      <c r="E367" s="900">
        <v>1</v>
      </c>
      <c r="F367" s="900">
        <v>0</v>
      </c>
      <c r="G367" s="901">
        <v>3</v>
      </c>
      <c r="H367" s="901">
        <v>1</v>
      </c>
      <c r="I367" s="901">
        <v>4</v>
      </c>
      <c r="J367" s="901">
        <v>2</v>
      </c>
      <c r="K367" s="902">
        <v>0</v>
      </c>
      <c r="L367" s="902">
        <v>1</v>
      </c>
      <c r="M367" s="902">
        <v>0</v>
      </c>
      <c r="N367" s="902">
        <f t="shared" si="10"/>
        <v>2</v>
      </c>
      <c r="O367" s="903">
        <v>1</v>
      </c>
      <c r="P367" s="903">
        <v>0</v>
      </c>
      <c r="Q367" s="903">
        <v>0</v>
      </c>
      <c r="R367" s="903">
        <v>0</v>
      </c>
      <c r="S367" s="903">
        <f t="shared" si="11"/>
        <v>1</v>
      </c>
      <c r="T367" s="904">
        <v>1</v>
      </c>
      <c r="U367" s="905">
        <v>0</v>
      </c>
      <c r="V367" s="905">
        <v>1</v>
      </c>
      <c r="W367" s="905">
        <v>0</v>
      </c>
      <c r="X367" s="905">
        <v>0</v>
      </c>
      <c r="Y367" s="905">
        <v>0</v>
      </c>
      <c r="Z367" s="905">
        <v>1</v>
      </c>
      <c r="AA367" s="905">
        <v>0</v>
      </c>
      <c r="AB367" s="906">
        <v>6</v>
      </c>
      <c r="AC367" s="906">
        <v>5</v>
      </c>
      <c r="AD367" s="906">
        <v>2</v>
      </c>
      <c r="AE367" s="906">
        <v>7</v>
      </c>
      <c r="AF367" s="906">
        <v>1</v>
      </c>
      <c r="AG367" s="906">
        <v>3</v>
      </c>
      <c r="AH367" s="906">
        <v>4</v>
      </c>
      <c r="AI367" s="907">
        <v>1</v>
      </c>
      <c r="AJ367" s="907">
        <v>2</v>
      </c>
      <c r="AK367" s="907">
        <v>1</v>
      </c>
      <c r="AL367" s="907">
        <v>1</v>
      </c>
      <c r="AM367" s="907">
        <v>1</v>
      </c>
      <c r="AN367" s="907">
        <v>1</v>
      </c>
      <c r="AO367" s="907">
        <v>2</v>
      </c>
      <c r="AP367" s="907">
        <v>0</v>
      </c>
      <c r="AQ367" s="907">
        <v>0</v>
      </c>
      <c r="AR367" s="907">
        <v>0</v>
      </c>
      <c r="AS367" s="907">
        <v>0</v>
      </c>
      <c r="AT367" s="907">
        <v>1</v>
      </c>
      <c r="AU367" s="907">
        <v>0</v>
      </c>
    </row>
    <row r="368" spans="1:47" hidden="1">
      <c r="A368" s="898">
        <v>367</v>
      </c>
      <c r="B368" s="899">
        <v>1</v>
      </c>
      <c r="C368" s="900">
        <v>0</v>
      </c>
      <c r="D368" s="900">
        <v>0</v>
      </c>
      <c r="E368" s="900">
        <v>1</v>
      </c>
      <c r="F368" s="900">
        <v>0</v>
      </c>
      <c r="G368" s="901">
        <v>3</v>
      </c>
      <c r="H368" s="901">
        <v>2</v>
      </c>
      <c r="I368" s="901">
        <v>4</v>
      </c>
      <c r="J368" s="901">
        <v>1</v>
      </c>
      <c r="K368" s="902">
        <v>1</v>
      </c>
      <c r="L368" s="902">
        <v>0</v>
      </c>
      <c r="M368" s="902">
        <v>0</v>
      </c>
      <c r="N368" s="902">
        <f t="shared" si="10"/>
        <v>1</v>
      </c>
      <c r="O368" s="903">
        <v>1</v>
      </c>
      <c r="P368" s="903">
        <v>0</v>
      </c>
      <c r="Q368" s="903">
        <v>0</v>
      </c>
      <c r="R368" s="903">
        <v>0</v>
      </c>
      <c r="S368" s="903">
        <f t="shared" si="11"/>
        <v>1</v>
      </c>
      <c r="T368" s="904">
        <v>1</v>
      </c>
      <c r="U368" s="905">
        <v>1</v>
      </c>
      <c r="V368" s="905">
        <v>0</v>
      </c>
      <c r="W368" s="905">
        <v>1</v>
      </c>
      <c r="X368" s="905">
        <v>0</v>
      </c>
      <c r="Y368" s="905">
        <v>0</v>
      </c>
      <c r="Z368" s="905">
        <v>1</v>
      </c>
      <c r="AA368" s="905">
        <v>0</v>
      </c>
      <c r="AB368" s="906">
        <v>7</v>
      </c>
      <c r="AC368" s="906">
        <v>4</v>
      </c>
      <c r="AD368" s="906">
        <v>6</v>
      </c>
      <c r="AE368" s="906">
        <v>5</v>
      </c>
      <c r="AF368" s="906">
        <v>2</v>
      </c>
      <c r="AG368" s="906">
        <v>1</v>
      </c>
      <c r="AH368" s="906">
        <v>3</v>
      </c>
      <c r="AI368" s="907">
        <v>2</v>
      </c>
      <c r="AJ368" s="907">
        <v>2</v>
      </c>
      <c r="AK368" s="907">
        <v>1</v>
      </c>
      <c r="AL368" s="907">
        <v>1</v>
      </c>
      <c r="AM368" s="907">
        <v>2</v>
      </c>
      <c r="AN368" s="907">
        <v>2</v>
      </c>
      <c r="AO368" s="907">
        <v>1</v>
      </c>
      <c r="AP368" s="907">
        <v>0</v>
      </c>
      <c r="AQ368" s="907">
        <v>1</v>
      </c>
      <c r="AR368" s="907">
        <v>0</v>
      </c>
      <c r="AS368" s="907">
        <v>0</v>
      </c>
      <c r="AT368" s="907">
        <v>0</v>
      </c>
      <c r="AU368" s="907">
        <v>0</v>
      </c>
    </row>
    <row r="369" spans="1:47" hidden="1">
      <c r="A369" s="898">
        <v>368</v>
      </c>
      <c r="B369" s="899">
        <v>1</v>
      </c>
      <c r="C369" s="900">
        <v>0</v>
      </c>
      <c r="D369" s="900">
        <v>0</v>
      </c>
      <c r="E369" s="900">
        <v>1</v>
      </c>
      <c r="F369" s="900">
        <v>0</v>
      </c>
      <c r="G369" s="901">
        <v>3</v>
      </c>
      <c r="H369" s="901">
        <v>2</v>
      </c>
      <c r="I369" s="901">
        <v>4</v>
      </c>
      <c r="J369" s="901">
        <v>1</v>
      </c>
      <c r="K369" s="902">
        <v>1</v>
      </c>
      <c r="L369" s="902">
        <v>0</v>
      </c>
      <c r="M369" s="902">
        <v>0</v>
      </c>
      <c r="N369" s="902">
        <f t="shared" si="10"/>
        <v>1</v>
      </c>
      <c r="O369" s="903">
        <v>1</v>
      </c>
      <c r="P369" s="903">
        <v>0</v>
      </c>
      <c r="Q369" s="903">
        <v>0</v>
      </c>
      <c r="R369" s="903">
        <v>0</v>
      </c>
      <c r="S369" s="903">
        <f t="shared" si="11"/>
        <v>1</v>
      </c>
      <c r="T369" s="904">
        <v>1</v>
      </c>
      <c r="U369" s="905">
        <v>1</v>
      </c>
      <c r="V369" s="905">
        <v>0</v>
      </c>
      <c r="W369" s="905">
        <v>1</v>
      </c>
      <c r="X369" s="905">
        <v>0</v>
      </c>
      <c r="Y369" s="905">
        <v>0</v>
      </c>
      <c r="Z369" s="905">
        <v>1</v>
      </c>
      <c r="AA369" s="905">
        <v>0</v>
      </c>
      <c r="AB369" s="906">
        <v>3</v>
      </c>
      <c r="AC369" s="906">
        <v>5</v>
      </c>
      <c r="AD369" s="906">
        <v>2</v>
      </c>
      <c r="AE369" s="906">
        <v>6</v>
      </c>
      <c r="AF369" s="906">
        <v>1</v>
      </c>
      <c r="AG369" s="906">
        <v>4</v>
      </c>
      <c r="AH369" s="906">
        <v>7</v>
      </c>
      <c r="AI369" s="907">
        <v>2</v>
      </c>
      <c r="AJ369" s="907">
        <v>1</v>
      </c>
      <c r="AK369" s="907">
        <v>2</v>
      </c>
      <c r="AL369" s="907">
        <v>1</v>
      </c>
      <c r="AM369" s="907">
        <v>1</v>
      </c>
      <c r="AN369" s="907">
        <v>1</v>
      </c>
      <c r="AO369" s="907">
        <v>2</v>
      </c>
      <c r="AP369" s="907">
        <v>0</v>
      </c>
      <c r="AQ369" s="907">
        <v>0</v>
      </c>
      <c r="AR369" s="907">
        <v>0</v>
      </c>
      <c r="AS369" s="907">
        <v>0</v>
      </c>
      <c r="AT369" s="907">
        <v>1</v>
      </c>
      <c r="AU369" s="907">
        <v>0</v>
      </c>
    </row>
    <row r="370" spans="1:47" hidden="1">
      <c r="A370" s="898">
        <v>369</v>
      </c>
      <c r="B370" s="899">
        <v>1</v>
      </c>
      <c r="C370" s="900">
        <v>0</v>
      </c>
      <c r="D370" s="900">
        <v>1</v>
      </c>
      <c r="E370" s="900">
        <v>0</v>
      </c>
      <c r="F370" s="900">
        <v>0</v>
      </c>
      <c r="G370" s="901">
        <v>3</v>
      </c>
      <c r="H370" s="901">
        <v>4</v>
      </c>
      <c r="I370" s="901">
        <v>1</v>
      </c>
      <c r="J370" s="901">
        <v>2</v>
      </c>
      <c r="K370" s="902">
        <v>1</v>
      </c>
      <c r="L370" s="902">
        <v>0</v>
      </c>
      <c r="M370" s="902">
        <v>0</v>
      </c>
      <c r="N370" s="902">
        <f t="shared" si="10"/>
        <v>1</v>
      </c>
      <c r="O370" s="903">
        <v>1</v>
      </c>
      <c r="P370" s="903">
        <v>0</v>
      </c>
      <c r="Q370" s="903">
        <v>0</v>
      </c>
      <c r="R370" s="903">
        <v>0</v>
      </c>
      <c r="S370" s="903">
        <f t="shared" si="11"/>
        <v>1</v>
      </c>
      <c r="T370" s="904">
        <v>1</v>
      </c>
      <c r="U370" s="905">
        <v>1</v>
      </c>
      <c r="V370" s="905">
        <v>0</v>
      </c>
      <c r="W370" s="905">
        <v>1</v>
      </c>
      <c r="X370" s="905">
        <v>0</v>
      </c>
      <c r="Y370" s="905">
        <v>0</v>
      </c>
      <c r="Z370" s="905">
        <v>1</v>
      </c>
      <c r="AA370" s="905">
        <v>0</v>
      </c>
      <c r="AB370" s="906">
        <v>7</v>
      </c>
      <c r="AC370" s="906">
        <v>1</v>
      </c>
      <c r="AD370" s="906">
        <v>5</v>
      </c>
      <c r="AE370" s="906">
        <v>4</v>
      </c>
      <c r="AF370" s="906">
        <v>2</v>
      </c>
      <c r="AG370" s="906">
        <v>3</v>
      </c>
      <c r="AH370" s="906">
        <v>6</v>
      </c>
      <c r="AI370" s="907">
        <v>2</v>
      </c>
      <c r="AJ370" s="907">
        <v>2</v>
      </c>
      <c r="AK370" s="907">
        <v>2</v>
      </c>
      <c r="AL370" s="907">
        <v>1</v>
      </c>
      <c r="AM370" s="907">
        <v>1</v>
      </c>
      <c r="AN370" s="907">
        <v>2</v>
      </c>
      <c r="AO370" s="907">
        <v>2</v>
      </c>
      <c r="AP370" s="907">
        <v>0</v>
      </c>
      <c r="AQ370" s="907">
        <v>0</v>
      </c>
      <c r="AR370" s="907">
        <v>1</v>
      </c>
      <c r="AS370" s="907">
        <v>0</v>
      </c>
      <c r="AT370" s="907">
        <v>0</v>
      </c>
      <c r="AU370" s="907">
        <v>1</v>
      </c>
    </row>
    <row r="371" spans="1:47">
      <c r="A371" s="898">
        <v>370</v>
      </c>
      <c r="B371" s="899">
        <v>0</v>
      </c>
      <c r="C371" s="900">
        <v>1</v>
      </c>
      <c r="D371" s="900">
        <v>0</v>
      </c>
      <c r="E371" s="900">
        <v>0</v>
      </c>
      <c r="F371" s="900">
        <v>0</v>
      </c>
      <c r="G371" s="901">
        <v>4</v>
      </c>
      <c r="H371" s="901">
        <v>1</v>
      </c>
      <c r="I371" s="901">
        <v>2</v>
      </c>
      <c r="J371" s="901">
        <v>3</v>
      </c>
      <c r="K371" s="902">
        <v>0</v>
      </c>
      <c r="L371" s="902">
        <v>1</v>
      </c>
      <c r="M371" s="902">
        <v>0</v>
      </c>
      <c r="N371" s="902">
        <f t="shared" si="10"/>
        <v>2</v>
      </c>
      <c r="O371" s="903">
        <v>1</v>
      </c>
      <c r="P371" s="903">
        <v>0</v>
      </c>
      <c r="Q371" s="903">
        <v>0</v>
      </c>
      <c r="R371" s="903">
        <v>0</v>
      </c>
      <c r="S371" s="903">
        <f t="shared" si="11"/>
        <v>1</v>
      </c>
      <c r="T371" s="904">
        <v>1</v>
      </c>
      <c r="U371" s="905">
        <v>0</v>
      </c>
      <c r="V371" s="905">
        <v>0</v>
      </c>
      <c r="W371" s="905">
        <v>1</v>
      </c>
      <c r="X371" s="905">
        <v>0</v>
      </c>
      <c r="Y371" s="905">
        <v>0</v>
      </c>
      <c r="Z371" s="905">
        <v>0</v>
      </c>
      <c r="AA371" s="905">
        <v>0</v>
      </c>
      <c r="AB371" s="906">
        <v>6</v>
      </c>
      <c r="AC371" s="906">
        <v>1</v>
      </c>
      <c r="AD371" s="906">
        <v>7</v>
      </c>
      <c r="AE371" s="906">
        <v>5</v>
      </c>
      <c r="AF371" s="906">
        <v>4</v>
      </c>
      <c r="AG371" s="906">
        <v>2</v>
      </c>
      <c r="AH371" s="906">
        <v>3</v>
      </c>
      <c r="AI371" s="907">
        <v>1</v>
      </c>
      <c r="AJ371" s="907">
        <v>2</v>
      </c>
      <c r="AK371" s="907">
        <v>2</v>
      </c>
      <c r="AL371" s="907">
        <v>3</v>
      </c>
      <c r="AM371" s="907">
        <v>1</v>
      </c>
      <c r="AN371" s="907">
        <v>2</v>
      </c>
      <c r="AO371" s="907">
        <v>2</v>
      </c>
      <c r="AP371" s="907">
        <v>1</v>
      </c>
      <c r="AQ371" s="907">
        <v>0</v>
      </c>
      <c r="AR371" s="907">
        <v>0</v>
      </c>
      <c r="AS371" s="907">
        <v>0</v>
      </c>
      <c r="AT371" s="907">
        <v>0</v>
      </c>
      <c r="AU371" s="907">
        <v>0</v>
      </c>
    </row>
    <row r="372" spans="1:47">
      <c r="A372" s="898">
        <v>371</v>
      </c>
      <c r="B372" s="899">
        <v>0</v>
      </c>
      <c r="C372" s="900">
        <v>0</v>
      </c>
      <c r="D372" s="900">
        <v>0</v>
      </c>
      <c r="E372" s="900">
        <v>0</v>
      </c>
      <c r="F372" s="900">
        <v>1</v>
      </c>
      <c r="G372" s="901">
        <v>2</v>
      </c>
      <c r="H372" s="901">
        <v>3</v>
      </c>
      <c r="I372" s="901">
        <v>4</v>
      </c>
      <c r="J372" s="901">
        <v>1</v>
      </c>
      <c r="K372" s="902">
        <v>1</v>
      </c>
      <c r="L372" s="902">
        <v>0</v>
      </c>
      <c r="M372" s="902">
        <v>0</v>
      </c>
      <c r="N372" s="902">
        <f t="shared" si="10"/>
        <v>1</v>
      </c>
      <c r="O372" s="903">
        <v>1</v>
      </c>
      <c r="P372" s="903">
        <v>0</v>
      </c>
      <c r="Q372" s="903">
        <v>0</v>
      </c>
      <c r="R372" s="903">
        <v>0</v>
      </c>
      <c r="S372" s="903">
        <f t="shared" si="11"/>
        <v>1</v>
      </c>
      <c r="T372" s="904">
        <v>1</v>
      </c>
      <c r="U372" s="905">
        <v>0</v>
      </c>
      <c r="V372" s="905">
        <v>0</v>
      </c>
      <c r="W372" s="905">
        <v>1</v>
      </c>
      <c r="X372" s="905">
        <v>0</v>
      </c>
      <c r="Y372" s="905">
        <v>1</v>
      </c>
      <c r="Z372" s="905">
        <v>0</v>
      </c>
      <c r="AA372" s="905">
        <v>0</v>
      </c>
      <c r="AB372" s="906">
        <v>7</v>
      </c>
      <c r="AC372" s="906">
        <v>6</v>
      </c>
      <c r="AD372" s="906">
        <v>1</v>
      </c>
      <c r="AE372" s="906">
        <v>2</v>
      </c>
      <c r="AF372" s="906">
        <v>4</v>
      </c>
      <c r="AG372" s="906">
        <v>3</v>
      </c>
      <c r="AH372" s="906">
        <v>5</v>
      </c>
      <c r="AI372" s="907">
        <v>2</v>
      </c>
      <c r="AJ372" s="907">
        <v>1</v>
      </c>
      <c r="AK372" s="907">
        <v>2</v>
      </c>
      <c r="AL372" s="907">
        <v>2</v>
      </c>
      <c r="AM372" s="907">
        <v>1</v>
      </c>
      <c r="AN372" s="907">
        <v>1</v>
      </c>
      <c r="AO372" s="907">
        <v>2</v>
      </c>
      <c r="AP372" s="907">
        <v>0</v>
      </c>
      <c r="AQ372" s="907">
        <v>0</v>
      </c>
      <c r="AR372" s="907">
        <v>0</v>
      </c>
      <c r="AS372" s="907">
        <v>0</v>
      </c>
      <c r="AT372" s="907">
        <v>1</v>
      </c>
      <c r="AU372" s="907">
        <v>0</v>
      </c>
    </row>
    <row r="373" spans="1:47" hidden="1">
      <c r="A373" s="898">
        <v>372</v>
      </c>
      <c r="B373" s="899">
        <v>0</v>
      </c>
      <c r="C373" s="900">
        <v>0</v>
      </c>
      <c r="D373" s="900">
        <v>1</v>
      </c>
      <c r="E373" s="900">
        <v>0</v>
      </c>
      <c r="F373" s="900">
        <v>0</v>
      </c>
      <c r="G373" s="901">
        <v>3</v>
      </c>
      <c r="H373" s="901">
        <v>2</v>
      </c>
      <c r="I373" s="901">
        <v>4</v>
      </c>
      <c r="J373" s="901">
        <v>1</v>
      </c>
      <c r="K373" s="902">
        <v>0</v>
      </c>
      <c r="L373" s="902">
        <v>1</v>
      </c>
      <c r="M373" s="902">
        <v>0</v>
      </c>
      <c r="N373" s="902">
        <f t="shared" si="10"/>
        <v>2</v>
      </c>
      <c r="O373" s="903">
        <v>1</v>
      </c>
      <c r="P373" s="903">
        <v>0</v>
      </c>
      <c r="Q373" s="903">
        <v>0</v>
      </c>
      <c r="R373" s="903">
        <v>0</v>
      </c>
      <c r="S373" s="903">
        <f t="shared" si="11"/>
        <v>1</v>
      </c>
      <c r="T373" s="904">
        <v>1</v>
      </c>
      <c r="U373" s="905">
        <v>0</v>
      </c>
      <c r="V373" s="905">
        <v>0</v>
      </c>
      <c r="W373" s="905">
        <v>1</v>
      </c>
      <c r="X373" s="905">
        <v>0</v>
      </c>
      <c r="Y373" s="905">
        <v>1</v>
      </c>
      <c r="Z373" s="905">
        <v>0</v>
      </c>
      <c r="AA373" s="905">
        <v>0</v>
      </c>
      <c r="AB373" s="906">
        <v>6</v>
      </c>
      <c r="AC373" s="906">
        <v>3</v>
      </c>
      <c r="AD373" s="906">
        <v>5</v>
      </c>
      <c r="AE373" s="906">
        <v>7</v>
      </c>
      <c r="AF373" s="906">
        <v>1</v>
      </c>
      <c r="AG373" s="906">
        <v>2</v>
      </c>
      <c r="AH373" s="906">
        <v>4</v>
      </c>
      <c r="AI373" s="907">
        <v>1</v>
      </c>
      <c r="AJ373" s="907">
        <v>1</v>
      </c>
      <c r="AK373" s="907">
        <v>2</v>
      </c>
      <c r="AL373" s="907">
        <v>2</v>
      </c>
      <c r="AM373" s="907">
        <v>1</v>
      </c>
      <c r="AN373" s="907">
        <v>1</v>
      </c>
      <c r="AO373" s="907">
        <v>1</v>
      </c>
      <c r="AP373" s="907">
        <v>1</v>
      </c>
      <c r="AQ373" s="907">
        <v>0</v>
      </c>
      <c r="AR373" s="907">
        <v>0</v>
      </c>
      <c r="AS373" s="907">
        <v>0</v>
      </c>
      <c r="AT373" s="907">
        <v>0</v>
      </c>
      <c r="AU373" s="907">
        <v>0</v>
      </c>
    </row>
    <row r="374" spans="1:47">
      <c r="A374" s="898">
        <v>373</v>
      </c>
      <c r="B374" s="899">
        <v>1</v>
      </c>
      <c r="C374" s="900">
        <v>0</v>
      </c>
      <c r="D374" s="900">
        <v>0</v>
      </c>
      <c r="E374" s="900">
        <v>0</v>
      </c>
      <c r="F374" s="900">
        <v>1</v>
      </c>
      <c r="G374" s="901">
        <v>2</v>
      </c>
      <c r="H374" s="901">
        <v>1</v>
      </c>
      <c r="I374" s="901">
        <v>4</v>
      </c>
      <c r="J374" s="901">
        <v>3</v>
      </c>
      <c r="K374" s="902">
        <v>0</v>
      </c>
      <c r="L374" s="902">
        <v>1</v>
      </c>
      <c r="M374" s="902">
        <v>0</v>
      </c>
      <c r="N374" s="902">
        <f t="shared" si="10"/>
        <v>2</v>
      </c>
      <c r="O374" s="903">
        <v>1</v>
      </c>
      <c r="P374" s="903">
        <v>0</v>
      </c>
      <c r="Q374" s="903">
        <v>0</v>
      </c>
      <c r="R374" s="903">
        <v>0</v>
      </c>
      <c r="S374" s="903">
        <f t="shared" si="11"/>
        <v>1</v>
      </c>
      <c r="T374" s="904">
        <v>1</v>
      </c>
      <c r="U374" s="905">
        <v>1</v>
      </c>
      <c r="V374" s="905">
        <v>0</v>
      </c>
      <c r="W374" s="905">
        <v>0</v>
      </c>
      <c r="X374" s="905">
        <v>0</v>
      </c>
      <c r="Y374" s="905">
        <v>0</v>
      </c>
      <c r="Z374" s="905">
        <v>0</v>
      </c>
      <c r="AA374" s="905">
        <v>1</v>
      </c>
      <c r="AB374" s="906">
        <v>1</v>
      </c>
      <c r="AC374" s="906">
        <v>6</v>
      </c>
      <c r="AD374" s="906">
        <v>5</v>
      </c>
      <c r="AE374" s="906">
        <v>7</v>
      </c>
      <c r="AF374" s="906">
        <v>4</v>
      </c>
      <c r="AG374" s="906">
        <v>2</v>
      </c>
      <c r="AH374" s="906">
        <v>3</v>
      </c>
      <c r="AI374" s="907">
        <v>2</v>
      </c>
      <c r="AJ374" s="907">
        <v>1</v>
      </c>
      <c r="AK374" s="907">
        <v>1</v>
      </c>
      <c r="AL374" s="907">
        <v>1</v>
      </c>
      <c r="AM374" s="907">
        <v>2</v>
      </c>
      <c r="AN374" s="907">
        <v>1</v>
      </c>
      <c r="AO374" s="907">
        <v>1</v>
      </c>
      <c r="AP374" s="907">
        <v>0</v>
      </c>
      <c r="AQ374" s="907">
        <v>0</v>
      </c>
      <c r="AR374" s="907">
        <v>0</v>
      </c>
      <c r="AS374" s="907">
        <v>0</v>
      </c>
      <c r="AT374" s="907">
        <v>0</v>
      </c>
      <c r="AU374" s="907">
        <v>1</v>
      </c>
    </row>
    <row r="375" spans="1:47">
      <c r="A375" s="898">
        <v>374</v>
      </c>
      <c r="B375" s="899">
        <v>1</v>
      </c>
      <c r="C375" s="900">
        <v>0</v>
      </c>
      <c r="D375" s="900">
        <v>1</v>
      </c>
      <c r="E375" s="900">
        <v>0</v>
      </c>
      <c r="F375" s="900">
        <v>0</v>
      </c>
      <c r="G375" s="901">
        <v>1</v>
      </c>
      <c r="H375" s="901">
        <v>3</v>
      </c>
      <c r="I375" s="901">
        <v>2</v>
      </c>
      <c r="J375" s="901">
        <v>4</v>
      </c>
      <c r="K375" s="902">
        <v>1</v>
      </c>
      <c r="L375" s="902">
        <v>0</v>
      </c>
      <c r="M375" s="902">
        <v>0</v>
      </c>
      <c r="N375" s="902">
        <f t="shared" si="10"/>
        <v>1</v>
      </c>
      <c r="O375" s="903">
        <v>1</v>
      </c>
      <c r="P375" s="903">
        <v>0</v>
      </c>
      <c r="Q375" s="903">
        <v>0</v>
      </c>
      <c r="R375" s="903">
        <v>0</v>
      </c>
      <c r="S375" s="903">
        <f t="shared" si="11"/>
        <v>1</v>
      </c>
      <c r="T375" s="904">
        <v>1</v>
      </c>
      <c r="U375" s="905">
        <v>1</v>
      </c>
      <c r="V375" s="905">
        <v>1</v>
      </c>
      <c r="W375" s="905">
        <v>1</v>
      </c>
      <c r="X375" s="905">
        <v>0</v>
      </c>
      <c r="Y375" s="905">
        <v>0</v>
      </c>
      <c r="Z375" s="905">
        <v>0</v>
      </c>
      <c r="AA375" s="905">
        <v>0</v>
      </c>
      <c r="AB375" s="906">
        <v>5</v>
      </c>
      <c r="AC375" s="906">
        <v>1</v>
      </c>
      <c r="AD375" s="906">
        <v>2</v>
      </c>
      <c r="AE375" s="906">
        <v>6</v>
      </c>
      <c r="AF375" s="906">
        <v>4</v>
      </c>
      <c r="AG375" s="906">
        <v>3</v>
      </c>
      <c r="AH375" s="906">
        <v>7</v>
      </c>
      <c r="AI375" s="907">
        <v>2</v>
      </c>
      <c r="AJ375" s="907">
        <v>2</v>
      </c>
      <c r="AK375" s="907">
        <v>1</v>
      </c>
      <c r="AL375" s="907">
        <v>1</v>
      </c>
      <c r="AM375" s="907">
        <v>1</v>
      </c>
      <c r="AN375" s="907">
        <v>1</v>
      </c>
      <c r="AO375" s="907">
        <v>1</v>
      </c>
      <c r="AP375" s="907">
        <v>0</v>
      </c>
      <c r="AQ375" s="907">
        <v>0</v>
      </c>
      <c r="AR375" s="907">
        <v>0</v>
      </c>
      <c r="AS375" s="907">
        <v>0</v>
      </c>
      <c r="AT375" s="907">
        <v>1</v>
      </c>
      <c r="AU375" s="907">
        <v>0</v>
      </c>
    </row>
    <row r="376" spans="1:47" hidden="1">
      <c r="A376" s="898">
        <v>375</v>
      </c>
      <c r="B376" s="899">
        <v>0</v>
      </c>
      <c r="C376" s="900">
        <v>0</v>
      </c>
      <c r="D376" s="900">
        <v>1</v>
      </c>
      <c r="E376" s="900">
        <v>0</v>
      </c>
      <c r="F376" s="900">
        <v>0</v>
      </c>
      <c r="G376" s="901">
        <v>1</v>
      </c>
      <c r="H376" s="901">
        <v>3</v>
      </c>
      <c r="I376" s="901">
        <v>2</v>
      </c>
      <c r="J376" s="901">
        <v>4</v>
      </c>
      <c r="K376" s="902">
        <v>1</v>
      </c>
      <c r="L376" s="902">
        <v>0</v>
      </c>
      <c r="M376" s="902">
        <v>0</v>
      </c>
      <c r="N376" s="902">
        <f t="shared" si="10"/>
        <v>1</v>
      </c>
      <c r="O376" s="903">
        <v>1</v>
      </c>
      <c r="P376" s="903">
        <v>0</v>
      </c>
      <c r="Q376" s="903">
        <v>0</v>
      </c>
      <c r="R376" s="903">
        <v>0</v>
      </c>
      <c r="S376" s="903">
        <f t="shared" si="11"/>
        <v>1</v>
      </c>
      <c r="T376" s="904">
        <v>1</v>
      </c>
      <c r="U376" s="905">
        <v>1</v>
      </c>
      <c r="V376" s="905">
        <v>0</v>
      </c>
      <c r="W376" s="905">
        <v>0</v>
      </c>
      <c r="X376" s="905">
        <v>0</v>
      </c>
      <c r="Y376" s="905">
        <v>0</v>
      </c>
      <c r="Z376" s="905">
        <v>0</v>
      </c>
      <c r="AA376" s="905">
        <v>1</v>
      </c>
      <c r="AB376" s="906">
        <v>5</v>
      </c>
      <c r="AC376" s="906">
        <v>3</v>
      </c>
      <c r="AD376" s="906">
        <v>2</v>
      </c>
      <c r="AE376" s="906">
        <v>7</v>
      </c>
      <c r="AF376" s="906">
        <v>6</v>
      </c>
      <c r="AG376" s="906">
        <v>1</v>
      </c>
      <c r="AH376" s="906">
        <v>4</v>
      </c>
      <c r="AI376" s="907">
        <v>2</v>
      </c>
      <c r="AJ376" s="907">
        <v>1</v>
      </c>
      <c r="AK376" s="907">
        <v>1</v>
      </c>
      <c r="AL376" s="907">
        <v>2</v>
      </c>
      <c r="AM376" s="907">
        <v>1</v>
      </c>
      <c r="AN376" s="907">
        <v>1</v>
      </c>
      <c r="AO376" s="907">
        <v>2</v>
      </c>
      <c r="AP376" s="907">
        <v>0</v>
      </c>
      <c r="AQ376" s="907">
        <v>1</v>
      </c>
      <c r="AR376" s="907">
        <v>0</v>
      </c>
      <c r="AS376" s="907">
        <v>0</v>
      </c>
      <c r="AT376" s="907">
        <v>0</v>
      </c>
      <c r="AU376" s="907">
        <v>0</v>
      </c>
    </row>
    <row r="377" spans="1:47" hidden="1">
      <c r="A377" s="898">
        <v>376</v>
      </c>
      <c r="B377" s="899">
        <v>0</v>
      </c>
      <c r="C377" s="900">
        <v>0</v>
      </c>
      <c r="D377" s="900">
        <v>1</v>
      </c>
      <c r="E377" s="900">
        <v>0</v>
      </c>
      <c r="F377" s="900">
        <v>0</v>
      </c>
      <c r="G377" s="901">
        <v>4</v>
      </c>
      <c r="H377" s="901">
        <v>1</v>
      </c>
      <c r="I377" s="901">
        <v>3</v>
      </c>
      <c r="J377" s="901">
        <v>2</v>
      </c>
      <c r="K377" s="902">
        <v>0</v>
      </c>
      <c r="L377" s="902">
        <v>1</v>
      </c>
      <c r="M377" s="902">
        <v>0</v>
      </c>
      <c r="N377" s="902">
        <f t="shared" si="10"/>
        <v>2</v>
      </c>
      <c r="O377" s="903">
        <v>1</v>
      </c>
      <c r="P377" s="903">
        <v>0</v>
      </c>
      <c r="Q377" s="903">
        <v>0</v>
      </c>
      <c r="R377" s="903">
        <v>0</v>
      </c>
      <c r="S377" s="903">
        <f t="shared" si="11"/>
        <v>1</v>
      </c>
      <c r="T377" s="904">
        <v>1</v>
      </c>
      <c r="U377" s="905">
        <v>0</v>
      </c>
      <c r="V377" s="905">
        <v>0</v>
      </c>
      <c r="W377" s="905">
        <v>1</v>
      </c>
      <c r="X377" s="905">
        <v>0</v>
      </c>
      <c r="Y377" s="905">
        <v>0</v>
      </c>
      <c r="Z377" s="905">
        <v>0</v>
      </c>
      <c r="AA377" s="905">
        <v>0</v>
      </c>
      <c r="AB377" s="906">
        <v>4</v>
      </c>
      <c r="AC377" s="906">
        <v>1</v>
      </c>
      <c r="AD377" s="906">
        <v>5</v>
      </c>
      <c r="AE377" s="906">
        <v>7</v>
      </c>
      <c r="AF377" s="906">
        <v>2</v>
      </c>
      <c r="AG377" s="906">
        <v>3</v>
      </c>
      <c r="AH377" s="906">
        <v>6</v>
      </c>
      <c r="AI377" s="907">
        <v>2</v>
      </c>
      <c r="AJ377" s="907">
        <v>2</v>
      </c>
      <c r="AK377" s="907">
        <v>1</v>
      </c>
      <c r="AL377" s="907">
        <v>3</v>
      </c>
      <c r="AM377" s="907">
        <v>1</v>
      </c>
      <c r="AN377" s="907">
        <v>1</v>
      </c>
      <c r="AO377" s="907">
        <v>1</v>
      </c>
      <c r="AP377" s="907">
        <v>0</v>
      </c>
      <c r="AQ377" s="907">
        <v>0</v>
      </c>
      <c r="AR377" s="907">
        <v>0</v>
      </c>
      <c r="AS377" s="907">
        <v>1</v>
      </c>
      <c r="AT377" s="907">
        <v>0</v>
      </c>
      <c r="AU377" s="907">
        <v>0</v>
      </c>
    </row>
    <row r="378" spans="1:47" hidden="1">
      <c r="A378" s="898">
        <v>377</v>
      </c>
      <c r="B378" s="899">
        <v>0</v>
      </c>
      <c r="C378" s="900">
        <v>0</v>
      </c>
      <c r="D378" s="900">
        <v>1</v>
      </c>
      <c r="E378" s="900">
        <v>0</v>
      </c>
      <c r="F378" s="900">
        <v>0</v>
      </c>
      <c r="G378" s="901">
        <v>1</v>
      </c>
      <c r="H378" s="901">
        <v>3</v>
      </c>
      <c r="I378" s="901">
        <v>4</v>
      </c>
      <c r="J378" s="901">
        <v>2</v>
      </c>
      <c r="K378" s="902">
        <v>1</v>
      </c>
      <c r="L378" s="902">
        <v>0</v>
      </c>
      <c r="M378" s="902">
        <v>0</v>
      </c>
      <c r="N378" s="902">
        <f t="shared" si="10"/>
        <v>1</v>
      </c>
      <c r="O378" s="903">
        <v>1</v>
      </c>
      <c r="P378" s="903">
        <v>0</v>
      </c>
      <c r="Q378" s="903">
        <v>0</v>
      </c>
      <c r="R378" s="903">
        <v>0</v>
      </c>
      <c r="S378" s="903">
        <f t="shared" si="11"/>
        <v>1</v>
      </c>
      <c r="T378" s="904">
        <v>1</v>
      </c>
      <c r="U378" s="905">
        <v>0</v>
      </c>
      <c r="V378" s="905">
        <v>1</v>
      </c>
      <c r="W378" s="905">
        <v>1</v>
      </c>
      <c r="X378" s="905">
        <v>0</v>
      </c>
      <c r="Y378" s="905">
        <v>1</v>
      </c>
      <c r="Z378" s="905">
        <v>1</v>
      </c>
      <c r="AA378" s="905">
        <v>1</v>
      </c>
      <c r="AB378" s="906">
        <v>7</v>
      </c>
      <c r="AC378" s="906">
        <v>4</v>
      </c>
      <c r="AD378" s="906">
        <v>5</v>
      </c>
      <c r="AE378" s="906">
        <v>6</v>
      </c>
      <c r="AF378" s="906">
        <v>3</v>
      </c>
      <c r="AG378" s="906">
        <v>2</v>
      </c>
      <c r="AH378" s="906">
        <v>1</v>
      </c>
      <c r="AI378" s="907">
        <v>1</v>
      </c>
      <c r="AJ378" s="907">
        <v>2</v>
      </c>
      <c r="AK378" s="907">
        <v>2</v>
      </c>
      <c r="AL378" s="907">
        <v>2</v>
      </c>
      <c r="AM378" s="907">
        <v>1</v>
      </c>
      <c r="AN378" s="907">
        <v>1</v>
      </c>
      <c r="AO378" s="907">
        <v>2</v>
      </c>
      <c r="AP378" s="907">
        <v>0</v>
      </c>
      <c r="AQ378" s="907">
        <v>0</v>
      </c>
      <c r="AR378" s="907">
        <v>1</v>
      </c>
      <c r="AS378" s="907">
        <v>0</v>
      </c>
      <c r="AT378" s="907">
        <v>0</v>
      </c>
      <c r="AU378" s="907">
        <v>0</v>
      </c>
    </row>
    <row r="379" spans="1:47" hidden="1">
      <c r="A379" s="898">
        <v>378</v>
      </c>
      <c r="B379" s="899">
        <v>0</v>
      </c>
      <c r="C379" s="900">
        <v>1</v>
      </c>
      <c r="D379" s="900">
        <v>0</v>
      </c>
      <c r="E379" s="900">
        <v>0</v>
      </c>
      <c r="F379" s="900">
        <v>0</v>
      </c>
      <c r="G379" s="901">
        <v>4</v>
      </c>
      <c r="H379" s="901">
        <v>2</v>
      </c>
      <c r="I379" s="901">
        <v>3</v>
      </c>
      <c r="J379" s="901">
        <v>1</v>
      </c>
      <c r="K379" s="902">
        <v>1</v>
      </c>
      <c r="L379" s="902">
        <v>0</v>
      </c>
      <c r="M379" s="902">
        <v>0</v>
      </c>
      <c r="N379" s="902">
        <f t="shared" si="10"/>
        <v>1</v>
      </c>
      <c r="O379" s="903">
        <v>1</v>
      </c>
      <c r="P379" s="903">
        <v>0</v>
      </c>
      <c r="Q379" s="903">
        <v>0</v>
      </c>
      <c r="R379" s="903">
        <v>0</v>
      </c>
      <c r="S379" s="903">
        <f t="shared" si="11"/>
        <v>1</v>
      </c>
      <c r="T379" s="904">
        <v>1</v>
      </c>
      <c r="U379" s="905">
        <v>1</v>
      </c>
      <c r="V379" s="905">
        <v>0</v>
      </c>
      <c r="W379" s="905">
        <v>1</v>
      </c>
      <c r="X379" s="905">
        <v>0</v>
      </c>
      <c r="Y379" s="905">
        <v>1</v>
      </c>
      <c r="Z379" s="905">
        <v>1</v>
      </c>
      <c r="AA379" s="905">
        <v>0</v>
      </c>
      <c r="AB379" s="906">
        <v>7</v>
      </c>
      <c r="AC379" s="906">
        <v>3</v>
      </c>
      <c r="AD379" s="906">
        <v>6</v>
      </c>
      <c r="AE379" s="906">
        <v>4</v>
      </c>
      <c r="AF379" s="906">
        <v>2</v>
      </c>
      <c r="AG379" s="906">
        <v>1</v>
      </c>
      <c r="AH379" s="906">
        <v>5</v>
      </c>
      <c r="AI379" s="907">
        <v>1</v>
      </c>
      <c r="AJ379" s="907">
        <v>2</v>
      </c>
      <c r="AK379" s="907">
        <v>2</v>
      </c>
      <c r="AL379" s="907">
        <v>2</v>
      </c>
      <c r="AM379" s="907">
        <v>1</v>
      </c>
      <c r="AN379" s="907">
        <v>1</v>
      </c>
      <c r="AO379" s="907">
        <v>1</v>
      </c>
      <c r="AP379" s="907">
        <v>0</v>
      </c>
      <c r="AQ379" s="907">
        <v>0</v>
      </c>
      <c r="AR379" s="907">
        <v>1</v>
      </c>
      <c r="AS379" s="907">
        <v>0</v>
      </c>
      <c r="AT379" s="907">
        <v>1</v>
      </c>
      <c r="AU379" s="907">
        <v>0</v>
      </c>
    </row>
    <row r="380" spans="1:47" hidden="1">
      <c r="A380" s="898">
        <v>379</v>
      </c>
      <c r="B380" s="899">
        <v>1</v>
      </c>
      <c r="C380" s="900">
        <v>0</v>
      </c>
      <c r="D380" s="900">
        <v>0</v>
      </c>
      <c r="E380" s="900">
        <v>1</v>
      </c>
      <c r="F380" s="900">
        <v>0</v>
      </c>
      <c r="G380" s="901">
        <v>1</v>
      </c>
      <c r="H380" s="901">
        <v>2</v>
      </c>
      <c r="I380" s="901">
        <v>3</v>
      </c>
      <c r="J380" s="901">
        <v>4</v>
      </c>
      <c r="K380" s="902">
        <v>0</v>
      </c>
      <c r="L380" s="902">
        <v>1</v>
      </c>
      <c r="M380" s="902">
        <v>0</v>
      </c>
      <c r="N380" s="902">
        <f t="shared" si="10"/>
        <v>2</v>
      </c>
      <c r="O380" s="903">
        <v>1</v>
      </c>
      <c r="P380" s="903">
        <v>0</v>
      </c>
      <c r="Q380" s="903">
        <v>0</v>
      </c>
      <c r="R380" s="903">
        <v>0</v>
      </c>
      <c r="S380" s="903">
        <f t="shared" si="11"/>
        <v>1</v>
      </c>
      <c r="T380" s="904">
        <v>0</v>
      </c>
      <c r="U380" s="905">
        <v>0</v>
      </c>
      <c r="V380" s="905">
        <v>0</v>
      </c>
      <c r="W380" s="905">
        <v>1</v>
      </c>
      <c r="X380" s="905">
        <v>0</v>
      </c>
      <c r="Y380" s="905">
        <v>0</v>
      </c>
      <c r="Z380" s="905">
        <v>0</v>
      </c>
      <c r="AA380" s="905">
        <v>0</v>
      </c>
      <c r="AB380" s="906">
        <v>5</v>
      </c>
      <c r="AC380" s="906">
        <v>3</v>
      </c>
      <c r="AD380" s="906">
        <v>7</v>
      </c>
      <c r="AE380" s="906">
        <v>6</v>
      </c>
      <c r="AF380" s="906">
        <v>1</v>
      </c>
      <c r="AG380" s="906">
        <v>2</v>
      </c>
      <c r="AH380" s="906">
        <v>4</v>
      </c>
      <c r="AI380" s="907">
        <v>2</v>
      </c>
      <c r="AJ380" s="907">
        <v>2</v>
      </c>
      <c r="AK380" s="907">
        <v>2</v>
      </c>
      <c r="AL380" s="907">
        <v>1</v>
      </c>
      <c r="AM380" s="907">
        <v>1</v>
      </c>
      <c r="AN380" s="907">
        <v>1</v>
      </c>
      <c r="AO380" s="907">
        <v>1</v>
      </c>
      <c r="AP380" s="907">
        <v>0</v>
      </c>
      <c r="AQ380" s="907">
        <v>0</v>
      </c>
      <c r="AR380" s="907">
        <v>0</v>
      </c>
      <c r="AS380" s="907">
        <v>0</v>
      </c>
      <c r="AT380" s="907">
        <v>1</v>
      </c>
      <c r="AU380" s="907">
        <v>0</v>
      </c>
    </row>
    <row r="381" spans="1:47">
      <c r="A381" s="898">
        <v>380</v>
      </c>
      <c r="B381" s="899">
        <v>0</v>
      </c>
      <c r="C381" s="900">
        <v>0</v>
      </c>
      <c r="D381" s="900">
        <v>1</v>
      </c>
      <c r="E381" s="900">
        <v>0</v>
      </c>
      <c r="F381" s="900">
        <v>0</v>
      </c>
      <c r="G381" s="901">
        <v>4</v>
      </c>
      <c r="H381" s="901">
        <v>3</v>
      </c>
      <c r="I381" s="901">
        <v>1</v>
      </c>
      <c r="J381" s="901">
        <v>2</v>
      </c>
      <c r="K381" s="902">
        <v>1</v>
      </c>
      <c r="L381" s="902">
        <v>0</v>
      </c>
      <c r="M381" s="902">
        <v>0</v>
      </c>
      <c r="N381" s="902">
        <f t="shared" si="10"/>
        <v>1</v>
      </c>
      <c r="O381" s="903">
        <v>1</v>
      </c>
      <c r="P381" s="903">
        <v>0</v>
      </c>
      <c r="Q381" s="903">
        <v>0</v>
      </c>
      <c r="R381" s="903">
        <v>0</v>
      </c>
      <c r="S381" s="903">
        <f t="shared" si="11"/>
        <v>1</v>
      </c>
      <c r="T381" s="904">
        <v>1</v>
      </c>
      <c r="U381" s="905">
        <v>0</v>
      </c>
      <c r="V381" s="905">
        <v>0</v>
      </c>
      <c r="W381" s="905">
        <v>1</v>
      </c>
      <c r="X381" s="905">
        <v>0</v>
      </c>
      <c r="Y381" s="905">
        <v>1</v>
      </c>
      <c r="Z381" s="905">
        <v>0</v>
      </c>
      <c r="AA381" s="905">
        <v>1</v>
      </c>
      <c r="AB381" s="906">
        <v>6</v>
      </c>
      <c r="AC381" s="906">
        <v>3</v>
      </c>
      <c r="AD381" s="906">
        <v>2</v>
      </c>
      <c r="AE381" s="906">
        <v>7</v>
      </c>
      <c r="AF381" s="906">
        <v>4</v>
      </c>
      <c r="AG381" s="906">
        <v>1</v>
      </c>
      <c r="AH381" s="906">
        <v>5</v>
      </c>
      <c r="AI381" s="907">
        <v>2</v>
      </c>
      <c r="AJ381" s="907">
        <v>2</v>
      </c>
      <c r="AK381" s="907">
        <v>2</v>
      </c>
      <c r="AL381" s="907">
        <v>1</v>
      </c>
      <c r="AM381" s="907">
        <v>1</v>
      </c>
      <c r="AN381" s="907">
        <v>1</v>
      </c>
      <c r="AO381" s="907">
        <v>2</v>
      </c>
      <c r="AP381" s="907">
        <v>0</v>
      </c>
      <c r="AQ381" s="907">
        <v>1</v>
      </c>
      <c r="AR381" s="907">
        <v>0</v>
      </c>
      <c r="AS381" s="907">
        <v>0</v>
      </c>
      <c r="AT381" s="907">
        <v>0</v>
      </c>
      <c r="AU381" s="907">
        <v>0</v>
      </c>
    </row>
    <row r="382" spans="1:47">
      <c r="A382" s="898">
        <v>381</v>
      </c>
      <c r="B382" s="899">
        <v>0</v>
      </c>
      <c r="C382" s="900">
        <v>0</v>
      </c>
      <c r="D382" s="900">
        <v>1</v>
      </c>
      <c r="E382" s="900">
        <v>0</v>
      </c>
      <c r="F382" s="900">
        <v>0</v>
      </c>
      <c r="G382" s="901">
        <v>4</v>
      </c>
      <c r="H382" s="901">
        <v>2</v>
      </c>
      <c r="I382" s="901">
        <v>1</v>
      </c>
      <c r="J382" s="901">
        <v>3</v>
      </c>
      <c r="K382" s="902">
        <v>1</v>
      </c>
      <c r="L382" s="902">
        <v>0</v>
      </c>
      <c r="M382" s="902">
        <v>0</v>
      </c>
      <c r="N382" s="902">
        <f t="shared" si="10"/>
        <v>1</v>
      </c>
      <c r="O382" s="903">
        <v>1</v>
      </c>
      <c r="P382" s="903">
        <v>0</v>
      </c>
      <c r="Q382" s="903">
        <v>0</v>
      </c>
      <c r="R382" s="903">
        <v>0</v>
      </c>
      <c r="S382" s="903">
        <f t="shared" si="11"/>
        <v>1</v>
      </c>
      <c r="T382" s="904">
        <v>1</v>
      </c>
      <c r="U382" s="905">
        <v>0</v>
      </c>
      <c r="V382" s="905">
        <v>0</v>
      </c>
      <c r="W382" s="905">
        <v>1</v>
      </c>
      <c r="X382" s="905">
        <v>0</v>
      </c>
      <c r="Y382" s="905">
        <v>1</v>
      </c>
      <c r="Z382" s="905">
        <v>0</v>
      </c>
      <c r="AA382" s="905">
        <v>0</v>
      </c>
      <c r="AB382" s="906">
        <v>7</v>
      </c>
      <c r="AC382" s="906">
        <v>1</v>
      </c>
      <c r="AD382" s="906">
        <v>6</v>
      </c>
      <c r="AE382" s="906">
        <v>5</v>
      </c>
      <c r="AF382" s="906">
        <v>4</v>
      </c>
      <c r="AG382" s="906">
        <v>3</v>
      </c>
      <c r="AH382" s="906">
        <v>2</v>
      </c>
      <c r="AI382" s="907">
        <v>1</v>
      </c>
      <c r="AJ382" s="907">
        <v>2</v>
      </c>
      <c r="AK382" s="907">
        <v>2</v>
      </c>
      <c r="AL382" s="907">
        <v>3</v>
      </c>
      <c r="AM382" s="907">
        <v>1</v>
      </c>
      <c r="AN382" s="907">
        <v>1</v>
      </c>
      <c r="AO382" s="907">
        <v>1</v>
      </c>
      <c r="AP382" s="907">
        <v>0</v>
      </c>
      <c r="AQ382" s="907">
        <v>1</v>
      </c>
      <c r="AR382" s="907">
        <v>0</v>
      </c>
      <c r="AS382" s="907">
        <v>0</v>
      </c>
      <c r="AT382" s="907">
        <v>0</v>
      </c>
      <c r="AU382" s="907">
        <v>0</v>
      </c>
    </row>
    <row r="383" spans="1:47" hidden="1">
      <c r="A383" s="898">
        <v>382</v>
      </c>
      <c r="B383" s="899">
        <v>0</v>
      </c>
      <c r="C383" s="900">
        <v>0</v>
      </c>
      <c r="D383" s="900">
        <v>1</v>
      </c>
      <c r="E383" s="900">
        <v>0</v>
      </c>
      <c r="F383" s="900">
        <v>0</v>
      </c>
      <c r="G383" s="901">
        <v>4</v>
      </c>
      <c r="H383" s="901">
        <v>1</v>
      </c>
      <c r="I383" s="901">
        <v>3</v>
      </c>
      <c r="J383" s="901">
        <v>2</v>
      </c>
      <c r="K383" s="902">
        <v>1</v>
      </c>
      <c r="L383" s="902">
        <v>0</v>
      </c>
      <c r="M383" s="902">
        <v>0</v>
      </c>
      <c r="N383" s="902">
        <f t="shared" si="10"/>
        <v>1</v>
      </c>
      <c r="O383" s="903">
        <v>1</v>
      </c>
      <c r="P383" s="903">
        <v>0</v>
      </c>
      <c r="Q383" s="903">
        <v>0</v>
      </c>
      <c r="R383" s="903">
        <v>0</v>
      </c>
      <c r="S383" s="903">
        <f t="shared" si="11"/>
        <v>1</v>
      </c>
      <c r="T383" s="904">
        <v>1</v>
      </c>
      <c r="U383" s="905">
        <v>0</v>
      </c>
      <c r="V383" s="905">
        <v>1</v>
      </c>
      <c r="W383" s="905">
        <v>0</v>
      </c>
      <c r="X383" s="905">
        <v>0</v>
      </c>
      <c r="Y383" s="905">
        <v>0</v>
      </c>
      <c r="Z383" s="905">
        <v>0</v>
      </c>
      <c r="AA383" s="905">
        <v>0</v>
      </c>
      <c r="AB383" s="906">
        <v>4</v>
      </c>
      <c r="AC383" s="906">
        <v>3</v>
      </c>
      <c r="AD383" s="906">
        <v>5</v>
      </c>
      <c r="AE383" s="906">
        <v>7</v>
      </c>
      <c r="AF383" s="906">
        <v>2</v>
      </c>
      <c r="AG383" s="906">
        <v>1</v>
      </c>
      <c r="AH383" s="906">
        <v>6</v>
      </c>
      <c r="AI383" s="907">
        <v>1</v>
      </c>
      <c r="AJ383" s="907">
        <v>1</v>
      </c>
      <c r="AK383" s="907">
        <v>1</v>
      </c>
      <c r="AL383" s="907">
        <v>2</v>
      </c>
      <c r="AM383" s="907">
        <v>1</v>
      </c>
      <c r="AN383" s="907">
        <v>1</v>
      </c>
      <c r="AO383" s="907">
        <v>1</v>
      </c>
      <c r="AP383" s="907">
        <v>0</v>
      </c>
      <c r="AQ383" s="907">
        <v>0</v>
      </c>
      <c r="AR383" s="907">
        <v>1</v>
      </c>
      <c r="AS383" s="907">
        <v>0</v>
      </c>
      <c r="AT383" s="907">
        <v>0</v>
      </c>
      <c r="AU383" s="907">
        <v>0</v>
      </c>
    </row>
    <row r="384" spans="1:47" hidden="1">
      <c r="A384" s="898">
        <v>383</v>
      </c>
      <c r="B384" s="899">
        <v>1</v>
      </c>
      <c r="C384" s="900">
        <v>1</v>
      </c>
      <c r="D384" s="900">
        <v>0</v>
      </c>
      <c r="E384" s="900">
        <v>0</v>
      </c>
      <c r="F384" s="900">
        <v>0</v>
      </c>
      <c r="G384" s="901">
        <v>4</v>
      </c>
      <c r="H384" s="901">
        <v>2</v>
      </c>
      <c r="I384" s="901">
        <v>3</v>
      </c>
      <c r="J384" s="901">
        <v>1</v>
      </c>
      <c r="K384" s="902">
        <v>1</v>
      </c>
      <c r="L384" s="902">
        <v>0</v>
      </c>
      <c r="M384" s="902">
        <v>0</v>
      </c>
      <c r="N384" s="902">
        <f t="shared" si="10"/>
        <v>1</v>
      </c>
      <c r="O384" s="903">
        <v>1</v>
      </c>
      <c r="P384" s="903">
        <v>0</v>
      </c>
      <c r="Q384" s="903">
        <v>0</v>
      </c>
      <c r="R384" s="903">
        <v>0</v>
      </c>
      <c r="S384" s="903">
        <f t="shared" si="11"/>
        <v>1</v>
      </c>
      <c r="T384" s="904">
        <v>1</v>
      </c>
      <c r="U384" s="905">
        <v>0</v>
      </c>
      <c r="V384" s="905">
        <v>0</v>
      </c>
      <c r="W384" s="905">
        <v>1</v>
      </c>
      <c r="X384" s="905">
        <v>1</v>
      </c>
      <c r="Y384" s="905">
        <v>0</v>
      </c>
      <c r="Z384" s="905">
        <v>1</v>
      </c>
      <c r="AA384" s="905">
        <v>1</v>
      </c>
      <c r="AB384" s="906">
        <v>4</v>
      </c>
      <c r="AC384" s="906">
        <v>5</v>
      </c>
      <c r="AD384" s="906">
        <v>3</v>
      </c>
      <c r="AE384" s="906">
        <v>7</v>
      </c>
      <c r="AF384" s="906">
        <v>6</v>
      </c>
      <c r="AG384" s="906">
        <v>1</v>
      </c>
      <c r="AH384" s="906">
        <v>2</v>
      </c>
      <c r="AI384" s="907">
        <v>2</v>
      </c>
      <c r="AJ384" s="907">
        <v>1</v>
      </c>
      <c r="AK384" s="907">
        <v>2</v>
      </c>
      <c r="AL384" s="907">
        <v>1</v>
      </c>
      <c r="AM384" s="907">
        <v>2</v>
      </c>
      <c r="AN384" s="907">
        <v>1</v>
      </c>
      <c r="AO384" s="907">
        <v>2</v>
      </c>
      <c r="AP384" s="907">
        <v>0</v>
      </c>
      <c r="AQ384" s="907">
        <v>0</v>
      </c>
      <c r="AR384" s="907">
        <v>0</v>
      </c>
      <c r="AS384" s="907">
        <v>0</v>
      </c>
      <c r="AT384" s="907">
        <v>1</v>
      </c>
      <c r="AU384" s="907">
        <v>0</v>
      </c>
    </row>
    <row r="385" spans="1:47" hidden="1">
      <c r="A385" s="898">
        <v>384</v>
      </c>
      <c r="B385" s="899">
        <v>1</v>
      </c>
      <c r="C385" s="900">
        <v>0</v>
      </c>
      <c r="D385" s="900">
        <v>0</v>
      </c>
      <c r="E385" s="900">
        <v>1</v>
      </c>
      <c r="F385" s="900">
        <v>0</v>
      </c>
      <c r="G385" s="901">
        <v>4</v>
      </c>
      <c r="H385" s="901">
        <v>3</v>
      </c>
      <c r="I385" s="901">
        <v>2</v>
      </c>
      <c r="J385" s="901">
        <v>1</v>
      </c>
      <c r="K385" s="902">
        <v>1</v>
      </c>
      <c r="L385" s="902">
        <v>0</v>
      </c>
      <c r="M385" s="902">
        <v>0</v>
      </c>
      <c r="N385" s="902">
        <f t="shared" si="10"/>
        <v>1</v>
      </c>
      <c r="O385" s="903">
        <v>1</v>
      </c>
      <c r="P385" s="903">
        <v>0</v>
      </c>
      <c r="Q385" s="903">
        <v>0</v>
      </c>
      <c r="R385" s="903">
        <v>0</v>
      </c>
      <c r="S385" s="903">
        <f t="shared" si="11"/>
        <v>1</v>
      </c>
      <c r="T385" s="904">
        <v>1</v>
      </c>
      <c r="U385" s="905">
        <v>0</v>
      </c>
      <c r="V385" s="905">
        <v>0</v>
      </c>
      <c r="W385" s="905">
        <v>1</v>
      </c>
      <c r="X385" s="905">
        <v>0</v>
      </c>
      <c r="Y385" s="905">
        <v>0</v>
      </c>
      <c r="Z385" s="905">
        <v>1</v>
      </c>
      <c r="AA385" s="905">
        <v>0</v>
      </c>
      <c r="AB385" s="906">
        <v>4</v>
      </c>
      <c r="AC385" s="906">
        <v>3</v>
      </c>
      <c r="AD385" s="906">
        <v>5</v>
      </c>
      <c r="AE385" s="906">
        <v>7</v>
      </c>
      <c r="AF385" s="906">
        <v>6</v>
      </c>
      <c r="AG385" s="906">
        <v>1</v>
      </c>
      <c r="AH385" s="906">
        <v>2</v>
      </c>
      <c r="AI385" s="907">
        <v>2</v>
      </c>
      <c r="AJ385" s="907">
        <v>1</v>
      </c>
      <c r="AK385" s="907">
        <v>2</v>
      </c>
      <c r="AL385" s="907">
        <v>1</v>
      </c>
      <c r="AM385" s="907">
        <v>2</v>
      </c>
      <c r="AN385" s="907">
        <v>1</v>
      </c>
      <c r="AO385" s="907">
        <v>2</v>
      </c>
      <c r="AP385" s="907">
        <v>0</v>
      </c>
      <c r="AQ385" s="907">
        <v>0</v>
      </c>
      <c r="AR385" s="907">
        <v>0</v>
      </c>
      <c r="AS385" s="907">
        <v>0</v>
      </c>
      <c r="AT385" s="907">
        <v>1</v>
      </c>
      <c r="AU385" s="907">
        <v>0</v>
      </c>
    </row>
    <row r="386" spans="1:47" hidden="1">
      <c r="A386" s="898">
        <v>385</v>
      </c>
      <c r="B386" s="899">
        <v>0</v>
      </c>
      <c r="C386" s="900">
        <v>0</v>
      </c>
      <c r="D386" s="900">
        <v>1</v>
      </c>
      <c r="E386" s="900">
        <v>0</v>
      </c>
      <c r="F386" s="900">
        <v>0</v>
      </c>
      <c r="G386" s="901">
        <v>4</v>
      </c>
      <c r="H386" s="901">
        <v>1</v>
      </c>
      <c r="I386" s="901">
        <v>3</v>
      </c>
      <c r="J386" s="901">
        <v>2</v>
      </c>
      <c r="K386" s="902">
        <v>0</v>
      </c>
      <c r="L386" s="902">
        <v>1</v>
      </c>
      <c r="M386" s="902">
        <v>0</v>
      </c>
      <c r="N386" s="902">
        <f t="shared" ref="N386:N401" si="12">+(K386*1)+(L386*2)+(M386*3)</f>
        <v>2</v>
      </c>
      <c r="O386" s="903">
        <v>1</v>
      </c>
      <c r="P386" s="903">
        <v>0</v>
      </c>
      <c r="Q386" s="903">
        <v>0</v>
      </c>
      <c r="R386" s="903">
        <v>0</v>
      </c>
      <c r="S386" s="903">
        <f t="shared" si="11"/>
        <v>1</v>
      </c>
      <c r="T386" s="904">
        <v>1</v>
      </c>
      <c r="U386" s="905">
        <v>0</v>
      </c>
      <c r="V386" s="905">
        <v>1</v>
      </c>
      <c r="W386" s="905">
        <v>0</v>
      </c>
      <c r="X386" s="905">
        <v>0</v>
      </c>
      <c r="Y386" s="905">
        <v>1</v>
      </c>
      <c r="Z386" s="905">
        <v>0</v>
      </c>
      <c r="AA386" s="905">
        <v>1</v>
      </c>
      <c r="AB386" s="906">
        <v>7</v>
      </c>
      <c r="AC386" s="906">
        <v>4</v>
      </c>
      <c r="AD386" s="906">
        <v>3</v>
      </c>
      <c r="AE386" s="906">
        <v>6</v>
      </c>
      <c r="AF386" s="906">
        <v>2</v>
      </c>
      <c r="AG386" s="906">
        <v>1</v>
      </c>
      <c r="AH386" s="906">
        <v>5</v>
      </c>
      <c r="AI386" s="907">
        <v>2</v>
      </c>
      <c r="AJ386" s="907">
        <v>1</v>
      </c>
      <c r="AK386" s="907">
        <v>2</v>
      </c>
      <c r="AL386" s="907">
        <v>2</v>
      </c>
      <c r="AM386" s="907">
        <v>1</v>
      </c>
      <c r="AN386" s="907">
        <v>2</v>
      </c>
      <c r="AO386" s="907">
        <v>3</v>
      </c>
      <c r="AP386" s="907">
        <v>1</v>
      </c>
      <c r="AQ386" s="907">
        <v>1</v>
      </c>
      <c r="AR386" s="907">
        <v>0</v>
      </c>
      <c r="AS386" s="907">
        <v>0</v>
      </c>
      <c r="AT386" s="907">
        <v>1</v>
      </c>
      <c r="AU386" s="907">
        <v>0</v>
      </c>
    </row>
    <row r="387" spans="1:47" hidden="1">
      <c r="A387" s="898">
        <v>386</v>
      </c>
      <c r="B387" s="899">
        <v>1</v>
      </c>
      <c r="C387" s="900">
        <v>1</v>
      </c>
      <c r="D387" s="900">
        <v>0</v>
      </c>
      <c r="E387" s="900">
        <v>0</v>
      </c>
      <c r="F387" s="900">
        <v>0</v>
      </c>
      <c r="G387" s="901">
        <v>4</v>
      </c>
      <c r="H387" s="901">
        <v>2</v>
      </c>
      <c r="I387" s="901">
        <v>1</v>
      </c>
      <c r="J387" s="901">
        <v>3</v>
      </c>
      <c r="K387" s="902">
        <v>1</v>
      </c>
      <c r="L387" s="902">
        <v>0</v>
      </c>
      <c r="M387" s="902">
        <v>0</v>
      </c>
      <c r="N387" s="902">
        <f t="shared" si="12"/>
        <v>1</v>
      </c>
      <c r="O387" s="903">
        <v>1</v>
      </c>
      <c r="P387" s="903">
        <v>0</v>
      </c>
      <c r="Q387" s="903">
        <v>0</v>
      </c>
      <c r="R387" s="903">
        <v>0</v>
      </c>
      <c r="S387" s="903">
        <f t="shared" ref="S387:S401" si="13">+(O387*1)+(P387*2)+(Q387*3)+(R387*4)</f>
        <v>1</v>
      </c>
      <c r="T387" s="904">
        <v>1</v>
      </c>
      <c r="U387" s="905">
        <v>0</v>
      </c>
      <c r="V387" s="905">
        <v>0</v>
      </c>
      <c r="W387" s="905">
        <v>1</v>
      </c>
      <c r="X387" s="905">
        <v>1</v>
      </c>
      <c r="Y387" s="905">
        <v>0</v>
      </c>
      <c r="Z387" s="905">
        <v>1</v>
      </c>
      <c r="AA387" s="905">
        <v>0</v>
      </c>
      <c r="AB387" s="906">
        <v>5</v>
      </c>
      <c r="AC387" s="906">
        <v>7</v>
      </c>
      <c r="AD387" s="906">
        <v>1</v>
      </c>
      <c r="AE387" s="906">
        <v>2</v>
      </c>
      <c r="AF387" s="906">
        <v>3</v>
      </c>
      <c r="AG387" s="906">
        <v>4</v>
      </c>
      <c r="AH387" s="906">
        <v>6</v>
      </c>
      <c r="AI387" s="907">
        <v>2</v>
      </c>
      <c r="AJ387" s="907">
        <v>1</v>
      </c>
      <c r="AK387" s="907">
        <v>2</v>
      </c>
      <c r="AL387" s="907">
        <v>1</v>
      </c>
      <c r="AM387" s="907">
        <v>2</v>
      </c>
      <c r="AN387" s="907">
        <v>1</v>
      </c>
      <c r="AO387" s="907">
        <v>1</v>
      </c>
      <c r="AP387" s="907">
        <v>1</v>
      </c>
      <c r="AQ387" s="907">
        <v>0</v>
      </c>
      <c r="AR387" s="907">
        <v>0</v>
      </c>
      <c r="AS387" s="907">
        <v>0</v>
      </c>
      <c r="AT387" s="907">
        <v>0</v>
      </c>
      <c r="AU387" s="907">
        <v>0</v>
      </c>
    </row>
    <row r="388" spans="1:47" hidden="1">
      <c r="A388" s="898">
        <v>387</v>
      </c>
      <c r="B388" s="899">
        <v>1</v>
      </c>
      <c r="C388" s="900">
        <v>0</v>
      </c>
      <c r="D388" s="900">
        <v>0</v>
      </c>
      <c r="E388" s="900">
        <v>1</v>
      </c>
      <c r="F388" s="900">
        <v>0</v>
      </c>
      <c r="G388" s="901">
        <v>3</v>
      </c>
      <c r="H388" s="901">
        <v>2</v>
      </c>
      <c r="I388" s="901">
        <v>4</v>
      </c>
      <c r="J388" s="901">
        <v>1</v>
      </c>
      <c r="K388" s="902">
        <v>0</v>
      </c>
      <c r="L388" s="902">
        <v>1</v>
      </c>
      <c r="M388" s="902">
        <v>0</v>
      </c>
      <c r="N388" s="902">
        <f t="shared" si="12"/>
        <v>2</v>
      </c>
      <c r="O388" s="903">
        <v>1</v>
      </c>
      <c r="P388" s="903">
        <v>0</v>
      </c>
      <c r="Q388" s="903">
        <v>0</v>
      </c>
      <c r="R388" s="903">
        <v>0</v>
      </c>
      <c r="S388" s="903">
        <f t="shared" si="13"/>
        <v>1</v>
      </c>
      <c r="T388" s="904">
        <v>0</v>
      </c>
      <c r="U388" s="905">
        <v>1</v>
      </c>
      <c r="V388" s="905">
        <v>0</v>
      </c>
      <c r="W388" s="905">
        <v>0</v>
      </c>
      <c r="X388" s="905">
        <v>0</v>
      </c>
      <c r="Y388" s="905">
        <v>0</v>
      </c>
      <c r="Z388" s="905">
        <v>0</v>
      </c>
      <c r="AA388" s="905">
        <v>0</v>
      </c>
      <c r="AB388" s="906">
        <v>4</v>
      </c>
      <c r="AC388" s="906">
        <v>5</v>
      </c>
      <c r="AD388" s="906">
        <v>6</v>
      </c>
      <c r="AE388" s="906">
        <v>7</v>
      </c>
      <c r="AF388" s="906">
        <v>3</v>
      </c>
      <c r="AG388" s="906">
        <v>2</v>
      </c>
      <c r="AH388" s="906">
        <v>1</v>
      </c>
      <c r="AI388" s="907">
        <v>2</v>
      </c>
      <c r="AJ388" s="907">
        <v>1</v>
      </c>
      <c r="AK388" s="907">
        <v>1</v>
      </c>
      <c r="AL388" s="907">
        <v>1</v>
      </c>
      <c r="AM388" s="907">
        <v>1</v>
      </c>
      <c r="AN388" s="907">
        <v>2</v>
      </c>
      <c r="AO388" s="907">
        <v>1</v>
      </c>
      <c r="AP388" s="907">
        <v>0</v>
      </c>
      <c r="AQ388" s="907">
        <v>0</v>
      </c>
      <c r="AR388" s="907">
        <v>0</v>
      </c>
      <c r="AS388" s="907">
        <v>0</v>
      </c>
      <c r="AT388" s="907">
        <v>1</v>
      </c>
      <c r="AU388" s="907">
        <v>0</v>
      </c>
    </row>
    <row r="389" spans="1:47" hidden="1">
      <c r="A389" s="898">
        <v>388</v>
      </c>
      <c r="B389" s="899">
        <v>0</v>
      </c>
      <c r="C389" s="900">
        <v>0</v>
      </c>
      <c r="D389" s="900">
        <v>0</v>
      </c>
      <c r="E389" s="900">
        <v>1</v>
      </c>
      <c r="F389" s="900">
        <v>0</v>
      </c>
      <c r="G389" s="901">
        <v>4</v>
      </c>
      <c r="H389" s="901">
        <v>3</v>
      </c>
      <c r="I389" s="901">
        <v>1</v>
      </c>
      <c r="J389" s="901">
        <v>2</v>
      </c>
      <c r="K389" s="902">
        <v>1</v>
      </c>
      <c r="L389" s="902">
        <v>0</v>
      </c>
      <c r="M389" s="902">
        <v>0</v>
      </c>
      <c r="N389" s="902">
        <f t="shared" si="12"/>
        <v>1</v>
      </c>
      <c r="O389" s="903">
        <v>1</v>
      </c>
      <c r="P389" s="903">
        <v>0</v>
      </c>
      <c r="Q389" s="903">
        <v>0</v>
      </c>
      <c r="R389" s="903">
        <v>0</v>
      </c>
      <c r="S389" s="903">
        <f t="shared" si="13"/>
        <v>1</v>
      </c>
      <c r="T389" s="904">
        <v>1</v>
      </c>
      <c r="U389" s="905">
        <v>1</v>
      </c>
      <c r="V389" s="905">
        <v>1</v>
      </c>
      <c r="W389" s="905">
        <v>1</v>
      </c>
      <c r="X389" s="905">
        <v>1</v>
      </c>
      <c r="Y389" s="905">
        <v>1</v>
      </c>
      <c r="Z389" s="905">
        <v>1</v>
      </c>
      <c r="AA389" s="905">
        <v>0</v>
      </c>
      <c r="AB389" s="906">
        <v>6</v>
      </c>
      <c r="AC389" s="906">
        <v>4</v>
      </c>
      <c r="AD389" s="906">
        <v>3</v>
      </c>
      <c r="AE389" s="906">
        <v>1</v>
      </c>
      <c r="AF389" s="906">
        <v>5</v>
      </c>
      <c r="AG389" s="906">
        <v>2</v>
      </c>
      <c r="AH389" s="906">
        <v>7</v>
      </c>
      <c r="AI389" s="907">
        <v>1</v>
      </c>
      <c r="AJ389" s="907">
        <v>1</v>
      </c>
      <c r="AK389" s="907">
        <v>2</v>
      </c>
      <c r="AL389" s="907">
        <v>3</v>
      </c>
      <c r="AM389" s="907">
        <v>1</v>
      </c>
      <c r="AN389" s="907">
        <v>1</v>
      </c>
      <c r="AO389" s="907">
        <v>2</v>
      </c>
      <c r="AP389" s="907">
        <v>0</v>
      </c>
      <c r="AQ389" s="907">
        <v>0</v>
      </c>
      <c r="AR389" s="907">
        <v>0</v>
      </c>
      <c r="AS389" s="907">
        <v>1</v>
      </c>
      <c r="AT389" s="907">
        <v>0</v>
      </c>
      <c r="AU389" s="907">
        <v>0</v>
      </c>
    </row>
    <row r="390" spans="1:47" hidden="1">
      <c r="A390" s="898">
        <v>389</v>
      </c>
      <c r="B390" s="899">
        <v>1</v>
      </c>
      <c r="C390" s="900">
        <v>0</v>
      </c>
      <c r="D390" s="900">
        <v>1</v>
      </c>
      <c r="E390" s="900">
        <v>0</v>
      </c>
      <c r="F390" s="900">
        <v>0</v>
      </c>
      <c r="G390" s="901">
        <v>4</v>
      </c>
      <c r="H390" s="901">
        <v>2</v>
      </c>
      <c r="I390" s="901">
        <v>1</v>
      </c>
      <c r="J390" s="901">
        <v>3</v>
      </c>
      <c r="K390" s="902">
        <v>1</v>
      </c>
      <c r="L390" s="902">
        <v>0</v>
      </c>
      <c r="M390" s="902">
        <v>0</v>
      </c>
      <c r="N390" s="902">
        <f t="shared" si="12"/>
        <v>1</v>
      </c>
      <c r="O390" s="903">
        <v>1</v>
      </c>
      <c r="P390" s="903">
        <v>0</v>
      </c>
      <c r="Q390" s="903">
        <v>0</v>
      </c>
      <c r="R390" s="903">
        <v>0</v>
      </c>
      <c r="S390" s="903">
        <f t="shared" si="13"/>
        <v>1</v>
      </c>
      <c r="T390" s="904">
        <v>1</v>
      </c>
      <c r="U390" s="905">
        <v>1</v>
      </c>
      <c r="V390" s="905">
        <v>0</v>
      </c>
      <c r="W390" s="905">
        <v>0</v>
      </c>
      <c r="X390" s="905">
        <v>1</v>
      </c>
      <c r="Y390" s="905">
        <v>0</v>
      </c>
      <c r="Z390" s="905">
        <v>0</v>
      </c>
      <c r="AA390" s="905">
        <v>0</v>
      </c>
      <c r="AB390" s="906">
        <v>3</v>
      </c>
      <c r="AC390" s="906">
        <v>6</v>
      </c>
      <c r="AD390" s="906">
        <v>4</v>
      </c>
      <c r="AE390" s="906">
        <v>1</v>
      </c>
      <c r="AF390" s="906">
        <v>2</v>
      </c>
      <c r="AG390" s="906">
        <v>7</v>
      </c>
      <c r="AH390" s="906">
        <v>5</v>
      </c>
      <c r="AI390" s="907">
        <v>2</v>
      </c>
      <c r="AJ390" s="907">
        <v>1</v>
      </c>
      <c r="AK390" s="907">
        <v>1</v>
      </c>
      <c r="AL390" s="907">
        <v>1</v>
      </c>
      <c r="AM390" s="907">
        <v>1</v>
      </c>
      <c r="AN390" s="907">
        <v>1</v>
      </c>
      <c r="AO390" s="907">
        <v>1</v>
      </c>
      <c r="AP390" s="907">
        <v>0</v>
      </c>
      <c r="AQ390" s="907">
        <v>0</v>
      </c>
      <c r="AR390" s="907">
        <v>0</v>
      </c>
      <c r="AS390" s="907">
        <v>0</v>
      </c>
      <c r="AT390" s="907">
        <v>1</v>
      </c>
      <c r="AU390" s="907">
        <v>0</v>
      </c>
    </row>
    <row r="391" spans="1:47" hidden="1">
      <c r="A391" s="898">
        <v>390</v>
      </c>
      <c r="B391" s="899">
        <v>0</v>
      </c>
      <c r="C391" s="900">
        <v>1</v>
      </c>
      <c r="D391" s="900">
        <v>0</v>
      </c>
      <c r="E391" s="900">
        <v>0</v>
      </c>
      <c r="F391" s="900">
        <v>0</v>
      </c>
      <c r="G391" s="901">
        <v>3</v>
      </c>
      <c r="H391" s="901">
        <v>2</v>
      </c>
      <c r="I391" s="901">
        <v>4</v>
      </c>
      <c r="J391" s="901">
        <v>1</v>
      </c>
      <c r="K391" s="902">
        <v>1</v>
      </c>
      <c r="L391" s="902">
        <v>0</v>
      </c>
      <c r="M391" s="902">
        <v>0</v>
      </c>
      <c r="N391" s="902">
        <f t="shared" si="12"/>
        <v>1</v>
      </c>
      <c r="O391" s="903">
        <v>1</v>
      </c>
      <c r="P391" s="903">
        <v>0</v>
      </c>
      <c r="Q391" s="903">
        <v>0</v>
      </c>
      <c r="R391" s="903">
        <v>0</v>
      </c>
      <c r="S391" s="903">
        <f t="shared" si="13"/>
        <v>1</v>
      </c>
      <c r="T391" s="904">
        <v>1</v>
      </c>
      <c r="U391" s="905">
        <v>1</v>
      </c>
      <c r="V391" s="905">
        <v>1</v>
      </c>
      <c r="W391" s="905">
        <v>1</v>
      </c>
      <c r="X391" s="905">
        <v>1</v>
      </c>
      <c r="Y391" s="905">
        <v>0</v>
      </c>
      <c r="Z391" s="905">
        <v>0</v>
      </c>
      <c r="AA391" s="905">
        <v>0</v>
      </c>
      <c r="AB391" s="906">
        <v>5</v>
      </c>
      <c r="AC391" s="906">
        <v>4</v>
      </c>
      <c r="AD391" s="906">
        <v>2</v>
      </c>
      <c r="AE391" s="906">
        <v>7</v>
      </c>
      <c r="AF391" s="906">
        <v>6</v>
      </c>
      <c r="AG391" s="906">
        <v>1</v>
      </c>
      <c r="AH391" s="906">
        <v>3</v>
      </c>
      <c r="AI391" s="907">
        <v>1</v>
      </c>
      <c r="AJ391" s="907">
        <v>1</v>
      </c>
      <c r="AK391" s="907">
        <v>2</v>
      </c>
      <c r="AL391" s="907">
        <v>2</v>
      </c>
      <c r="AM391" s="907">
        <v>1</v>
      </c>
      <c r="AN391" s="907">
        <v>1</v>
      </c>
      <c r="AO391" s="907">
        <v>1</v>
      </c>
      <c r="AP391" s="907">
        <v>1</v>
      </c>
      <c r="AQ391" s="907">
        <v>0</v>
      </c>
      <c r="AR391" s="907">
        <v>0</v>
      </c>
      <c r="AS391" s="907">
        <v>0</v>
      </c>
      <c r="AT391" s="907">
        <v>0</v>
      </c>
      <c r="AU391" s="907">
        <v>0</v>
      </c>
    </row>
    <row r="392" spans="1:47" hidden="1">
      <c r="A392" s="898">
        <v>391</v>
      </c>
      <c r="B392" s="899">
        <v>1</v>
      </c>
      <c r="C392" s="900">
        <v>0</v>
      </c>
      <c r="D392" s="900">
        <v>1</v>
      </c>
      <c r="E392" s="900">
        <v>0</v>
      </c>
      <c r="F392" s="900">
        <v>0</v>
      </c>
      <c r="G392" s="901">
        <v>3</v>
      </c>
      <c r="H392" s="901">
        <v>2</v>
      </c>
      <c r="I392" s="901">
        <v>4</v>
      </c>
      <c r="J392" s="901">
        <v>1</v>
      </c>
      <c r="K392" s="902">
        <v>0</v>
      </c>
      <c r="L392" s="902">
        <v>1</v>
      </c>
      <c r="M392" s="902">
        <v>0</v>
      </c>
      <c r="N392" s="902">
        <f t="shared" si="12"/>
        <v>2</v>
      </c>
      <c r="O392" s="903">
        <v>1</v>
      </c>
      <c r="P392" s="903">
        <v>0</v>
      </c>
      <c r="Q392" s="903">
        <v>0</v>
      </c>
      <c r="R392" s="903">
        <v>0</v>
      </c>
      <c r="S392" s="903">
        <f t="shared" si="13"/>
        <v>1</v>
      </c>
      <c r="T392" s="904">
        <v>1</v>
      </c>
      <c r="U392" s="905">
        <v>0</v>
      </c>
      <c r="V392" s="905">
        <v>1</v>
      </c>
      <c r="W392" s="905">
        <v>0</v>
      </c>
      <c r="X392" s="905">
        <v>1</v>
      </c>
      <c r="Y392" s="905">
        <v>0</v>
      </c>
      <c r="Z392" s="905">
        <v>0</v>
      </c>
      <c r="AA392" s="905">
        <v>0</v>
      </c>
      <c r="AB392" s="906">
        <v>6</v>
      </c>
      <c r="AC392" s="906">
        <v>5</v>
      </c>
      <c r="AD392" s="906">
        <v>4</v>
      </c>
      <c r="AE392" s="906">
        <v>3</v>
      </c>
      <c r="AF392" s="906">
        <v>1</v>
      </c>
      <c r="AG392" s="906">
        <v>2</v>
      </c>
      <c r="AH392" s="906">
        <v>7</v>
      </c>
      <c r="AI392" s="907">
        <v>4</v>
      </c>
      <c r="AJ392" s="907">
        <v>4</v>
      </c>
      <c r="AK392" s="907">
        <v>4</v>
      </c>
      <c r="AL392" s="907">
        <v>1</v>
      </c>
      <c r="AM392" s="907">
        <v>1</v>
      </c>
      <c r="AN392" s="907">
        <v>1</v>
      </c>
      <c r="AO392" s="907">
        <v>3</v>
      </c>
      <c r="AP392" s="907">
        <v>0</v>
      </c>
      <c r="AQ392" s="907">
        <v>0</v>
      </c>
      <c r="AR392" s="907">
        <v>1</v>
      </c>
      <c r="AS392" s="907">
        <v>0</v>
      </c>
      <c r="AT392" s="907">
        <v>0</v>
      </c>
      <c r="AU392" s="907">
        <v>0</v>
      </c>
    </row>
    <row r="393" spans="1:47" hidden="1">
      <c r="A393" s="898">
        <v>392</v>
      </c>
      <c r="B393" s="899">
        <v>0</v>
      </c>
      <c r="C393" s="900">
        <v>1</v>
      </c>
      <c r="D393" s="900">
        <v>0</v>
      </c>
      <c r="E393" s="900">
        <v>0</v>
      </c>
      <c r="F393" s="900">
        <v>0</v>
      </c>
      <c r="G393" s="901">
        <v>1</v>
      </c>
      <c r="H393" s="901">
        <v>4</v>
      </c>
      <c r="I393" s="901">
        <v>2</v>
      </c>
      <c r="J393" s="901">
        <v>3</v>
      </c>
      <c r="K393" s="902">
        <v>0</v>
      </c>
      <c r="L393" s="902">
        <v>1</v>
      </c>
      <c r="M393" s="902">
        <v>0</v>
      </c>
      <c r="N393" s="902">
        <f t="shared" si="12"/>
        <v>2</v>
      </c>
      <c r="O393" s="903">
        <v>1</v>
      </c>
      <c r="P393" s="903">
        <v>0</v>
      </c>
      <c r="Q393" s="903">
        <v>0</v>
      </c>
      <c r="R393" s="903">
        <v>0</v>
      </c>
      <c r="S393" s="903">
        <f t="shared" si="13"/>
        <v>1</v>
      </c>
      <c r="T393" s="904">
        <v>1</v>
      </c>
      <c r="U393" s="905">
        <v>1</v>
      </c>
      <c r="V393" s="905">
        <v>0</v>
      </c>
      <c r="W393" s="905">
        <v>1</v>
      </c>
      <c r="X393" s="905">
        <v>0</v>
      </c>
      <c r="Y393" s="905">
        <v>1</v>
      </c>
      <c r="Z393" s="905">
        <v>1</v>
      </c>
      <c r="AA393" s="905">
        <v>1</v>
      </c>
      <c r="AB393" s="906">
        <v>6</v>
      </c>
      <c r="AC393" s="906">
        <v>3</v>
      </c>
      <c r="AD393" s="906">
        <v>4</v>
      </c>
      <c r="AE393" s="906">
        <v>7</v>
      </c>
      <c r="AF393" s="906">
        <v>5</v>
      </c>
      <c r="AG393" s="906">
        <v>1</v>
      </c>
      <c r="AH393" s="906">
        <v>2</v>
      </c>
      <c r="AI393" s="907">
        <v>1</v>
      </c>
      <c r="AJ393" s="907">
        <v>1</v>
      </c>
      <c r="AK393" s="907">
        <v>2</v>
      </c>
      <c r="AL393" s="907">
        <v>3</v>
      </c>
      <c r="AM393" s="907">
        <v>2</v>
      </c>
      <c r="AN393" s="907">
        <v>1</v>
      </c>
      <c r="AO393" s="907">
        <v>2</v>
      </c>
      <c r="AP393" s="907">
        <v>0</v>
      </c>
      <c r="AQ393" s="907">
        <v>0</v>
      </c>
      <c r="AR393" s="907">
        <v>0</v>
      </c>
      <c r="AS393" s="907">
        <v>1</v>
      </c>
      <c r="AT393" s="907">
        <v>0</v>
      </c>
      <c r="AU393" s="907">
        <v>0</v>
      </c>
    </row>
    <row r="394" spans="1:47" hidden="1">
      <c r="A394" s="898">
        <v>393</v>
      </c>
      <c r="B394" s="899">
        <v>1</v>
      </c>
      <c r="C394" s="900">
        <v>1</v>
      </c>
      <c r="D394" s="900">
        <v>0</v>
      </c>
      <c r="E394" s="900">
        <v>0</v>
      </c>
      <c r="F394" s="900">
        <v>0</v>
      </c>
      <c r="G394" s="901">
        <v>3</v>
      </c>
      <c r="H394" s="901">
        <v>2</v>
      </c>
      <c r="I394" s="901">
        <v>4</v>
      </c>
      <c r="J394" s="901">
        <v>1</v>
      </c>
      <c r="K394" s="902">
        <v>1</v>
      </c>
      <c r="L394" s="902">
        <v>0</v>
      </c>
      <c r="M394" s="902">
        <v>0</v>
      </c>
      <c r="N394" s="902">
        <f t="shared" si="12"/>
        <v>1</v>
      </c>
      <c r="O394" s="903">
        <v>1</v>
      </c>
      <c r="P394" s="903">
        <v>0</v>
      </c>
      <c r="Q394" s="903">
        <v>0</v>
      </c>
      <c r="R394" s="903">
        <v>0</v>
      </c>
      <c r="S394" s="903">
        <f t="shared" si="13"/>
        <v>1</v>
      </c>
      <c r="T394" s="904">
        <v>1</v>
      </c>
      <c r="U394" s="905">
        <v>0</v>
      </c>
      <c r="V394" s="905">
        <v>0</v>
      </c>
      <c r="W394" s="905">
        <v>1</v>
      </c>
      <c r="X394" s="905">
        <v>0</v>
      </c>
      <c r="Y394" s="905">
        <v>0</v>
      </c>
      <c r="Z394" s="905">
        <v>0</v>
      </c>
      <c r="AA394" s="905">
        <v>1</v>
      </c>
      <c r="AB394" s="906">
        <v>4</v>
      </c>
      <c r="AC394" s="906">
        <v>5</v>
      </c>
      <c r="AD394" s="906">
        <v>3</v>
      </c>
      <c r="AE394" s="906">
        <v>7</v>
      </c>
      <c r="AF394" s="906">
        <v>6</v>
      </c>
      <c r="AG394" s="906">
        <v>2</v>
      </c>
      <c r="AH394" s="906">
        <v>1</v>
      </c>
      <c r="AI394" s="907">
        <v>2</v>
      </c>
      <c r="AJ394" s="907">
        <v>2</v>
      </c>
      <c r="AK394" s="907">
        <v>1</v>
      </c>
      <c r="AL394" s="907">
        <v>1</v>
      </c>
      <c r="AM394" s="907">
        <v>1</v>
      </c>
      <c r="AN394" s="907">
        <v>1</v>
      </c>
      <c r="AO394" s="907">
        <v>3</v>
      </c>
      <c r="AP394" s="907">
        <v>0</v>
      </c>
      <c r="AQ394" s="907">
        <v>0</v>
      </c>
      <c r="AR394" s="907">
        <v>0</v>
      </c>
      <c r="AS394" s="907">
        <v>0</v>
      </c>
      <c r="AT394" s="907">
        <v>1</v>
      </c>
      <c r="AU394" s="907">
        <v>0</v>
      </c>
    </row>
    <row r="395" spans="1:47">
      <c r="A395" s="898">
        <v>394</v>
      </c>
      <c r="B395" s="899">
        <v>0</v>
      </c>
      <c r="C395" s="900">
        <v>0</v>
      </c>
      <c r="D395" s="900">
        <v>1</v>
      </c>
      <c r="E395" s="900">
        <v>0</v>
      </c>
      <c r="F395" s="900">
        <v>0</v>
      </c>
      <c r="G395" s="901">
        <v>1</v>
      </c>
      <c r="H395" s="901">
        <v>2</v>
      </c>
      <c r="I395" s="901">
        <v>4</v>
      </c>
      <c r="J395" s="901">
        <v>3</v>
      </c>
      <c r="K395" s="902">
        <v>0</v>
      </c>
      <c r="L395" s="902">
        <v>1</v>
      </c>
      <c r="M395" s="902">
        <v>0</v>
      </c>
      <c r="N395" s="902">
        <f t="shared" si="12"/>
        <v>2</v>
      </c>
      <c r="O395" s="903">
        <v>1</v>
      </c>
      <c r="P395" s="903">
        <v>0</v>
      </c>
      <c r="Q395" s="903">
        <v>0</v>
      </c>
      <c r="R395" s="903">
        <v>0</v>
      </c>
      <c r="S395" s="903">
        <f t="shared" si="13"/>
        <v>1</v>
      </c>
      <c r="T395" s="904">
        <v>1</v>
      </c>
      <c r="U395" s="905">
        <v>0</v>
      </c>
      <c r="V395" s="905">
        <v>0</v>
      </c>
      <c r="W395" s="905">
        <v>1</v>
      </c>
      <c r="X395" s="905">
        <v>0</v>
      </c>
      <c r="Y395" s="905">
        <v>1</v>
      </c>
      <c r="Z395" s="905">
        <v>0</v>
      </c>
      <c r="AA395" s="905">
        <v>0</v>
      </c>
      <c r="AB395" s="906">
        <v>6</v>
      </c>
      <c r="AC395" s="906">
        <v>1</v>
      </c>
      <c r="AD395" s="906">
        <v>5</v>
      </c>
      <c r="AE395" s="906">
        <v>7</v>
      </c>
      <c r="AF395" s="906">
        <v>4</v>
      </c>
      <c r="AG395" s="906">
        <v>3</v>
      </c>
      <c r="AH395" s="906">
        <v>2</v>
      </c>
      <c r="AI395" s="907">
        <v>2</v>
      </c>
      <c r="AJ395" s="907">
        <v>2</v>
      </c>
      <c r="AK395" s="907">
        <v>3</v>
      </c>
      <c r="AL395" s="907">
        <v>4</v>
      </c>
      <c r="AM395" s="907">
        <v>1</v>
      </c>
      <c r="AN395" s="907">
        <v>1</v>
      </c>
      <c r="AO395" s="907">
        <v>1</v>
      </c>
      <c r="AP395" s="907">
        <v>0</v>
      </c>
      <c r="AQ395" s="907">
        <v>0</v>
      </c>
      <c r="AR395" s="907">
        <v>0</v>
      </c>
      <c r="AS395" s="907">
        <v>0</v>
      </c>
      <c r="AT395" s="907">
        <v>1</v>
      </c>
      <c r="AU395" s="907">
        <v>0</v>
      </c>
    </row>
    <row r="396" spans="1:47" hidden="1">
      <c r="A396" s="898">
        <v>395</v>
      </c>
      <c r="B396" s="899">
        <v>0</v>
      </c>
      <c r="C396" s="900">
        <v>0</v>
      </c>
      <c r="D396" s="900">
        <v>0</v>
      </c>
      <c r="E396" s="900">
        <v>0</v>
      </c>
      <c r="F396" s="900">
        <v>1</v>
      </c>
      <c r="G396" s="901">
        <v>3</v>
      </c>
      <c r="H396" s="901">
        <v>2</v>
      </c>
      <c r="I396" s="901">
        <v>4</v>
      </c>
      <c r="J396" s="901">
        <v>1</v>
      </c>
      <c r="K396" s="902">
        <v>0</v>
      </c>
      <c r="L396" s="902">
        <v>1</v>
      </c>
      <c r="M396" s="902">
        <v>0</v>
      </c>
      <c r="N396" s="902">
        <f t="shared" si="12"/>
        <v>2</v>
      </c>
      <c r="O396" s="903">
        <v>1</v>
      </c>
      <c r="P396" s="903">
        <v>0</v>
      </c>
      <c r="Q396" s="903">
        <v>0</v>
      </c>
      <c r="R396" s="903">
        <v>0</v>
      </c>
      <c r="S396" s="903">
        <f t="shared" si="13"/>
        <v>1</v>
      </c>
      <c r="T396" s="904">
        <v>1</v>
      </c>
      <c r="U396" s="905">
        <v>0</v>
      </c>
      <c r="V396" s="905">
        <v>0</v>
      </c>
      <c r="W396" s="905">
        <v>0</v>
      </c>
      <c r="X396" s="905">
        <v>0</v>
      </c>
      <c r="Y396" s="905">
        <v>0</v>
      </c>
      <c r="Z396" s="905">
        <v>1</v>
      </c>
      <c r="AA396" s="905">
        <v>0</v>
      </c>
      <c r="AB396" s="906">
        <v>4</v>
      </c>
      <c r="AC396" s="906">
        <v>5</v>
      </c>
      <c r="AD396" s="906">
        <v>2</v>
      </c>
      <c r="AE396" s="906">
        <v>6</v>
      </c>
      <c r="AF396" s="906">
        <v>7</v>
      </c>
      <c r="AG396" s="906">
        <v>1</v>
      </c>
      <c r="AH396" s="906">
        <v>3</v>
      </c>
      <c r="AI396" s="907">
        <v>1</v>
      </c>
      <c r="AJ396" s="907">
        <v>1</v>
      </c>
      <c r="AK396" s="907">
        <v>1</v>
      </c>
      <c r="AL396" s="907">
        <v>2</v>
      </c>
      <c r="AM396" s="907">
        <v>1</v>
      </c>
      <c r="AN396" s="907">
        <v>1</v>
      </c>
      <c r="AO396" s="907">
        <v>1</v>
      </c>
      <c r="AP396" s="907">
        <v>0</v>
      </c>
      <c r="AQ396" s="907">
        <v>0</v>
      </c>
      <c r="AR396" s="907">
        <v>0</v>
      </c>
      <c r="AS396" s="907">
        <v>1</v>
      </c>
      <c r="AT396" s="907">
        <v>0</v>
      </c>
      <c r="AU396" s="907">
        <v>0</v>
      </c>
    </row>
    <row r="397" spans="1:47" hidden="1">
      <c r="A397" s="898">
        <v>396</v>
      </c>
      <c r="B397" s="899">
        <v>0</v>
      </c>
      <c r="C397" s="900">
        <v>0</v>
      </c>
      <c r="D397" s="900">
        <v>1</v>
      </c>
      <c r="E397" s="900">
        <v>0</v>
      </c>
      <c r="F397" s="900">
        <v>0</v>
      </c>
      <c r="G397" s="901">
        <v>4</v>
      </c>
      <c r="H397" s="901">
        <v>3</v>
      </c>
      <c r="I397" s="901">
        <v>2</v>
      </c>
      <c r="J397" s="901">
        <v>1</v>
      </c>
      <c r="K397" s="902">
        <v>1</v>
      </c>
      <c r="L397" s="902">
        <v>0</v>
      </c>
      <c r="M397" s="902">
        <v>0</v>
      </c>
      <c r="N397" s="902">
        <f t="shared" si="12"/>
        <v>1</v>
      </c>
      <c r="O397" s="903">
        <v>1</v>
      </c>
      <c r="P397" s="903">
        <v>0</v>
      </c>
      <c r="Q397" s="903">
        <v>0</v>
      </c>
      <c r="R397" s="903">
        <v>0</v>
      </c>
      <c r="S397" s="903">
        <f t="shared" si="13"/>
        <v>1</v>
      </c>
      <c r="T397" s="904">
        <v>0</v>
      </c>
      <c r="U397" s="905">
        <v>0</v>
      </c>
      <c r="V397" s="905">
        <v>0</v>
      </c>
      <c r="W397" s="905">
        <v>1</v>
      </c>
      <c r="X397" s="905">
        <v>0</v>
      </c>
      <c r="Y397" s="905">
        <v>0</v>
      </c>
      <c r="Z397" s="905">
        <v>1</v>
      </c>
      <c r="AA397" s="905">
        <v>0</v>
      </c>
      <c r="AB397" s="906">
        <v>6</v>
      </c>
      <c r="AC397" s="906">
        <v>7</v>
      </c>
      <c r="AD397" s="906">
        <v>1</v>
      </c>
      <c r="AE397" s="906">
        <v>3</v>
      </c>
      <c r="AF397" s="906">
        <v>5</v>
      </c>
      <c r="AG397" s="906">
        <v>2</v>
      </c>
      <c r="AH397" s="906">
        <v>4</v>
      </c>
      <c r="AI397" s="907">
        <v>1</v>
      </c>
      <c r="AJ397" s="907">
        <v>1</v>
      </c>
      <c r="AK397" s="907">
        <v>2</v>
      </c>
      <c r="AL397" s="907">
        <v>2</v>
      </c>
      <c r="AM397" s="907">
        <v>1</v>
      </c>
      <c r="AN397" s="907">
        <v>1</v>
      </c>
      <c r="AO397" s="907">
        <v>1</v>
      </c>
      <c r="AP397" s="907">
        <v>0</v>
      </c>
      <c r="AQ397" s="907">
        <v>0</v>
      </c>
      <c r="AR397" s="907">
        <v>1</v>
      </c>
      <c r="AS397" s="907">
        <v>1</v>
      </c>
      <c r="AT397" s="907">
        <v>0</v>
      </c>
      <c r="AU397" s="907">
        <v>0</v>
      </c>
    </row>
    <row r="398" spans="1:47" hidden="1">
      <c r="A398" s="898">
        <v>397</v>
      </c>
      <c r="B398" s="899">
        <v>0</v>
      </c>
      <c r="C398" s="900">
        <v>0</v>
      </c>
      <c r="D398" s="900">
        <v>1</v>
      </c>
      <c r="E398" s="900">
        <v>0</v>
      </c>
      <c r="F398" s="900">
        <v>0</v>
      </c>
      <c r="G398" s="901">
        <v>3</v>
      </c>
      <c r="H398" s="901">
        <v>1</v>
      </c>
      <c r="I398" s="901">
        <v>4</v>
      </c>
      <c r="J398" s="901">
        <v>2</v>
      </c>
      <c r="K398" s="902">
        <v>0</v>
      </c>
      <c r="L398" s="902">
        <v>1</v>
      </c>
      <c r="M398" s="902">
        <v>0</v>
      </c>
      <c r="N398" s="902">
        <f t="shared" si="12"/>
        <v>2</v>
      </c>
      <c r="O398" s="903">
        <v>1</v>
      </c>
      <c r="P398" s="903">
        <v>0</v>
      </c>
      <c r="Q398" s="903">
        <v>0</v>
      </c>
      <c r="R398" s="903">
        <v>0</v>
      </c>
      <c r="S398" s="903">
        <f t="shared" si="13"/>
        <v>1</v>
      </c>
      <c r="T398" s="904">
        <v>0</v>
      </c>
      <c r="U398" s="905">
        <v>0</v>
      </c>
      <c r="V398" s="905">
        <v>1</v>
      </c>
      <c r="W398" s="905">
        <v>1</v>
      </c>
      <c r="X398" s="905">
        <v>1</v>
      </c>
      <c r="Y398" s="905">
        <v>1</v>
      </c>
      <c r="Z398" s="905">
        <v>0</v>
      </c>
      <c r="AA398" s="905">
        <v>1</v>
      </c>
      <c r="AB398" s="906">
        <v>2</v>
      </c>
      <c r="AC398" s="906">
        <v>4</v>
      </c>
      <c r="AD398" s="906">
        <v>5</v>
      </c>
      <c r="AE398" s="906">
        <v>6</v>
      </c>
      <c r="AF398" s="906">
        <v>7</v>
      </c>
      <c r="AG398" s="906">
        <v>1</v>
      </c>
      <c r="AH398" s="906">
        <v>3</v>
      </c>
      <c r="AI398" s="907">
        <v>1</v>
      </c>
      <c r="AJ398" s="907">
        <v>1</v>
      </c>
      <c r="AK398" s="907">
        <v>2</v>
      </c>
      <c r="AL398" s="907">
        <v>2</v>
      </c>
      <c r="AM398" s="907">
        <v>1</v>
      </c>
      <c r="AN398" s="907">
        <v>1</v>
      </c>
      <c r="AO398" s="907">
        <v>1</v>
      </c>
      <c r="AP398" s="907">
        <v>0</v>
      </c>
      <c r="AQ398" s="907">
        <v>0</v>
      </c>
      <c r="AR398" s="907">
        <v>0</v>
      </c>
      <c r="AS398" s="907">
        <v>0</v>
      </c>
      <c r="AT398" s="907">
        <v>1</v>
      </c>
      <c r="AU398" s="907">
        <v>0</v>
      </c>
    </row>
    <row r="399" spans="1:47" hidden="1">
      <c r="A399" s="898">
        <v>398</v>
      </c>
      <c r="B399" s="899">
        <v>0</v>
      </c>
      <c r="C399" s="900">
        <v>0</v>
      </c>
      <c r="D399" s="900">
        <v>1</v>
      </c>
      <c r="E399" s="900">
        <v>0</v>
      </c>
      <c r="F399" s="900">
        <v>0</v>
      </c>
      <c r="G399" s="901">
        <v>4</v>
      </c>
      <c r="H399" s="901">
        <v>3</v>
      </c>
      <c r="I399" s="901">
        <v>1</v>
      </c>
      <c r="J399" s="901">
        <v>2</v>
      </c>
      <c r="K399" s="902">
        <v>0</v>
      </c>
      <c r="L399" s="902">
        <v>1</v>
      </c>
      <c r="M399" s="902">
        <v>0</v>
      </c>
      <c r="N399" s="902">
        <f t="shared" si="12"/>
        <v>2</v>
      </c>
      <c r="O399" s="903">
        <v>1</v>
      </c>
      <c r="P399" s="903">
        <v>0</v>
      </c>
      <c r="Q399" s="903">
        <v>0</v>
      </c>
      <c r="R399" s="903">
        <v>0</v>
      </c>
      <c r="S399" s="903">
        <f t="shared" si="13"/>
        <v>1</v>
      </c>
      <c r="T399" s="904">
        <v>0</v>
      </c>
      <c r="U399" s="905">
        <v>0</v>
      </c>
      <c r="V399" s="905">
        <v>1</v>
      </c>
      <c r="W399" s="905">
        <v>1</v>
      </c>
      <c r="X399" s="905">
        <v>1</v>
      </c>
      <c r="Y399" s="905">
        <v>1</v>
      </c>
      <c r="Z399" s="905">
        <v>0</v>
      </c>
      <c r="AA399" s="905">
        <v>1</v>
      </c>
      <c r="AB399" s="906">
        <v>7</v>
      </c>
      <c r="AC399" s="906">
        <v>5</v>
      </c>
      <c r="AD399" s="906">
        <v>4</v>
      </c>
      <c r="AE399" s="906">
        <v>2</v>
      </c>
      <c r="AF399" s="906">
        <v>1</v>
      </c>
      <c r="AG399" s="906">
        <v>6</v>
      </c>
      <c r="AH399" s="906">
        <v>3</v>
      </c>
      <c r="AI399" s="907">
        <v>2</v>
      </c>
      <c r="AJ399" s="907">
        <v>2</v>
      </c>
      <c r="AK399" s="907">
        <v>1</v>
      </c>
      <c r="AL399" s="907">
        <v>1</v>
      </c>
      <c r="AM399" s="907">
        <v>1</v>
      </c>
      <c r="AN399" s="907">
        <v>1</v>
      </c>
      <c r="AO399" s="907">
        <v>2</v>
      </c>
      <c r="AP399" s="907">
        <v>0</v>
      </c>
      <c r="AQ399" s="907">
        <v>1</v>
      </c>
      <c r="AR399" s="907">
        <v>0</v>
      </c>
      <c r="AS399" s="907">
        <v>0</v>
      </c>
      <c r="AT399" s="907">
        <v>0</v>
      </c>
      <c r="AU399" s="907">
        <v>0</v>
      </c>
    </row>
    <row r="400" spans="1:47">
      <c r="A400" s="898">
        <v>399</v>
      </c>
      <c r="B400" s="899">
        <v>0</v>
      </c>
      <c r="C400" s="900">
        <v>0</v>
      </c>
      <c r="D400" s="900">
        <v>0</v>
      </c>
      <c r="E400" s="900">
        <v>1</v>
      </c>
      <c r="F400" s="900">
        <v>0</v>
      </c>
      <c r="G400" s="901">
        <v>4</v>
      </c>
      <c r="H400" s="901">
        <v>2</v>
      </c>
      <c r="I400" s="901">
        <v>1</v>
      </c>
      <c r="J400" s="901">
        <v>3</v>
      </c>
      <c r="K400" s="902">
        <v>0</v>
      </c>
      <c r="L400" s="902">
        <v>1</v>
      </c>
      <c r="M400" s="902">
        <v>0</v>
      </c>
      <c r="N400" s="902">
        <f t="shared" si="12"/>
        <v>2</v>
      </c>
      <c r="O400" s="903">
        <v>1</v>
      </c>
      <c r="P400" s="903">
        <v>0</v>
      </c>
      <c r="Q400" s="903">
        <v>0</v>
      </c>
      <c r="R400" s="903">
        <v>0</v>
      </c>
      <c r="S400" s="903">
        <f t="shared" si="13"/>
        <v>1</v>
      </c>
      <c r="T400" s="904">
        <v>1</v>
      </c>
      <c r="U400" s="905">
        <v>1</v>
      </c>
      <c r="V400" s="905">
        <v>1</v>
      </c>
      <c r="W400" s="905">
        <v>0</v>
      </c>
      <c r="X400" s="905">
        <v>1</v>
      </c>
      <c r="Y400" s="905">
        <v>0</v>
      </c>
      <c r="Z400" s="905">
        <v>1</v>
      </c>
      <c r="AA400" s="905">
        <v>0</v>
      </c>
      <c r="AB400" s="906">
        <v>3</v>
      </c>
      <c r="AC400" s="906">
        <v>2</v>
      </c>
      <c r="AD400" s="906">
        <v>1</v>
      </c>
      <c r="AE400" s="906">
        <v>7</v>
      </c>
      <c r="AF400" s="906">
        <v>4</v>
      </c>
      <c r="AG400" s="906">
        <v>5</v>
      </c>
      <c r="AH400" s="906">
        <v>6</v>
      </c>
      <c r="AI400" s="907">
        <v>2</v>
      </c>
      <c r="AJ400" s="907">
        <v>1</v>
      </c>
      <c r="AK400" s="907">
        <v>2</v>
      </c>
      <c r="AL400" s="907">
        <v>1</v>
      </c>
      <c r="AM400" s="907">
        <v>1</v>
      </c>
      <c r="AN400" s="907">
        <v>1</v>
      </c>
      <c r="AO400" s="907">
        <v>1</v>
      </c>
      <c r="AP400" s="907">
        <v>0</v>
      </c>
      <c r="AQ400" s="907">
        <v>0</v>
      </c>
      <c r="AR400" s="907">
        <v>0</v>
      </c>
      <c r="AS400" s="907">
        <v>1</v>
      </c>
      <c r="AT400" s="907">
        <v>0</v>
      </c>
      <c r="AU400" s="907">
        <v>0</v>
      </c>
    </row>
    <row r="401" spans="1:47" hidden="1">
      <c r="A401" s="898">
        <v>400</v>
      </c>
      <c r="B401" s="899">
        <v>1</v>
      </c>
      <c r="C401" s="900">
        <v>0</v>
      </c>
      <c r="D401" s="900">
        <v>1</v>
      </c>
      <c r="E401" s="900">
        <v>0</v>
      </c>
      <c r="F401" s="900">
        <v>0</v>
      </c>
      <c r="G401" s="901">
        <v>1</v>
      </c>
      <c r="H401" s="901">
        <v>4</v>
      </c>
      <c r="I401" s="901">
        <v>3</v>
      </c>
      <c r="J401" s="901">
        <v>2</v>
      </c>
      <c r="K401" s="902">
        <v>0</v>
      </c>
      <c r="L401" s="902">
        <v>1</v>
      </c>
      <c r="M401" s="902">
        <v>0</v>
      </c>
      <c r="N401" s="902">
        <f t="shared" si="12"/>
        <v>2</v>
      </c>
      <c r="O401" s="903">
        <v>1</v>
      </c>
      <c r="P401" s="903">
        <v>0</v>
      </c>
      <c r="Q401" s="903">
        <v>0</v>
      </c>
      <c r="R401" s="903">
        <v>0</v>
      </c>
      <c r="S401" s="903">
        <f t="shared" si="13"/>
        <v>1</v>
      </c>
      <c r="T401" s="904">
        <v>1</v>
      </c>
      <c r="U401" s="905">
        <v>0</v>
      </c>
      <c r="V401" s="905">
        <v>0</v>
      </c>
      <c r="W401" s="905">
        <v>1</v>
      </c>
      <c r="X401" s="905">
        <v>0</v>
      </c>
      <c r="Y401" s="905">
        <v>0</v>
      </c>
      <c r="Z401" s="905">
        <v>0</v>
      </c>
      <c r="AA401" s="905">
        <v>0</v>
      </c>
      <c r="AB401" s="906">
        <v>6</v>
      </c>
      <c r="AC401" s="906">
        <v>7</v>
      </c>
      <c r="AD401" s="906">
        <v>1</v>
      </c>
      <c r="AE401" s="906">
        <v>3</v>
      </c>
      <c r="AF401" s="906">
        <v>5</v>
      </c>
      <c r="AG401" s="906">
        <v>2</v>
      </c>
      <c r="AH401" s="906">
        <v>4</v>
      </c>
      <c r="AI401" s="907">
        <v>2</v>
      </c>
      <c r="AJ401" s="907">
        <v>4</v>
      </c>
      <c r="AK401" s="907">
        <v>1</v>
      </c>
      <c r="AL401" s="907">
        <v>1</v>
      </c>
      <c r="AM401" s="907">
        <v>1</v>
      </c>
      <c r="AN401" s="907">
        <v>1</v>
      </c>
      <c r="AO401" s="907">
        <v>0</v>
      </c>
      <c r="AP401" s="907">
        <v>0</v>
      </c>
      <c r="AQ401" s="907">
        <v>0</v>
      </c>
      <c r="AR401" s="907">
        <v>0</v>
      </c>
      <c r="AS401" s="907">
        <v>0</v>
      </c>
      <c r="AT401" s="907">
        <v>0</v>
      </c>
      <c r="AU401" s="907">
        <v>1</v>
      </c>
    </row>
    <row r="402" spans="1:47" s="82" customFormat="1" hidden="1">
      <c r="B402" s="922">
        <f>SUM(B2:B401)</f>
        <v>193</v>
      </c>
      <c r="C402" s="923">
        <f t="shared" ref="C402:F402" si="14">SUM(C2:C401)</f>
        <v>82</v>
      </c>
      <c r="D402" s="923">
        <f t="shared" si="14"/>
        <v>196</v>
      </c>
      <c r="E402" s="923">
        <f t="shared" si="14"/>
        <v>85</v>
      </c>
      <c r="F402" s="923">
        <f t="shared" si="14"/>
        <v>37</v>
      </c>
      <c r="G402" s="924"/>
      <c r="H402" s="924"/>
      <c r="I402" s="924"/>
      <c r="J402" s="924"/>
      <c r="K402" s="925"/>
      <c r="L402" s="925"/>
      <c r="M402" s="925"/>
      <c r="N402" s="925"/>
      <c r="O402" s="926"/>
      <c r="P402" s="926"/>
      <c r="Q402" s="926"/>
      <c r="R402" s="926"/>
      <c r="S402" s="926"/>
      <c r="T402" s="927"/>
      <c r="U402" s="928"/>
      <c r="V402" s="928"/>
      <c r="W402" s="928"/>
      <c r="X402" s="928"/>
      <c r="Y402" s="928"/>
      <c r="Z402" s="928"/>
      <c r="AA402" s="928"/>
      <c r="AB402" s="929"/>
      <c r="AC402" s="929"/>
      <c r="AD402" s="929"/>
      <c r="AE402" s="929"/>
      <c r="AF402" s="929"/>
      <c r="AG402" s="929"/>
      <c r="AH402" s="929"/>
      <c r="AI402" s="930"/>
      <c r="AJ402" s="930"/>
      <c r="AK402" s="930"/>
      <c r="AL402" s="930"/>
      <c r="AM402" s="930"/>
      <c r="AN402" s="930"/>
      <c r="AO402" s="930"/>
      <c r="AP402" s="930"/>
      <c r="AQ402" s="930"/>
      <c r="AR402" s="930"/>
      <c r="AS402" s="930"/>
      <c r="AT402" s="930"/>
      <c r="AU402" s="930"/>
    </row>
    <row r="403" spans="1:47">
      <c r="B403" s="931">
        <f>SUBTOTAL(9,B2:B401)</f>
        <v>15</v>
      </c>
      <c r="C403" s="931">
        <f>SUBTOTAL(9,C2:C401)</f>
        <v>9</v>
      </c>
      <c r="D403" s="931">
        <f>SUBTOTAL(9,D2:D401)</f>
        <v>29</v>
      </c>
      <c r="E403" s="931">
        <f t="shared" ref="E403:S403" si="15">SUBTOTAL(9,E2:E401)</f>
        <v>5</v>
      </c>
      <c r="F403" s="931">
        <f t="shared" si="15"/>
        <v>7</v>
      </c>
      <c r="G403" s="932">
        <f t="shared" si="15"/>
        <v>131</v>
      </c>
      <c r="H403" s="932">
        <f t="shared" si="15"/>
        <v>122</v>
      </c>
      <c r="I403" s="932">
        <f t="shared" si="15"/>
        <v>139</v>
      </c>
      <c r="J403" s="932">
        <f t="shared" si="15"/>
        <v>108</v>
      </c>
      <c r="K403" s="932">
        <f t="shared" si="15"/>
        <v>27</v>
      </c>
      <c r="L403" s="932">
        <f t="shared" si="15"/>
        <v>21</v>
      </c>
      <c r="M403" s="932">
        <f t="shared" si="15"/>
        <v>2</v>
      </c>
      <c r="N403" s="933">
        <f t="shared" si="15"/>
        <v>75</v>
      </c>
      <c r="O403" s="933">
        <f t="shared" si="15"/>
        <v>44</v>
      </c>
      <c r="P403" s="933">
        <f t="shared" si="15"/>
        <v>3</v>
      </c>
      <c r="Q403" s="933">
        <f t="shared" si="15"/>
        <v>2</v>
      </c>
      <c r="R403" s="933">
        <f t="shared" si="15"/>
        <v>1</v>
      </c>
      <c r="S403" s="934">
        <f t="shared" si="15"/>
        <v>60</v>
      </c>
      <c r="T403" s="935">
        <f>SUBTOTAL(9,T2:T401)</f>
        <v>45</v>
      </c>
      <c r="U403" s="936">
        <f t="shared" ref="U403:AH403" si="16">SUBTOTAL(9,U2:U401)</f>
        <v>9</v>
      </c>
      <c r="V403" s="936">
        <f t="shared" si="16"/>
        <v>12</v>
      </c>
      <c r="W403" s="936">
        <f t="shared" si="16"/>
        <v>29</v>
      </c>
      <c r="X403" s="936">
        <f t="shared" si="16"/>
        <v>16</v>
      </c>
      <c r="Y403" s="936">
        <f t="shared" si="16"/>
        <v>22</v>
      </c>
      <c r="Z403" s="936">
        <f t="shared" si="16"/>
        <v>19</v>
      </c>
      <c r="AA403" s="936">
        <f t="shared" si="16"/>
        <v>16</v>
      </c>
      <c r="AB403" s="937">
        <f t="shared" si="16"/>
        <v>223</v>
      </c>
      <c r="AC403" s="937">
        <f t="shared" si="16"/>
        <v>190</v>
      </c>
      <c r="AD403" s="937">
        <f t="shared" si="16"/>
        <v>151</v>
      </c>
      <c r="AE403" s="937">
        <f t="shared" si="16"/>
        <v>218</v>
      </c>
      <c r="AF403" s="937">
        <f t="shared" si="16"/>
        <v>200</v>
      </c>
      <c r="AG403" s="937">
        <f t="shared" si="16"/>
        <v>171</v>
      </c>
      <c r="AH403" s="937">
        <f t="shared" si="16"/>
        <v>245</v>
      </c>
    </row>
    <row r="405" spans="1:47">
      <c r="C405" s="931">
        <f>+C403+D403+E403+F403</f>
        <v>50</v>
      </c>
    </row>
    <row r="410" spans="1:47">
      <c r="E410" s="931">
        <f>+N403/N345</f>
        <v>25</v>
      </c>
    </row>
    <row r="413" spans="1:47">
      <c r="J413" s="932">
        <f>74/2</f>
        <v>37</v>
      </c>
    </row>
    <row r="418" spans="5:6">
      <c r="F418" s="931">
        <f>36/3</f>
        <v>12</v>
      </c>
    </row>
    <row r="420" spans="5:6">
      <c r="E420" s="931">
        <f>216/4</f>
        <v>54</v>
      </c>
    </row>
  </sheetData>
  <autoFilter ref="B1:AU402">
    <filterColumn colId="0"/>
    <filterColumn colId="12"/>
    <filterColumn colId="17"/>
    <filterColumn colId="18"/>
    <filterColumn colId="30">
      <filters>
        <filter val="4"/>
      </filters>
    </filterColumn>
  </autoFilter>
  <dataValidations count="3">
    <dataValidation type="whole" errorStyle="warning" allowBlank="1" showInputMessage="1" showErrorMessage="1" errorTitle="Error" error="Valor inválido, verificar en manual de codificación" sqref="C2:F401">
      <formula1>0</formula1>
      <formula2>1</formula2>
    </dataValidation>
    <dataValidation type="whole" errorStyle="warning" allowBlank="1" showInputMessage="1" showErrorMessage="1" errorTitle="Error" error="Verificar Manual" sqref="B2:B401">
      <formula1>0</formula1>
      <formula2>1</formula2>
    </dataValidation>
    <dataValidation type="whole" errorStyle="warning" allowBlank="1" showInputMessage="1" showErrorMessage="1" errorTitle="Error" error="Verificar valores en manual_x000a_" sqref="G2:J401">
      <formula1>1</formula1>
      <formula2>4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A2" sqref="A2:F10"/>
    </sheetView>
  </sheetViews>
  <sheetFormatPr defaultColWidth="11.42578125" defaultRowHeight="15"/>
  <cols>
    <col min="1" max="1" width="28.85546875" customWidth="1"/>
  </cols>
  <sheetData>
    <row r="1" spans="1:7" ht="15.75" thickBot="1"/>
    <row r="2" spans="1:7" ht="15.75" thickBot="1">
      <c r="A2" s="741" t="s">
        <v>11</v>
      </c>
      <c r="B2" s="742" t="s">
        <v>5</v>
      </c>
      <c r="C2" s="742" t="s">
        <v>6</v>
      </c>
      <c r="D2" s="742" t="s">
        <v>7</v>
      </c>
      <c r="E2" s="742" t="s">
        <v>8</v>
      </c>
      <c r="F2" s="692" t="s">
        <v>9</v>
      </c>
      <c r="G2" s="57" t="s">
        <v>61</v>
      </c>
    </row>
    <row r="3" spans="1:7" ht="15.75" thickTop="1">
      <c r="A3" s="21" t="s">
        <v>56</v>
      </c>
      <c r="B3" s="34">
        <f>Escolar!E17</f>
        <v>3149.6480000000001</v>
      </c>
      <c r="C3" s="34">
        <f>Escolar!E18</f>
        <v>3225.2395520000005</v>
      </c>
      <c r="D3" s="34">
        <f>Escolar!E19</f>
        <v>3302.6453012480006</v>
      </c>
      <c r="E3" s="34">
        <f>Escolar!E20</f>
        <v>3381.9087884779533</v>
      </c>
      <c r="F3" s="59">
        <f>Escolar!E21</f>
        <v>3463.0745994014237</v>
      </c>
      <c r="G3" s="60">
        <f t="shared" ref="G3:G9" si="0">B3/$B$10</f>
        <v>0.11609119286968216</v>
      </c>
    </row>
    <row r="4" spans="1:7">
      <c r="A4" s="16" t="s">
        <v>57</v>
      </c>
      <c r="B4" s="37">
        <f>Juvenil!F19</f>
        <v>4607.7149999999992</v>
      </c>
      <c r="C4" s="37">
        <f>Juvenil!F20</f>
        <v>4714.7001599999994</v>
      </c>
      <c r="D4" s="37">
        <f>Juvenil!F21</f>
        <v>4824.2097638400001</v>
      </c>
      <c r="E4" s="37">
        <f>Juvenil!F22</f>
        <v>4936.3038797721601</v>
      </c>
      <c r="F4" s="38">
        <f>Juvenil!F23</f>
        <v>5051.0440114658923</v>
      </c>
      <c r="G4" s="60">
        <f t="shared" si="0"/>
        <v>0.16983330542128117</v>
      </c>
    </row>
    <row r="5" spans="1:7">
      <c r="A5" s="16" t="s">
        <v>58</v>
      </c>
      <c r="B5" s="37">
        <f>'Viaj,vacac'!C6</f>
        <v>8151.99</v>
      </c>
      <c r="C5" s="37">
        <f>'Viaj,vacac'!C7</f>
        <v>8793.5516130000015</v>
      </c>
      <c r="D5" s="37">
        <f>'Viaj,vacac'!C8</f>
        <v>9485.6041249431</v>
      </c>
      <c r="E5" s="37">
        <f>'Viaj,vacac'!C9</f>
        <v>10232.121169576123</v>
      </c>
      <c r="F5" s="38">
        <f>'Viaj,vacac'!C10</f>
        <v>11037.389105621764</v>
      </c>
      <c r="G5" s="60">
        <f t="shared" si="0"/>
        <v>0.30046984404661098</v>
      </c>
    </row>
    <row r="6" spans="1:7">
      <c r="A6" s="16" t="s">
        <v>91</v>
      </c>
      <c r="B6" s="37">
        <f>'Viaj,vacac'!C18</f>
        <v>3103.2660000000005</v>
      </c>
      <c r="C6" s="37">
        <f>'Viaj,vacac'!C19</f>
        <v>3347.4930342000002</v>
      </c>
      <c r="D6" s="37">
        <f>'Viaj,vacac'!C20</f>
        <v>3610.9407359915404</v>
      </c>
      <c r="E6" s="37">
        <f>'Viaj,vacac'!C21</f>
        <v>3895.1217719140741</v>
      </c>
      <c r="F6" s="38">
        <f>'Viaj,vacac'!C22</f>
        <v>4201.6678553637121</v>
      </c>
      <c r="G6" s="60">
        <f t="shared" si="0"/>
        <v>0.11438162351219155</v>
      </c>
    </row>
    <row r="7" spans="1:7">
      <c r="A7" s="16" t="s">
        <v>51</v>
      </c>
      <c r="B7" s="37">
        <f>Ejectiv!G30</f>
        <v>3421.8171564189606</v>
      </c>
      <c r="C7" s="37">
        <f>Ejectiv!H30</f>
        <v>3503.9407681730158</v>
      </c>
      <c r="D7" s="37">
        <f>Ejectiv!I30</f>
        <v>3588.0353466091683</v>
      </c>
      <c r="E7" s="37">
        <f>Ejectiv!J30</f>
        <v>3674.1481949277886</v>
      </c>
      <c r="F7" s="38">
        <f>Ejectiv!K30</f>
        <v>3762.3277516060557</v>
      </c>
      <c r="G7" s="60">
        <f t="shared" si="0"/>
        <v>0.12612293039432371</v>
      </c>
    </row>
    <row r="8" spans="1:7">
      <c r="A8" s="16" t="s">
        <v>53</v>
      </c>
      <c r="B8" s="37">
        <f>Ejectiv!G31</f>
        <v>2666.8254706610401</v>
      </c>
      <c r="C8" s="37">
        <f>Ejectiv!H31</f>
        <v>2730.8292819569051</v>
      </c>
      <c r="D8" s="37">
        <f>Ejectiv!I31</f>
        <v>2796.3691847238711</v>
      </c>
      <c r="E8" s="37">
        <f>Ejectiv!J31</f>
        <v>2863.4820451572441</v>
      </c>
      <c r="F8" s="38">
        <f>Ejectiv!K31</f>
        <v>2932.2056142410179</v>
      </c>
      <c r="G8" s="60">
        <f t="shared" si="0"/>
        <v>9.8295095218351919E-2</v>
      </c>
    </row>
    <row r="9" spans="1:7" ht="15.75" thickBot="1">
      <c r="A9" s="61" t="s">
        <v>92</v>
      </c>
      <c r="B9" s="62">
        <f>Ejectiv!G37+Ejectiv!G36</f>
        <v>2029.5475423600003</v>
      </c>
      <c r="C9" s="62">
        <f>Ejectiv!H37+Ejectiv!H36</f>
        <v>2078.2566833766405</v>
      </c>
      <c r="D9" s="62">
        <f>Ejectiv!I37+Ejectiv!I36</f>
        <v>2128.1348437776796</v>
      </c>
      <c r="E9" s="62">
        <f>Ejectiv!J37+Ejectiv!J36</f>
        <v>2179.2100800283438</v>
      </c>
      <c r="F9" s="62">
        <f>Ejectiv!K37+Ejectiv!K36</f>
        <v>2231.5111219490241</v>
      </c>
      <c r="G9" s="64">
        <f t="shared" si="0"/>
        <v>7.4806008537558547E-2</v>
      </c>
    </row>
    <row r="10" spans="1:7" ht="16.5" thickTop="1" thickBot="1">
      <c r="A10" s="65" t="s">
        <v>33</v>
      </c>
      <c r="B10" s="66">
        <f>SUM(B3:B9)</f>
        <v>27130.809169439999</v>
      </c>
      <c r="C10" s="67">
        <f>SUM(C3:C9)</f>
        <v>28394.011092706562</v>
      </c>
      <c r="D10" s="67">
        <f>SUM(D3:D9)</f>
        <v>29735.93930113336</v>
      </c>
      <c r="E10" s="67">
        <f>SUM(E3:E9)</f>
        <v>31162.295929853684</v>
      </c>
      <c r="F10" s="68">
        <f>SUM(F3:F9)</f>
        <v>32679.220059648891</v>
      </c>
      <c r="G10" s="69"/>
    </row>
    <row r="12" spans="1:7" ht="15.75" thickBot="1">
      <c r="A12" s="788" t="s">
        <v>185</v>
      </c>
      <c r="B12" s="788"/>
      <c r="C12" s="788"/>
      <c r="D12" s="788"/>
      <c r="E12" s="788"/>
      <c r="F12" s="788"/>
      <c r="G12" s="788"/>
    </row>
    <row r="13" spans="1:7" ht="15.75" thickBot="1">
      <c r="A13" s="58" t="s">
        <v>11</v>
      </c>
      <c r="B13" s="40" t="s">
        <v>5</v>
      </c>
      <c r="C13" s="40" t="s">
        <v>6</v>
      </c>
      <c r="D13" s="40" t="s">
        <v>7</v>
      </c>
      <c r="E13" s="40" t="s">
        <v>8</v>
      </c>
      <c r="F13" s="41" t="s">
        <v>9</v>
      </c>
      <c r="G13" s="57" t="s">
        <v>61</v>
      </c>
    </row>
    <row r="14" spans="1:7" ht="15.75" thickTop="1">
      <c r="A14" s="21" t="s">
        <v>56</v>
      </c>
      <c r="B14" s="34">
        <f>B3-B25</f>
        <v>316.45999091222075</v>
      </c>
      <c r="C14" s="34">
        <f t="shared" ref="C14:F14" si="1">C3-C25</f>
        <v>392.05154291222107</v>
      </c>
      <c r="D14" s="34">
        <f t="shared" si="1"/>
        <v>469.45729216022119</v>
      </c>
      <c r="E14" s="34">
        <f t="shared" si="1"/>
        <v>548.7207793901739</v>
      </c>
      <c r="F14" s="34">
        <f t="shared" si="1"/>
        <v>629.88659031364432</v>
      </c>
      <c r="G14" s="60">
        <f t="shared" ref="G14:G20" si="2">B14/$B$10</f>
        <v>1.1664229729966167E-2</v>
      </c>
    </row>
    <row r="15" spans="1:7">
      <c r="A15" s="16" t="s">
        <v>57</v>
      </c>
      <c r="B15" s="34">
        <f t="shared" ref="B15:F20" si="3">B4-B26</f>
        <v>494.09157965397935</v>
      </c>
      <c r="C15" s="34">
        <f t="shared" si="3"/>
        <v>601.07673965397953</v>
      </c>
      <c r="D15" s="34">
        <f t="shared" si="3"/>
        <v>710.58634349398017</v>
      </c>
      <c r="E15" s="34">
        <f t="shared" si="3"/>
        <v>822.68045942614026</v>
      </c>
      <c r="F15" s="34">
        <f t="shared" si="3"/>
        <v>937.42059111987237</v>
      </c>
      <c r="G15" s="60">
        <f t="shared" si="2"/>
        <v>1.8211457556176449E-2</v>
      </c>
    </row>
    <row r="16" spans="1:7">
      <c r="A16" s="16" t="s">
        <v>58</v>
      </c>
      <c r="B16" s="34">
        <f t="shared" si="3"/>
        <v>42.386908783782928</v>
      </c>
      <c r="C16" s="34">
        <f t="shared" si="3"/>
        <v>683.9485217837846</v>
      </c>
      <c r="D16" s="34">
        <f t="shared" si="3"/>
        <v>1376.0010337268832</v>
      </c>
      <c r="E16" s="34">
        <f t="shared" si="3"/>
        <v>2122.5180783599062</v>
      </c>
      <c r="F16" s="34">
        <f t="shared" si="3"/>
        <v>2927.7860144055467</v>
      </c>
      <c r="G16" s="60">
        <f t="shared" si="2"/>
        <v>1.5623164248093021E-3</v>
      </c>
    </row>
    <row r="17" spans="1:7">
      <c r="A17" s="16" t="s">
        <v>91</v>
      </c>
      <c r="B17" s="34">
        <f t="shared" si="3"/>
        <v>1374.5511992438569</v>
      </c>
      <c r="C17" s="34">
        <f t="shared" si="3"/>
        <v>1618.7782334438566</v>
      </c>
      <c r="D17" s="34">
        <f t="shared" si="3"/>
        <v>1882.2259352353967</v>
      </c>
      <c r="E17" s="34">
        <f t="shared" si="3"/>
        <v>2166.4069711579305</v>
      </c>
      <c r="F17" s="34">
        <f t="shared" si="3"/>
        <v>2472.9530546075684</v>
      </c>
      <c r="G17" s="60">
        <f t="shared" si="2"/>
        <v>5.0663848271512081E-2</v>
      </c>
    </row>
    <row r="18" spans="1:7">
      <c r="A18" s="16" t="s">
        <v>51</v>
      </c>
      <c r="B18" s="34">
        <f t="shared" si="3"/>
        <v>1492.8830383748573</v>
      </c>
      <c r="C18" s="34">
        <f t="shared" si="3"/>
        <v>1575.0066501289125</v>
      </c>
      <c r="D18" s="34">
        <f t="shared" si="3"/>
        <v>1659.101228565065</v>
      </c>
      <c r="E18" s="34">
        <f t="shared" si="3"/>
        <v>1745.2140768836853</v>
      </c>
      <c r="F18" s="34">
        <f t="shared" si="3"/>
        <v>1833.3936335619524</v>
      </c>
      <c r="G18" s="60">
        <f t="shared" si="2"/>
        <v>5.502537830889441E-2</v>
      </c>
    </row>
    <row r="19" spans="1:7">
      <c r="A19" s="16" t="s">
        <v>53</v>
      </c>
      <c r="B19" s="34">
        <f t="shared" si="3"/>
        <v>1394.4913773045182</v>
      </c>
      <c r="C19" s="34">
        <f t="shared" si="3"/>
        <v>1458.4951886003832</v>
      </c>
      <c r="D19" s="34">
        <f t="shared" si="3"/>
        <v>1524.0350913673492</v>
      </c>
      <c r="E19" s="34">
        <f t="shared" si="3"/>
        <v>1591.1479518007222</v>
      </c>
      <c r="F19" s="34">
        <f t="shared" si="3"/>
        <v>1659.871520884496</v>
      </c>
      <c r="G19" s="60">
        <f t="shared" si="2"/>
        <v>5.1398812641211822E-2</v>
      </c>
    </row>
    <row r="20" spans="1:7" ht="15.75" thickBot="1">
      <c r="A20" s="61" t="s">
        <v>60</v>
      </c>
      <c r="B20" s="62">
        <f t="shared" si="3"/>
        <v>855.87037068085601</v>
      </c>
      <c r="C20" s="62">
        <f t="shared" si="3"/>
        <v>904.57951169749617</v>
      </c>
      <c r="D20" s="62">
        <f t="shared" si="3"/>
        <v>954.45767209853534</v>
      </c>
      <c r="E20" s="62">
        <f t="shared" si="3"/>
        <v>1005.5329083491995</v>
      </c>
      <c r="F20" s="63">
        <f t="shared" si="3"/>
        <v>1057.8339502698798</v>
      </c>
      <c r="G20" s="64">
        <f t="shared" si="2"/>
        <v>3.1546068727095096E-2</v>
      </c>
    </row>
    <row r="21" spans="1:7" ht="16.5" thickTop="1" thickBot="1">
      <c r="A21" s="65" t="s">
        <v>33</v>
      </c>
      <c r="B21" s="66">
        <f>SUM(B14:B20)</f>
        <v>5970.7344649540719</v>
      </c>
      <c r="C21" s="67">
        <f>SUM(C14:C20)</f>
        <v>7233.9363882206335</v>
      </c>
      <c r="D21" s="67">
        <f>SUM(D14:D20)</f>
        <v>8575.8645966474305</v>
      </c>
      <c r="E21" s="67">
        <f>SUM(E14:E20)</f>
        <v>10002.221225367757</v>
      </c>
      <c r="F21" s="390">
        <f>SUM(F14:F20)</f>
        <v>11519.14535516296</v>
      </c>
      <c r="G21" s="69"/>
    </row>
    <row r="23" spans="1:7" ht="15.75" thickBot="1">
      <c r="A23" s="788" t="s">
        <v>186</v>
      </c>
      <c r="B23" s="788"/>
      <c r="C23" s="788"/>
      <c r="D23" s="788"/>
      <c r="E23" s="788"/>
      <c r="F23" s="788"/>
      <c r="G23" s="788"/>
    </row>
    <row r="24" spans="1:7" ht="15.75" thickBot="1">
      <c r="A24" s="58" t="s">
        <v>11</v>
      </c>
      <c r="B24" s="40" t="s">
        <v>5</v>
      </c>
      <c r="C24" s="40" t="s">
        <v>6</v>
      </c>
      <c r="D24" s="40" t="s">
        <v>7</v>
      </c>
      <c r="E24" s="40" t="s">
        <v>8</v>
      </c>
      <c r="F24" s="41" t="s">
        <v>9</v>
      </c>
      <c r="G24" s="57" t="s">
        <v>61</v>
      </c>
    </row>
    <row r="25" spans="1:7" ht="15.75" thickTop="1">
      <c r="A25" s="21" t="s">
        <v>56</v>
      </c>
      <c r="B25" s="34">
        <f>(Importaciones!D55*2)</f>
        <v>2833.1880090877794</v>
      </c>
      <c r="C25" s="34">
        <f>B25</f>
        <v>2833.1880090877794</v>
      </c>
      <c r="D25" s="34">
        <f t="shared" ref="D25:F25" si="4">C25</f>
        <v>2833.1880090877794</v>
      </c>
      <c r="E25" s="34">
        <f t="shared" si="4"/>
        <v>2833.1880090877794</v>
      </c>
      <c r="F25" s="34">
        <f t="shared" si="4"/>
        <v>2833.1880090877794</v>
      </c>
      <c r="G25" s="60">
        <f t="shared" ref="G25:G31" si="5">B25/$B$10</f>
        <v>0.10442696313971599</v>
      </c>
    </row>
    <row r="26" spans="1:7">
      <c r="A26" s="16" t="s">
        <v>57</v>
      </c>
      <c r="B26" s="37">
        <f>Importaciones!D56*2</f>
        <v>4113.6234203460199</v>
      </c>
      <c r="C26" s="34">
        <f t="shared" ref="C26:F31" si="6">B26</f>
        <v>4113.6234203460199</v>
      </c>
      <c r="D26" s="34">
        <f t="shared" si="6"/>
        <v>4113.6234203460199</v>
      </c>
      <c r="E26" s="34">
        <f t="shared" si="6"/>
        <v>4113.6234203460199</v>
      </c>
      <c r="F26" s="34">
        <f t="shared" si="6"/>
        <v>4113.6234203460199</v>
      </c>
      <c r="G26" s="60">
        <f t="shared" si="5"/>
        <v>0.15162184786510471</v>
      </c>
    </row>
    <row r="27" spans="1:7">
      <c r="A27" s="16" t="s">
        <v>58</v>
      </c>
      <c r="B27" s="37">
        <f>Importaciones!D54*2+Importaciones!D117*3</f>
        <v>8109.6030912162169</v>
      </c>
      <c r="C27" s="34">
        <f t="shared" si="6"/>
        <v>8109.6030912162169</v>
      </c>
      <c r="D27" s="34">
        <f t="shared" si="6"/>
        <v>8109.6030912162169</v>
      </c>
      <c r="E27" s="34">
        <f t="shared" si="6"/>
        <v>8109.6030912162169</v>
      </c>
      <c r="F27" s="34">
        <f t="shared" si="6"/>
        <v>8109.6030912162169</v>
      </c>
      <c r="G27" s="60">
        <f t="shared" si="5"/>
        <v>0.29890752762180167</v>
      </c>
    </row>
    <row r="28" spans="1:7">
      <c r="A28" s="16" t="s">
        <v>91</v>
      </c>
      <c r="B28" s="37">
        <f>Importaciones!D58*2</f>
        <v>1728.7148007561436</v>
      </c>
      <c r="C28" s="34">
        <f t="shared" si="6"/>
        <v>1728.7148007561436</v>
      </c>
      <c r="D28" s="34">
        <f t="shared" si="6"/>
        <v>1728.7148007561436</v>
      </c>
      <c r="E28" s="34">
        <f t="shared" si="6"/>
        <v>1728.7148007561436</v>
      </c>
      <c r="F28" s="34">
        <f t="shared" si="6"/>
        <v>1728.7148007561436</v>
      </c>
      <c r="G28" s="60">
        <f t="shared" si="5"/>
        <v>6.3717775240679481E-2</v>
      </c>
    </row>
    <row r="29" spans="1:7">
      <c r="A29" s="16" t="s">
        <v>51</v>
      </c>
      <c r="B29" s="37">
        <f>Importaciones!D57*2</f>
        <v>1928.9341180441033</v>
      </c>
      <c r="C29" s="34">
        <f t="shared" si="6"/>
        <v>1928.9341180441033</v>
      </c>
      <c r="D29" s="34">
        <f t="shared" si="6"/>
        <v>1928.9341180441033</v>
      </c>
      <c r="E29" s="34">
        <f t="shared" si="6"/>
        <v>1928.9341180441033</v>
      </c>
      <c r="F29" s="34">
        <f t="shared" si="6"/>
        <v>1928.9341180441033</v>
      </c>
      <c r="G29" s="60">
        <f t="shared" si="5"/>
        <v>7.1097552085429311E-2</v>
      </c>
    </row>
    <row r="30" spans="1:7">
      <c r="A30" s="16" t="s">
        <v>53</v>
      </c>
      <c r="B30" s="37">
        <f>Importaciones!D59*2</f>
        <v>1272.3340933565219</v>
      </c>
      <c r="C30" s="34">
        <f t="shared" si="6"/>
        <v>1272.3340933565219</v>
      </c>
      <c r="D30" s="34">
        <f t="shared" si="6"/>
        <v>1272.3340933565219</v>
      </c>
      <c r="E30" s="34">
        <f t="shared" si="6"/>
        <v>1272.3340933565219</v>
      </c>
      <c r="F30" s="34">
        <f t="shared" si="6"/>
        <v>1272.3340933565219</v>
      </c>
      <c r="G30" s="60">
        <f t="shared" si="5"/>
        <v>4.6896282577140097E-2</v>
      </c>
    </row>
    <row r="31" spans="1:7" ht="15.75" thickBot="1">
      <c r="A31" s="61" t="s">
        <v>92</v>
      </c>
      <c r="B31" s="62">
        <f>Importaciones!D60*2</f>
        <v>1173.6771716791443</v>
      </c>
      <c r="C31" s="62">
        <f t="shared" si="6"/>
        <v>1173.6771716791443</v>
      </c>
      <c r="D31" s="62">
        <f t="shared" si="6"/>
        <v>1173.6771716791443</v>
      </c>
      <c r="E31" s="62">
        <f t="shared" si="6"/>
        <v>1173.6771716791443</v>
      </c>
      <c r="F31" s="63">
        <f t="shared" si="6"/>
        <v>1173.6771716791443</v>
      </c>
      <c r="G31" s="64">
        <f t="shared" si="5"/>
        <v>4.3259939810463451E-2</v>
      </c>
    </row>
    <row r="32" spans="1:7" ht="16.5" thickTop="1" thickBot="1">
      <c r="A32" s="65" t="s">
        <v>33</v>
      </c>
      <c r="B32" s="66">
        <f>SUM(B25:B31)</f>
        <v>21160.074704485931</v>
      </c>
      <c r="C32" s="67">
        <f>SUM(C25:C31)</f>
        <v>21160.074704485931</v>
      </c>
      <c r="D32" s="67">
        <f>SUM(D25:D31)</f>
        <v>21160.074704485931</v>
      </c>
      <c r="E32" s="67">
        <f>SUM(E25:E31)</f>
        <v>21160.074704485931</v>
      </c>
      <c r="F32" s="390">
        <f>SUM(F25:F31)</f>
        <v>21160.074704485931</v>
      </c>
      <c r="G32" s="69"/>
    </row>
    <row r="34" spans="1:9" ht="15.75" thickBot="1"/>
    <row r="35" spans="1:9" ht="15.75" thickBot="1">
      <c r="A35" s="55" t="s">
        <v>183</v>
      </c>
      <c r="B35" s="235" t="s">
        <v>61</v>
      </c>
      <c r="C35" s="235"/>
      <c r="H35" s="234"/>
      <c r="I35" s="234"/>
    </row>
    <row r="36" spans="1:9" ht="15.75" thickTop="1">
      <c r="A36" s="247" t="s">
        <v>56</v>
      </c>
      <c r="B36" s="248">
        <v>0.3</v>
      </c>
      <c r="C36" s="245">
        <f>B45*(1+B36)</f>
        <v>20.8</v>
      </c>
      <c r="H36" s="94"/>
      <c r="I36" s="94"/>
    </row>
    <row r="37" spans="1:9">
      <c r="A37" s="42" t="s">
        <v>57</v>
      </c>
      <c r="B37" s="246">
        <v>0.4</v>
      </c>
      <c r="C37" s="46">
        <f t="shared" ref="C37:C42" si="7">B46*(1+B37)</f>
        <v>22.4</v>
      </c>
      <c r="H37" s="94"/>
      <c r="I37" s="94"/>
    </row>
    <row r="38" spans="1:9">
      <c r="A38" s="42" t="s">
        <v>91</v>
      </c>
      <c r="B38" s="694">
        <v>0.3</v>
      </c>
      <c r="C38" s="46">
        <f t="shared" si="7"/>
        <v>13</v>
      </c>
      <c r="I38" s="94"/>
    </row>
    <row r="39" spans="1:9">
      <c r="A39" s="42" t="s">
        <v>58</v>
      </c>
      <c r="B39" s="694">
        <v>0.3</v>
      </c>
      <c r="C39" s="46">
        <f t="shared" si="7"/>
        <v>39</v>
      </c>
      <c r="I39" s="94"/>
    </row>
    <row r="40" spans="1:9">
      <c r="A40" s="42" t="s">
        <v>51</v>
      </c>
      <c r="B40" s="694">
        <v>0.4</v>
      </c>
      <c r="C40" s="46">
        <f t="shared" si="7"/>
        <v>22.4</v>
      </c>
      <c r="I40" s="94"/>
    </row>
    <row r="41" spans="1:9">
      <c r="A41" s="42" t="s">
        <v>53</v>
      </c>
      <c r="B41" s="246">
        <v>0.35</v>
      </c>
      <c r="C41" s="46">
        <f t="shared" si="7"/>
        <v>24.3</v>
      </c>
      <c r="I41" s="94"/>
    </row>
    <row r="42" spans="1:9" ht="15.75" thickBot="1">
      <c r="A42" s="230" t="s">
        <v>92</v>
      </c>
      <c r="B42" s="250">
        <v>0.4</v>
      </c>
      <c r="C42" s="231">
        <f t="shared" si="7"/>
        <v>7</v>
      </c>
      <c r="I42" s="94"/>
    </row>
    <row r="43" spans="1:9" ht="15.75" thickBot="1"/>
    <row r="44" spans="1:9" ht="15.75" thickBot="1">
      <c r="A44" s="55" t="s">
        <v>182</v>
      </c>
      <c r="B44" s="235"/>
    </row>
    <row r="45" spans="1:9" ht="15.75" thickTop="1">
      <c r="A45" s="54" t="s">
        <v>56</v>
      </c>
      <c r="B45" s="96">
        <v>16</v>
      </c>
    </row>
    <row r="46" spans="1:9">
      <c r="A46" s="42" t="s">
        <v>57</v>
      </c>
      <c r="B46" s="44">
        <v>16</v>
      </c>
    </row>
    <row r="47" spans="1:9">
      <c r="A47" s="42" t="s">
        <v>91</v>
      </c>
      <c r="B47" s="44">
        <v>10</v>
      </c>
    </row>
    <row r="48" spans="1:9">
      <c r="A48" s="42" t="s">
        <v>58</v>
      </c>
      <c r="B48" s="44">
        <v>30</v>
      </c>
    </row>
    <row r="49" spans="1:9">
      <c r="A49" s="42" t="s">
        <v>51</v>
      </c>
      <c r="B49" s="44">
        <v>16</v>
      </c>
    </row>
    <row r="50" spans="1:9">
      <c r="A50" s="42" t="s">
        <v>53</v>
      </c>
      <c r="B50" s="44">
        <v>18</v>
      </c>
    </row>
    <row r="51" spans="1:9" ht="15.75" thickBot="1">
      <c r="A51" s="230" t="s">
        <v>92</v>
      </c>
      <c r="B51" s="231">
        <v>5</v>
      </c>
    </row>
    <row r="52" spans="1:9" ht="15.75" thickBot="1">
      <c r="E52" s="232"/>
      <c r="F52" s="232"/>
      <c r="G52" s="232"/>
      <c r="H52" s="232"/>
      <c r="I52" s="232"/>
    </row>
    <row r="53" spans="1:9" ht="15.75" thickBot="1">
      <c r="A53" s="55" t="s">
        <v>184</v>
      </c>
      <c r="B53" s="235" t="s">
        <v>61</v>
      </c>
      <c r="C53" s="235"/>
      <c r="E53" s="416" t="s">
        <v>276</v>
      </c>
      <c r="F53" s="417"/>
      <c r="G53" s="234"/>
      <c r="H53" s="416" t="s">
        <v>277</v>
      </c>
      <c r="I53" s="417"/>
    </row>
    <row r="54" spans="1:9" ht="15.75" thickTop="1">
      <c r="A54" s="247" t="s">
        <v>56</v>
      </c>
      <c r="B54" s="248">
        <v>0.2</v>
      </c>
      <c r="C54" s="245">
        <f>B45*(B54+1)</f>
        <v>19.2</v>
      </c>
      <c r="E54" s="391" t="s">
        <v>264</v>
      </c>
      <c r="F54" s="56">
        <v>0.3</v>
      </c>
      <c r="G54" s="249"/>
      <c r="H54" s="391" t="s">
        <v>264</v>
      </c>
      <c r="I54" s="56">
        <v>0.2</v>
      </c>
    </row>
    <row r="55" spans="1:9">
      <c r="A55" s="42" t="s">
        <v>57</v>
      </c>
      <c r="B55" s="694">
        <v>0.25</v>
      </c>
      <c r="C55" s="46">
        <f t="shared" ref="C55:C60" si="8">B46*(B55+1)</f>
        <v>20</v>
      </c>
      <c r="E55" s="391" t="s">
        <v>263</v>
      </c>
      <c r="F55" s="56">
        <v>0.3</v>
      </c>
      <c r="G55" s="249"/>
      <c r="H55" s="391" t="s">
        <v>263</v>
      </c>
      <c r="I55" s="56">
        <v>0.35</v>
      </c>
    </row>
    <row r="56" spans="1:9">
      <c r="A56" s="42" t="s">
        <v>91</v>
      </c>
      <c r="B56" s="694">
        <v>0.2</v>
      </c>
      <c r="C56" s="46">
        <f t="shared" si="8"/>
        <v>12</v>
      </c>
      <c r="E56" s="391" t="s">
        <v>265</v>
      </c>
      <c r="F56" s="56">
        <v>0.2</v>
      </c>
      <c r="G56" s="249"/>
      <c r="H56" s="391" t="s">
        <v>265</v>
      </c>
      <c r="I56" s="56">
        <v>0.2</v>
      </c>
    </row>
    <row r="57" spans="1:9" ht="15.75" thickBot="1">
      <c r="A57" s="42" t="s">
        <v>58</v>
      </c>
      <c r="B57" s="694">
        <v>0.2</v>
      </c>
      <c r="C57" s="46">
        <f t="shared" si="8"/>
        <v>36</v>
      </c>
      <c r="E57" s="392" t="s">
        <v>266</v>
      </c>
      <c r="F57" s="244">
        <v>0.2</v>
      </c>
      <c r="G57" s="249"/>
      <c r="H57" s="391" t="s">
        <v>266</v>
      </c>
      <c r="I57" s="56">
        <v>0.15</v>
      </c>
    </row>
    <row r="58" spans="1:9" ht="15.75" thickBot="1">
      <c r="A58" s="42" t="s">
        <v>51</v>
      </c>
      <c r="B58" s="694">
        <v>0.25</v>
      </c>
      <c r="C58" s="46">
        <f t="shared" si="8"/>
        <v>20</v>
      </c>
      <c r="E58" s="414"/>
      <c r="F58" s="249"/>
      <c r="G58" s="249"/>
      <c r="H58" s="419" t="s">
        <v>269</v>
      </c>
      <c r="I58" s="244">
        <v>0.1</v>
      </c>
    </row>
    <row r="59" spans="1:9">
      <c r="A59" s="42" t="s">
        <v>53</v>
      </c>
      <c r="B59" s="246">
        <v>0.25</v>
      </c>
      <c r="C59" s="46">
        <f t="shared" si="8"/>
        <v>22.5</v>
      </c>
      <c r="E59" s="414"/>
      <c r="F59" s="249"/>
      <c r="G59" s="249"/>
      <c r="H59" s="249"/>
      <c r="I59" s="249"/>
    </row>
    <row r="60" spans="1:9" ht="15.75" thickBot="1">
      <c r="A60" s="230" t="s">
        <v>92</v>
      </c>
      <c r="B60" s="695">
        <v>0.2</v>
      </c>
      <c r="C60" s="231">
        <f t="shared" si="8"/>
        <v>6</v>
      </c>
      <c r="E60" s="414"/>
      <c r="F60" s="249"/>
      <c r="G60" s="249"/>
      <c r="H60" s="249"/>
      <c r="I60" s="249"/>
    </row>
  </sheetData>
  <mergeCells count="2">
    <mergeCell ref="A12:G12"/>
    <mergeCell ref="A23:G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1:K66"/>
  <sheetViews>
    <sheetView topLeftCell="A52" workbookViewId="0">
      <selection activeCell="C65" sqref="C65"/>
    </sheetView>
  </sheetViews>
  <sheetFormatPr defaultColWidth="11.42578125" defaultRowHeight="15"/>
  <cols>
    <col min="1" max="1" width="3.7109375" style="12" customWidth="1"/>
    <col min="2" max="2" width="42.42578125" style="12" bestFit="1" customWidth="1"/>
    <col min="3" max="3" width="13.28515625" style="12" bestFit="1" customWidth="1"/>
    <col min="4" max="8" width="14.85546875" style="12" bestFit="1" customWidth="1"/>
    <col min="9" max="9" width="11.5703125" style="12" bestFit="1" customWidth="1"/>
    <col min="10" max="16384" width="11.42578125" style="12"/>
  </cols>
  <sheetData>
    <row r="1" spans="2:11" ht="15.75" thickBot="1"/>
    <row r="2" spans="2:11" ht="15.75" thickBot="1">
      <c r="B2" s="491" t="s">
        <v>1</v>
      </c>
      <c r="C2" s="492">
        <v>0</v>
      </c>
      <c r="D2" s="493">
        <v>1</v>
      </c>
      <c r="E2" s="493">
        <v>2</v>
      </c>
      <c r="F2" s="493">
        <v>3</v>
      </c>
      <c r="G2" s="493">
        <v>4</v>
      </c>
      <c r="H2" s="633">
        <v>5</v>
      </c>
    </row>
    <row r="3" spans="2:11">
      <c r="B3" s="468" t="s">
        <v>311</v>
      </c>
      <c r="C3" s="469">
        <f>SUM(C4:C10)</f>
        <v>0</v>
      </c>
      <c r="D3" s="470">
        <f t="shared" ref="D3:H3" si="0">SUM(D4:D10)</f>
        <v>273061.98337494722</v>
      </c>
      <c r="E3" s="470">
        <f t="shared" si="0"/>
        <v>287422.16406378592</v>
      </c>
      <c r="F3" s="470">
        <f t="shared" si="0"/>
        <v>302743.52731036983</v>
      </c>
      <c r="G3" s="470">
        <f t="shared" si="0"/>
        <v>319097.68887179659</v>
      </c>
      <c r="H3" s="634">
        <f t="shared" si="0"/>
        <v>336561.80427161528</v>
      </c>
    </row>
    <row r="4" spans="2:11">
      <c r="B4" s="16" t="s">
        <v>56</v>
      </c>
      <c r="C4" s="471"/>
      <c r="D4" s="443">
        <f>'Capital de trabajo'!O4</f>
        <v>26205.071360000013</v>
      </c>
      <c r="E4" s="443">
        <f>Demanda!C3*0.4*'Capital de trabajo'!$D62</f>
        <v>26833.993072640005</v>
      </c>
      <c r="F4" s="443">
        <f>Demanda!D3*0.4*'Capital de trabajo'!$D62</f>
        <v>27478.008906383369</v>
      </c>
      <c r="G4" s="443">
        <f>Demanda!E3*0.4*'Capital de trabajo'!$D62</f>
        <v>28137.481120136577</v>
      </c>
      <c r="H4" s="313">
        <f>Demanda!F3*0.4*'Capital de trabajo'!$D62</f>
        <v>28812.780667019848</v>
      </c>
    </row>
    <row r="5" spans="2:11">
      <c r="B5" s="16" t="s">
        <v>57</v>
      </c>
      <c r="C5" s="471"/>
      <c r="D5" s="443">
        <f>'Capital de trabajo'!O5</f>
        <v>41285.126399999979</v>
      </c>
      <c r="E5" s="443">
        <f>Demanda!C4*0.4*'Capital de trabajo'!$D63</f>
        <v>42243.713433599994</v>
      </c>
      <c r="F5" s="443">
        <f>Demanda!D4*0.4*'Capital de trabajo'!$D63</f>
        <v>43224.919484006401</v>
      </c>
      <c r="G5" s="443">
        <f>Demanda!E4*0.4*'Capital de trabajo'!$D63</f>
        <v>44229.282762758558</v>
      </c>
      <c r="H5" s="313">
        <f>Demanda!F4*0.4*'Capital de trabajo'!$D63</f>
        <v>45257.35434273439</v>
      </c>
    </row>
    <row r="6" spans="2:11">
      <c r="B6" s="16" t="s">
        <v>91</v>
      </c>
      <c r="C6" s="471"/>
      <c r="D6" s="443">
        <f>'Capital de trabajo'!O6</f>
        <v>16136.983200000002</v>
      </c>
      <c r="E6" s="443">
        <f>Demanda!C6*0.4*'Capital de trabajo'!$D64</f>
        <v>17406.963777840003</v>
      </c>
      <c r="F6" s="443">
        <f>Demanda!D6*0.4*'Capital de trabajo'!$D64</f>
        <v>18776.891827156011</v>
      </c>
      <c r="G6" s="443">
        <f>Demanda!E6*0.4*'Capital de trabajo'!$D64</f>
        <v>20254.633213953188</v>
      </c>
      <c r="H6" s="313">
        <f>Demanda!F6*0.4*'Capital de trabajo'!$D64</f>
        <v>21848.672847891303</v>
      </c>
      <c r="K6" s="472"/>
    </row>
    <row r="7" spans="2:11">
      <c r="B7" s="16" t="s">
        <v>58</v>
      </c>
      <c r="C7" s="471"/>
      <c r="D7" s="443">
        <f>'Capital de trabajo'!O7</f>
        <v>127171.04399999999</v>
      </c>
      <c r="E7" s="443">
        <f>Demanda!C5*0.4*'Capital de trabajo'!$D65</f>
        <v>137179.40516280002</v>
      </c>
      <c r="F7" s="443">
        <f>Demanda!D5*0.4*'Capital de trabajo'!$D65</f>
        <v>147975.42434911238</v>
      </c>
      <c r="G7" s="443">
        <f>Demanda!E5*0.4*'Capital de trabajo'!$D65</f>
        <v>159621.09024538752</v>
      </c>
      <c r="H7" s="313">
        <f>Demanda!F5*0.4*'Capital de trabajo'!$D65</f>
        <v>172183.27004769954</v>
      </c>
    </row>
    <row r="8" spans="2:11">
      <c r="B8" s="16" t="s">
        <v>51</v>
      </c>
      <c r="C8" s="471"/>
      <c r="D8" s="443">
        <f>'Capital de trabajo'!O8</f>
        <v>30659.481721513894</v>
      </c>
      <c r="E8" s="443">
        <f>Demanda!C7*0.4*'Capital de trabajo'!$D66</f>
        <v>31395.309282830221</v>
      </c>
      <c r="F8" s="443">
        <f>Demanda!D7*0.4*'Capital de trabajo'!$D66</f>
        <v>32148.796705618148</v>
      </c>
      <c r="G8" s="443">
        <f>Demanda!E7*0.4*'Capital de trabajo'!$D66</f>
        <v>32920.367826552982</v>
      </c>
      <c r="H8" s="313">
        <f>Demanda!F7*0.4*'Capital de trabajo'!$D66</f>
        <v>33710.456654390255</v>
      </c>
    </row>
    <row r="9" spans="2:11">
      <c r="B9" s="16" t="s">
        <v>53</v>
      </c>
      <c r="C9" s="471"/>
      <c r="D9" s="443">
        <f>'Capital de trabajo'!O9</f>
        <v>25921.543574825315</v>
      </c>
      <c r="E9" s="443">
        <f>Demanda!C8*0.4*'Capital de trabajo'!$D67</f>
        <v>26543.660620621118</v>
      </c>
      <c r="F9" s="443">
        <f>Demanda!D8*0.4*'Capital de trabajo'!$D67</f>
        <v>27180.708475516025</v>
      </c>
      <c r="G9" s="443">
        <f>Demanda!E8*0.4*'Capital de trabajo'!$D67</f>
        <v>27833.045478928416</v>
      </c>
      <c r="H9" s="313">
        <f>Demanda!F8*0.4*'Capital de trabajo'!$D67</f>
        <v>28501.038570422694</v>
      </c>
    </row>
    <row r="10" spans="2:11">
      <c r="B10" s="16" t="s">
        <v>92</v>
      </c>
      <c r="C10" s="629"/>
      <c r="D10" s="443">
        <f>'Capital de trabajo'!O10</f>
        <v>5682.7331186080019</v>
      </c>
      <c r="E10" s="443">
        <f>Demanda!C9*0.4*'Capital de trabajo'!$D68</f>
        <v>5819.1187134545944</v>
      </c>
      <c r="F10" s="443">
        <f>Demanda!D9*0.4*'Capital de trabajo'!$D68</f>
        <v>5958.777562577503</v>
      </c>
      <c r="G10" s="443">
        <f>Demanda!E9*0.4*'Capital de trabajo'!$D68</f>
        <v>6101.7882240793624</v>
      </c>
      <c r="H10" s="313">
        <f>Demanda!F9*0.4*'Capital de trabajo'!$D68</f>
        <v>6248.2311414572678</v>
      </c>
    </row>
    <row r="11" spans="2:11" s="478" customFormat="1" ht="7.5" customHeight="1">
      <c r="B11" s="306"/>
      <c r="C11" s="630"/>
      <c r="D11" s="630"/>
      <c r="E11" s="630"/>
      <c r="F11" s="630"/>
      <c r="G11" s="630"/>
      <c r="H11" s="308"/>
    </row>
    <row r="12" spans="2:11">
      <c r="B12" s="468" t="s">
        <v>275</v>
      </c>
      <c r="C12" s="469">
        <f>SUM(C13:C19)</f>
        <v>0</v>
      </c>
      <c r="D12" s="470">
        <f t="shared" ref="D12:H12" si="1">SUM(D13:D19)</f>
        <v>337915.06721765274</v>
      </c>
      <c r="E12" s="470">
        <f t="shared" si="1"/>
        <v>394169.03483073029</v>
      </c>
      <c r="F12" s="470">
        <f t="shared" si="1"/>
        <v>415293.50702504889</v>
      </c>
      <c r="G12" s="470">
        <f t="shared" si="1"/>
        <v>437845.87205801578</v>
      </c>
      <c r="H12" s="634">
        <f t="shared" si="1"/>
        <v>461932.90961328679</v>
      </c>
    </row>
    <row r="13" spans="2:11">
      <c r="B13" s="16" t="s">
        <v>56</v>
      </c>
      <c r="C13" s="471"/>
      <c r="D13" s="443">
        <f>'Capital de trabajo'!O22</f>
        <v>34832.587161599979</v>
      </c>
      <c r="E13" s="443">
        <f>Demanda!C3*0.6*'Capital de trabajo'!$D80</f>
        <v>37154.759639040007</v>
      </c>
      <c r="F13" s="443">
        <f>Demanda!D3*0.6*'Capital de trabajo'!$D80</f>
        <v>38046.473870376962</v>
      </c>
      <c r="G13" s="443">
        <f>Demanda!E3*0.6*'Capital de trabajo'!$D80</f>
        <v>38959.589243266018</v>
      </c>
      <c r="H13" s="313">
        <f>Demanda!F3*0.6*'Capital de trabajo'!$D80</f>
        <v>39894.619385104401</v>
      </c>
    </row>
    <row r="14" spans="2:11">
      <c r="B14" s="16" t="s">
        <v>57</v>
      </c>
      <c r="C14" s="471"/>
      <c r="D14" s="443">
        <f>'Capital de trabajo'!O23</f>
        <v>53080.876799999976</v>
      </c>
      <c r="E14" s="443">
        <f>Demanda!C4*0.6*'Capital de trabajo'!$D81</f>
        <v>56576.401919999989</v>
      </c>
      <c r="F14" s="443">
        <f>Demanda!D4*0.6*'Capital de trabajo'!$D81</f>
        <v>57890.517166079997</v>
      </c>
      <c r="G14" s="443">
        <f>Demanda!E4*0.6*'Capital de trabajo'!$D81</f>
        <v>59235.646557265922</v>
      </c>
      <c r="H14" s="313">
        <f>Demanda!F4*0.6*'Capital de trabajo'!$D81</f>
        <v>60612.528137590707</v>
      </c>
    </row>
    <row r="15" spans="2:11">
      <c r="B15" s="16" t="s">
        <v>91</v>
      </c>
      <c r="C15" s="471"/>
      <c r="D15" s="443">
        <f>'Capital de trabajo'!O24</f>
        <v>18991.987920000003</v>
      </c>
      <c r="E15" s="443">
        <f>Demanda!C6*0.6*'Capital de trabajo'!$D82</f>
        <v>24101.949846240001</v>
      </c>
      <c r="F15" s="443">
        <f>Demanda!D6*0.6*'Capital de trabajo'!$D82</f>
        <v>25998.773299139088</v>
      </c>
      <c r="G15" s="443">
        <f>Demanda!E6*0.6*'Capital de trabajo'!$D82</f>
        <v>28044.876757781334</v>
      </c>
      <c r="H15" s="313">
        <f>Demanda!F6*0.6*'Capital de trabajo'!$D82</f>
        <v>30252.008558618727</v>
      </c>
    </row>
    <row r="16" spans="2:11">
      <c r="B16" s="16" t="s">
        <v>58</v>
      </c>
      <c r="C16" s="471"/>
      <c r="D16" s="443">
        <f>'Capital de trabajo'!O25</f>
        <v>153192.19608000002</v>
      </c>
      <c r="E16" s="443">
        <f>Demanda!C5*0.6*'Capital de trabajo'!$D83</f>
        <v>189940.71484080004</v>
      </c>
      <c r="F16" s="443">
        <f>Demanda!D5*0.6*'Capital de trabajo'!$D83</f>
        <v>204889.04909877098</v>
      </c>
      <c r="G16" s="443">
        <f>Demanda!E5*0.6*'Capital de trabajo'!$D83</f>
        <v>221013.81726284424</v>
      </c>
      <c r="H16" s="313">
        <f>Demanda!F5*0.6*'Capital de trabajo'!$D83</f>
        <v>238407.60468143009</v>
      </c>
    </row>
    <row r="17" spans="2:10">
      <c r="B17" s="16" t="s">
        <v>51</v>
      </c>
      <c r="C17" s="471"/>
      <c r="D17" s="443">
        <f>'Capital de trabajo'!O26</f>
        <v>38187.47946563561</v>
      </c>
      <c r="E17" s="443">
        <f>Demanda!C7*0.6*'Capital de trabajo'!$D84</f>
        <v>42047.289218076185</v>
      </c>
      <c r="F17" s="443">
        <f>Demanda!D7*0.6*'Capital de trabajo'!$D84</f>
        <v>43056.424159310016</v>
      </c>
      <c r="G17" s="443">
        <f>Demanda!E7*0.6*'Capital de trabajo'!$D84</f>
        <v>44089.778339133467</v>
      </c>
      <c r="H17" s="313">
        <f>Demanda!F7*0.6*'Capital de trabajo'!$D84</f>
        <v>45147.93301927267</v>
      </c>
    </row>
    <row r="18" spans="2:10">
      <c r="B18" s="16" t="s">
        <v>53</v>
      </c>
      <c r="C18" s="471"/>
      <c r="D18" s="443">
        <f>'Capital de trabajo'!O27</f>
        <v>32761.950907070877</v>
      </c>
      <c r="E18" s="443">
        <f>Demanda!C8*0.6*'Capital de trabajo'!$D85</f>
        <v>36866.195306418223</v>
      </c>
      <c r="F18" s="443">
        <f>Demanda!D8*0.6*'Capital de trabajo'!$D85</f>
        <v>37750.983993772257</v>
      </c>
      <c r="G18" s="443">
        <f>Demanda!E8*0.6*'Capital de trabajo'!$D85</f>
        <v>38657.007609622793</v>
      </c>
      <c r="H18" s="313">
        <f>Demanda!F8*0.6*'Capital de trabajo'!$D85</f>
        <v>39584.775792253742</v>
      </c>
    </row>
    <row r="19" spans="2:10">
      <c r="B19" s="16" t="s">
        <v>92</v>
      </c>
      <c r="C19" s="629"/>
      <c r="D19" s="443">
        <f>'Capital de trabajo'!O28</f>
        <v>6867.988883346241</v>
      </c>
      <c r="E19" s="443">
        <f>Demanda!C9*0.6*'Capital de trabajo'!$D86</f>
        <v>7481.7240601559051</v>
      </c>
      <c r="F19" s="443">
        <f>Demanda!D9*0.6*'Capital de trabajo'!$D86</f>
        <v>7661.2854375996467</v>
      </c>
      <c r="G19" s="443">
        <f>Demanda!E9*0.6*'Capital de trabajo'!$D86</f>
        <v>7845.1562881020363</v>
      </c>
      <c r="H19" s="313">
        <f>Demanda!F9*0.6*'Capital de trabajo'!$D86</f>
        <v>8033.4400390164865</v>
      </c>
    </row>
    <row r="20" spans="2:10" s="478" customFormat="1" ht="7.5" customHeight="1">
      <c r="B20" s="306"/>
      <c r="C20" s="630"/>
      <c r="D20" s="630"/>
      <c r="E20" s="630"/>
      <c r="F20" s="630"/>
      <c r="G20" s="630"/>
      <c r="H20" s="308"/>
    </row>
    <row r="21" spans="2:10">
      <c r="B21" s="631" t="s">
        <v>327</v>
      </c>
      <c r="C21" s="471"/>
      <c r="D21" s="470">
        <f>D3+D12</f>
        <v>610977.0505925999</v>
      </c>
      <c r="E21" s="470">
        <f t="shared" ref="E21:H21" si="2">E3+E12</f>
        <v>681591.19889451622</v>
      </c>
      <c r="F21" s="470">
        <f t="shared" si="2"/>
        <v>718037.03433541872</v>
      </c>
      <c r="G21" s="470">
        <f t="shared" si="2"/>
        <v>756943.56092981237</v>
      </c>
      <c r="H21" s="634">
        <f t="shared" si="2"/>
        <v>798494.71388490207</v>
      </c>
    </row>
    <row r="22" spans="2:10">
      <c r="B22" s="474" t="s">
        <v>354</v>
      </c>
      <c r="C22" s="471"/>
      <c r="D22" s="476">
        <f>D3*0.02</f>
        <v>5461.2396674989441</v>
      </c>
      <c r="E22" s="476">
        <f t="shared" ref="E22:H22" si="3">E3*0.02</f>
        <v>5748.4432812757186</v>
      </c>
      <c r="F22" s="476">
        <f t="shared" si="3"/>
        <v>6054.8705462073967</v>
      </c>
      <c r="G22" s="476">
        <f t="shared" si="3"/>
        <v>6381.9537774359324</v>
      </c>
      <c r="H22" s="635">
        <f t="shared" si="3"/>
        <v>6731.236085432306</v>
      </c>
    </row>
    <row r="23" spans="2:10">
      <c r="B23" s="474" t="s">
        <v>355</v>
      </c>
      <c r="C23" s="629"/>
      <c r="D23" s="476">
        <f>D12*0.02</f>
        <v>6758.3013443530554</v>
      </c>
      <c r="E23" s="476">
        <f t="shared" ref="E23:H23" si="4">E12*0.02</f>
        <v>7883.3806966146058</v>
      </c>
      <c r="F23" s="476">
        <f t="shared" si="4"/>
        <v>8305.8701405009779</v>
      </c>
      <c r="G23" s="476">
        <f t="shared" si="4"/>
        <v>8756.9174411603162</v>
      </c>
      <c r="H23" s="635">
        <f t="shared" si="4"/>
        <v>9238.6581922657351</v>
      </c>
    </row>
    <row r="24" spans="2:10" s="478" customFormat="1" ht="7.5" customHeight="1">
      <c r="B24" s="636"/>
      <c r="C24" s="605"/>
      <c r="D24" s="628"/>
      <c r="E24" s="628"/>
      <c r="F24" s="628"/>
      <c r="G24" s="628"/>
      <c r="H24" s="637"/>
    </row>
    <row r="25" spans="2:10" ht="15.75" thickBot="1">
      <c r="B25" s="638" t="s">
        <v>181</v>
      </c>
      <c r="C25" s="639"/>
      <c r="D25" s="640">
        <f>+D21-D22-D23</f>
        <v>598757.50958074792</v>
      </c>
      <c r="E25" s="640">
        <f t="shared" ref="E25:H25" si="5">+E21-E22-E23</f>
        <v>667959.37491662591</v>
      </c>
      <c r="F25" s="640">
        <f t="shared" si="5"/>
        <v>703676.29364871036</v>
      </c>
      <c r="G25" s="640">
        <f t="shared" si="5"/>
        <v>741804.68971121614</v>
      </c>
      <c r="H25" s="314">
        <f t="shared" si="5"/>
        <v>782524.81960720394</v>
      </c>
    </row>
    <row r="26" spans="2:10" s="478" customFormat="1">
      <c r="B26" s="578"/>
      <c r="C26" s="605"/>
      <c r="D26" s="628"/>
      <c r="E26" s="628"/>
      <c r="F26" s="628"/>
      <c r="G26" s="628"/>
      <c r="H26" s="628"/>
    </row>
    <row r="27" spans="2:10">
      <c r="B27" s="632" t="s">
        <v>329</v>
      </c>
      <c r="C27" s="629"/>
      <c r="D27" s="475">
        <f>+SUM(D28:D34)</f>
        <v>182084.57705970958</v>
      </c>
      <c r="E27" s="475">
        <f t="shared" ref="E27:H27" si="6">+SUM(E28:E34)</f>
        <v>191922.51767063062</v>
      </c>
      <c r="F27" s="475">
        <f t="shared" si="6"/>
        <v>202428.18431826285</v>
      </c>
      <c r="G27" s="475">
        <f t="shared" si="6"/>
        <v>213651.58605497208</v>
      </c>
      <c r="H27" s="475">
        <f t="shared" si="6"/>
        <v>225646.60684775133</v>
      </c>
    </row>
    <row r="28" spans="2:10">
      <c r="B28" s="17" t="s">
        <v>332</v>
      </c>
      <c r="C28" s="471"/>
      <c r="D28" s="476">
        <f>+D4*(1-Demanda!$B36)</f>
        <v>18343.549952000008</v>
      </c>
      <c r="E28" s="476">
        <f>+E4*(1-Demanda!$B36)</f>
        <v>18783.795150848004</v>
      </c>
      <c r="F28" s="476">
        <f>+F4*(1-Demanda!$B36)</f>
        <v>19234.606234468356</v>
      </c>
      <c r="G28" s="476">
        <f>+G4*(1-Demanda!$B36)</f>
        <v>19696.236784095603</v>
      </c>
      <c r="H28" s="476">
        <f>+H4*(1-Demanda!$B36)</f>
        <v>20168.946466913891</v>
      </c>
      <c r="J28" s="477"/>
    </row>
    <row r="29" spans="2:10">
      <c r="B29" s="17" t="s">
        <v>333</v>
      </c>
      <c r="C29" s="471"/>
      <c r="D29" s="476">
        <f>+D5*(1-Demanda!$B37)</f>
        <v>24771.075839999987</v>
      </c>
      <c r="E29" s="476">
        <f>+E5*(1-Demanda!$B37)</f>
        <v>25346.228060159996</v>
      </c>
      <c r="F29" s="476">
        <f>+F5*(1-Demanda!$B37)</f>
        <v>25934.951690403839</v>
      </c>
      <c r="G29" s="476">
        <f>+G5*(1-Demanda!$B37)</f>
        <v>26537.569657655135</v>
      </c>
      <c r="H29" s="476">
        <f>+H5*(1-Demanda!$B37)</f>
        <v>27154.412605640635</v>
      </c>
      <c r="J29" s="477"/>
    </row>
    <row r="30" spans="2:10">
      <c r="B30" s="17" t="s">
        <v>334</v>
      </c>
      <c r="C30" s="471"/>
      <c r="D30" s="476">
        <f>+D6*(1-Demanda!$B38)</f>
        <v>11295.88824</v>
      </c>
      <c r="E30" s="476">
        <f>+E6*(1-Demanda!$B38)</f>
        <v>12184.874644488002</v>
      </c>
      <c r="F30" s="476">
        <f>+F6*(1-Demanda!$B38)</f>
        <v>13143.824279009206</v>
      </c>
      <c r="G30" s="476">
        <f>+G6*(1-Demanda!$B38)</f>
        <v>14178.243249767231</v>
      </c>
      <c r="H30" s="476">
        <f>+H6*(1-Demanda!$B38)</f>
        <v>15294.07099352391</v>
      </c>
      <c r="J30" s="477"/>
    </row>
    <row r="31" spans="2:10">
      <c r="B31" s="17" t="s">
        <v>335</v>
      </c>
      <c r="C31" s="471"/>
      <c r="D31" s="476">
        <f>+D7*(1-Demanda!$B39)</f>
        <v>89019.73079999999</v>
      </c>
      <c r="E31" s="476">
        <f>+E7*(1-Demanda!$B39)</f>
        <v>96025.58361396</v>
      </c>
      <c r="F31" s="476">
        <f>+F7*(1-Demanda!$B39)</f>
        <v>103582.79704437866</v>
      </c>
      <c r="G31" s="476">
        <f>+G7*(1-Demanda!$B39)</f>
        <v>111734.76317177125</v>
      </c>
      <c r="H31" s="476">
        <f>+H7*(1-Demanda!$B39)</f>
        <v>120528.28903338966</v>
      </c>
      <c r="J31" s="477"/>
    </row>
    <row r="32" spans="2:10">
      <c r="B32" s="17" t="s">
        <v>336</v>
      </c>
      <c r="C32" s="471"/>
      <c r="D32" s="476">
        <f>+D8*(1-Demanda!$B40)</f>
        <v>18395.689032908336</v>
      </c>
      <c r="E32" s="476">
        <f>+E8*(1-Demanda!$B40)</f>
        <v>18837.185569698133</v>
      </c>
      <c r="F32" s="476">
        <f>+F8*(1-Demanda!$B40)</f>
        <v>19289.278023370887</v>
      </c>
      <c r="G32" s="476">
        <f>+G8*(1-Demanda!$B40)</f>
        <v>19752.220695931788</v>
      </c>
      <c r="H32" s="476">
        <f>+H8*(1-Demanda!$B40)</f>
        <v>20226.273992634153</v>
      </c>
      <c r="J32" s="477"/>
    </row>
    <row r="33" spans="2:11">
      <c r="B33" s="17" t="s">
        <v>337</v>
      </c>
      <c r="C33" s="471"/>
      <c r="D33" s="476">
        <f>+D9*(1-Demanda!$B41)</f>
        <v>16849.003323636454</v>
      </c>
      <c r="E33" s="476">
        <f>+E9*(1-Demanda!$B41)</f>
        <v>17253.379403403727</v>
      </c>
      <c r="F33" s="476">
        <f>+F9*(1-Demanda!$B41)</f>
        <v>17667.460509085417</v>
      </c>
      <c r="G33" s="476">
        <f>+G9*(1-Demanda!$B41)</f>
        <v>18091.479561303469</v>
      </c>
      <c r="H33" s="476">
        <f>+H9*(1-Demanda!$B41)</f>
        <v>18525.675070774752</v>
      </c>
      <c r="J33" s="477"/>
    </row>
    <row r="34" spans="2:11">
      <c r="B34" s="17" t="s">
        <v>338</v>
      </c>
      <c r="C34" s="471"/>
      <c r="D34" s="476">
        <f>+D10*(1-Demanda!$B42)</f>
        <v>3409.6398711648012</v>
      </c>
      <c r="E34" s="476">
        <f>+E10*(1-Demanda!$B42)</f>
        <v>3491.4712280727567</v>
      </c>
      <c r="F34" s="476">
        <f>+F10*(1-Demanda!$B42)</f>
        <v>3575.2665375465017</v>
      </c>
      <c r="G34" s="476">
        <f>+G10*(1-Demanda!$B42)</f>
        <v>3661.0729344476172</v>
      </c>
      <c r="H34" s="476">
        <f>+H10*(1-Demanda!$B42)</f>
        <v>3748.9386848743607</v>
      </c>
      <c r="J34" s="477"/>
    </row>
    <row r="35" spans="2:11" s="478" customFormat="1">
      <c r="C35" s="605"/>
      <c r="D35" s="628"/>
      <c r="E35" s="628"/>
      <c r="F35" s="628"/>
      <c r="G35" s="628"/>
      <c r="H35" s="628"/>
    </row>
    <row r="36" spans="2:11">
      <c r="B36" s="641" t="s">
        <v>330</v>
      </c>
      <c r="C36" s="629"/>
      <c r="D36" s="475">
        <f>+SUM(D37:D43)</f>
        <v>264130.53841548687</v>
      </c>
      <c r="E36" s="475">
        <f t="shared" ref="E36:H36" si="7">+SUM(E37:E43)</f>
        <v>308560.73354235955</v>
      </c>
      <c r="F36" s="475">
        <f t="shared" si="7"/>
        <v>325299.90935408103</v>
      </c>
      <c r="G36" s="475">
        <f t="shared" si="7"/>
        <v>343177.57602111151</v>
      </c>
      <c r="H36" s="475">
        <f t="shared" si="7"/>
        <v>362279.06584317365</v>
      </c>
    </row>
    <row r="37" spans="2:11">
      <c r="B37" s="17" t="s">
        <v>339</v>
      </c>
      <c r="C37" s="471"/>
      <c r="D37" s="476">
        <f>+D13*(1-Demanda!$B54)</f>
        <v>27866.069729279985</v>
      </c>
      <c r="E37" s="476">
        <f>+E13*(1-Demanda!$B54)</f>
        <v>29723.807711232006</v>
      </c>
      <c r="F37" s="476">
        <f>+F13*(1-Demanda!$B54)</f>
        <v>30437.17909630157</v>
      </c>
      <c r="G37" s="476">
        <f>+G13*(1-Demanda!$B54)</f>
        <v>31167.671394612815</v>
      </c>
      <c r="H37" s="476">
        <f>+H13*(1-Demanda!$B54)</f>
        <v>31915.695508083521</v>
      </c>
      <c r="J37" s="478"/>
      <c r="K37" s="477"/>
    </row>
    <row r="38" spans="2:11">
      <c r="B38" s="17" t="s">
        <v>340</v>
      </c>
      <c r="C38" s="471"/>
      <c r="D38" s="476">
        <f>+D14*(1-Demanda!$B55)</f>
        <v>39810.657599999984</v>
      </c>
      <c r="E38" s="476">
        <f>+E14*(1-Demanda!$B55)</f>
        <v>42432.301439999996</v>
      </c>
      <c r="F38" s="476">
        <f>+F14*(1-Demanda!$B55)</f>
        <v>43417.887874559994</v>
      </c>
      <c r="G38" s="476">
        <f>+G14*(1-Demanda!$B55)</f>
        <v>44426.734917949441</v>
      </c>
      <c r="H38" s="476">
        <f>+H14*(1-Demanda!$B55)</f>
        <v>45459.39610319303</v>
      </c>
      <c r="J38" s="478"/>
      <c r="K38" s="477"/>
    </row>
    <row r="39" spans="2:11">
      <c r="B39" s="17" t="s">
        <v>341</v>
      </c>
      <c r="C39" s="471"/>
      <c r="D39" s="476">
        <f>+D15*(1-Demanda!$B56)</f>
        <v>15193.590336000003</v>
      </c>
      <c r="E39" s="476">
        <f>+E15*(1-Demanda!$B56)</f>
        <v>19281.559876992</v>
      </c>
      <c r="F39" s="476">
        <f>+F15*(1-Demanda!$B56)</f>
        <v>20799.018639311271</v>
      </c>
      <c r="G39" s="476">
        <f>+G15*(1-Demanda!$B56)</f>
        <v>22435.901406225068</v>
      </c>
      <c r="H39" s="476">
        <f>+H15*(1-Demanda!$B56)</f>
        <v>24201.606846894982</v>
      </c>
      <c r="J39" s="478"/>
      <c r="K39" s="477"/>
    </row>
    <row r="40" spans="2:11">
      <c r="B40" s="17" t="s">
        <v>342</v>
      </c>
      <c r="C40" s="471"/>
      <c r="D40" s="476">
        <f>+D16*(1-Demanda!$B57)</f>
        <v>122553.75686400002</v>
      </c>
      <c r="E40" s="476">
        <f>+E16*(1-Demanda!$B57)</f>
        <v>151952.57187264002</v>
      </c>
      <c r="F40" s="476">
        <f>+F16*(1-Demanda!$B57)</f>
        <v>163911.23927901679</v>
      </c>
      <c r="G40" s="476">
        <f>+G16*(1-Demanda!$B57)</f>
        <v>176811.05381027539</v>
      </c>
      <c r="H40" s="476">
        <f>+H16*(1-Demanda!$B57)</f>
        <v>190726.08374514407</v>
      </c>
      <c r="J40" s="478"/>
      <c r="K40" s="477"/>
    </row>
    <row r="41" spans="2:11">
      <c r="B41" s="17" t="s">
        <v>343</v>
      </c>
      <c r="C41" s="471"/>
      <c r="D41" s="476">
        <f>+D17*(1-Demanda!$B58)</f>
        <v>28640.609599226707</v>
      </c>
      <c r="E41" s="476">
        <f>+E17*(1-Demanda!$B58)</f>
        <v>31535.466913557138</v>
      </c>
      <c r="F41" s="476">
        <f>+F17*(1-Demanda!$B58)</f>
        <v>32292.318119482512</v>
      </c>
      <c r="G41" s="476">
        <f>+G17*(1-Demanda!$B58)</f>
        <v>33067.333754350097</v>
      </c>
      <c r="H41" s="476">
        <f>+H17*(1-Demanda!$B58)</f>
        <v>33860.949764454504</v>
      </c>
      <c r="J41" s="478"/>
      <c r="K41" s="477"/>
    </row>
    <row r="42" spans="2:11">
      <c r="B42" s="17" t="s">
        <v>344</v>
      </c>
      <c r="C42" s="471"/>
      <c r="D42" s="476">
        <f>+D18*(1-Demanda!$B59)</f>
        <v>24571.463180303159</v>
      </c>
      <c r="E42" s="476">
        <f>+E18*(1-Demanda!$B59)</f>
        <v>27649.646479813666</v>
      </c>
      <c r="F42" s="476">
        <f>+F18*(1-Demanda!$B59)</f>
        <v>28313.237995329193</v>
      </c>
      <c r="G42" s="476">
        <f>+G18*(1-Demanda!$B59)</f>
        <v>28992.755707217097</v>
      </c>
      <c r="H42" s="476">
        <f>+H18*(1-Demanda!$B59)</f>
        <v>29688.581844190307</v>
      </c>
      <c r="J42" s="478"/>
      <c r="K42" s="477"/>
    </row>
    <row r="43" spans="2:11">
      <c r="B43" s="17" t="s">
        <v>345</v>
      </c>
      <c r="C43" s="471"/>
      <c r="D43" s="476">
        <f>+D19*(1-Demanda!$B60)</f>
        <v>5494.3911066769933</v>
      </c>
      <c r="E43" s="476">
        <f>+E19*(1-Demanda!$B60)</f>
        <v>5985.3792481247247</v>
      </c>
      <c r="F43" s="476">
        <f>+F19*(1-Demanda!$B60)</f>
        <v>6129.0283500797177</v>
      </c>
      <c r="G43" s="476">
        <f>+G19*(1-Demanda!$B60)</f>
        <v>6276.1250304816294</v>
      </c>
      <c r="H43" s="476">
        <f>+H19*(1-Demanda!$B60)</f>
        <v>6426.7520312131892</v>
      </c>
      <c r="J43" s="478"/>
      <c r="K43" s="477"/>
    </row>
    <row r="44" spans="2:11" s="478" customFormat="1">
      <c r="B44" s="578"/>
      <c r="C44" s="605"/>
      <c r="D44" s="628"/>
      <c r="E44" s="628"/>
      <c r="F44" s="628"/>
      <c r="G44" s="628"/>
      <c r="H44" s="628"/>
    </row>
    <row r="45" spans="2:11" ht="15.75" thickBot="1">
      <c r="B45" s="632" t="s">
        <v>328</v>
      </c>
      <c r="C45" s="629"/>
      <c r="D45" s="475">
        <f>+D27+D36</f>
        <v>446215.11547519645</v>
      </c>
      <c r="E45" s="475">
        <f t="shared" ref="E45:H45" si="8">+E27+E36</f>
        <v>500483.25121299014</v>
      </c>
      <c r="F45" s="475">
        <f t="shared" si="8"/>
        <v>527728.09367234388</v>
      </c>
      <c r="G45" s="475">
        <f t="shared" si="8"/>
        <v>556829.16207608359</v>
      </c>
      <c r="H45" s="475">
        <f t="shared" si="8"/>
        <v>587925.67269092496</v>
      </c>
    </row>
    <row r="46" spans="2:11" s="478" customFormat="1" ht="15.75" thickBot="1">
      <c r="B46" s="491" t="s">
        <v>1</v>
      </c>
      <c r="C46" s="492">
        <v>0</v>
      </c>
      <c r="D46" s="493">
        <v>1</v>
      </c>
      <c r="E46" s="493">
        <v>2</v>
      </c>
      <c r="F46" s="493">
        <v>3</v>
      </c>
      <c r="G46" s="493">
        <v>4</v>
      </c>
      <c r="H46" s="633">
        <v>5</v>
      </c>
    </row>
    <row r="47" spans="2:11">
      <c r="B47" s="642" t="s">
        <v>331</v>
      </c>
      <c r="C47" s="643"/>
      <c r="D47" s="644">
        <f>+D21-D45</f>
        <v>164761.93511740345</v>
      </c>
      <c r="E47" s="644">
        <f t="shared" ref="E47:H47" si="9">+E21-E45</f>
        <v>181107.94768152607</v>
      </c>
      <c r="F47" s="644">
        <f t="shared" si="9"/>
        <v>190308.94066307484</v>
      </c>
      <c r="G47" s="644">
        <f t="shared" si="9"/>
        <v>200114.39885372878</v>
      </c>
      <c r="H47" s="645">
        <f t="shared" si="9"/>
        <v>210569.04119397711</v>
      </c>
    </row>
    <row r="48" spans="2:11">
      <c r="B48" s="479" t="s">
        <v>294</v>
      </c>
      <c r="C48" s="480"/>
      <c r="D48" s="443"/>
      <c r="E48" s="443"/>
      <c r="F48" s="443"/>
      <c r="G48" s="443"/>
      <c r="H48" s="313"/>
    </row>
    <row r="49" spans="2:9">
      <c r="B49" s="479" t="s">
        <v>295</v>
      </c>
      <c r="C49" s="480"/>
      <c r="D49" s="443">
        <f>-Costos!F27</f>
        <v>-107101.932</v>
      </c>
      <c r="E49" s="443">
        <f>D49*1.05</f>
        <v>-112457.02860000001</v>
      </c>
      <c r="F49" s="443">
        <f t="shared" ref="F49:G49" si="10">E49*1.05</f>
        <v>-118079.88003000001</v>
      </c>
      <c r="G49" s="443">
        <f t="shared" si="10"/>
        <v>-123983.87403150002</v>
      </c>
      <c r="H49" s="313">
        <f>G49*1.05</f>
        <v>-130183.06773307502</v>
      </c>
    </row>
    <row r="50" spans="2:9">
      <c r="B50" s="479" t="s">
        <v>296</v>
      </c>
      <c r="C50" s="480"/>
      <c r="D50" s="443">
        <f>-'Estructura de capital'!C12-'Estructura de capital'!C29</f>
        <v>-9295.5909210672926</v>
      </c>
      <c r="E50" s="443">
        <f>-'Estructura de capital'!C13-'Estructura de capital'!C30</f>
        <v>-6577.0606140448617</v>
      </c>
      <c r="F50" s="443">
        <f>-'Estructura de capital'!C14-'Estructura de capital'!C31</f>
        <v>-3858.5303070224313</v>
      </c>
      <c r="G50" s="443">
        <f>-'Estructura de capital'!C15-'Estructura de capital'!C32</f>
        <v>-1140</v>
      </c>
      <c r="H50" s="313">
        <f>-'Estructura de capital'!C16-'Estructura de capital'!C33</f>
        <v>-570</v>
      </c>
    </row>
    <row r="51" spans="2:9">
      <c r="B51" s="479" t="s">
        <v>297</v>
      </c>
      <c r="C51" s="480"/>
      <c r="D51" s="443">
        <f>-'Valor de desecho'!D29</f>
        <v>-2596.6666666666661</v>
      </c>
      <c r="E51" s="443">
        <f>-'Valor de desecho'!E29</f>
        <v>-2596.6666666666661</v>
      </c>
      <c r="F51" s="443">
        <f>-'Valor de desecho'!F29</f>
        <v>-2596.6666666666661</v>
      </c>
      <c r="G51" s="443">
        <f>-'Valor de desecho'!G29</f>
        <v>-2363.333333333333</v>
      </c>
      <c r="H51" s="313">
        <f>-'Valor de desecho'!H29</f>
        <v>-2363.34</v>
      </c>
    </row>
    <row r="52" spans="2:9">
      <c r="B52" s="481" t="s">
        <v>298</v>
      </c>
      <c r="C52" s="482"/>
      <c r="D52" s="483">
        <f>+D47+D49+D50+D51</f>
        <v>45767.745529669497</v>
      </c>
      <c r="E52" s="483">
        <f>+E47+E49+E50+E51</f>
        <v>59477.191800814537</v>
      </c>
      <c r="F52" s="483">
        <f t="shared" ref="F52:H52" si="11">+F47+F49+F50+F51</f>
        <v>65773.863659385723</v>
      </c>
      <c r="G52" s="483">
        <f t="shared" si="11"/>
        <v>72627.191488895434</v>
      </c>
      <c r="H52" s="646">
        <f t="shared" si="11"/>
        <v>77452.6334609021</v>
      </c>
    </row>
    <row r="53" spans="2:9">
      <c r="B53" s="479" t="s">
        <v>299</v>
      </c>
      <c r="C53" s="480"/>
      <c r="D53" s="484">
        <f t="shared" ref="D53:H53" si="12">-(D52*15%)</f>
        <v>-6865.1618294504242</v>
      </c>
      <c r="E53" s="484">
        <f t="shared" si="12"/>
        <v>-8921.5787701221798</v>
      </c>
      <c r="F53" s="484">
        <f t="shared" si="12"/>
        <v>-9866.0795489078573</v>
      </c>
      <c r="G53" s="484">
        <f t="shared" si="12"/>
        <v>-10894.078723334314</v>
      </c>
      <c r="H53" s="308">
        <f t="shared" si="12"/>
        <v>-11617.895019135314</v>
      </c>
    </row>
    <row r="54" spans="2:9">
      <c r="B54" s="481" t="s">
        <v>300</v>
      </c>
      <c r="C54" s="482"/>
      <c r="D54" s="483">
        <f t="shared" ref="D54:H54" si="13">D52+D53</f>
        <v>38902.583700219075</v>
      </c>
      <c r="E54" s="483">
        <f t="shared" si="13"/>
        <v>50555.613030692359</v>
      </c>
      <c r="F54" s="483">
        <f t="shared" si="13"/>
        <v>55907.784110477864</v>
      </c>
      <c r="G54" s="483">
        <f t="shared" si="13"/>
        <v>61733.11276556112</v>
      </c>
      <c r="H54" s="646">
        <f t="shared" si="13"/>
        <v>65834.738441766793</v>
      </c>
    </row>
    <row r="55" spans="2:9">
      <c r="B55" s="479" t="s">
        <v>396</v>
      </c>
      <c r="C55" s="480"/>
      <c r="D55" s="484">
        <f>-(D54*23%)</f>
        <v>-8947.5942510503883</v>
      </c>
      <c r="E55" s="484">
        <f>-(E54*22%)</f>
        <v>-11122.234866752318</v>
      </c>
      <c r="F55" s="484">
        <f t="shared" ref="F55:H55" si="14">-(F54*22%)</f>
        <v>-12299.712504305129</v>
      </c>
      <c r="G55" s="484">
        <f t="shared" si="14"/>
        <v>-13581.284808423447</v>
      </c>
      <c r="H55" s="484">
        <f t="shared" si="14"/>
        <v>-14483.642457188695</v>
      </c>
    </row>
    <row r="56" spans="2:9">
      <c r="B56" s="481" t="s">
        <v>301</v>
      </c>
      <c r="C56" s="482"/>
      <c r="D56" s="483">
        <f t="shared" ref="D56:H56" si="15">D54+D55</f>
        <v>29954.989449168686</v>
      </c>
      <c r="E56" s="483">
        <f t="shared" si="15"/>
        <v>39433.37816394004</v>
      </c>
      <c r="F56" s="483">
        <f t="shared" si="15"/>
        <v>43608.071606172736</v>
      </c>
      <c r="G56" s="483">
        <f t="shared" si="15"/>
        <v>48151.827957137677</v>
      </c>
      <c r="H56" s="646">
        <f t="shared" si="15"/>
        <v>51351.095984578096</v>
      </c>
      <c r="I56" s="485"/>
    </row>
    <row r="57" spans="2:9">
      <c r="B57" s="479" t="s">
        <v>302</v>
      </c>
      <c r="C57" s="480"/>
      <c r="D57" s="443">
        <f>-D51</f>
        <v>2596.6666666666661</v>
      </c>
      <c r="E57" s="443">
        <f t="shared" ref="E57:H57" si="16">-E51</f>
        <v>2596.6666666666661</v>
      </c>
      <c r="F57" s="443">
        <f t="shared" si="16"/>
        <v>2596.6666666666661</v>
      </c>
      <c r="G57" s="443">
        <f t="shared" si="16"/>
        <v>2363.333333333333</v>
      </c>
      <c r="H57" s="313">
        <f t="shared" si="16"/>
        <v>2363.34</v>
      </c>
      <c r="I57" s="485"/>
    </row>
    <row r="58" spans="2:9">
      <c r="B58" s="479" t="s">
        <v>303</v>
      </c>
      <c r="C58" s="480">
        <f>-'Estructura de capital'!B3</f>
        <v>-50100</v>
      </c>
      <c r="D58" s="443"/>
      <c r="E58" s="443"/>
      <c r="F58" s="443"/>
      <c r="G58" s="443"/>
      <c r="H58" s="313"/>
    </row>
    <row r="59" spans="2:9">
      <c r="B59" s="479" t="s">
        <v>304</v>
      </c>
      <c r="C59" s="480"/>
      <c r="D59" s="443"/>
      <c r="E59" s="443"/>
      <c r="F59" s="443"/>
      <c r="G59" s="443"/>
      <c r="H59" s="313"/>
    </row>
    <row r="60" spans="2:9">
      <c r="B60" s="479" t="s">
        <v>305</v>
      </c>
      <c r="C60" s="480">
        <f>'Estructura de capital'!C7</f>
        <v>42970.606140448617</v>
      </c>
      <c r="D60" s="443"/>
      <c r="E60" s="443"/>
      <c r="F60" s="443"/>
      <c r="G60" s="443"/>
      <c r="H60" s="313"/>
    </row>
    <row r="61" spans="2:9">
      <c r="B61" s="479" t="s">
        <v>306</v>
      </c>
      <c r="C61" s="480"/>
      <c r="D61" s="443">
        <f>-'Estructura de capital'!B12-'Estructura de capital'!B29</f>
        <v>-18123.535380149537</v>
      </c>
      <c r="E61" s="443">
        <f>-'Estructura de capital'!B13-'Estructura de capital'!B30</f>
        <v>-18123.535380149537</v>
      </c>
      <c r="F61" s="443">
        <f>-'Estructura de capital'!B14-'Estructura de capital'!B31</f>
        <v>-18123.535380149537</v>
      </c>
      <c r="G61" s="443">
        <f>-'Estructura de capital'!B15-'Estructura de capital'!B32</f>
        <v>-3800</v>
      </c>
      <c r="H61" s="313">
        <f>-'Estructura de capital'!B16-'Estructura de capital'!B33</f>
        <v>-3800</v>
      </c>
    </row>
    <row r="62" spans="2:9">
      <c r="B62" s="479" t="s">
        <v>307</v>
      </c>
      <c r="C62" s="480">
        <f>'Capital de trabajo'!C39</f>
        <v>-57326.515351121532</v>
      </c>
      <c r="D62" s="443"/>
      <c r="E62" s="443"/>
      <c r="F62" s="443"/>
      <c r="G62" s="443"/>
      <c r="H62" s="313">
        <f>-'Capital de trabajo'!C39</f>
        <v>57326.515351121532</v>
      </c>
    </row>
    <row r="63" spans="2:9">
      <c r="B63" s="479" t="s">
        <v>308</v>
      </c>
      <c r="C63" s="480"/>
      <c r="D63" s="443"/>
      <c r="E63" s="443"/>
      <c r="F63" s="443"/>
      <c r="G63" s="443"/>
      <c r="H63" s="313">
        <f>+'Valor de desecho'!H12</f>
        <v>10883.333333333332</v>
      </c>
    </row>
    <row r="64" spans="2:9" ht="15.75" thickBot="1">
      <c r="B64" s="486" t="s">
        <v>309</v>
      </c>
      <c r="C64" s="487">
        <f>SUM(C56:C63)</f>
        <v>-64455.909210672915</v>
      </c>
      <c r="D64" s="488">
        <f t="shared" ref="D64:H64" si="17">SUM(D56:D63)</f>
        <v>14428.120735685814</v>
      </c>
      <c r="E64" s="488">
        <f t="shared" si="17"/>
        <v>23906.509450457168</v>
      </c>
      <c r="F64" s="488">
        <f t="shared" si="17"/>
        <v>28081.202892689864</v>
      </c>
      <c r="G64" s="488">
        <f t="shared" si="17"/>
        <v>46715.161290471013</v>
      </c>
      <c r="H64" s="647">
        <f t="shared" si="17"/>
        <v>118124.28466903296</v>
      </c>
    </row>
    <row r="65" spans="2:8">
      <c r="B65" s="489" t="s">
        <v>385</v>
      </c>
      <c r="C65" s="571">
        <f>NPV(CAPM!I25,'Flujo de caja'!D64:H64)+'Flujo de caja'!C64</f>
        <v>52939.71294203346</v>
      </c>
      <c r="D65" s="478"/>
      <c r="E65" s="478"/>
      <c r="F65" s="478"/>
      <c r="G65" s="478"/>
      <c r="H65" s="648"/>
    </row>
    <row r="66" spans="2:8" ht="15.75" thickBot="1">
      <c r="B66" s="490" t="s">
        <v>310</v>
      </c>
      <c r="C66" s="659">
        <f>IRR(C64:H64)</f>
        <v>0.41545399069535444</v>
      </c>
      <c r="D66" s="340"/>
      <c r="E66" s="340"/>
      <c r="F66" s="340"/>
      <c r="G66" s="340"/>
      <c r="H66" s="341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1:K66"/>
  <sheetViews>
    <sheetView topLeftCell="A49" workbookViewId="0">
      <selection activeCell="C65" sqref="C65"/>
    </sheetView>
  </sheetViews>
  <sheetFormatPr defaultColWidth="11.42578125" defaultRowHeight="15"/>
  <cols>
    <col min="1" max="1" width="3.7109375" style="12" customWidth="1"/>
    <col min="2" max="2" width="42.42578125" style="12" bestFit="1" customWidth="1"/>
    <col min="3" max="3" width="13.28515625" style="12" bestFit="1" customWidth="1"/>
    <col min="4" max="8" width="14.85546875" style="12" bestFit="1" customWidth="1"/>
    <col min="9" max="9" width="11.5703125" style="12" bestFit="1" customWidth="1"/>
    <col min="10" max="16384" width="11.42578125" style="12"/>
  </cols>
  <sheetData>
    <row r="1" spans="2:11" ht="15.75" thickBot="1"/>
    <row r="2" spans="2:11" ht="15.75" thickBot="1">
      <c r="B2" s="491" t="s">
        <v>1</v>
      </c>
      <c r="C2" s="492">
        <v>0</v>
      </c>
      <c r="D2" s="493">
        <v>1</v>
      </c>
      <c r="E2" s="493">
        <v>2</v>
      </c>
      <c r="F2" s="493">
        <v>3</v>
      </c>
      <c r="G2" s="493">
        <v>4</v>
      </c>
      <c r="H2" s="633">
        <v>5</v>
      </c>
    </row>
    <row r="3" spans="2:11">
      <c r="B3" s="468" t="s">
        <v>311</v>
      </c>
      <c r="C3" s="469">
        <f>SUM(C4:C10)</f>
        <v>0</v>
      </c>
      <c r="D3" s="470">
        <f t="shared" ref="D3:H3" si="0">SUM(D4:D10)</f>
        <v>245755.78503745247</v>
      </c>
      <c r="E3" s="470">
        <f t="shared" si="0"/>
        <v>258679.94765740735</v>
      </c>
      <c r="F3" s="470">
        <f t="shared" si="0"/>
        <v>272469.17457933282</v>
      </c>
      <c r="G3" s="470">
        <f t="shared" si="0"/>
        <v>287187.91998461698</v>
      </c>
      <c r="H3" s="634">
        <f t="shared" si="0"/>
        <v>302905.62384445377</v>
      </c>
    </row>
    <row r="4" spans="2:11">
      <c r="B4" s="16" t="s">
        <v>56</v>
      </c>
      <c r="C4" s="471"/>
      <c r="D4" s="443">
        <f>'Capital de trabajo'!O4*0.9</f>
        <v>23584.564224000012</v>
      </c>
      <c r="E4" s="443">
        <f>Demanda!C3*0.4*'Capital de trabajo'!$D62*0.9</f>
        <v>24150.593765376005</v>
      </c>
      <c r="F4" s="443">
        <f>Demanda!D3*0.4*'Capital de trabajo'!$D62*0.9</f>
        <v>24730.208015745033</v>
      </c>
      <c r="G4" s="443">
        <f>Demanda!E3*0.4*'Capital de trabajo'!$D62*0.9</f>
        <v>25323.733008122919</v>
      </c>
      <c r="H4" s="443">
        <f>Demanda!F3*0.4*'Capital de trabajo'!$D62*0.9</f>
        <v>25931.502600317865</v>
      </c>
    </row>
    <row r="5" spans="2:11">
      <c r="B5" s="16" t="s">
        <v>57</v>
      </c>
      <c r="C5" s="471"/>
      <c r="D5" s="443">
        <f>'Capital de trabajo'!O5*0.9</f>
        <v>37156.613759999986</v>
      </c>
      <c r="E5" s="443">
        <f>Demanda!C4*0.4*'Capital de trabajo'!$D63*0.9</f>
        <v>38019.342090239996</v>
      </c>
      <c r="F5" s="443">
        <f>Demanda!D4*0.4*'Capital de trabajo'!$D63*0.9</f>
        <v>38902.427535605762</v>
      </c>
      <c r="G5" s="443">
        <f>Demanda!E4*0.4*'Capital de trabajo'!$D63*0.9</f>
        <v>39806.354486482705</v>
      </c>
      <c r="H5" s="443">
        <f>Demanda!F4*0.4*'Capital de trabajo'!$D63*0.9</f>
        <v>40731.61890846095</v>
      </c>
    </row>
    <row r="6" spans="2:11">
      <c r="B6" s="16" t="s">
        <v>91</v>
      </c>
      <c r="C6" s="471"/>
      <c r="D6" s="443">
        <f>'Capital de trabajo'!O6*0.9</f>
        <v>14523.284880000003</v>
      </c>
      <c r="E6" s="443">
        <f>Demanda!C6*0.4*'Capital de trabajo'!$D64*0.9</f>
        <v>15666.267400056004</v>
      </c>
      <c r="F6" s="443">
        <f>Demanda!D6*0.4*'Capital de trabajo'!$D64*0.9</f>
        <v>16899.202644440411</v>
      </c>
      <c r="G6" s="443">
        <f>Demanda!E6*0.4*'Capital de trabajo'!$D64*0.9</f>
        <v>18229.169892557871</v>
      </c>
      <c r="H6" s="443">
        <f>Demanda!F6*0.4*'Capital de trabajo'!$D64*0.9</f>
        <v>19663.805563102174</v>
      </c>
      <c r="K6" s="472"/>
    </row>
    <row r="7" spans="2:11">
      <c r="B7" s="16" t="s">
        <v>58</v>
      </c>
      <c r="C7" s="471"/>
      <c r="D7" s="443">
        <f>'Capital de trabajo'!O7*0.9</f>
        <v>114453.9396</v>
      </c>
      <c r="E7" s="443">
        <f>Demanda!C5*0.4*'Capital de trabajo'!$D65*0.9</f>
        <v>123461.46464652002</v>
      </c>
      <c r="F7" s="443">
        <f>Demanda!D5*0.4*'Capital de trabajo'!$D65*0.9</f>
        <v>133177.88191420113</v>
      </c>
      <c r="G7" s="443">
        <f>Demanda!E5*0.4*'Capital de trabajo'!$D65*0.9</f>
        <v>143658.98122084877</v>
      </c>
      <c r="H7" s="443">
        <f>Demanda!F5*0.4*'Capital de trabajo'!$D65*0.9</f>
        <v>154964.94304292958</v>
      </c>
    </row>
    <row r="8" spans="2:11">
      <c r="B8" s="16" t="s">
        <v>51</v>
      </c>
      <c r="C8" s="471"/>
      <c r="D8" s="443">
        <f>'Capital de trabajo'!O8*0.9</f>
        <v>27593.533549362506</v>
      </c>
      <c r="E8" s="443">
        <f>Demanda!C7*0.4*'Capital de trabajo'!$D66*0.9</f>
        <v>28255.778354547201</v>
      </c>
      <c r="F8" s="443">
        <f>Demanda!D7*0.4*'Capital de trabajo'!$D66*0.9</f>
        <v>28933.917035056333</v>
      </c>
      <c r="G8" s="443">
        <f>Demanda!E7*0.4*'Capital de trabajo'!$D66*0.9</f>
        <v>29628.331043897684</v>
      </c>
      <c r="H8" s="443">
        <f>Demanda!F7*0.4*'Capital de trabajo'!$D66*0.9</f>
        <v>30339.410988951229</v>
      </c>
    </row>
    <row r="9" spans="2:11">
      <c r="B9" s="16" t="s">
        <v>53</v>
      </c>
      <c r="C9" s="471"/>
      <c r="D9" s="443">
        <f>'Capital de trabajo'!O9*0.9</f>
        <v>23329.389217342785</v>
      </c>
      <c r="E9" s="443">
        <f>Demanda!C8*0.4*'Capital de trabajo'!$D67*0.9</f>
        <v>23889.294558559006</v>
      </c>
      <c r="F9" s="443">
        <f>Demanda!D8*0.4*'Capital de trabajo'!$D67*0.9</f>
        <v>24462.637627964425</v>
      </c>
      <c r="G9" s="443">
        <f>Demanda!E8*0.4*'Capital de trabajo'!$D67*0.9</f>
        <v>25049.740931035576</v>
      </c>
      <c r="H9" s="443">
        <f>Demanda!F8*0.4*'Capital de trabajo'!$D67*0.9</f>
        <v>25650.934713380426</v>
      </c>
    </row>
    <row r="10" spans="2:11">
      <c r="B10" s="16" t="s">
        <v>92</v>
      </c>
      <c r="C10" s="629"/>
      <c r="D10" s="443">
        <f>'Capital de trabajo'!O10*0.9</f>
        <v>5114.4598067472016</v>
      </c>
      <c r="E10" s="443">
        <f>Demanda!C9*0.4*'Capital de trabajo'!$D68*0.9</f>
        <v>5237.2068421091353</v>
      </c>
      <c r="F10" s="443">
        <f>Demanda!D9*0.4*'Capital de trabajo'!$D68*0.9</f>
        <v>5362.8998063197532</v>
      </c>
      <c r="G10" s="443">
        <f>Demanda!E9*0.4*'Capital de trabajo'!$D68*0.9</f>
        <v>5491.609401671426</v>
      </c>
      <c r="H10" s="443">
        <f>Demanda!F9*0.4*'Capital de trabajo'!$D68*0.9</f>
        <v>5623.4080273115414</v>
      </c>
    </row>
    <row r="11" spans="2:11" s="478" customFormat="1" ht="7.5" customHeight="1">
      <c r="B11" s="306"/>
      <c r="C11" s="630"/>
      <c r="D11" s="630"/>
      <c r="E11" s="630"/>
      <c r="F11" s="630"/>
      <c r="G11" s="630"/>
      <c r="H11" s="308"/>
    </row>
    <row r="12" spans="2:11">
      <c r="B12" s="468" t="s">
        <v>275</v>
      </c>
      <c r="C12" s="469">
        <f>SUM(C13:C19)</f>
        <v>0</v>
      </c>
      <c r="D12" s="470">
        <f t="shared" ref="D12:H12" si="1">SUM(D13:D19)</f>
        <v>304123.56049588742</v>
      </c>
      <c r="E12" s="470">
        <f t="shared" si="1"/>
        <v>354752.1313476573</v>
      </c>
      <c r="F12" s="470">
        <f t="shared" si="1"/>
        <v>373764.15632254409</v>
      </c>
      <c r="G12" s="470">
        <f t="shared" si="1"/>
        <v>394061.28485221422</v>
      </c>
      <c r="H12" s="634">
        <f t="shared" si="1"/>
        <v>415739.61865195812</v>
      </c>
    </row>
    <row r="13" spans="2:11">
      <c r="B13" s="16" t="s">
        <v>56</v>
      </c>
      <c r="C13" s="471"/>
      <c r="D13" s="443">
        <f>'Capital de trabajo'!O22*0.9</f>
        <v>31349.32844543998</v>
      </c>
      <c r="E13" s="443">
        <f>Demanda!C3*0.6*'Capital de trabajo'!$D80*0.9</f>
        <v>33439.283675136008</v>
      </c>
      <c r="F13" s="443">
        <f>Demanda!D3*0.6*'Capital de trabajo'!$D80*0.9</f>
        <v>34241.826483339268</v>
      </c>
      <c r="G13" s="443">
        <f>Demanda!E3*0.6*'Capital de trabajo'!$D80*0.9</f>
        <v>35063.630318939417</v>
      </c>
      <c r="H13" s="443">
        <f>Demanda!F3*0.6*'Capital de trabajo'!$D80*0.9</f>
        <v>35905.157446593963</v>
      </c>
    </row>
    <row r="14" spans="2:11">
      <c r="B14" s="16" t="s">
        <v>57</v>
      </c>
      <c r="C14" s="471"/>
      <c r="D14" s="443">
        <f>'Capital de trabajo'!O23*0.9</f>
        <v>47772.789119999979</v>
      </c>
      <c r="E14" s="443">
        <f>Demanda!C4*0.6*'Capital de trabajo'!$D81*0.9</f>
        <v>50918.76172799999</v>
      </c>
      <c r="F14" s="443">
        <f>Demanda!D4*0.6*'Capital de trabajo'!$D81*0.9</f>
        <v>52101.465449472002</v>
      </c>
      <c r="G14" s="443">
        <f>Demanda!E4*0.6*'Capital de trabajo'!$D81*0.9</f>
        <v>53312.081901539328</v>
      </c>
      <c r="H14" s="443">
        <f>Demanda!F4*0.6*'Capital de trabajo'!$D81*0.9</f>
        <v>54551.275323831636</v>
      </c>
    </row>
    <row r="15" spans="2:11">
      <c r="B15" s="16" t="s">
        <v>91</v>
      </c>
      <c r="C15" s="471"/>
      <c r="D15" s="443">
        <f>'Capital de trabajo'!O24*0.9</f>
        <v>17092.789128000004</v>
      </c>
      <c r="E15" s="443">
        <f>Demanda!C6*0.6*'Capital de trabajo'!$D82*0.9</f>
        <v>21691.754861616002</v>
      </c>
      <c r="F15" s="443">
        <f>Demanda!D6*0.6*'Capital de trabajo'!$D82*0.9</f>
        <v>23398.895969225181</v>
      </c>
      <c r="G15" s="443">
        <f>Demanda!E6*0.6*'Capital de trabajo'!$D82*0.9</f>
        <v>25240.389082003203</v>
      </c>
      <c r="H15" s="443">
        <f>Demanda!F6*0.6*'Capital de trabajo'!$D82*0.9</f>
        <v>27226.807702756854</v>
      </c>
    </row>
    <row r="16" spans="2:11">
      <c r="B16" s="16" t="s">
        <v>58</v>
      </c>
      <c r="C16" s="471"/>
      <c r="D16" s="443">
        <f>'Capital de trabajo'!O25*0.9</f>
        <v>137872.97647200004</v>
      </c>
      <c r="E16" s="443">
        <f>Demanda!C5*0.6*'Capital de trabajo'!$D83*0.9</f>
        <v>170946.64335672004</v>
      </c>
      <c r="F16" s="443">
        <f>Demanda!D5*0.6*'Capital de trabajo'!$D83*0.9</f>
        <v>184400.14418889387</v>
      </c>
      <c r="G16" s="443">
        <f>Demanda!E5*0.6*'Capital de trabajo'!$D83*0.9</f>
        <v>198912.43553655982</v>
      </c>
      <c r="H16" s="443">
        <f>Demanda!F5*0.6*'Capital de trabajo'!$D83*0.9</f>
        <v>214566.84421328708</v>
      </c>
    </row>
    <row r="17" spans="2:10">
      <c r="B17" s="16" t="s">
        <v>51</v>
      </c>
      <c r="C17" s="471"/>
      <c r="D17" s="443">
        <f>'Capital de trabajo'!O26*0.9</f>
        <v>34368.731519072047</v>
      </c>
      <c r="E17" s="443">
        <f>Demanda!C7*0.6*'Capital de trabajo'!$D84*0.9</f>
        <v>37842.560296268566</v>
      </c>
      <c r="F17" s="443">
        <f>Demanda!D7*0.6*'Capital de trabajo'!$D84*0.9</f>
        <v>38750.781743379019</v>
      </c>
      <c r="G17" s="443">
        <f>Demanda!E7*0.6*'Capital de trabajo'!$D84*0.9</f>
        <v>39680.800505220119</v>
      </c>
      <c r="H17" s="443">
        <f>Demanda!F7*0.6*'Capital de trabajo'!$D84*0.9</f>
        <v>40633.139717345402</v>
      </c>
    </row>
    <row r="18" spans="2:10">
      <c r="B18" s="16" t="s">
        <v>53</v>
      </c>
      <c r="C18" s="471"/>
      <c r="D18" s="443">
        <f>'Capital de trabajo'!O27*0.9</f>
        <v>29485.755816363791</v>
      </c>
      <c r="E18" s="443">
        <f>Demanda!C8*0.6*'Capital de trabajo'!$D85*0.9</f>
        <v>33179.5757757764</v>
      </c>
      <c r="F18" s="443">
        <f>Demanda!D8*0.6*'Capital de trabajo'!$D85*0.9</f>
        <v>33975.885594395033</v>
      </c>
      <c r="G18" s="443">
        <f>Demanda!E8*0.6*'Capital de trabajo'!$D85*0.9</f>
        <v>34791.306848660512</v>
      </c>
      <c r="H18" s="443">
        <f>Demanda!F8*0.6*'Capital de trabajo'!$D85*0.9</f>
        <v>35626.298213028371</v>
      </c>
    </row>
    <row r="19" spans="2:10">
      <c r="B19" s="16" t="s">
        <v>92</v>
      </c>
      <c r="C19" s="629"/>
      <c r="D19" s="443">
        <f>'Capital de trabajo'!O28*0.9</f>
        <v>6181.1899950116167</v>
      </c>
      <c r="E19" s="443">
        <f>Demanda!C9*0.6*'Capital de trabajo'!$D86*0.9</f>
        <v>6733.5516541403149</v>
      </c>
      <c r="F19" s="443">
        <f>Demanda!D9*0.6*'Capital de trabajo'!$D86*0.9</f>
        <v>6895.1568938396822</v>
      </c>
      <c r="G19" s="443">
        <f>Demanda!E9*0.6*'Capital de trabajo'!$D86*0.9</f>
        <v>7060.6406592918329</v>
      </c>
      <c r="H19" s="443">
        <f>Demanda!F9*0.6*'Capital de trabajo'!$D86*0.9</f>
        <v>7230.0960351148378</v>
      </c>
    </row>
    <row r="20" spans="2:10" s="478" customFormat="1" ht="7.5" customHeight="1">
      <c r="B20" s="306"/>
      <c r="C20" s="630"/>
      <c r="D20" s="630"/>
      <c r="E20" s="630"/>
      <c r="F20" s="630"/>
      <c r="G20" s="630"/>
      <c r="H20" s="308"/>
    </row>
    <row r="21" spans="2:10">
      <c r="B21" s="631" t="s">
        <v>327</v>
      </c>
      <c r="C21" s="471"/>
      <c r="D21" s="470">
        <f>D3+D12</f>
        <v>549879.34553333989</v>
      </c>
      <c r="E21" s="470">
        <f t="shared" ref="E21:H21" si="2">E3+E12</f>
        <v>613432.07900506468</v>
      </c>
      <c r="F21" s="470">
        <f t="shared" si="2"/>
        <v>646233.33090187691</v>
      </c>
      <c r="G21" s="470">
        <f t="shared" si="2"/>
        <v>681249.2048368312</v>
      </c>
      <c r="H21" s="634">
        <f t="shared" si="2"/>
        <v>718645.2424964119</v>
      </c>
    </row>
    <row r="22" spans="2:10">
      <c r="B22" s="474" t="s">
        <v>354</v>
      </c>
      <c r="C22" s="471"/>
      <c r="D22" s="476">
        <f>D3*0.02</f>
        <v>4915.1157007490492</v>
      </c>
      <c r="E22" s="476">
        <f t="shared" ref="E22:H22" si="3">E3*0.02</f>
        <v>5173.5989531481473</v>
      </c>
      <c r="F22" s="476">
        <f t="shared" si="3"/>
        <v>5449.3834915866564</v>
      </c>
      <c r="G22" s="476">
        <f t="shared" si="3"/>
        <v>5743.7583996923395</v>
      </c>
      <c r="H22" s="635">
        <f t="shared" si="3"/>
        <v>6058.1124768890759</v>
      </c>
    </row>
    <row r="23" spans="2:10">
      <c r="B23" s="474" t="s">
        <v>355</v>
      </c>
      <c r="C23" s="629"/>
      <c r="D23" s="476">
        <f>D12*0.02</f>
        <v>6082.4712099177486</v>
      </c>
      <c r="E23" s="476">
        <f t="shared" ref="E23:H23" si="4">E12*0.02</f>
        <v>7095.0426269531463</v>
      </c>
      <c r="F23" s="476">
        <f t="shared" si="4"/>
        <v>7475.2831264508823</v>
      </c>
      <c r="G23" s="476">
        <f t="shared" si="4"/>
        <v>7881.2256970442841</v>
      </c>
      <c r="H23" s="635">
        <f t="shared" si="4"/>
        <v>8314.7923730391631</v>
      </c>
    </row>
    <row r="24" spans="2:10" s="478" customFormat="1" ht="7.5" customHeight="1">
      <c r="B24" s="636"/>
      <c r="C24" s="605"/>
      <c r="D24" s="628"/>
      <c r="E24" s="628"/>
      <c r="F24" s="628"/>
      <c r="G24" s="628"/>
      <c r="H24" s="637"/>
    </row>
    <row r="25" spans="2:10" ht="15.75" thickBot="1">
      <c r="B25" s="638" t="s">
        <v>181</v>
      </c>
      <c r="C25" s="639"/>
      <c r="D25" s="640">
        <f>+D21-D22-D23</f>
        <v>538881.75862267299</v>
      </c>
      <c r="E25" s="640">
        <f t="shared" ref="E25:H25" si="5">+E21-E22-E23</f>
        <v>601163.43742496346</v>
      </c>
      <c r="F25" s="640">
        <f t="shared" si="5"/>
        <v>633308.6642838394</v>
      </c>
      <c r="G25" s="640">
        <f t="shared" si="5"/>
        <v>667624.22074009455</v>
      </c>
      <c r="H25" s="314">
        <f t="shared" si="5"/>
        <v>704272.33764648368</v>
      </c>
    </row>
    <row r="26" spans="2:10" s="478" customFormat="1">
      <c r="B26" s="578"/>
      <c r="C26" s="605"/>
      <c r="D26" s="628"/>
      <c r="E26" s="628"/>
      <c r="F26" s="628"/>
      <c r="G26" s="628"/>
      <c r="H26" s="628"/>
    </row>
    <row r="27" spans="2:10">
      <c r="B27" s="632" t="s">
        <v>329</v>
      </c>
      <c r="C27" s="629"/>
      <c r="D27" s="475">
        <f>+SUM(D28:D34)</f>
        <v>163876.11935373861</v>
      </c>
      <c r="E27" s="475">
        <f t="shared" ref="E27:H27" si="6">+SUM(E28:E34)</f>
        <v>172730.2659035676</v>
      </c>
      <c r="F27" s="475">
        <f t="shared" si="6"/>
        <v>182185.36588643657</v>
      </c>
      <c r="G27" s="475">
        <f t="shared" si="6"/>
        <v>192286.4274494749</v>
      </c>
      <c r="H27" s="475">
        <f t="shared" si="6"/>
        <v>203081.94616297621</v>
      </c>
    </row>
    <row r="28" spans="2:10">
      <c r="B28" s="17" t="s">
        <v>332</v>
      </c>
      <c r="C28" s="471"/>
      <c r="D28" s="476">
        <f>+D4*(1-Demanda!$B36)</f>
        <v>16509.194956800009</v>
      </c>
      <c r="E28" s="476">
        <f>+E4*(1-Demanda!$B36)</f>
        <v>16905.415635763202</v>
      </c>
      <c r="F28" s="476">
        <f>+F4*(1-Demanda!$B36)</f>
        <v>17311.145611021522</v>
      </c>
      <c r="G28" s="476">
        <f>+G4*(1-Demanda!$B36)</f>
        <v>17726.613105686043</v>
      </c>
      <c r="H28" s="476">
        <f>+H4*(1-Demanda!$B36)</f>
        <v>18152.051820222503</v>
      </c>
      <c r="J28" s="477"/>
    </row>
    <row r="29" spans="2:10">
      <c r="B29" s="17" t="s">
        <v>333</v>
      </c>
      <c r="C29" s="471"/>
      <c r="D29" s="476">
        <f>+D5*(1-Demanda!$B37)</f>
        <v>22293.968255999989</v>
      </c>
      <c r="E29" s="476">
        <f>+E5*(1-Demanda!$B37)</f>
        <v>22811.605254143997</v>
      </c>
      <c r="F29" s="476">
        <f>+F5*(1-Demanda!$B37)</f>
        <v>23341.456521363456</v>
      </c>
      <c r="G29" s="476">
        <f>+G5*(1-Demanda!$B37)</f>
        <v>23883.812691889623</v>
      </c>
      <c r="H29" s="476">
        <f>+H5*(1-Demanda!$B37)</f>
        <v>24438.97134507657</v>
      </c>
      <c r="J29" s="477"/>
    </row>
    <row r="30" spans="2:10">
      <c r="B30" s="17" t="s">
        <v>334</v>
      </c>
      <c r="C30" s="471"/>
      <c r="D30" s="476">
        <f>+D6*(1-Demanda!$B38)</f>
        <v>10166.299416000002</v>
      </c>
      <c r="E30" s="476">
        <f>+E6*(1-Demanda!$B38)</f>
        <v>10966.387180039203</v>
      </c>
      <c r="F30" s="476">
        <f>+F6*(1-Demanda!$B38)</f>
        <v>11829.441851108288</v>
      </c>
      <c r="G30" s="476">
        <f>+G6*(1-Demanda!$B38)</f>
        <v>12760.418924790509</v>
      </c>
      <c r="H30" s="476">
        <f>+H6*(1-Demanda!$B38)</f>
        <v>13764.663894171521</v>
      </c>
      <c r="J30" s="477"/>
    </row>
    <row r="31" spans="2:10">
      <c r="B31" s="17" t="s">
        <v>335</v>
      </c>
      <c r="C31" s="471"/>
      <c r="D31" s="476">
        <f>+D7*(1-Demanda!$B39)</f>
        <v>80117.757719999994</v>
      </c>
      <c r="E31" s="476">
        <f>+E7*(1-Demanda!$B39)</f>
        <v>86423.02525256401</v>
      </c>
      <c r="F31" s="476">
        <f>+F7*(1-Demanda!$B39)</f>
        <v>93224.517339940794</v>
      </c>
      <c r="G31" s="476">
        <f>+G7*(1-Demanda!$B39)</f>
        <v>100561.28685459413</v>
      </c>
      <c r="H31" s="476">
        <f>+H7*(1-Demanda!$B39)</f>
        <v>108475.46013005069</v>
      </c>
      <c r="J31" s="477"/>
    </row>
    <row r="32" spans="2:10">
      <c r="B32" s="17" t="s">
        <v>336</v>
      </c>
      <c r="C32" s="471"/>
      <c r="D32" s="476">
        <f>+D8*(1-Demanda!$B40)</f>
        <v>16556.120129617502</v>
      </c>
      <c r="E32" s="476">
        <f>+E8*(1-Demanda!$B40)</f>
        <v>16953.467012728321</v>
      </c>
      <c r="F32" s="476">
        <f>+F8*(1-Demanda!$B40)</f>
        <v>17360.350221033797</v>
      </c>
      <c r="G32" s="476">
        <f>+G8*(1-Demanda!$B40)</f>
        <v>17776.998626338609</v>
      </c>
      <c r="H32" s="476">
        <f>+H8*(1-Demanda!$B40)</f>
        <v>18203.646593370737</v>
      </c>
      <c r="J32" s="477"/>
    </row>
    <row r="33" spans="2:11">
      <c r="B33" s="17" t="s">
        <v>337</v>
      </c>
      <c r="C33" s="471"/>
      <c r="D33" s="476">
        <f>+D9*(1-Demanda!$B41)</f>
        <v>15164.10299127281</v>
      </c>
      <c r="E33" s="476">
        <f>+E9*(1-Demanda!$B41)</f>
        <v>15528.041463063355</v>
      </c>
      <c r="F33" s="476">
        <f>+F9*(1-Demanda!$B41)</f>
        <v>15900.714458176877</v>
      </c>
      <c r="G33" s="476">
        <f>+G9*(1-Demanda!$B41)</f>
        <v>16282.331605173125</v>
      </c>
      <c r="H33" s="476">
        <f>+H9*(1-Demanda!$B41)</f>
        <v>16673.107563697278</v>
      </c>
      <c r="J33" s="477"/>
    </row>
    <row r="34" spans="2:11">
      <c r="B34" s="17" t="s">
        <v>338</v>
      </c>
      <c r="C34" s="471"/>
      <c r="D34" s="476">
        <f>+D10*(1-Demanda!$B42)</f>
        <v>3068.6758840483208</v>
      </c>
      <c r="E34" s="476">
        <f>+E10*(1-Demanda!$B42)</f>
        <v>3142.3241052654812</v>
      </c>
      <c r="F34" s="476">
        <f>+F10*(1-Demanda!$B42)</f>
        <v>3217.7398837918518</v>
      </c>
      <c r="G34" s="476">
        <f>+G10*(1-Demanda!$B42)</f>
        <v>3294.9656410028556</v>
      </c>
      <c r="H34" s="476">
        <f>+H10*(1-Demanda!$B42)</f>
        <v>3374.0448163869246</v>
      </c>
      <c r="J34" s="477"/>
    </row>
    <row r="35" spans="2:11" s="478" customFormat="1">
      <c r="C35" s="605"/>
      <c r="D35" s="628"/>
      <c r="E35" s="628"/>
      <c r="F35" s="628"/>
      <c r="G35" s="628"/>
      <c r="H35" s="628"/>
    </row>
    <row r="36" spans="2:11">
      <c r="B36" s="641" t="s">
        <v>330</v>
      </c>
      <c r="C36" s="629"/>
      <c r="D36" s="475">
        <f>+SUM(D37:D43)</f>
        <v>237717.48457393819</v>
      </c>
      <c r="E36" s="475">
        <f t="shared" ref="E36:H36" si="7">+SUM(E37:E43)</f>
        <v>277704.66018812364</v>
      </c>
      <c r="F36" s="475">
        <f t="shared" si="7"/>
        <v>292769.91841867293</v>
      </c>
      <c r="G36" s="475">
        <f t="shared" si="7"/>
        <v>308859.81841900037</v>
      </c>
      <c r="H36" s="475">
        <f t="shared" si="7"/>
        <v>326051.15925885626</v>
      </c>
    </row>
    <row r="37" spans="2:11">
      <c r="B37" s="17" t="s">
        <v>339</v>
      </c>
      <c r="C37" s="471"/>
      <c r="D37" s="476">
        <f>+D13*(1-Demanda!$B54)</f>
        <v>25079.462756351986</v>
      </c>
      <c r="E37" s="476">
        <f>+E13*(1-Demanda!$B54)</f>
        <v>26751.42694010881</v>
      </c>
      <c r="F37" s="476">
        <f>+F13*(1-Demanda!$B54)</f>
        <v>27393.461186671415</v>
      </c>
      <c r="G37" s="476">
        <f>+G13*(1-Demanda!$B54)</f>
        <v>28050.904255151534</v>
      </c>
      <c r="H37" s="476">
        <f>+H13*(1-Demanda!$B54)</f>
        <v>28724.125957275173</v>
      </c>
      <c r="J37" s="478"/>
      <c r="K37" s="477"/>
    </row>
    <row r="38" spans="2:11">
      <c r="B38" s="17" t="s">
        <v>340</v>
      </c>
      <c r="C38" s="471"/>
      <c r="D38" s="476">
        <f>+D14*(1-Demanda!$B55)</f>
        <v>35829.591839999986</v>
      </c>
      <c r="E38" s="476">
        <f>+E14*(1-Demanda!$B55)</f>
        <v>38189.071295999995</v>
      </c>
      <c r="F38" s="476">
        <f>+F14*(1-Demanda!$B55)</f>
        <v>39076.099087103998</v>
      </c>
      <c r="G38" s="476">
        <f>+G14*(1-Demanda!$B55)</f>
        <v>39984.061426154498</v>
      </c>
      <c r="H38" s="476">
        <f>+H14*(1-Demanda!$B55)</f>
        <v>40913.456492873724</v>
      </c>
      <c r="J38" s="478"/>
      <c r="K38" s="477"/>
    </row>
    <row r="39" spans="2:11">
      <c r="B39" s="17" t="s">
        <v>341</v>
      </c>
      <c r="C39" s="471"/>
      <c r="D39" s="476">
        <f>+D15*(1-Demanda!$B56)</f>
        <v>13674.231302400003</v>
      </c>
      <c r="E39" s="476">
        <f>+E15*(1-Demanda!$B56)</f>
        <v>17353.403889292804</v>
      </c>
      <c r="F39" s="476">
        <f>+F15*(1-Demanda!$B56)</f>
        <v>18719.116775380146</v>
      </c>
      <c r="G39" s="476">
        <f>+G15*(1-Demanda!$B56)</f>
        <v>20192.311265602562</v>
      </c>
      <c r="H39" s="476">
        <f>+H15*(1-Demanda!$B56)</f>
        <v>21781.446162205484</v>
      </c>
      <c r="J39" s="478"/>
      <c r="K39" s="477"/>
    </row>
    <row r="40" spans="2:11">
      <c r="B40" s="17" t="s">
        <v>342</v>
      </c>
      <c r="C40" s="471"/>
      <c r="D40" s="476">
        <f>+D16*(1-Demanda!$B57)</f>
        <v>110298.38117760004</v>
      </c>
      <c r="E40" s="476">
        <f>+E16*(1-Demanda!$B57)</f>
        <v>136757.31468537604</v>
      </c>
      <c r="F40" s="476">
        <f>+F16*(1-Demanda!$B57)</f>
        <v>147520.11535111509</v>
      </c>
      <c r="G40" s="476">
        <f>+G16*(1-Demanda!$B57)</f>
        <v>159129.94842924786</v>
      </c>
      <c r="H40" s="476">
        <f>+H16*(1-Demanda!$B57)</f>
        <v>171653.47537062969</v>
      </c>
      <c r="J40" s="478"/>
      <c r="K40" s="477"/>
    </row>
    <row r="41" spans="2:11">
      <c r="B41" s="17" t="s">
        <v>343</v>
      </c>
      <c r="C41" s="471"/>
      <c r="D41" s="476">
        <f>+D17*(1-Demanda!$B58)</f>
        <v>25776.548639304034</v>
      </c>
      <c r="E41" s="476">
        <f>+E17*(1-Demanda!$B58)</f>
        <v>28381.920222201425</v>
      </c>
      <c r="F41" s="476">
        <f>+F17*(1-Demanda!$B58)</f>
        <v>29063.086307534264</v>
      </c>
      <c r="G41" s="476">
        <f>+G17*(1-Demanda!$B58)</f>
        <v>29760.600378915089</v>
      </c>
      <c r="H41" s="476">
        <f>+H17*(1-Demanda!$B58)</f>
        <v>30474.854788009052</v>
      </c>
      <c r="J41" s="478"/>
      <c r="K41" s="477"/>
    </row>
    <row r="42" spans="2:11">
      <c r="B42" s="17" t="s">
        <v>344</v>
      </c>
      <c r="C42" s="471"/>
      <c r="D42" s="476">
        <f>+D18*(1-Demanda!$B59)</f>
        <v>22114.316862272844</v>
      </c>
      <c r="E42" s="476">
        <f>+E18*(1-Demanda!$B59)</f>
        <v>24884.681831832298</v>
      </c>
      <c r="F42" s="476">
        <f>+F18*(1-Demanda!$B59)</f>
        <v>25481.914195796275</v>
      </c>
      <c r="G42" s="476">
        <f>+G18*(1-Demanda!$B59)</f>
        <v>26093.480136495382</v>
      </c>
      <c r="H42" s="476">
        <f>+H18*(1-Demanda!$B59)</f>
        <v>26719.723659771276</v>
      </c>
      <c r="J42" s="478"/>
      <c r="K42" s="477"/>
    </row>
    <row r="43" spans="2:11">
      <c r="B43" s="17" t="s">
        <v>345</v>
      </c>
      <c r="C43" s="471"/>
      <c r="D43" s="476">
        <f>+D19*(1-Demanda!$B60)</f>
        <v>4944.9519960092939</v>
      </c>
      <c r="E43" s="476">
        <f>+E19*(1-Demanda!$B60)</f>
        <v>5386.8413233122519</v>
      </c>
      <c r="F43" s="476">
        <f>+F19*(1-Demanda!$B60)</f>
        <v>5516.1255150717461</v>
      </c>
      <c r="G43" s="476">
        <f>+G19*(1-Demanda!$B60)</f>
        <v>5648.5125274334669</v>
      </c>
      <c r="H43" s="476">
        <f>+H19*(1-Demanda!$B60)</f>
        <v>5784.076828091871</v>
      </c>
      <c r="J43" s="478"/>
      <c r="K43" s="477"/>
    </row>
    <row r="44" spans="2:11" s="478" customFormat="1">
      <c r="B44" s="578"/>
      <c r="C44" s="605"/>
      <c r="D44" s="628"/>
      <c r="E44" s="628"/>
      <c r="F44" s="628"/>
      <c r="G44" s="628"/>
      <c r="H44" s="628"/>
    </row>
    <row r="45" spans="2:11">
      <c r="B45" s="669" t="s">
        <v>328</v>
      </c>
      <c r="C45" s="443"/>
      <c r="D45" s="475">
        <f>+D27+D36</f>
        <v>401593.6039276768</v>
      </c>
      <c r="E45" s="475">
        <f t="shared" ref="E45:H45" si="8">+E27+E36</f>
        <v>450434.92609169125</v>
      </c>
      <c r="F45" s="475">
        <f t="shared" si="8"/>
        <v>474955.28430510953</v>
      </c>
      <c r="G45" s="475">
        <f t="shared" si="8"/>
        <v>501146.24586847529</v>
      </c>
      <c r="H45" s="475">
        <f t="shared" si="8"/>
        <v>529133.10542183253</v>
      </c>
    </row>
    <row r="46" spans="2:11" s="478" customFormat="1" ht="15.75" thickBot="1">
      <c r="B46" s="668"/>
      <c r="C46" s="668"/>
      <c r="D46" s="668"/>
      <c r="E46" s="668"/>
      <c r="F46" s="668"/>
      <c r="G46" s="668"/>
      <c r="H46" s="668"/>
    </row>
    <row r="47" spans="2:11">
      <c r="B47" s="642" t="s">
        <v>331</v>
      </c>
      <c r="C47" s="643"/>
      <c r="D47" s="644">
        <f>+D21-D45</f>
        <v>148285.74160566309</v>
      </c>
      <c r="E47" s="644">
        <f t="shared" ref="E47:H47" si="9">+E21-E45</f>
        <v>162997.15291337343</v>
      </c>
      <c r="F47" s="644">
        <f t="shared" si="9"/>
        <v>171278.04659676738</v>
      </c>
      <c r="G47" s="644">
        <f t="shared" si="9"/>
        <v>180102.9589683559</v>
      </c>
      <c r="H47" s="645">
        <f t="shared" si="9"/>
        <v>189512.13707457937</v>
      </c>
    </row>
    <row r="48" spans="2:11">
      <c r="B48" s="479" t="s">
        <v>294</v>
      </c>
      <c r="C48" s="480"/>
      <c r="D48" s="443"/>
      <c r="E48" s="443"/>
      <c r="F48" s="443"/>
      <c r="G48" s="443"/>
      <c r="H48" s="313"/>
    </row>
    <row r="49" spans="2:9">
      <c r="B49" s="479" t="s">
        <v>295</v>
      </c>
      <c r="C49" s="480"/>
      <c r="D49" s="443">
        <f>-Costos!F27</f>
        <v>-107101.932</v>
      </c>
      <c r="E49" s="443">
        <f>D49*1.05</f>
        <v>-112457.02860000001</v>
      </c>
      <c r="F49" s="443">
        <f t="shared" ref="F49:G49" si="10">E49*1.05</f>
        <v>-118079.88003000001</v>
      </c>
      <c r="G49" s="443">
        <f t="shared" si="10"/>
        <v>-123983.87403150002</v>
      </c>
      <c r="H49" s="313">
        <f>G49*1.05</f>
        <v>-130183.06773307502</v>
      </c>
    </row>
    <row r="50" spans="2:9">
      <c r="B50" s="479" t="s">
        <v>296</v>
      </c>
      <c r="C50" s="480"/>
      <c r="D50" s="443">
        <f>-'Estructura de capital'!C12-'Estructura de capital'!C29</f>
        <v>-9295.5909210672926</v>
      </c>
      <c r="E50" s="443">
        <f>-'Estructura de capital'!C13-'Estructura de capital'!C30</f>
        <v>-6577.0606140448617</v>
      </c>
      <c r="F50" s="443">
        <f>-'Estructura de capital'!C14-'Estructura de capital'!C31</f>
        <v>-3858.5303070224313</v>
      </c>
      <c r="G50" s="443">
        <f>-'Estructura de capital'!C15-'Estructura de capital'!C32</f>
        <v>-1140</v>
      </c>
      <c r="H50" s="313">
        <f>-'Estructura de capital'!C16-'Estructura de capital'!C33</f>
        <v>-570</v>
      </c>
    </row>
    <row r="51" spans="2:9">
      <c r="B51" s="479" t="s">
        <v>297</v>
      </c>
      <c r="C51" s="480"/>
      <c r="D51" s="443">
        <f>-'Valor de desecho'!D29</f>
        <v>-2596.6666666666661</v>
      </c>
      <c r="E51" s="443">
        <f>-'Valor de desecho'!E29</f>
        <v>-2596.6666666666661</v>
      </c>
      <c r="F51" s="443">
        <f>-'Valor de desecho'!F29</f>
        <v>-2596.6666666666661</v>
      </c>
      <c r="G51" s="443">
        <f>-'Valor de desecho'!G29</f>
        <v>-2363.333333333333</v>
      </c>
      <c r="H51" s="313">
        <f>-'Valor de desecho'!H29</f>
        <v>-2363.34</v>
      </c>
    </row>
    <row r="52" spans="2:9">
      <c r="B52" s="481" t="s">
        <v>298</v>
      </c>
      <c r="C52" s="482"/>
      <c r="D52" s="483">
        <f>+D47+D49+D50+D51</f>
        <v>29291.552017929134</v>
      </c>
      <c r="E52" s="483">
        <f>+E47+E49+E50+E51</f>
        <v>41366.397032661895</v>
      </c>
      <c r="F52" s="483">
        <f t="shared" ref="F52:H52" si="11">+F47+F49+F50+F51</f>
        <v>46742.969593078269</v>
      </c>
      <c r="G52" s="483">
        <f t="shared" si="11"/>
        <v>52615.751603522549</v>
      </c>
      <c r="H52" s="646">
        <f t="shared" si="11"/>
        <v>56395.729341504353</v>
      </c>
    </row>
    <row r="53" spans="2:9">
      <c r="B53" s="479" t="s">
        <v>299</v>
      </c>
      <c r="C53" s="480"/>
      <c r="D53" s="484">
        <f t="shared" ref="D53:H53" si="12">-(D52*15%)</f>
        <v>-4393.7328026893701</v>
      </c>
      <c r="E53" s="484">
        <f t="shared" si="12"/>
        <v>-6204.9595548992838</v>
      </c>
      <c r="F53" s="484">
        <f t="shared" si="12"/>
        <v>-7011.4454389617404</v>
      </c>
      <c r="G53" s="484">
        <f t="shared" si="12"/>
        <v>-7892.3627405283823</v>
      </c>
      <c r="H53" s="308">
        <f t="shared" si="12"/>
        <v>-8459.3594012256526</v>
      </c>
    </row>
    <row r="54" spans="2:9">
      <c r="B54" s="481" t="s">
        <v>300</v>
      </c>
      <c r="C54" s="482"/>
      <c r="D54" s="483">
        <f t="shared" ref="D54:H54" si="13">D52+D53</f>
        <v>24897.819215239764</v>
      </c>
      <c r="E54" s="483">
        <f t="shared" si="13"/>
        <v>35161.437477762607</v>
      </c>
      <c r="F54" s="483">
        <f t="shared" si="13"/>
        <v>39731.524154116531</v>
      </c>
      <c r="G54" s="483">
        <f t="shared" si="13"/>
        <v>44723.388862994165</v>
      </c>
      <c r="H54" s="646">
        <f t="shared" si="13"/>
        <v>47936.369940278702</v>
      </c>
    </row>
    <row r="55" spans="2:9">
      <c r="B55" s="479" t="s">
        <v>396</v>
      </c>
      <c r="C55" s="480"/>
      <c r="D55" s="484">
        <f>-(D54*23%)</f>
        <v>-5726.4984195051456</v>
      </c>
      <c r="E55" s="484">
        <f>-(E54*22%)</f>
        <v>-7735.516245107774</v>
      </c>
      <c r="F55" s="484">
        <f t="shared" ref="F55:H55" si="14">-(F54*22%)</f>
        <v>-8740.9353139056366</v>
      </c>
      <c r="G55" s="484">
        <f t="shared" si="14"/>
        <v>-9839.1455498587165</v>
      </c>
      <c r="H55" s="484">
        <f t="shared" si="14"/>
        <v>-10546.001386861315</v>
      </c>
    </row>
    <row r="56" spans="2:9">
      <c r="B56" s="481" t="s">
        <v>301</v>
      </c>
      <c r="C56" s="482"/>
      <c r="D56" s="483">
        <f t="shared" ref="D56:H56" si="15">D54+D55</f>
        <v>19171.320795734617</v>
      </c>
      <c r="E56" s="483">
        <f t="shared" si="15"/>
        <v>27425.921232654833</v>
      </c>
      <c r="F56" s="483">
        <f t="shared" si="15"/>
        <v>30990.588840210894</v>
      </c>
      <c r="G56" s="483">
        <f t="shared" si="15"/>
        <v>34884.243313135448</v>
      </c>
      <c r="H56" s="646">
        <f t="shared" si="15"/>
        <v>37390.368553417386</v>
      </c>
      <c r="I56" s="485"/>
    </row>
    <row r="57" spans="2:9">
      <c r="B57" s="479" t="s">
        <v>302</v>
      </c>
      <c r="C57" s="480"/>
      <c r="D57" s="443">
        <f>-D51</f>
        <v>2596.6666666666661</v>
      </c>
      <c r="E57" s="443">
        <f t="shared" ref="E57:H57" si="16">-E51</f>
        <v>2596.6666666666661</v>
      </c>
      <c r="F57" s="443">
        <f t="shared" si="16"/>
        <v>2596.6666666666661</v>
      </c>
      <c r="G57" s="443">
        <f t="shared" si="16"/>
        <v>2363.333333333333</v>
      </c>
      <c r="H57" s="313">
        <f t="shared" si="16"/>
        <v>2363.34</v>
      </c>
      <c r="I57" s="485"/>
    </row>
    <row r="58" spans="2:9">
      <c r="B58" s="479" t="s">
        <v>303</v>
      </c>
      <c r="C58" s="480">
        <f>-'Estructura de capital'!B3</f>
        <v>-50100</v>
      </c>
      <c r="D58" s="443"/>
      <c r="E58" s="443"/>
      <c r="F58" s="443"/>
      <c r="G58" s="443"/>
      <c r="H58" s="313"/>
    </row>
    <row r="59" spans="2:9">
      <c r="B59" s="479" t="s">
        <v>304</v>
      </c>
      <c r="C59" s="480"/>
      <c r="D59" s="443"/>
      <c r="E59" s="443"/>
      <c r="F59" s="443"/>
      <c r="G59" s="443"/>
      <c r="H59" s="313"/>
    </row>
    <row r="60" spans="2:9">
      <c r="B60" s="479" t="s">
        <v>305</v>
      </c>
      <c r="C60" s="480">
        <f>'Estructura de capital'!C7</f>
        <v>42970.606140448617</v>
      </c>
      <c r="D60" s="443"/>
      <c r="E60" s="443"/>
      <c r="F60" s="443"/>
      <c r="G60" s="443"/>
      <c r="H60" s="313"/>
    </row>
    <row r="61" spans="2:9">
      <c r="B61" s="479" t="s">
        <v>306</v>
      </c>
      <c r="C61" s="480"/>
      <c r="D61" s="443">
        <f>-'Estructura de capital'!B12-'Estructura de capital'!B29</f>
        <v>-18123.535380149537</v>
      </c>
      <c r="E61" s="443">
        <f>-'Estructura de capital'!B13-'Estructura de capital'!B30</f>
        <v>-18123.535380149537</v>
      </c>
      <c r="F61" s="443">
        <f>-'Estructura de capital'!B14-'Estructura de capital'!B31</f>
        <v>-18123.535380149537</v>
      </c>
      <c r="G61" s="443">
        <f>-'Estructura de capital'!B15-'Estructura de capital'!B32</f>
        <v>-3800</v>
      </c>
      <c r="H61" s="313">
        <f>-'Estructura de capital'!B16-'Estructura de capital'!B33</f>
        <v>-3800</v>
      </c>
    </row>
    <row r="62" spans="2:9">
      <c r="B62" s="479" t="s">
        <v>307</v>
      </c>
      <c r="C62" s="480">
        <f>'Capital de trabajo'!C39</f>
        <v>-57326.515351121532</v>
      </c>
      <c r="D62" s="443"/>
      <c r="E62" s="443"/>
      <c r="F62" s="443"/>
      <c r="G62" s="443"/>
      <c r="H62" s="313">
        <f>-'Capital de trabajo'!C39</f>
        <v>57326.515351121532</v>
      </c>
    </row>
    <row r="63" spans="2:9">
      <c r="B63" s="479" t="s">
        <v>308</v>
      </c>
      <c r="C63" s="480"/>
      <c r="D63" s="443"/>
      <c r="E63" s="443"/>
      <c r="F63" s="443"/>
      <c r="G63" s="443"/>
      <c r="H63" s="313">
        <f>+'Valor de desecho'!H12</f>
        <v>10883.333333333332</v>
      </c>
    </row>
    <row r="64" spans="2:9" ht="15.75" thickBot="1">
      <c r="B64" s="486" t="s">
        <v>309</v>
      </c>
      <c r="C64" s="487">
        <f>SUM(C56:C63)</f>
        <v>-64455.909210672915</v>
      </c>
      <c r="D64" s="488">
        <f t="shared" ref="D64:H64" si="17">SUM(D56:D63)</f>
        <v>3644.4520822517443</v>
      </c>
      <c r="E64" s="488">
        <f t="shared" si="17"/>
        <v>11899.052519171964</v>
      </c>
      <c r="F64" s="488">
        <f t="shared" si="17"/>
        <v>15463.720126728025</v>
      </c>
      <c r="G64" s="488">
        <f t="shared" si="17"/>
        <v>33447.576646468784</v>
      </c>
      <c r="H64" s="647">
        <f t="shared" si="17"/>
        <v>104163.55723787224</v>
      </c>
    </row>
    <row r="65" spans="2:8">
      <c r="B65" s="489" t="s">
        <v>385</v>
      </c>
      <c r="C65" s="571">
        <f>NPV(CAPM!I25,'Sensibilidad recesion'!D64:H64)+'Sensibilidad recesion'!C64</f>
        <v>15700.38318501856</v>
      </c>
      <c r="D65" s="478"/>
      <c r="E65" s="478"/>
      <c r="F65" s="478"/>
      <c r="G65" s="478"/>
      <c r="H65" s="648"/>
    </row>
    <row r="66" spans="2:8" ht="15.75" thickBot="1">
      <c r="B66" s="490" t="s">
        <v>310</v>
      </c>
      <c r="C66" s="659">
        <f>IRR(C64:H64)</f>
        <v>0.25869292854271431</v>
      </c>
      <c r="D66" s="340"/>
      <c r="E66" s="340"/>
      <c r="F66" s="340"/>
      <c r="G66" s="340"/>
      <c r="H66" s="34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1:K66"/>
  <sheetViews>
    <sheetView topLeftCell="A52" workbookViewId="0">
      <selection activeCell="B72" sqref="B72"/>
    </sheetView>
  </sheetViews>
  <sheetFormatPr defaultColWidth="11.42578125" defaultRowHeight="15"/>
  <cols>
    <col min="1" max="1" width="3.7109375" style="12" customWidth="1"/>
    <col min="2" max="2" width="42.42578125" style="12" bestFit="1" customWidth="1"/>
    <col min="3" max="3" width="13.28515625" style="12" bestFit="1" customWidth="1"/>
    <col min="4" max="8" width="14.85546875" style="12" bestFit="1" customWidth="1"/>
    <col min="9" max="9" width="11.5703125" style="12" bestFit="1" customWidth="1"/>
    <col min="10" max="16384" width="11.42578125" style="12"/>
  </cols>
  <sheetData>
    <row r="1" spans="2:11" ht="15.75" thickBot="1"/>
    <row r="2" spans="2:11" ht="15.75" thickBot="1">
      <c r="B2" s="491" t="s">
        <v>1</v>
      </c>
      <c r="C2" s="492">
        <v>0</v>
      </c>
      <c r="D2" s="493">
        <v>1</v>
      </c>
      <c r="E2" s="493">
        <v>2</v>
      </c>
      <c r="F2" s="493">
        <v>3</v>
      </c>
      <c r="G2" s="493">
        <v>4</v>
      </c>
      <c r="H2" s="633">
        <v>5</v>
      </c>
    </row>
    <row r="3" spans="2:11">
      <c r="B3" s="468" t="s">
        <v>311</v>
      </c>
      <c r="C3" s="469">
        <f>SUM(C4:C10)</f>
        <v>0</v>
      </c>
      <c r="D3" s="470">
        <f t="shared" ref="D3:H3" si="0">SUM(D4:D10)</f>
        <v>300368.18171244196</v>
      </c>
      <c r="E3" s="470">
        <f t="shared" si="0"/>
        <v>316164.38047016453</v>
      </c>
      <c r="F3" s="470">
        <f t="shared" si="0"/>
        <v>333017.88004140684</v>
      </c>
      <c r="G3" s="470">
        <f t="shared" si="0"/>
        <v>351007.45775897632</v>
      </c>
      <c r="H3" s="634">
        <f t="shared" si="0"/>
        <v>370217.98469877685</v>
      </c>
    </row>
    <row r="4" spans="2:11">
      <c r="B4" s="16" t="s">
        <v>56</v>
      </c>
      <c r="C4" s="471"/>
      <c r="D4" s="443">
        <f>'Capital de trabajo'!O4*1.1</f>
        <v>28825.578496000016</v>
      </c>
      <c r="E4" s="443">
        <f>Demanda!C3*0.4*'Capital de trabajo'!$D62*1.1</f>
        <v>29517.392379904009</v>
      </c>
      <c r="F4" s="443">
        <f>Demanda!D3*0.4*'Capital de trabajo'!$D62*1.1</f>
        <v>30225.80979702171</v>
      </c>
      <c r="G4" s="443">
        <f>Demanda!E3*0.4*'Capital de trabajo'!$D62*1.1</f>
        <v>30951.229232150239</v>
      </c>
      <c r="H4" s="313">
        <f>Demanda!F3*0.4*'Capital de trabajo'!$D62*1.1</f>
        <v>31694.058733721835</v>
      </c>
    </row>
    <row r="5" spans="2:11">
      <c r="B5" s="16" t="s">
        <v>57</v>
      </c>
      <c r="C5" s="471"/>
      <c r="D5" s="443">
        <f>'Capital de trabajo'!O5*1.1</f>
        <v>45413.63903999998</v>
      </c>
      <c r="E5" s="443">
        <f>Demanda!C4*0.4*'Capital de trabajo'!$D63*1.1</f>
        <v>46468.08477696</v>
      </c>
      <c r="F5" s="443">
        <f>Demanda!D4*0.4*'Capital de trabajo'!$D63*1.1</f>
        <v>47547.411432407047</v>
      </c>
      <c r="G5" s="443">
        <f>Demanda!E4*0.4*'Capital de trabajo'!$D63*1.1</f>
        <v>48652.211039034417</v>
      </c>
      <c r="H5" s="313">
        <f>Demanda!F4*0.4*'Capital de trabajo'!$D63*1.1</f>
        <v>49783.08977700783</v>
      </c>
    </row>
    <row r="6" spans="2:11">
      <c r="B6" s="16" t="s">
        <v>91</v>
      </c>
      <c r="C6" s="471"/>
      <c r="D6" s="443">
        <f>'Capital de trabajo'!O6*1.1</f>
        <v>17750.681520000006</v>
      </c>
      <c r="E6" s="443">
        <f>Demanda!C6*0.4*'Capital de trabajo'!$D64*1.1</f>
        <v>19147.660155624006</v>
      </c>
      <c r="F6" s="443">
        <f>Demanda!D6*0.4*'Capital de trabajo'!$D64*1.1</f>
        <v>20654.581009871614</v>
      </c>
      <c r="G6" s="443">
        <f>Demanda!E6*0.4*'Capital de trabajo'!$D64*1.1</f>
        <v>22280.096535348508</v>
      </c>
      <c r="H6" s="443">
        <f>Demanda!F6*0.4*'Capital de trabajo'!$D64*1.1</f>
        <v>24033.540132680435</v>
      </c>
      <c r="K6" s="472"/>
    </row>
    <row r="7" spans="2:11">
      <c r="B7" s="16" t="s">
        <v>58</v>
      </c>
      <c r="C7" s="471"/>
      <c r="D7" s="443">
        <f>'Capital de trabajo'!O7*1.1</f>
        <v>139888.14840000001</v>
      </c>
      <c r="E7" s="443">
        <f>Demanda!C5*0.4*'Capital de trabajo'!$D65*1.1</f>
        <v>150897.34567908003</v>
      </c>
      <c r="F7" s="443">
        <f>Demanda!D5*0.4*'Capital de trabajo'!$D65*1.1</f>
        <v>162772.96678402362</v>
      </c>
      <c r="G7" s="443">
        <f>Demanda!E5*0.4*'Capital de trabajo'!$D65*1.1</f>
        <v>175583.19926992629</v>
      </c>
      <c r="H7" s="313">
        <f>Demanda!F5*0.4*'Capital de trabajo'!$D65*1.1</f>
        <v>189401.5970524695</v>
      </c>
    </row>
    <row r="8" spans="2:11">
      <c r="B8" s="16" t="s">
        <v>51</v>
      </c>
      <c r="C8" s="471"/>
      <c r="D8" s="443">
        <f>'Capital de trabajo'!O8*1.1</f>
        <v>33725.429893665285</v>
      </c>
      <c r="E8" s="443">
        <f>Demanda!C7*0.4*'Capital de trabajo'!$D66*1.1</f>
        <v>34534.840211113245</v>
      </c>
      <c r="F8" s="443">
        <f>Demanda!D7*0.4*'Capital de trabajo'!$D66*1.1</f>
        <v>35363.676376179967</v>
      </c>
      <c r="G8" s="443">
        <f>Demanda!E7*0.4*'Capital de trabajo'!$D66*1.1</f>
        <v>36212.404609208286</v>
      </c>
      <c r="H8" s="313">
        <f>Demanda!F7*0.4*'Capital de trabajo'!$D66*1.1</f>
        <v>37081.502319829284</v>
      </c>
    </row>
    <row r="9" spans="2:11">
      <c r="B9" s="16" t="s">
        <v>53</v>
      </c>
      <c r="C9" s="471"/>
      <c r="D9" s="443">
        <f>'Capital de trabajo'!O9*1.1</f>
        <v>28513.697932307849</v>
      </c>
      <c r="E9" s="443">
        <f>Demanda!C8*0.4*'Capital de trabajo'!$D67*1.1</f>
        <v>29198.026682683234</v>
      </c>
      <c r="F9" s="443">
        <f>Demanda!D8*0.4*'Capital de trabajo'!$D67*1.1</f>
        <v>29898.779323067629</v>
      </c>
      <c r="G9" s="443">
        <f>Demanda!E8*0.4*'Capital de trabajo'!$D67*1.1</f>
        <v>30616.350026821259</v>
      </c>
      <c r="H9" s="313">
        <f>Demanda!F8*0.4*'Capital de trabajo'!$D67*1.1</f>
        <v>31351.142427464965</v>
      </c>
    </row>
    <row r="10" spans="2:11">
      <c r="B10" s="16" t="s">
        <v>92</v>
      </c>
      <c r="C10" s="629"/>
      <c r="D10" s="443">
        <f>'Capital de trabajo'!O10*1.1</f>
        <v>6251.0064304688021</v>
      </c>
      <c r="E10" s="443">
        <f>Demanda!C9*0.4*'Capital de trabajo'!$D68*1.1</f>
        <v>6401.0305848000544</v>
      </c>
      <c r="F10" s="443">
        <f>Demanda!D9*0.4*'Capital de trabajo'!$D68*1.1</f>
        <v>6554.6553188352536</v>
      </c>
      <c r="G10" s="443">
        <f>Demanda!E9*0.4*'Capital de trabajo'!$D68*1.1</f>
        <v>6711.9670464872988</v>
      </c>
      <c r="H10" s="313">
        <f>Demanda!F9*0.4*'Capital de trabajo'!$D68*1.1</f>
        <v>6873.054255602995</v>
      </c>
    </row>
    <row r="11" spans="2:11" s="478" customFormat="1" ht="7.5" customHeight="1">
      <c r="B11" s="306"/>
      <c r="C11" s="630"/>
      <c r="D11" s="630"/>
      <c r="E11" s="630"/>
      <c r="F11" s="630"/>
      <c r="G11" s="630"/>
      <c r="H11" s="308"/>
    </row>
    <row r="12" spans="2:11">
      <c r="B12" s="468" t="s">
        <v>275</v>
      </c>
      <c r="C12" s="469">
        <f>SUM(C13:C19)</f>
        <v>0</v>
      </c>
      <c r="D12" s="470">
        <f t="shared" ref="D12:H12" si="1">SUM(D13:D19)</f>
        <v>371706.57393941807</v>
      </c>
      <c r="E12" s="470">
        <f t="shared" si="1"/>
        <v>433585.93831380346</v>
      </c>
      <c r="F12" s="470">
        <f t="shared" si="1"/>
        <v>456822.85772755393</v>
      </c>
      <c r="G12" s="470">
        <f t="shared" si="1"/>
        <v>481630.45926381747</v>
      </c>
      <c r="H12" s="634">
        <f t="shared" si="1"/>
        <v>508126.2005746155</v>
      </c>
    </row>
    <row r="13" spans="2:11">
      <c r="B13" s="16" t="s">
        <v>56</v>
      </c>
      <c r="C13" s="471"/>
      <c r="D13" s="443">
        <f>'Capital de trabajo'!O22*1.1</f>
        <v>38315.845877759981</v>
      </c>
      <c r="E13" s="443">
        <f>Demanda!C3*0.6*'Capital de trabajo'!$D80*1.1</f>
        <v>40870.235602944012</v>
      </c>
      <c r="F13" s="443">
        <f>Demanda!D3*0.6*'Capital de trabajo'!$D80*1.1</f>
        <v>41851.121257414663</v>
      </c>
      <c r="G13" s="443">
        <f>Demanda!E3*0.6*'Capital de trabajo'!$D80*1.1</f>
        <v>42855.54816759262</v>
      </c>
      <c r="H13" s="313">
        <f>Demanda!F3*0.6*'Capital de trabajo'!$D80*1.1</f>
        <v>43884.081323614846</v>
      </c>
    </row>
    <row r="14" spans="2:11">
      <c r="B14" s="16" t="s">
        <v>57</v>
      </c>
      <c r="C14" s="471"/>
      <c r="D14" s="443">
        <f>'Capital de trabajo'!O23*1.1</f>
        <v>58388.964479999981</v>
      </c>
      <c r="E14" s="443">
        <f>Demanda!C4*0.6*'Capital de trabajo'!$D81*1.1</f>
        <v>62234.042111999996</v>
      </c>
      <c r="F14" s="443">
        <f>Demanda!D4*0.6*'Capital de trabajo'!$D81*1.1</f>
        <v>63679.568882688</v>
      </c>
      <c r="G14" s="443">
        <f>Demanda!E4*0.6*'Capital de trabajo'!$D81*1.1</f>
        <v>65159.211212992523</v>
      </c>
      <c r="H14" s="313">
        <f>Demanda!F4*0.6*'Capital de trabajo'!$D81*1.1</f>
        <v>66673.780951349778</v>
      </c>
    </row>
    <row r="15" spans="2:11">
      <c r="B15" s="16" t="s">
        <v>91</v>
      </c>
      <c r="C15" s="471"/>
      <c r="D15" s="443">
        <f>'Capital de trabajo'!O24*1.1</f>
        <v>20891.186712000006</v>
      </c>
      <c r="E15" s="443">
        <f>Demanda!C6*0.6*'Capital de trabajo'!$D82*1.1</f>
        <v>26512.144830864003</v>
      </c>
      <c r="F15" s="443">
        <f>Demanda!D6*0.6*'Capital de trabajo'!$D82*1.1</f>
        <v>28598.650629052998</v>
      </c>
      <c r="G15" s="443">
        <f>Demanda!E6*0.6*'Capital de trabajo'!$D82*1.1</f>
        <v>30849.364433559469</v>
      </c>
      <c r="H15" s="443">
        <f>Demanda!F6*0.6*'Capital de trabajo'!$D82*1.1</f>
        <v>33277.209414480603</v>
      </c>
    </row>
    <row r="16" spans="2:11">
      <c r="B16" s="16" t="s">
        <v>58</v>
      </c>
      <c r="C16" s="471"/>
      <c r="D16" s="443">
        <f>'Capital de trabajo'!O25*1.1</f>
        <v>168511.41568800004</v>
      </c>
      <c r="E16" s="443">
        <f>Demanda!C5*0.6*'Capital de trabajo'!$D83*1.1</f>
        <v>208934.78632488006</v>
      </c>
      <c r="F16" s="443">
        <f>Demanda!D5*0.6*'Capital de trabajo'!$D83*1.1</f>
        <v>225377.95400864808</v>
      </c>
      <c r="G16" s="443">
        <f>Demanda!E5*0.6*'Capital de trabajo'!$D83*1.1</f>
        <v>243115.19898912869</v>
      </c>
      <c r="H16" s="443">
        <f>Demanda!F5*0.6*'Capital de trabajo'!$D83*1.1</f>
        <v>262248.36514957313</v>
      </c>
    </row>
    <row r="17" spans="2:10">
      <c r="B17" s="16" t="s">
        <v>51</v>
      </c>
      <c r="C17" s="471"/>
      <c r="D17" s="443">
        <f>'Capital de trabajo'!O26*1.1</f>
        <v>42006.227412199172</v>
      </c>
      <c r="E17" s="443">
        <f>Demanda!C7*0.6*'Capital de trabajo'!$D84*1.1</f>
        <v>46252.01813988381</v>
      </c>
      <c r="F17" s="443">
        <f>Demanda!D7*0.6*'Capital de trabajo'!$D84*1.1</f>
        <v>47362.06657524102</v>
      </c>
      <c r="G17" s="443">
        <f>Demanda!E7*0.6*'Capital de trabajo'!$D84*1.1</f>
        <v>48498.756173046815</v>
      </c>
      <c r="H17" s="313">
        <f>Demanda!F7*0.6*'Capital de trabajo'!$D84*1.1</f>
        <v>49662.726321199938</v>
      </c>
    </row>
    <row r="18" spans="2:10">
      <c r="B18" s="16" t="s">
        <v>53</v>
      </c>
      <c r="C18" s="471"/>
      <c r="D18" s="443">
        <f>'Capital de trabajo'!O27*1.1</f>
        <v>36038.145997777967</v>
      </c>
      <c r="E18" s="443">
        <f>Demanda!C8*0.6*'Capital de trabajo'!$D85*1.1</f>
        <v>40552.814837060047</v>
      </c>
      <c r="F18" s="443">
        <f>Demanda!D8*0.6*'Capital de trabajo'!$D85*1.1</f>
        <v>41526.082393149489</v>
      </c>
      <c r="G18" s="443">
        <f>Demanda!E8*0.6*'Capital de trabajo'!$D85*1.1</f>
        <v>42522.708370585075</v>
      </c>
      <c r="H18" s="313">
        <f>Demanda!F8*0.6*'Capital de trabajo'!$D85*1.1</f>
        <v>43543.253371479121</v>
      </c>
    </row>
    <row r="19" spans="2:10">
      <c r="B19" s="16" t="s">
        <v>92</v>
      </c>
      <c r="C19" s="629"/>
      <c r="D19" s="443">
        <f>'Capital de trabajo'!O28*1.1</f>
        <v>7554.7877716808653</v>
      </c>
      <c r="E19" s="443">
        <f>Demanda!C9*0.6*'Capital de trabajo'!$D86*1.1</f>
        <v>8229.8964661714963</v>
      </c>
      <c r="F19" s="443">
        <f>Demanda!D9*0.6*'Capital de trabajo'!$D86*1.1</f>
        <v>8427.4139813596121</v>
      </c>
      <c r="G19" s="443">
        <f>Demanda!E9*0.6*'Capital de trabajo'!$D86*1.1</f>
        <v>8629.6719169122407</v>
      </c>
      <c r="H19" s="313">
        <f>Demanda!F9*0.6*'Capital de trabajo'!$D86*1.1</f>
        <v>8836.784042918136</v>
      </c>
    </row>
    <row r="20" spans="2:10" s="478" customFormat="1" ht="7.5" customHeight="1">
      <c r="B20" s="306"/>
      <c r="C20" s="630"/>
      <c r="D20" s="630"/>
      <c r="E20" s="630"/>
      <c r="F20" s="630"/>
      <c r="G20" s="630"/>
      <c r="H20" s="308"/>
    </row>
    <row r="21" spans="2:10">
      <c r="B21" s="631" t="s">
        <v>327</v>
      </c>
      <c r="C21" s="471"/>
      <c r="D21" s="470">
        <f>D3+D12</f>
        <v>672074.75565186003</v>
      </c>
      <c r="E21" s="470">
        <f t="shared" ref="E21:H21" si="2">E3+E12</f>
        <v>749750.31878396799</v>
      </c>
      <c r="F21" s="470">
        <f t="shared" si="2"/>
        <v>789840.73776896077</v>
      </c>
      <c r="G21" s="470">
        <f t="shared" si="2"/>
        <v>832637.91702279379</v>
      </c>
      <c r="H21" s="634">
        <f t="shared" si="2"/>
        <v>878344.18527339236</v>
      </c>
    </row>
    <row r="22" spans="2:10">
      <c r="B22" s="474" t="s">
        <v>354</v>
      </c>
      <c r="C22" s="471"/>
      <c r="D22" s="476">
        <f>D3*0.02</f>
        <v>6007.3636342488389</v>
      </c>
      <c r="E22" s="476">
        <f t="shared" ref="E22:H22" si="3">E3*0.02</f>
        <v>6323.2876094032908</v>
      </c>
      <c r="F22" s="476">
        <f t="shared" si="3"/>
        <v>6660.357600828137</v>
      </c>
      <c r="G22" s="476">
        <f t="shared" si="3"/>
        <v>7020.1491551795261</v>
      </c>
      <c r="H22" s="635">
        <f t="shared" si="3"/>
        <v>7404.3596939755371</v>
      </c>
    </row>
    <row r="23" spans="2:10">
      <c r="B23" s="474" t="s">
        <v>355</v>
      </c>
      <c r="C23" s="629"/>
      <c r="D23" s="476">
        <f>D12*0.02</f>
        <v>7434.1314787883612</v>
      </c>
      <c r="E23" s="476">
        <f t="shared" ref="E23:H23" si="4">E12*0.02</f>
        <v>8671.7187662760698</v>
      </c>
      <c r="F23" s="476">
        <f t="shared" si="4"/>
        <v>9136.4571545510789</v>
      </c>
      <c r="G23" s="476">
        <f t="shared" si="4"/>
        <v>9632.6091852763493</v>
      </c>
      <c r="H23" s="635">
        <f t="shared" si="4"/>
        <v>10162.524011492311</v>
      </c>
    </row>
    <row r="24" spans="2:10" s="478" customFormat="1" ht="7.5" customHeight="1">
      <c r="B24" s="636"/>
      <c r="C24" s="605"/>
      <c r="D24" s="628"/>
      <c r="E24" s="628"/>
      <c r="F24" s="628"/>
      <c r="G24" s="628"/>
      <c r="H24" s="637"/>
    </row>
    <row r="25" spans="2:10" ht="15.75" thickBot="1">
      <c r="B25" s="638" t="s">
        <v>181</v>
      </c>
      <c r="C25" s="639"/>
      <c r="D25" s="640">
        <f>+D21-D22-D23</f>
        <v>658633.26053882285</v>
      </c>
      <c r="E25" s="640">
        <f t="shared" ref="E25:H25" si="5">+E21-E22-E23</f>
        <v>734755.31240828871</v>
      </c>
      <c r="F25" s="640">
        <f t="shared" si="5"/>
        <v>774043.92301358155</v>
      </c>
      <c r="G25" s="640">
        <f t="shared" si="5"/>
        <v>815985.15868233796</v>
      </c>
      <c r="H25" s="314">
        <f t="shared" si="5"/>
        <v>860777.30156792456</v>
      </c>
    </row>
    <row r="26" spans="2:10" s="478" customFormat="1">
      <c r="B26" s="578"/>
      <c r="C26" s="605"/>
      <c r="D26" s="628"/>
      <c r="E26" s="628"/>
      <c r="F26" s="628"/>
      <c r="G26" s="628"/>
      <c r="H26" s="628"/>
    </row>
    <row r="27" spans="2:10">
      <c r="B27" s="632" t="s">
        <v>329</v>
      </c>
      <c r="C27" s="629"/>
      <c r="D27" s="475">
        <f>+SUM(D28:D34)</f>
        <v>200293.03476568052</v>
      </c>
      <c r="E27" s="475">
        <f t="shared" ref="E27:H27" si="6">+SUM(E28:E34)</f>
        <v>211114.7694376937</v>
      </c>
      <c r="F27" s="475">
        <f t="shared" si="6"/>
        <v>222671.00275008919</v>
      </c>
      <c r="G27" s="475">
        <f t="shared" si="6"/>
        <v>235016.74466046933</v>
      </c>
      <c r="H27" s="475">
        <f t="shared" si="6"/>
        <v>248211.26753252654</v>
      </c>
    </row>
    <row r="28" spans="2:10">
      <c r="B28" s="17" t="s">
        <v>332</v>
      </c>
      <c r="C28" s="471"/>
      <c r="D28" s="476">
        <f>+D4*(1-Demanda!$B36)</f>
        <v>20177.904947200012</v>
      </c>
      <c r="E28" s="476">
        <f>+E4*(1-Demanda!$B36)</f>
        <v>20662.174665932806</v>
      </c>
      <c r="F28" s="476">
        <f>+F4*(1-Demanda!$B36)</f>
        <v>21158.066857915197</v>
      </c>
      <c r="G28" s="476">
        <f>+G4*(1-Demanda!$B36)</f>
        <v>21665.860462505167</v>
      </c>
      <c r="H28" s="476">
        <f>+H4*(1-Demanda!$B36)</f>
        <v>22185.841113605282</v>
      </c>
      <c r="J28" s="477"/>
    </row>
    <row r="29" spans="2:10">
      <c r="B29" s="17" t="s">
        <v>333</v>
      </c>
      <c r="C29" s="471"/>
      <c r="D29" s="476">
        <f>+D5*(1-Demanda!$B37)</f>
        <v>27248.183423999988</v>
      </c>
      <c r="E29" s="476">
        <f>+E5*(1-Demanda!$B37)</f>
        <v>27880.850866175999</v>
      </c>
      <c r="F29" s="476">
        <f>+F5*(1-Demanda!$B37)</f>
        <v>28528.446859444226</v>
      </c>
      <c r="G29" s="476">
        <f>+G5*(1-Demanda!$B37)</f>
        <v>29191.326623420649</v>
      </c>
      <c r="H29" s="476">
        <f>+H5*(1-Demanda!$B37)</f>
        <v>29869.853866204696</v>
      </c>
      <c r="J29" s="477"/>
    </row>
    <row r="30" spans="2:10">
      <c r="B30" s="17" t="s">
        <v>334</v>
      </c>
      <c r="C30" s="471"/>
      <c r="D30" s="476">
        <f>+D6*(1-Demanda!$B38)</f>
        <v>12425.477064000002</v>
      </c>
      <c r="E30" s="476">
        <f>+E6*(1-Demanda!$B38)</f>
        <v>13403.362108936803</v>
      </c>
      <c r="F30" s="476">
        <f>+F6*(1-Demanda!$B38)</f>
        <v>14458.206706910129</v>
      </c>
      <c r="G30" s="476">
        <f>+G6*(1-Demanda!$B38)</f>
        <v>15596.067574743955</v>
      </c>
      <c r="H30" s="476">
        <f>+H6*(1-Demanda!$B38)</f>
        <v>16823.478092876303</v>
      </c>
      <c r="J30" s="477"/>
    </row>
    <row r="31" spans="2:10">
      <c r="B31" s="17" t="s">
        <v>335</v>
      </c>
      <c r="C31" s="471"/>
      <c r="D31" s="476">
        <f>+D7*(1-Demanda!$B39)</f>
        <v>97921.703880000001</v>
      </c>
      <c r="E31" s="476">
        <f>+E7*(1-Demanda!$B39)</f>
        <v>105628.14197535602</v>
      </c>
      <c r="F31" s="476">
        <f>+F7*(1-Demanda!$B39)</f>
        <v>113941.07674881653</v>
      </c>
      <c r="G31" s="476">
        <f>+G7*(1-Demanda!$B39)</f>
        <v>122908.2394889484</v>
      </c>
      <c r="H31" s="476">
        <f>+H7*(1-Demanda!$B39)</f>
        <v>132581.11793672864</v>
      </c>
      <c r="J31" s="477"/>
    </row>
    <row r="32" spans="2:10">
      <c r="B32" s="17" t="s">
        <v>336</v>
      </c>
      <c r="C32" s="471"/>
      <c r="D32" s="476">
        <f>+D8*(1-Demanda!$B40)</f>
        <v>20235.25793619917</v>
      </c>
      <c r="E32" s="476">
        <f>+E8*(1-Demanda!$B40)</f>
        <v>20720.904126667945</v>
      </c>
      <c r="F32" s="476">
        <f>+F8*(1-Demanda!$B40)</f>
        <v>21218.205825707981</v>
      </c>
      <c r="G32" s="476">
        <f>+G8*(1-Demanda!$B40)</f>
        <v>21727.442765524971</v>
      </c>
      <c r="H32" s="476">
        <f>+H8*(1-Demanda!$B40)</f>
        <v>22248.901391897569</v>
      </c>
      <c r="J32" s="477"/>
    </row>
    <row r="33" spans="2:11">
      <c r="B33" s="17" t="s">
        <v>337</v>
      </c>
      <c r="C33" s="471"/>
      <c r="D33" s="476">
        <f>+D9*(1-Demanda!$B41)</f>
        <v>18533.9036560001</v>
      </c>
      <c r="E33" s="476">
        <f>+E9*(1-Demanda!$B41)</f>
        <v>18978.717343744102</v>
      </c>
      <c r="F33" s="476">
        <f>+F9*(1-Demanda!$B41)</f>
        <v>19434.20655999396</v>
      </c>
      <c r="G33" s="476">
        <f>+G9*(1-Demanda!$B41)</f>
        <v>19900.627517433819</v>
      </c>
      <c r="H33" s="476">
        <f>+H9*(1-Demanda!$B41)</f>
        <v>20378.242577852227</v>
      </c>
      <c r="J33" s="477"/>
    </row>
    <row r="34" spans="2:11">
      <c r="B34" s="17" t="s">
        <v>338</v>
      </c>
      <c r="C34" s="471"/>
      <c r="D34" s="476">
        <f>+D10*(1-Demanda!$B42)</f>
        <v>3750.6038582812812</v>
      </c>
      <c r="E34" s="476">
        <f>+E10*(1-Demanda!$B42)</f>
        <v>3840.6183508800323</v>
      </c>
      <c r="F34" s="476">
        <f>+F10*(1-Demanda!$B42)</f>
        <v>3932.7931913011521</v>
      </c>
      <c r="G34" s="476">
        <f>+G10*(1-Demanda!$B42)</f>
        <v>4027.1802278923792</v>
      </c>
      <c r="H34" s="476">
        <f>+H10*(1-Demanda!$B42)</f>
        <v>4123.8325533617972</v>
      </c>
      <c r="J34" s="477"/>
    </row>
    <row r="35" spans="2:11" s="478" customFormat="1">
      <c r="C35" s="605"/>
      <c r="D35" s="628"/>
      <c r="E35" s="628"/>
      <c r="F35" s="628"/>
      <c r="G35" s="628"/>
      <c r="H35" s="628"/>
    </row>
    <row r="36" spans="2:11">
      <c r="B36" s="641" t="s">
        <v>330</v>
      </c>
      <c r="C36" s="629"/>
      <c r="D36" s="475">
        <f>+SUM(D37:D43)</f>
        <v>290543.59225703555</v>
      </c>
      <c r="E36" s="475">
        <f t="shared" ref="E36:H36" si="7">+SUM(E37:E43)</f>
        <v>339416.80689659552</v>
      </c>
      <c r="F36" s="475">
        <f t="shared" si="7"/>
        <v>357829.90028948919</v>
      </c>
      <c r="G36" s="475">
        <f t="shared" si="7"/>
        <v>377495.33362322277</v>
      </c>
      <c r="H36" s="475">
        <f t="shared" si="7"/>
        <v>398506.97242749104</v>
      </c>
    </row>
    <row r="37" spans="2:11">
      <c r="B37" s="17" t="s">
        <v>339</v>
      </c>
      <c r="C37" s="471"/>
      <c r="D37" s="476">
        <f>+D13*(1-Demanda!$B54)</f>
        <v>30652.676702207988</v>
      </c>
      <c r="E37" s="476">
        <f>+E13*(1-Demanda!$B54)</f>
        <v>32696.18848235521</v>
      </c>
      <c r="F37" s="476">
        <f>+F13*(1-Demanda!$B54)</f>
        <v>33480.897005931729</v>
      </c>
      <c r="G37" s="476">
        <f>+G13*(1-Demanda!$B54)</f>
        <v>34284.438534074099</v>
      </c>
      <c r="H37" s="476">
        <f>+H13*(1-Demanda!$B54)</f>
        <v>35107.265058891877</v>
      </c>
      <c r="J37" s="478"/>
      <c r="K37" s="477"/>
    </row>
    <row r="38" spans="2:11">
      <c r="B38" s="17" t="s">
        <v>340</v>
      </c>
      <c r="C38" s="471"/>
      <c r="D38" s="476">
        <f>+D14*(1-Demanda!$B55)</f>
        <v>43791.723359999989</v>
      </c>
      <c r="E38" s="476">
        <f>+E14*(1-Demanda!$B55)</f>
        <v>46675.531583999997</v>
      </c>
      <c r="F38" s="476">
        <f>+F14*(1-Demanda!$B55)</f>
        <v>47759.676662015998</v>
      </c>
      <c r="G38" s="476">
        <f>+G14*(1-Demanda!$B55)</f>
        <v>48869.408409744392</v>
      </c>
      <c r="H38" s="476">
        <f>+H14*(1-Demanda!$B55)</f>
        <v>50005.335713512337</v>
      </c>
      <c r="J38" s="478"/>
      <c r="K38" s="477"/>
    </row>
    <row r="39" spans="2:11">
      <c r="B39" s="17" t="s">
        <v>341</v>
      </c>
      <c r="C39" s="471"/>
      <c r="D39" s="476">
        <f>+D15*(1-Demanda!$B56)</f>
        <v>16712.949369600006</v>
      </c>
      <c r="E39" s="476">
        <f>+E15*(1-Demanda!$B56)</f>
        <v>21209.715864691203</v>
      </c>
      <c r="F39" s="476">
        <f>+F15*(1-Demanda!$B56)</f>
        <v>22878.9205032424</v>
      </c>
      <c r="G39" s="476">
        <f>+G15*(1-Demanda!$B56)</f>
        <v>24679.491546847577</v>
      </c>
      <c r="H39" s="476">
        <f>+H15*(1-Demanda!$B56)</f>
        <v>26621.767531584483</v>
      </c>
      <c r="J39" s="478"/>
      <c r="K39" s="477"/>
    </row>
    <row r="40" spans="2:11">
      <c r="B40" s="17" t="s">
        <v>342</v>
      </c>
      <c r="C40" s="471"/>
      <c r="D40" s="476">
        <f>+D16*(1-Demanda!$B57)</f>
        <v>134809.13255040004</v>
      </c>
      <c r="E40" s="476">
        <f>+E16*(1-Demanda!$B57)</f>
        <v>167147.82905990406</v>
      </c>
      <c r="F40" s="476">
        <f>+F16*(1-Demanda!$B57)</f>
        <v>180302.36320691847</v>
      </c>
      <c r="G40" s="476">
        <f>+G16*(1-Demanda!$B57)</f>
        <v>194492.15919130296</v>
      </c>
      <c r="H40" s="476">
        <f>+H16*(1-Demanda!$B57)</f>
        <v>209798.69211965852</v>
      </c>
      <c r="J40" s="478"/>
      <c r="K40" s="477"/>
    </row>
    <row r="41" spans="2:11">
      <c r="B41" s="17" t="s">
        <v>343</v>
      </c>
      <c r="C41" s="471"/>
      <c r="D41" s="476">
        <f>+D17*(1-Demanda!$B58)</f>
        <v>31504.670559149381</v>
      </c>
      <c r="E41" s="476">
        <f>+E17*(1-Demanda!$B58)</f>
        <v>34689.013604912856</v>
      </c>
      <c r="F41" s="476">
        <f>+F17*(1-Demanda!$B58)</f>
        <v>35521.549931430767</v>
      </c>
      <c r="G41" s="476">
        <f>+G17*(1-Demanda!$B58)</f>
        <v>36374.067129785108</v>
      </c>
      <c r="H41" s="476">
        <f>+H17*(1-Demanda!$B58)</f>
        <v>37247.044740899953</v>
      </c>
      <c r="J41" s="478"/>
      <c r="K41" s="477"/>
    </row>
    <row r="42" spans="2:11">
      <c r="B42" s="17" t="s">
        <v>344</v>
      </c>
      <c r="C42" s="471"/>
      <c r="D42" s="476">
        <f>+D18*(1-Demanda!$B59)</f>
        <v>27028.609498333477</v>
      </c>
      <c r="E42" s="476">
        <f>+E18*(1-Demanda!$B59)</f>
        <v>30414.611127795033</v>
      </c>
      <c r="F42" s="476">
        <f>+F18*(1-Demanda!$B59)</f>
        <v>31144.561794862115</v>
      </c>
      <c r="G42" s="476">
        <f>+G18*(1-Demanda!$B59)</f>
        <v>31892.031277938804</v>
      </c>
      <c r="H42" s="476">
        <f>+H18*(1-Demanda!$B59)</f>
        <v>32657.440028609341</v>
      </c>
      <c r="J42" s="478"/>
      <c r="K42" s="477"/>
    </row>
    <row r="43" spans="2:11">
      <c r="B43" s="17" t="s">
        <v>345</v>
      </c>
      <c r="C43" s="471"/>
      <c r="D43" s="476">
        <f>+D19*(1-Demanda!$B60)</f>
        <v>6043.8302173446928</v>
      </c>
      <c r="E43" s="476">
        <f>+E19*(1-Demanda!$B60)</f>
        <v>6583.9171729371974</v>
      </c>
      <c r="F43" s="476">
        <f>+F19*(1-Demanda!$B60)</f>
        <v>6741.9311850876902</v>
      </c>
      <c r="G43" s="476">
        <f>+G19*(1-Demanda!$B60)</f>
        <v>6903.7375335297929</v>
      </c>
      <c r="H43" s="476">
        <f>+H19*(1-Demanda!$B60)</f>
        <v>7069.4272343345092</v>
      </c>
      <c r="J43" s="478"/>
      <c r="K43" s="477"/>
    </row>
    <row r="44" spans="2:11" s="478" customFormat="1">
      <c r="B44" s="578"/>
      <c r="C44" s="605"/>
      <c r="D44" s="628"/>
      <c r="E44" s="628"/>
      <c r="F44" s="628"/>
      <c r="G44" s="628"/>
      <c r="H44" s="628"/>
    </row>
    <row r="45" spans="2:11">
      <c r="B45" s="669" t="s">
        <v>328</v>
      </c>
      <c r="C45" s="443"/>
      <c r="D45" s="475">
        <f>+D27+D36</f>
        <v>490836.6270227161</v>
      </c>
      <c r="E45" s="475">
        <f t="shared" ref="E45:H45" si="8">+E27+E36</f>
        <v>550531.57633428928</v>
      </c>
      <c r="F45" s="475">
        <f t="shared" si="8"/>
        <v>580500.90303957835</v>
      </c>
      <c r="G45" s="475">
        <f t="shared" si="8"/>
        <v>612512.07828369213</v>
      </c>
      <c r="H45" s="475">
        <f t="shared" si="8"/>
        <v>646718.23996001761</v>
      </c>
    </row>
    <row r="46" spans="2:11" s="478" customFormat="1" ht="15.75" thickBot="1">
      <c r="B46" s="668"/>
      <c r="C46" s="668"/>
      <c r="D46" s="668"/>
      <c r="E46" s="668"/>
      <c r="F46" s="668"/>
      <c r="G46" s="668"/>
      <c r="H46" s="668"/>
    </row>
    <row r="47" spans="2:11">
      <c r="B47" s="642" t="s">
        <v>331</v>
      </c>
      <c r="C47" s="643"/>
      <c r="D47" s="644">
        <f>+D21-D45</f>
        <v>181238.12862914393</v>
      </c>
      <c r="E47" s="644">
        <f t="shared" ref="E47:H47" si="9">+E21-E45</f>
        <v>199218.74244967871</v>
      </c>
      <c r="F47" s="644">
        <f t="shared" si="9"/>
        <v>209339.83472938242</v>
      </c>
      <c r="G47" s="644">
        <f t="shared" si="9"/>
        <v>220125.83873910166</v>
      </c>
      <c r="H47" s="645">
        <f t="shared" si="9"/>
        <v>231625.94531337474</v>
      </c>
    </row>
    <row r="48" spans="2:11">
      <c r="B48" s="479" t="s">
        <v>294</v>
      </c>
      <c r="C48" s="480"/>
      <c r="D48" s="443"/>
      <c r="E48" s="443"/>
      <c r="F48" s="443"/>
      <c r="G48" s="443"/>
      <c r="H48" s="313"/>
    </row>
    <row r="49" spans="2:9">
      <c r="B49" s="479" t="s">
        <v>295</v>
      </c>
      <c r="C49" s="480"/>
      <c r="D49" s="443">
        <f>-Costos!F27</f>
        <v>-107101.932</v>
      </c>
      <c r="E49" s="443">
        <f>D49*1.05</f>
        <v>-112457.02860000001</v>
      </c>
      <c r="F49" s="443">
        <f t="shared" ref="F49:G49" si="10">E49*1.05</f>
        <v>-118079.88003000001</v>
      </c>
      <c r="G49" s="443">
        <f t="shared" si="10"/>
        <v>-123983.87403150002</v>
      </c>
      <c r="H49" s="313">
        <f>G49*1.05</f>
        <v>-130183.06773307502</v>
      </c>
    </row>
    <row r="50" spans="2:9">
      <c r="B50" s="479" t="s">
        <v>296</v>
      </c>
      <c r="C50" s="480"/>
      <c r="D50" s="443">
        <f>-'Estructura de capital'!C12-'Estructura de capital'!C29</f>
        <v>-9295.5909210672926</v>
      </c>
      <c r="E50" s="443">
        <f>-'Estructura de capital'!C13-'Estructura de capital'!C30</f>
        <v>-6577.0606140448617</v>
      </c>
      <c r="F50" s="443">
        <f>-'Estructura de capital'!C14-'Estructura de capital'!C31</f>
        <v>-3858.5303070224313</v>
      </c>
      <c r="G50" s="443">
        <f>-'Estructura de capital'!C15-'Estructura de capital'!C32</f>
        <v>-1140</v>
      </c>
      <c r="H50" s="313">
        <f>-'Estructura de capital'!C16-'Estructura de capital'!C33</f>
        <v>-570</v>
      </c>
    </row>
    <row r="51" spans="2:9">
      <c r="B51" s="479" t="s">
        <v>297</v>
      </c>
      <c r="C51" s="480"/>
      <c r="D51" s="443">
        <f>-'Valor de desecho'!D29</f>
        <v>-2596.6666666666661</v>
      </c>
      <c r="E51" s="443">
        <f>-'Valor de desecho'!E29</f>
        <v>-2596.6666666666661</v>
      </c>
      <c r="F51" s="443">
        <f>-'Valor de desecho'!F29</f>
        <v>-2596.6666666666661</v>
      </c>
      <c r="G51" s="443">
        <f>-'Valor de desecho'!G29</f>
        <v>-2363.333333333333</v>
      </c>
      <c r="H51" s="313">
        <f>-'Valor de desecho'!H29</f>
        <v>-2363.34</v>
      </c>
    </row>
    <row r="52" spans="2:9">
      <c r="B52" s="481" t="s">
        <v>298</v>
      </c>
      <c r="C52" s="482"/>
      <c r="D52" s="483">
        <f>+D47+D49+D50+D51</f>
        <v>62243.939041409976</v>
      </c>
      <c r="E52" s="483">
        <f>+E47+E49+E50+E51</f>
        <v>77587.986568967171</v>
      </c>
      <c r="F52" s="483">
        <f t="shared" ref="F52:H52" si="11">+F47+F49+F50+F51</f>
        <v>84804.7577256933</v>
      </c>
      <c r="G52" s="483">
        <f t="shared" si="11"/>
        <v>92638.631374268312</v>
      </c>
      <c r="H52" s="646">
        <f t="shared" si="11"/>
        <v>98509.53758029973</v>
      </c>
    </row>
    <row r="53" spans="2:9">
      <c r="B53" s="479" t="s">
        <v>299</v>
      </c>
      <c r="C53" s="480"/>
      <c r="D53" s="484">
        <f t="shared" ref="D53:H53" si="12">-(D52*15%)</f>
        <v>-9336.5908562114964</v>
      </c>
      <c r="E53" s="484">
        <f t="shared" si="12"/>
        <v>-11638.197985345076</v>
      </c>
      <c r="F53" s="484">
        <f t="shared" si="12"/>
        <v>-12720.713658853994</v>
      </c>
      <c r="G53" s="484">
        <f t="shared" si="12"/>
        <v>-13895.794706140246</v>
      </c>
      <c r="H53" s="308">
        <f t="shared" si="12"/>
        <v>-14776.430637044959</v>
      </c>
    </row>
    <row r="54" spans="2:9">
      <c r="B54" s="481" t="s">
        <v>300</v>
      </c>
      <c r="C54" s="482"/>
      <c r="D54" s="483">
        <f t="shared" ref="D54:H54" si="13">D52+D53</f>
        <v>52907.348185198483</v>
      </c>
      <c r="E54" s="483">
        <f t="shared" si="13"/>
        <v>65949.788583622096</v>
      </c>
      <c r="F54" s="483">
        <f t="shared" si="13"/>
        <v>72084.044066839298</v>
      </c>
      <c r="G54" s="483">
        <f t="shared" si="13"/>
        <v>78742.83666812806</v>
      </c>
      <c r="H54" s="646">
        <f t="shared" si="13"/>
        <v>83733.106943254767</v>
      </c>
    </row>
    <row r="55" spans="2:9">
      <c r="B55" s="479" t="s">
        <v>396</v>
      </c>
      <c r="C55" s="480"/>
      <c r="D55" s="484">
        <f>-(D54*23%)</f>
        <v>-12168.690082595651</v>
      </c>
      <c r="E55" s="484">
        <f>-(E54*22%)</f>
        <v>-14508.953488396861</v>
      </c>
      <c r="F55" s="484">
        <f t="shared" ref="F55:H55" si="14">-(F54*22%)</f>
        <v>-15858.489694704645</v>
      </c>
      <c r="G55" s="484">
        <f t="shared" si="14"/>
        <v>-17323.424066988173</v>
      </c>
      <c r="H55" s="484">
        <f t="shared" si="14"/>
        <v>-18421.283527516051</v>
      </c>
    </row>
    <row r="56" spans="2:9">
      <c r="B56" s="481" t="s">
        <v>301</v>
      </c>
      <c r="C56" s="482"/>
      <c r="D56" s="483">
        <f t="shared" ref="D56:H56" si="15">D54+D55</f>
        <v>40738.658102602829</v>
      </c>
      <c r="E56" s="483">
        <f t="shared" si="15"/>
        <v>51440.835095225237</v>
      </c>
      <c r="F56" s="483">
        <f t="shared" si="15"/>
        <v>56225.554372134655</v>
      </c>
      <c r="G56" s="483">
        <f t="shared" si="15"/>
        <v>61419.412601139891</v>
      </c>
      <c r="H56" s="646">
        <f t="shared" si="15"/>
        <v>65311.82341573872</v>
      </c>
      <c r="I56" s="485"/>
    </row>
    <row r="57" spans="2:9">
      <c r="B57" s="479" t="s">
        <v>302</v>
      </c>
      <c r="C57" s="480"/>
      <c r="D57" s="443">
        <f>-D51</f>
        <v>2596.6666666666661</v>
      </c>
      <c r="E57" s="443">
        <f t="shared" ref="E57:H57" si="16">-E51</f>
        <v>2596.6666666666661</v>
      </c>
      <c r="F57" s="443">
        <f t="shared" si="16"/>
        <v>2596.6666666666661</v>
      </c>
      <c r="G57" s="443">
        <f t="shared" si="16"/>
        <v>2363.333333333333</v>
      </c>
      <c r="H57" s="313">
        <f t="shared" si="16"/>
        <v>2363.34</v>
      </c>
      <c r="I57" s="485"/>
    </row>
    <row r="58" spans="2:9">
      <c r="B58" s="479" t="s">
        <v>303</v>
      </c>
      <c r="C58" s="480">
        <f>-'Estructura de capital'!B3</f>
        <v>-50100</v>
      </c>
      <c r="D58" s="443"/>
      <c r="E58" s="443"/>
      <c r="F58" s="443"/>
      <c r="G58" s="443"/>
      <c r="H58" s="313"/>
    </row>
    <row r="59" spans="2:9">
      <c r="B59" s="479" t="s">
        <v>304</v>
      </c>
      <c r="C59" s="480"/>
      <c r="D59" s="443"/>
      <c r="E59" s="443"/>
      <c r="F59" s="443"/>
      <c r="G59" s="443"/>
      <c r="H59" s="313"/>
    </row>
    <row r="60" spans="2:9">
      <c r="B60" s="479" t="s">
        <v>305</v>
      </c>
      <c r="C60" s="480">
        <f>'Estructura de capital'!C7</f>
        <v>42970.606140448617</v>
      </c>
      <c r="D60" s="443"/>
      <c r="E60" s="443"/>
      <c r="F60" s="443"/>
      <c r="G60" s="443"/>
      <c r="H60" s="313"/>
    </row>
    <row r="61" spans="2:9">
      <c r="B61" s="479" t="s">
        <v>306</v>
      </c>
      <c r="C61" s="480"/>
      <c r="D61" s="443">
        <f>-'Estructura de capital'!B12-'Estructura de capital'!B29</f>
        <v>-18123.535380149537</v>
      </c>
      <c r="E61" s="443">
        <f>-'Estructura de capital'!B13-'Estructura de capital'!B30</f>
        <v>-18123.535380149537</v>
      </c>
      <c r="F61" s="443">
        <f>-'Estructura de capital'!B14-'Estructura de capital'!B31</f>
        <v>-18123.535380149537</v>
      </c>
      <c r="G61" s="443">
        <f>-'Estructura de capital'!B15-'Estructura de capital'!B32</f>
        <v>-3800</v>
      </c>
      <c r="H61" s="313">
        <f>-'Estructura de capital'!B16-'Estructura de capital'!B33</f>
        <v>-3800</v>
      </c>
    </row>
    <row r="62" spans="2:9">
      <c r="B62" s="479" t="s">
        <v>307</v>
      </c>
      <c r="C62" s="480">
        <f>'Capital de trabajo'!C39</f>
        <v>-57326.515351121532</v>
      </c>
      <c r="D62" s="443"/>
      <c r="E62" s="443"/>
      <c r="F62" s="443"/>
      <c r="G62" s="443"/>
      <c r="H62" s="313">
        <f>-'Capital de trabajo'!C39</f>
        <v>57326.515351121532</v>
      </c>
    </row>
    <row r="63" spans="2:9">
      <c r="B63" s="479" t="s">
        <v>308</v>
      </c>
      <c r="C63" s="480"/>
      <c r="D63" s="443"/>
      <c r="E63" s="443"/>
      <c r="F63" s="443"/>
      <c r="G63" s="443"/>
      <c r="H63" s="313">
        <f>+'Valor de desecho'!H12</f>
        <v>10883.333333333332</v>
      </c>
    </row>
    <row r="64" spans="2:9" ht="15.75" thickBot="1">
      <c r="B64" s="486" t="s">
        <v>309</v>
      </c>
      <c r="C64" s="487">
        <f>SUM(C56:C63)</f>
        <v>-64455.909210672915</v>
      </c>
      <c r="D64" s="488">
        <f t="shared" ref="D64:H64" si="17">SUM(D56:D63)</f>
        <v>25211.789389119956</v>
      </c>
      <c r="E64" s="488">
        <f t="shared" si="17"/>
        <v>35913.966381742364</v>
      </c>
      <c r="F64" s="488">
        <f t="shared" si="17"/>
        <v>40698.685658651782</v>
      </c>
      <c r="G64" s="488">
        <f t="shared" si="17"/>
        <v>59982.745934473227</v>
      </c>
      <c r="H64" s="647">
        <f t="shared" si="17"/>
        <v>132085.01210019359</v>
      </c>
    </row>
    <row r="65" spans="2:8">
      <c r="B65" s="489" t="s">
        <v>385</v>
      </c>
      <c r="C65" s="571">
        <f>NPV(CAPM!I25,'Sensibilidad positivo'!D64:H64)+'Sensibilidad positivo'!C64</f>
        <v>90179.042699048412</v>
      </c>
      <c r="D65" s="478"/>
      <c r="E65" s="478"/>
      <c r="F65" s="478"/>
      <c r="G65" s="478"/>
      <c r="H65" s="648"/>
    </row>
    <row r="66" spans="2:8" ht="15.75" thickBot="1">
      <c r="B66" s="490" t="s">
        <v>310</v>
      </c>
      <c r="C66" s="659">
        <f>IRR(C64:H64)</f>
        <v>0.57347948374714008</v>
      </c>
      <c r="D66" s="340"/>
      <c r="E66" s="340"/>
      <c r="F66" s="340"/>
      <c r="G66" s="340"/>
      <c r="H66" s="341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B1:G7"/>
  <sheetViews>
    <sheetView workbookViewId="0">
      <selection activeCell="G3" sqref="G3"/>
    </sheetView>
  </sheetViews>
  <sheetFormatPr defaultColWidth="9.140625" defaultRowHeight="15"/>
  <cols>
    <col min="4" max="4" width="13.85546875" bestFit="1" customWidth="1"/>
    <col min="5" max="5" width="12.5703125" bestFit="1" customWidth="1"/>
    <col min="6" max="6" width="12.7109375" customWidth="1"/>
    <col min="7" max="7" width="14.85546875" customWidth="1"/>
  </cols>
  <sheetData>
    <row r="1" spans="2:7" ht="15.75" thickBot="1"/>
    <row r="2" spans="2:7" ht="24.75" thickBot="1">
      <c r="B2" s="660"/>
      <c r="C2" s="664" t="s">
        <v>353</v>
      </c>
      <c r="D2" s="665" t="s">
        <v>352</v>
      </c>
      <c r="E2" s="665" t="s">
        <v>351</v>
      </c>
      <c r="F2" s="665" t="s">
        <v>350</v>
      </c>
      <c r="G2" s="666" t="s">
        <v>349</v>
      </c>
    </row>
    <row r="3" spans="2:7" ht="15.75" thickTop="1">
      <c r="B3" s="660"/>
      <c r="C3" s="662">
        <v>1</v>
      </c>
      <c r="D3" s="585">
        <f>-'Flujo de caja'!C58</f>
        <v>50100</v>
      </c>
      <c r="E3" s="585">
        <f>'Flujo de caja'!$D64</f>
        <v>14428.120735685814</v>
      </c>
      <c r="F3" s="585">
        <f>D3*$B$4</f>
        <v>12525</v>
      </c>
      <c r="G3" s="594">
        <f>E3-F3</f>
        <v>1903.120735685814</v>
      </c>
    </row>
    <row r="4" spans="2:7">
      <c r="B4" s="661">
        <v>0.25</v>
      </c>
      <c r="C4" s="367">
        <v>2</v>
      </c>
      <c r="D4" s="207">
        <f>D3-G3</f>
        <v>48196.879264314186</v>
      </c>
      <c r="E4" s="207">
        <f>'Flujo de caja'!E64</f>
        <v>23906.509450457168</v>
      </c>
      <c r="F4" s="207">
        <f t="shared" ref="F4:F7" si="0">D4*$B$4</f>
        <v>12049.219816078547</v>
      </c>
      <c r="G4" s="316">
        <f t="shared" ref="G4:G7" si="1">E4-F4</f>
        <v>11857.289634378621</v>
      </c>
    </row>
    <row r="5" spans="2:7">
      <c r="B5" s="660"/>
      <c r="C5" s="73">
        <v>3</v>
      </c>
      <c r="D5" s="436">
        <f>D4-G4</f>
        <v>36339.589629935566</v>
      </c>
      <c r="E5" s="436">
        <f>'Flujo de caja'!F64</f>
        <v>28081.202892689864</v>
      </c>
      <c r="F5" s="436">
        <f t="shared" si="0"/>
        <v>9084.8974074838916</v>
      </c>
      <c r="G5" s="663">
        <f t="shared" si="1"/>
        <v>18996.305485205972</v>
      </c>
    </row>
    <row r="6" spans="2:7">
      <c r="B6" s="660"/>
      <c r="C6" s="367">
        <v>4</v>
      </c>
      <c r="D6" s="207">
        <f t="shared" ref="D6:D7" si="2">D5-G5</f>
        <v>17343.284144729594</v>
      </c>
      <c r="E6" s="207">
        <f>'Flujo de caja'!G64</f>
        <v>46715.161290471013</v>
      </c>
      <c r="F6" s="207">
        <f t="shared" si="0"/>
        <v>4335.8210361823985</v>
      </c>
      <c r="G6" s="316">
        <f t="shared" si="1"/>
        <v>42379.340254288618</v>
      </c>
    </row>
    <row r="7" spans="2:7" ht="15.75" thickBot="1">
      <c r="B7" s="660"/>
      <c r="C7" s="368">
        <v>5</v>
      </c>
      <c r="D7" s="595">
        <f t="shared" si="2"/>
        <v>-25036.056109559024</v>
      </c>
      <c r="E7" s="595">
        <f>'Flujo de caja'!H64</f>
        <v>118124.28466903296</v>
      </c>
      <c r="F7" s="595">
        <f t="shared" si="0"/>
        <v>-6259.0140273897559</v>
      </c>
      <c r="G7" s="350">
        <f t="shared" si="1"/>
        <v>124383.29869642272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13:I29"/>
  <sheetViews>
    <sheetView topLeftCell="A10" workbookViewId="0">
      <selection activeCell="C16" sqref="C16"/>
    </sheetView>
  </sheetViews>
  <sheetFormatPr defaultColWidth="11.42578125" defaultRowHeight="15"/>
  <cols>
    <col min="5" max="5" width="42.5703125" bestFit="1" customWidth="1"/>
    <col min="9" max="9" width="11.85546875" bestFit="1" customWidth="1"/>
  </cols>
  <sheetData>
    <row r="13" spans="2:7">
      <c r="B13" s="74"/>
      <c r="C13" s="455" t="s">
        <v>61</v>
      </c>
    </row>
    <row r="14" spans="2:7">
      <c r="B14" s="74" t="s">
        <v>371</v>
      </c>
      <c r="C14" s="228">
        <v>8.8000000000000005E-3</v>
      </c>
      <c r="E14" t="s">
        <v>372</v>
      </c>
      <c r="G14" t="s">
        <v>373</v>
      </c>
    </row>
    <row r="15" spans="2:7">
      <c r="B15" s="74" t="s">
        <v>68</v>
      </c>
      <c r="C15" s="649">
        <v>1.22</v>
      </c>
      <c r="E15" s="650" t="s">
        <v>374</v>
      </c>
      <c r="G15" t="s">
        <v>380</v>
      </c>
    </row>
    <row r="16" spans="2:7">
      <c r="B16" s="74" t="s">
        <v>375</v>
      </c>
      <c r="C16" s="228">
        <v>6.7599999999999993E-2</v>
      </c>
      <c r="E16" s="650" t="s">
        <v>398</v>
      </c>
      <c r="G16" t="s">
        <v>399</v>
      </c>
    </row>
    <row r="17" spans="2:9">
      <c r="B17" s="74" t="s">
        <v>376</v>
      </c>
      <c r="C17" s="228">
        <v>8.0799999999999997E-2</v>
      </c>
      <c r="E17" s="650" t="s">
        <v>377</v>
      </c>
      <c r="G17" t="s">
        <v>378</v>
      </c>
    </row>
    <row r="18" spans="2:9">
      <c r="B18" s="84" t="s">
        <v>379</v>
      </c>
      <c r="C18" s="651">
        <f>C14+C15*(C16-C14)+C17</f>
        <v>0.16133599999999998</v>
      </c>
    </row>
    <row r="19" spans="2:9">
      <c r="C19" s="652"/>
    </row>
    <row r="22" spans="2:9" ht="15.75" thickBot="1"/>
    <row r="23" spans="2:9">
      <c r="G23" s="653" t="s">
        <v>381</v>
      </c>
      <c r="H23" s="654">
        <v>0.7</v>
      </c>
      <c r="I23" s="655">
        <f>C18</f>
        <v>0.16133599999999998</v>
      </c>
    </row>
    <row r="24" spans="2:9" ht="15.75" thickBot="1">
      <c r="G24" s="656" t="s">
        <v>382</v>
      </c>
      <c r="H24" s="607">
        <f>1-H23</f>
        <v>0.30000000000000004</v>
      </c>
      <c r="I24" s="657">
        <f>+AVERAGE(H27:H29)</f>
        <v>0.26666666666666666</v>
      </c>
    </row>
    <row r="25" spans="2:9" ht="16.5" thickTop="1" thickBot="1">
      <c r="G25" s="846" t="s">
        <v>383</v>
      </c>
      <c r="H25" s="847"/>
      <c r="I25" s="658">
        <f>I23*H23+I24*H24</f>
        <v>0.19293519999999997</v>
      </c>
    </row>
    <row r="27" spans="2:9">
      <c r="G27" t="s">
        <v>384</v>
      </c>
      <c r="H27" s="433">
        <v>0.25</v>
      </c>
    </row>
    <row r="28" spans="2:9">
      <c r="H28" s="433">
        <v>0.25</v>
      </c>
    </row>
    <row r="29" spans="2:9">
      <c r="H29" s="433">
        <v>0.3</v>
      </c>
    </row>
  </sheetData>
  <mergeCells count="1">
    <mergeCell ref="G25:H25"/>
  </mergeCells>
  <hyperlinks>
    <hyperlink ref="E15" r:id="rId1"/>
    <hyperlink ref="E17" r:id="rId2"/>
  </hyperlinks>
  <pageMargins left="0.7" right="0.7" top="0.75" bottom="0.75" header="0.3" footer="0.3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>
  <dimension ref="B2:H8"/>
  <sheetViews>
    <sheetView workbookViewId="0">
      <selection activeCell="E15" sqref="E15"/>
    </sheetView>
  </sheetViews>
  <sheetFormatPr defaultColWidth="9.140625" defaultRowHeight="15"/>
  <cols>
    <col min="2" max="2" width="10.28515625" customWidth="1"/>
    <col min="3" max="3" width="13.140625" customWidth="1"/>
    <col min="4" max="4" width="18.7109375" customWidth="1"/>
    <col min="5" max="6" width="12.5703125" bestFit="1" customWidth="1"/>
    <col min="7" max="7" width="18.28515625" style="667" bestFit="1" customWidth="1"/>
    <col min="8" max="8" width="18.85546875" bestFit="1" customWidth="1"/>
  </cols>
  <sheetData>
    <row r="2" spans="2:8" ht="15.75" thickBot="1"/>
    <row r="3" spans="2:8" ht="36.75" thickBot="1">
      <c r="B3" s="687" t="s">
        <v>386</v>
      </c>
      <c r="C3" s="688" t="s">
        <v>387</v>
      </c>
      <c r="D3" s="689" t="s">
        <v>388</v>
      </c>
      <c r="E3" s="688" t="s">
        <v>118</v>
      </c>
      <c r="F3" s="688" t="s">
        <v>389</v>
      </c>
      <c r="G3" s="689" t="s">
        <v>390</v>
      </c>
      <c r="H3" s="690" t="s">
        <v>391</v>
      </c>
    </row>
    <row r="4" spans="2:8" ht="15.75" thickTop="1">
      <c r="B4" s="677" t="s">
        <v>392</v>
      </c>
      <c r="C4" s="674">
        <v>0.35</v>
      </c>
      <c r="D4" s="691">
        <f>'[2]A. Sensibilidad'!C65</f>
        <v>0</v>
      </c>
      <c r="E4" s="675">
        <f>C4*D4</f>
        <v>0</v>
      </c>
      <c r="F4" s="675">
        <f>D4-($E$7/3)</f>
        <v>-13952.893121241583</v>
      </c>
      <c r="G4" s="676">
        <f>F4^2</f>
        <v>194683226.45279068</v>
      </c>
      <c r="H4" s="678">
        <f>C4*G4</f>
        <v>68139129.258476734</v>
      </c>
    </row>
    <row r="5" spans="2:8">
      <c r="B5" s="679" t="s">
        <v>393</v>
      </c>
      <c r="C5" s="672">
        <v>0.45</v>
      </c>
      <c r="D5" s="203">
        <f>'Flujo de caja'!C65</f>
        <v>52939.71294203346</v>
      </c>
      <c r="E5" s="670">
        <f t="shared" ref="E5:E6" si="0">C5*D5</f>
        <v>23822.870823915058</v>
      </c>
      <c r="F5" s="670">
        <f t="shared" ref="F5:F6" si="1">D5-($E$7/3)</f>
        <v>38986.819820791876</v>
      </c>
      <c r="G5" s="673">
        <f t="shared" ref="G5:G6" si="2">F5^2</f>
        <v>1519972119.7388902</v>
      </c>
      <c r="H5" s="278">
        <f t="shared" ref="H5:H6" si="3">C5*G5</f>
        <v>683987453.88250065</v>
      </c>
    </row>
    <row r="6" spans="2:8">
      <c r="B6" s="679" t="s">
        <v>394</v>
      </c>
      <c r="C6" s="672">
        <v>0.2</v>
      </c>
      <c r="D6" s="203">
        <f>'Sensibilidad positivo'!C65</f>
        <v>90179.042699048412</v>
      </c>
      <c r="E6" s="670">
        <f t="shared" si="0"/>
        <v>18035.808539809685</v>
      </c>
      <c r="F6" s="670">
        <f t="shared" si="1"/>
        <v>76226.149577806835</v>
      </c>
      <c r="G6" s="673">
        <f t="shared" si="2"/>
        <v>5810425879.4581814</v>
      </c>
      <c r="H6" s="278">
        <f t="shared" si="3"/>
        <v>1162085175.8916364</v>
      </c>
    </row>
    <row r="7" spans="2:8">
      <c r="B7" s="679" t="s">
        <v>395</v>
      </c>
      <c r="C7" s="672">
        <f>SUM(C4:C6)</f>
        <v>1</v>
      </c>
      <c r="D7" s="680"/>
      <c r="E7" s="671">
        <f>SUM(E4:E6)</f>
        <v>41858.679363724747</v>
      </c>
      <c r="F7" s="276"/>
      <c r="G7" s="681"/>
      <c r="H7" s="682">
        <f>SUM(H4:H6)</f>
        <v>1914211759.0326138</v>
      </c>
    </row>
    <row r="8" spans="2:8" ht="15.75" thickBot="1">
      <c r="B8" s="683"/>
      <c r="C8" s="684"/>
      <c r="D8" s="685"/>
      <c r="E8" s="684"/>
      <c r="F8" s="684"/>
      <c r="G8" s="685"/>
      <c r="H8" s="686">
        <f>SQRT(H7)</f>
        <v>43751.705784261874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0"/>
  <sheetViews>
    <sheetView topLeftCell="A43" workbookViewId="0">
      <selection activeCell="C49" sqref="C49:C55"/>
    </sheetView>
  </sheetViews>
  <sheetFormatPr defaultColWidth="11.42578125" defaultRowHeight="15"/>
  <cols>
    <col min="1" max="1" width="3.140625" customWidth="1"/>
    <col min="2" max="2" width="22.28515625" customWidth="1"/>
    <col min="3" max="3" width="13.7109375" bestFit="1" customWidth="1"/>
    <col min="4" max="4" width="11.42578125" customWidth="1"/>
  </cols>
  <sheetData>
    <row r="1" spans="1:11">
      <c r="A1" t="s">
        <v>468</v>
      </c>
      <c r="B1" t="s">
        <v>469</v>
      </c>
      <c r="D1" t="s">
        <v>469</v>
      </c>
    </row>
    <row r="2" spans="1:11">
      <c r="B2" t="s">
        <v>470</v>
      </c>
      <c r="D2">
        <v>1</v>
      </c>
    </row>
    <row r="3" spans="1:11">
      <c r="B3" t="s">
        <v>471</v>
      </c>
      <c r="D3">
        <v>0</v>
      </c>
    </row>
    <row r="5" spans="1:11">
      <c r="A5" t="s">
        <v>472</v>
      </c>
      <c r="B5" t="s">
        <v>473</v>
      </c>
      <c r="D5" t="s">
        <v>474</v>
      </c>
    </row>
    <row r="6" spans="1:11">
      <c r="D6" t="s">
        <v>475</v>
      </c>
      <c r="E6" t="s">
        <v>476</v>
      </c>
    </row>
    <row r="7" spans="1:11">
      <c r="B7" t="s">
        <v>477</v>
      </c>
      <c r="C7" s="865" t="s">
        <v>478</v>
      </c>
      <c r="D7">
        <v>1</v>
      </c>
      <c r="E7">
        <v>0</v>
      </c>
    </row>
    <row r="8" spans="1:11">
      <c r="B8" s="866" t="s">
        <v>411</v>
      </c>
      <c r="C8" s="82" t="s">
        <v>479</v>
      </c>
      <c r="D8">
        <v>1</v>
      </c>
      <c r="E8">
        <v>0</v>
      </c>
    </row>
    <row r="9" spans="1:11">
      <c r="B9" s="866" t="s">
        <v>412</v>
      </c>
      <c r="C9" s="82" t="s">
        <v>480</v>
      </c>
      <c r="D9">
        <v>1</v>
      </c>
      <c r="E9">
        <v>0</v>
      </c>
    </row>
    <row r="10" spans="1:11">
      <c r="B10" s="866" t="s">
        <v>413</v>
      </c>
      <c r="C10" s="82" t="s">
        <v>481</v>
      </c>
      <c r="D10">
        <v>1</v>
      </c>
      <c r="E10">
        <v>0</v>
      </c>
    </row>
    <row r="12" spans="1:11">
      <c r="A12" s="867">
        <v>1</v>
      </c>
      <c r="B12" s="868" t="s">
        <v>415</v>
      </c>
      <c r="C12" s="868"/>
      <c r="D12" s="868"/>
      <c r="E12" s="868"/>
      <c r="F12" s="868"/>
      <c r="G12" s="868"/>
      <c r="H12" s="868"/>
      <c r="I12" s="868"/>
      <c r="J12" s="868"/>
      <c r="K12" s="868"/>
    </row>
    <row r="14" spans="1:11">
      <c r="A14" t="s">
        <v>468</v>
      </c>
      <c r="B14" t="s">
        <v>482</v>
      </c>
    </row>
    <row r="15" spans="1:11">
      <c r="B15" s="869" t="s">
        <v>416</v>
      </c>
      <c r="C15" t="s">
        <v>483</v>
      </c>
      <c r="D15" s="870">
        <v>1</v>
      </c>
      <c r="E15" s="871">
        <v>2</v>
      </c>
      <c r="F15" s="870">
        <v>3</v>
      </c>
      <c r="G15" s="872">
        <v>4</v>
      </c>
      <c r="H15" s="869"/>
      <c r="I15" s="869"/>
    </row>
    <row r="16" spans="1:11">
      <c r="B16" s="869" t="s">
        <v>417</v>
      </c>
      <c r="C16" t="s">
        <v>484</v>
      </c>
      <c r="D16" s="870">
        <v>1</v>
      </c>
      <c r="E16" s="870">
        <v>2</v>
      </c>
      <c r="F16" s="870">
        <v>3</v>
      </c>
      <c r="G16" s="870">
        <v>4</v>
      </c>
      <c r="H16" s="869"/>
      <c r="I16" s="869"/>
    </row>
    <row r="17" spans="1:11">
      <c r="B17" s="869" t="s">
        <v>112</v>
      </c>
      <c r="C17" t="s">
        <v>485</v>
      </c>
      <c r="D17" s="701">
        <v>1</v>
      </c>
      <c r="E17" s="701">
        <v>2</v>
      </c>
      <c r="F17" s="701">
        <v>3</v>
      </c>
      <c r="G17" s="701">
        <v>4</v>
      </c>
    </row>
    <row r="18" spans="1:11">
      <c r="B18" s="869" t="s">
        <v>486</v>
      </c>
      <c r="C18" t="s">
        <v>487</v>
      </c>
      <c r="D18" s="701">
        <v>1</v>
      </c>
      <c r="E18" s="701">
        <v>2</v>
      </c>
      <c r="F18" s="701">
        <v>3</v>
      </c>
      <c r="G18" s="701">
        <v>4</v>
      </c>
    </row>
    <row r="19" spans="1:11">
      <c r="B19" s="869"/>
      <c r="C19" s="701"/>
      <c r="D19" s="701"/>
      <c r="E19" s="701"/>
      <c r="F19" s="701"/>
    </row>
    <row r="20" spans="1:11">
      <c r="A20" s="867">
        <v>2</v>
      </c>
      <c r="B20" s="873" t="s">
        <v>420</v>
      </c>
      <c r="C20" s="873"/>
      <c r="D20" s="873"/>
      <c r="E20" s="873"/>
      <c r="F20" s="873"/>
      <c r="G20" s="873"/>
      <c r="H20" s="873"/>
      <c r="I20" s="873"/>
      <c r="J20" s="873"/>
      <c r="K20" s="873"/>
    </row>
    <row r="21" spans="1:11">
      <c r="D21" s="701" t="s">
        <v>475</v>
      </c>
      <c r="E21" s="701" t="s">
        <v>476</v>
      </c>
    </row>
    <row r="22" spans="1:11">
      <c r="B22" s="866" t="s">
        <v>421</v>
      </c>
      <c r="C22" s="866" t="s">
        <v>488</v>
      </c>
      <c r="D22" s="874">
        <v>1</v>
      </c>
      <c r="E22" s="874">
        <v>0</v>
      </c>
      <c r="F22" s="866"/>
    </row>
    <row r="23" spans="1:11">
      <c r="B23" s="866" t="s">
        <v>489</v>
      </c>
      <c r="C23" s="866" t="s">
        <v>490</v>
      </c>
      <c r="D23" s="874">
        <v>1</v>
      </c>
      <c r="E23" s="870">
        <v>0</v>
      </c>
      <c r="F23" s="866"/>
    </row>
    <row r="24" spans="1:11">
      <c r="B24" t="s">
        <v>491</v>
      </c>
      <c r="C24" t="s">
        <v>492</v>
      </c>
      <c r="D24" s="701">
        <v>1</v>
      </c>
      <c r="E24" s="701">
        <v>0</v>
      </c>
    </row>
    <row r="26" spans="1:11">
      <c r="A26" s="867">
        <v>3</v>
      </c>
      <c r="B26" s="866" t="s">
        <v>426</v>
      </c>
      <c r="C26" s="866"/>
      <c r="D26" s="866"/>
      <c r="E26" s="866"/>
      <c r="F26" s="866"/>
      <c r="G26" s="866"/>
      <c r="H26" s="866"/>
    </row>
    <row r="27" spans="1:11">
      <c r="A27" s="867"/>
      <c r="B27" s="866"/>
      <c r="C27" s="866"/>
      <c r="D27" s="701" t="s">
        <v>475</v>
      </c>
      <c r="E27" s="701" t="s">
        <v>476</v>
      </c>
      <c r="F27" s="866"/>
      <c r="G27" s="866"/>
      <c r="H27" s="866"/>
    </row>
    <row r="28" spans="1:11">
      <c r="A28" s="867"/>
      <c r="B28" s="866" t="s">
        <v>427</v>
      </c>
      <c r="C28" s="866" t="s">
        <v>493</v>
      </c>
      <c r="D28" s="874">
        <v>1</v>
      </c>
      <c r="E28" s="874">
        <v>0</v>
      </c>
      <c r="F28" s="232"/>
      <c r="G28" s="866"/>
    </row>
    <row r="29" spans="1:11">
      <c r="B29" s="866" t="s">
        <v>428</v>
      </c>
      <c r="C29" t="s">
        <v>494</v>
      </c>
      <c r="D29" s="874">
        <v>1</v>
      </c>
      <c r="E29" s="870">
        <v>0</v>
      </c>
    </row>
    <row r="30" spans="1:11">
      <c r="B30" s="866" t="s">
        <v>429</v>
      </c>
      <c r="C30" t="s">
        <v>495</v>
      </c>
      <c r="D30" s="701">
        <v>1</v>
      </c>
      <c r="E30" s="701">
        <v>0</v>
      </c>
    </row>
    <row r="31" spans="1:11">
      <c r="B31" s="866" t="s">
        <v>430</v>
      </c>
      <c r="C31" s="875" t="s">
        <v>496</v>
      </c>
      <c r="D31" s="701">
        <v>1</v>
      </c>
      <c r="E31" s="701">
        <v>0</v>
      </c>
    </row>
    <row r="33" spans="1:11">
      <c r="A33" s="867">
        <v>4</v>
      </c>
      <c r="B33" s="866" t="s">
        <v>431</v>
      </c>
      <c r="C33" s="866"/>
      <c r="D33" s="866"/>
      <c r="E33" s="866"/>
      <c r="F33" s="866"/>
      <c r="G33" s="866"/>
      <c r="H33" s="866"/>
      <c r="I33" s="866"/>
      <c r="J33" s="866"/>
    </row>
    <row r="34" spans="1:11">
      <c r="A34" s="867"/>
      <c r="B34" s="866" t="s">
        <v>497</v>
      </c>
      <c r="C34" s="866"/>
      <c r="D34" s="866"/>
      <c r="E34" s="866"/>
      <c r="F34" s="866"/>
      <c r="G34" s="866"/>
      <c r="H34" s="866"/>
      <c r="I34" s="866"/>
      <c r="J34" s="866"/>
    </row>
    <row r="35" spans="1:11">
      <c r="A35" s="867"/>
      <c r="B35" s="866" t="s">
        <v>432</v>
      </c>
      <c r="C35" s="876">
        <v>1</v>
      </c>
      <c r="F35" s="866"/>
      <c r="G35" s="866"/>
      <c r="H35" s="866"/>
      <c r="I35" s="866"/>
      <c r="J35" s="866"/>
    </row>
    <row r="36" spans="1:11">
      <c r="B36" s="866" t="s">
        <v>433</v>
      </c>
      <c r="C36" s="876">
        <v>0</v>
      </c>
    </row>
    <row r="38" spans="1:11">
      <c r="A38" s="867">
        <v>5</v>
      </c>
      <c r="B38" s="866" t="s">
        <v>434</v>
      </c>
      <c r="C38" s="866"/>
      <c r="D38" s="866"/>
      <c r="E38" s="866"/>
      <c r="F38" s="866"/>
      <c r="G38" s="866"/>
      <c r="H38" s="866"/>
      <c r="I38" s="866"/>
      <c r="J38" s="866"/>
    </row>
    <row r="39" spans="1:11">
      <c r="A39" s="867"/>
      <c r="B39" s="866"/>
      <c r="C39" s="866"/>
      <c r="D39" s="701" t="s">
        <v>475</v>
      </c>
      <c r="E39" s="701" t="s">
        <v>476</v>
      </c>
      <c r="F39" s="866"/>
      <c r="G39" s="866"/>
      <c r="H39" s="866"/>
      <c r="I39" s="866"/>
      <c r="J39" s="866"/>
    </row>
    <row r="40" spans="1:11">
      <c r="A40" s="867"/>
      <c r="B40" s="866" t="s">
        <v>435</v>
      </c>
      <c r="C40" s="876" t="s">
        <v>498</v>
      </c>
      <c r="D40" s="874">
        <v>1</v>
      </c>
      <c r="E40" s="874">
        <v>0</v>
      </c>
      <c r="H40" s="866"/>
      <c r="I40" s="866"/>
      <c r="J40" s="866"/>
    </row>
    <row r="41" spans="1:11">
      <c r="A41" s="867"/>
      <c r="B41" s="866" t="s">
        <v>356</v>
      </c>
      <c r="C41" s="876" t="s">
        <v>499</v>
      </c>
      <c r="D41" s="874">
        <v>1</v>
      </c>
      <c r="E41" s="870">
        <v>0</v>
      </c>
      <c r="F41" s="866"/>
      <c r="G41" s="866"/>
      <c r="H41" s="866"/>
      <c r="I41" s="866"/>
      <c r="J41" s="866"/>
    </row>
    <row r="42" spans="1:11">
      <c r="A42" s="867"/>
      <c r="B42" s="866" t="s">
        <v>436</v>
      </c>
      <c r="C42" s="876" t="s">
        <v>500</v>
      </c>
      <c r="D42" s="701">
        <v>1</v>
      </c>
      <c r="E42" s="701">
        <v>0</v>
      </c>
      <c r="H42" s="866"/>
      <c r="I42" s="866"/>
      <c r="J42" s="866"/>
    </row>
    <row r="43" spans="1:11">
      <c r="B43" s="866" t="s">
        <v>437</v>
      </c>
      <c r="C43" s="876" t="s">
        <v>501</v>
      </c>
      <c r="D43" s="701">
        <v>1</v>
      </c>
      <c r="E43" s="701">
        <v>0</v>
      </c>
    </row>
    <row r="44" spans="1:11">
      <c r="B44" s="866" t="s">
        <v>438</v>
      </c>
      <c r="C44" s="876" t="s">
        <v>502</v>
      </c>
      <c r="D44" s="701">
        <v>1</v>
      </c>
      <c r="E44" s="701">
        <v>0</v>
      </c>
    </row>
    <row r="45" spans="1:11">
      <c r="B45" s="866" t="s">
        <v>439</v>
      </c>
      <c r="C45" s="876" t="s">
        <v>503</v>
      </c>
      <c r="D45" s="701">
        <v>1</v>
      </c>
      <c r="E45" s="701">
        <v>0</v>
      </c>
    </row>
    <row r="47" spans="1:11">
      <c r="A47" s="867">
        <v>6</v>
      </c>
      <c r="B47" s="868" t="s">
        <v>440</v>
      </c>
      <c r="C47" s="868"/>
      <c r="D47" s="868"/>
      <c r="E47" s="868"/>
      <c r="F47" s="868"/>
      <c r="G47" s="868"/>
      <c r="H47" s="868"/>
      <c r="I47" s="868"/>
      <c r="J47" s="868"/>
      <c r="K47" s="868"/>
    </row>
    <row r="48" spans="1:11">
      <c r="A48" s="867"/>
      <c r="B48" s="866"/>
      <c r="C48" s="866"/>
      <c r="D48" s="701" t="s">
        <v>475</v>
      </c>
      <c r="E48" s="701" t="s">
        <v>476</v>
      </c>
      <c r="F48" s="866"/>
      <c r="G48" s="866"/>
      <c r="H48" s="866"/>
      <c r="I48" s="866"/>
      <c r="J48" s="866"/>
      <c r="K48" s="866"/>
    </row>
    <row r="49" spans="1:11">
      <c r="A49" s="867"/>
      <c r="B49" s="866" t="s">
        <v>441</v>
      </c>
      <c r="C49" s="876" t="s">
        <v>504</v>
      </c>
      <c r="D49" s="874">
        <v>1</v>
      </c>
      <c r="E49" s="874">
        <v>0</v>
      </c>
      <c r="J49" s="866"/>
      <c r="K49" s="866"/>
    </row>
    <row r="50" spans="1:11">
      <c r="A50" s="867"/>
      <c r="B50" s="866" t="s">
        <v>442</v>
      </c>
      <c r="C50" s="876" t="s">
        <v>505</v>
      </c>
      <c r="D50" s="874">
        <v>1</v>
      </c>
      <c r="E50" s="870">
        <v>0</v>
      </c>
      <c r="H50" s="866"/>
      <c r="I50" s="866"/>
      <c r="J50" s="866"/>
      <c r="K50" s="866"/>
    </row>
    <row r="51" spans="1:11">
      <c r="A51" s="867"/>
      <c r="B51" s="866" t="s">
        <v>443</v>
      </c>
      <c r="C51" s="876" t="s">
        <v>506</v>
      </c>
      <c r="D51" s="701">
        <v>1</v>
      </c>
      <c r="E51" s="701">
        <v>0</v>
      </c>
      <c r="H51" s="866"/>
      <c r="I51" s="866"/>
      <c r="J51" s="866"/>
      <c r="K51" s="866"/>
    </row>
    <row r="52" spans="1:11">
      <c r="B52" s="866" t="s">
        <v>444</v>
      </c>
      <c r="C52" s="876" t="s">
        <v>507</v>
      </c>
      <c r="D52" s="701">
        <v>1</v>
      </c>
      <c r="E52" s="701">
        <v>0</v>
      </c>
    </row>
    <row r="53" spans="1:11">
      <c r="B53" s="866" t="s">
        <v>153</v>
      </c>
      <c r="C53" s="876" t="s">
        <v>508</v>
      </c>
      <c r="D53" s="701">
        <v>1</v>
      </c>
      <c r="E53" s="701">
        <v>0</v>
      </c>
    </row>
    <row r="54" spans="1:11">
      <c r="B54" s="866" t="s">
        <v>445</v>
      </c>
      <c r="C54" s="876" t="s">
        <v>509</v>
      </c>
      <c r="D54" s="701">
        <v>1</v>
      </c>
      <c r="E54" s="701">
        <v>0</v>
      </c>
    </row>
    <row r="55" spans="1:11">
      <c r="B55" s="866" t="s">
        <v>446</v>
      </c>
      <c r="C55" s="876" t="s">
        <v>510</v>
      </c>
      <c r="D55" s="701">
        <v>1</v>
      </c>
      <c r="E55" s="701">
        <v>0</v>
      </c>
    </row>
    <row r="57" spans="1:11">
      <c r="A57" s="867">
        <v>7</v>
      </c>
      <c r="B57" s="866" t="s">
        <v>447</v>
      </c>
      <c r="C57" s="866"/>
      <c r="D57" s="866"/>
      <c r="E57" s="866"/>
      <c r="F57" s="866"/>
      <c r="G57" s="866"/>
      <c r="H57" s="866"/>
      <c r="I57" s="866"/>
    </row>
    <row r="58" spans="1:11">
      <c r="A58" s="867"/>
      <c r="B58" s="866"/>
      <c r="C58" s="866"/>
      <c r="D58" s="866"/>
      <c r="E58" s="866"/>
      <c r="F58" s="866"/>
      <c r="G58" s="866"/>
      <c r="H58" s="866"/>
      <c r="I58" s="866"/>
    </row>
    <row r="59" spans="1:11">
      <c r="A59" s="867"/>
      <c r="D59" s="877" t="s">
        <v>452</v>
      </c>
      <c r="E59" s="877" t="s">
        <v>453</v>
      </c>
      <c r="F59" s="877" t="s">
        <v>454</v>
      </c>
      <c r="G59" s="877" t="s">
        <v>455</v>
      </c>
    </row>
    <row r="60" spans="1:11">
      <c r="A60" s="867"/>
      <c r="B60" s="878" t="s">
        <v>448</v>
      </c>
      <c r="C60" s="879" t="s">
        <v>511</v>
      </c>
      <c r="D60">
        <v>1</v>
      </c>
      <c r="E60">
        <v>2</v>
      </c>
      <c r="F60">
        <v>3</v>
      </c>
      <c r="G60">
        <v>4</v>
      </c>
    </row>
    <row r="61" spans="1:11">
      <c r="A61" s="867"/>
      <c r="B61" s="880" t="s">
        <v>449</v>
      </c>
      <c r="C61" s="879" t="s">
        <v>512</v>
      </c>
      <c r="D61">
        <v>1</v>
      </c>
      <c r="E61">
        <v>2</v>
      </c>
      <c r="F61">
        <v>3</v>
      </c>
      <c r="G61">
        <v>4</v>
      </c>
    </row>
    <row r="62" spans="1:11">
      <c r="A62" s="867"/>
      <c r="B62" s="880" t="s">
        <v>450</v>
      </c>
      <c r="C62" s="879" t="s">
        <v>513</v>
      </c>
      <c r="D62">
        <v>1</v>
      </c>
      <c r="E62">
        <v>2</v>
      </c>
      <c r="F62">
        <v>3</v>
      </c>
      <c r="G62">
        <v>4</v>
      </c>
    </row>
    <row r="63" spans="1:11">
      <c r="A63" s="867"/>
      <c r="B63" s="878" t="s">
        <v>451</v>
      </c>
      <c r="C63" s="879" t="s">
        <v>514</v>
      </c>
      <c r="D63">
        <v>1</v>
      </c>
      <c r="E63">
        <v>2</v>
      </c>
      <c r="F63">
        <v>3</v>
      </c>
      <c r="G63">
        <v>4</v>
      </c>
    </row>
    <row r="64" spans="1:11">
      <c r="A64" s="867"/>
      <c r="B64" s="878" t="s">
        <v>456</v>
      </c>
      <c r="C64" s="879" t="s">
        <v>515</v>
      </c>
      <c r="D64">
        <v>1</v>
      </c>
      <c r="E64">
        <v>2</v>
      </c>
      <c r="F64">
        <v>3</v>
      </c>
      <c r="G64">
        <v>4</v>
      </c>
      <c r="H64" s="866"/>
      <c r="I64" s="866"/>
    </row>
    <row r="65" spans="1:10">
      <c r="A65" s="867"/>
      <c r="B65" s="878" t="s">
        <v>457</v>
      </c>
      <c r="C65" s="881" t="s">
        <v>516</v>
      </c>
      <c r="D65">
        <v>1</v>
      </c>
      <c r="E65">
        <v>2</v>
      </c>
      <c r="F65">
        <v>3</v>
      </c>
      <c r="G65">
        <v>4</v>
      </c>
      <c r="H65" s="866"/>
      <c r="I65" s="866"/>
    </row>
    <row r="66" spans="1:10">
      <c r="A66" s="867"/>
      <c r="B66" s="878" t="s">
        <v>458</v>
      </c>
      <c r="C66" s="879" t="s">
        <v>517</v>
      </c>
      <c r="D66">
        <v>1</v>
      </c>
      <c r="E66">
        <v>2</v>
      </c>
      <c r="F66">
        <v>3</v>
      </c>
      <c r="G66">
        <v>4</v>
      </c>
      <c r="H66" s="866"/>
      <c r="I66" s="866"/>
    </row>
    <row r="67" spans="1:10">
      <c r="A67" s="867"/>
      <c r="B67" s="877"/>
      <c r="C67" s="866"/>
      <c r="D67" s="877"/>
      <c r="E67" s="866"/>
      <c r="F67" s="877"/>
      <c r="G67" s="866"/>
      <c r="H67" s="866"/>
      <c r="I67" s="866"/>
    </row>
    <row r="68" spans="1:10">
      <c r="A68" s="867"/>
      <c r="B68" s="877"/>
      <c r="C68" s="866"/>
      <c r="D68" s="877"/>
      <c r="E68" s="866"/>
      <c r="F68" s="877"/>
      <c r="G68" s="866"/>
      <c r="H68" s="866"/>
      <c r="I68" s="866"/>
    </row>
    <row r="69" spans="1:10">
      <c r="A69" s="867"/>
      <c r="B69" s="877"/>
      <c r="C69" s="866"/>
      <c r="D69" s="877"/>
      <c r="E69" s="866"/>
      <c r="F69" s="877"/>
      <c r="G69" s="866"/>
      <c r="H69" s="866"/>
      <c r="I69" s="866"/>
    </row>
    <row r="70" spans="1:10">
      <c r="B70" s="882"/>
      <c r="C70" s="232"/>
      <c r="D70" s="232"/>
      <c r="E70" s="232"/>
      <c r="F70" s="232"/>
      <c r="G70" s="232"/>
      <c r="H70" s="232"/>
      <c r="I70" s="232"/>
    </row>
    <row r="71" spans="1:10">
      <c r="B71" s="232"/>
      <c r="C71" s="866"/>
      <c r="D71" s="232"/>
      <c r="E71" s="866"/>
      <c r="F71" s="232"/>
      <c r="G71" s="866"/>
      <c r="H71" s="232"/>
      <c r="I71" s="232"/>
    </row>
    <row r="72" spans="1:10">
      <c r="A72" s="867">
        <v>8</v>
      </c>
      <c r="B72" s="866" t="s">
        <v>459</v>
      </c>
      <c r="C72" s="866"/>
      <c r="D72" s="866"/>
      <c r="E72" s="866"/>
      <c r="F72" s="866"/>
      <c r="G72" s="866"/>
      <c r="H72" s="866"/>
      <c r="I72" s="866"/>
      <c r="J72" s="866"/>
    </row>
    <row r="73" spans="1:10">
      <c r="A73" s="867"/>
      <c r="B73" s="866"/>
      <c r="C73" s="866"/>
      <c r="D73" s="701" t="s">
        <v>475</v>
      </c>
      <c r="E73" s="701" t="s">
        <v>476</v>
      </c>
      <c r="F73" s="866"/>
      <c r="G73" s="866"/>
      <c r="H73" s="866"/>
      <c r="I73" s="866"/>
      <c r="J73" s="866"/>
    </row>
    <row r="74" spans="1:10">
      <c r="A74" s="867">
        <v>1</v>
      </c>
      <c r="B74" s="866" t="s">
        <v>460</v>
      </c>
      <c r="C74" s="876" t="s">
        <v>518</v>
      </c>
      <c r="D74" s="874">
        <v>1</v>
      </c>
      <c r="E74" s="874">
        <v>0</v>
      </c>
      <c r="J74" s="866"/>
    </row>
    <row r="75" spans="1:10">
      <c r="A75" s="867">
        <v>1</v>
      </c>
      <c r="B75" s="866" t="s">
        <v>461</v>
      </c>
      <c r="C75" s="876" t="s">
        <v>519</v>
      </c>
      <c r="D75" s="874">
        <v>1</v>
      </c>
      <c r="E75" s="870">
        <v>0</v>
      </c>
      <c r="J75" s="866"/>
    </row>
    <row r="76" spans="1:10">
      <c r="A76" s="883">
        <v>2</v>
      </c>
      <c r="B76" s="866" t="s">
        <v>462</v>
      </c>
      <c r="C76" s="876" t="s">
        <v>520</v>
      </c>
      <c r="D76" s="701">
        <v>1</v>
      </c>
      <c r="E76" s="701">
        <v>0</v>
      </c>
      <c r="F76" s="232"/>
      <c r="G76" s="232"/>
      <c r="H76" s="232"/>
      <c r="I76" s="232"/>
    </row>
    <row r="77" spans="1:10">
      <c r="A77" s="883">
        <v>2</v>
      </c>
      <c r="B77" s="866" t="s">
        <v>464</v>
      </c>
      <c r="C77" s="876" t="s">
        <v>521</v>
      </c>
      <c r="D77" s="701">
        <v>1</v>
      </c>
      <c r="E77" s="701">
        <v>0</v>
      </c>
    </row>
    <row r="78" spans="1:10">
      <c r="A78" s="883">
        <v>3</v>
      </c>
      <c r="B78" s="866" t="s">
        <v>102</v>
      </c>
      <c r="C78" s="876" t="s">
        <v>522</v>
      </c>
      <c r="D78" s="701">
        <v>1</v>
      </c>
      <c r="E78" s="701">
        <v>0</v>
      </c>
      <c r="F78" s="866"/>
      <c r="I78" s="866"/>
    </row>
    <row r="79" spans="1:10">
      <c r="A79" s="883">
        <v>3</v>
      </c>
      <c r="B79" s="866" t="s">
        <v>465</v>
      </c>
      <c r="C79" s="876" t="s">
        <v>523</v>
      </c>
      <c r="D79" s="701">
        <v>1</v>
      </c>
      <c r="E79" s="701">
        <v>0</v>
      </c>
    </row>
    <row r="80" spans="1:10">
      <c r="D80" s="701"/>
      <c r="E80" s="701"/>
    </row>
  </sheetData>
  <mergeCells count="3">
    <mergeCell ref="B12:K12"/>
    <mergeCell ref="B20:K20"/>
    <mergeCell ref="B47:K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7"/>
  <sheetViews>
    <sheetView topLeftCell="A156" zoomScale="70" zoomScaleNormal="70" workbookViewId="0">
      <selection activeCell="C191" sqref="C191"/>
    </sheetView>
  </sheetViews>
  <sheetFormatPr defaultColWidth="11.42578125" defaultRowHeight="15"/>
  <cols>
    <col min="1" max="1" width="32" customWidth="1"/>
    <col min="2" max="3" width="13.7109375" customWidth="1"/>
    <col min="7" max="7" width="17.140625" customWidth="1"/>
  </cols>
  <sheetData>
    <row r="1" spans="1:2" ht="15.75" thickBot="1"/>
    <row r="2" spans="1:2">
      <c r="A2" s="653" t="s">
        <v>469</v>
      </c>
      <c r="B2" s="940"/>
    </row>
    <row r="3" spans="1:2">
      <c r="A3" s="42" t="s">
        <v>31</v>
      </c>
      <c r="B3" s="75">
        <f>SUM([3]Tabulacion!B2:B401)</f>
        <v>193</v>
      </c>
    </row>
    <row r="4" spans="1:2" ht="15.75" thickBot="1">
      <c r="A4" s="47" t="s">
        <v>32</v>
      </c>
      <c r="B4" s="941">
        <f>COUNT([3]Tabulacion!B2:B401)-B3</f>
        <v>207</v>
      </c>
    </row>
    <row r="5" spans="1:2" ht="16.5" thickTop="1" thickBot="1">
      <c r="A5" s="415" t="s">
        <v>33</v>
      </c>
      <c r="B5" s="942">
        <f>+B3+B4</f>
        <v>400</v>
      </c>
    </row>
    <row r="19" spans="1:4">
      <c r="D19" s="82"/>
    </row>
    <row r="20" spans="1:4" ht="16.5" customHeight="1"/>
    <row r="21" spans="1:4" ht="15.75" thickBot="1"/>
    <row r="22" spans="1:4">
      <c r="A22" s="252"/>
      <c r="B22" s="943" t="s">
        <v>31</v>
      </c>
      <c r="C22" s="943" t="s">
        <v>32</v>
      </c>
      <c r="D22" s="944" t="s">
        <v>33</v>
      </c>
    </row>
    <row r="23" spans="1:4">
      <c r="A23" s="945" t="s">
        <v>529</v>
      </c>
      <c r="B23" s="74">
        <v>26</v>
      </c>
      <c r="C23" s="74">
        <v>56</v>
      </c>
      <c r="D23" s="75">
        <f>+B23+C23</f>
        <v>82</v>
      </c>
    </row>
    <row r="24" spans="1:4">
      <c r="A24" s="42" t="s">
        <v>530</v>
      </c>
      <c r="B24" s="74">
        <v>96</v>
      </c>
      <c r="C24" s="74">
        <v>100</v>
      </c>
      <c r="D24" s="75">
        <f t="shared" ref="D24:D26" si="0">+B24+C24</f>
        <v>196</v>
      </c>
    </row>
    <row r="25" spans="1:4">
      <c r="A25" s="42" t="s">
        <v>531</v>
      </c>
      <c r="B25" s="74">
        <v>49</v>
      </c>
      <c r="C25" s="74">
        <v>36</v>
      </c>
      <c r="D25" s="75">
        <f t="shared" si="0"/>
        <v>85</v>
      </c>
    </row>
    <row r="26" spans="1:4">
      <c r="A26" s="42" t="s">
        <v>532</v>
      </c>
      <c r="B26" s="74">
        <v>22</v>
      </c>
      <c r="C26" s="74">
        <v>15</v>
      </c>
      <c r="D26" s="75">
        <f t="shared" si="0"/>
        <v>37</v>
      </c>
    </row>
    <row r="27" spans="1:4" ht="15.75" thickBot="1">
      <c r="A27" s="230" t="s">
        <v>33</v>
      </c>
      <c r="B27" s="946">
        <f>+B26+B25+B24+B23</f>
        <v>193</v>
      </c>
      <c r="C27" s="946">
        <f t="shared" ref="C27:D27" si="1">+C26+C25+C24+C23</f>
        <v>207</v>
      </c>
      <c r="D27" s="947">
        <f t="shared" si="1"/>
        <v>400</v>
      </c>
    </row>
    <row r="39" spans="1:6">
      <c r="A39" t="s">
        <v>533</v>
      </c>
    </row>
    <row r="41" spans="1:6">
      <c r="C41" s="869"/>
      <c r="D41" s="869"/>
      <c r="E41" s="869"/>
      <c r="F41" s="869"/>
    </row>
    <row r="42" spans="1:6">
      <c r="A42" s="948" t="s">
        <v>33</v>
      </c>
      <c r="B42">
        <v>1</v>
      </c>
      <c r="C42">
        <v>2</v>
      </c>
      <c r="D42">
        <v>3</v>
      </c>
      <c r="E42">
        <v>4</v>
      </c>
    </row>
    <row r="43" spans="1:6">
      <c r="A43" t="s">
        <v>534</v>
      </c>
      <c r="B43">
        <v>78</v>
      </c>
      <c r="C43">
        <f>174/2</f>
        <v>87</v>
      </c>
      <c r="D43">
        <f>360/3</f>
        <v>120</v>
      </c>
      <c r="E43">
        <f>460/4</f>
        <v>115</v>
      </c>
      <c r="F43">
        <f>SUM(B43:E43)</f>
        <v>400</v>
      </c>
    </row>
    <row r="44" spans="1:6">
      <c r="A44" t="s">
        <v>535</v>
      </c>
      <c r="B44">
        <v>89</v>
      </c>
      <c r="C44">
        <v>152</v>
      </c>
      <c r="D44">
        <v>91</v>
      </c>
      <c r="E44">
        <v>68</v>
      </c>
      <c r="F44">
        <f t="shared" ref="F44:F46" si="2">SUM(B44:E44)</f>
        <v>400</v>
      </c>
    </row>
    <row r="45" spans="1:6">
      <c r="A45" t="s">
        <v>536</v>
      </c>
      <c r="B45">
        <v>57</v>
      </c>
      <c r="C45">
        <v>63</v>
      </c>
      <c r="D45">
        <v>118</v>
      </c>
      <c r="E45">
        <v>162</v>
      </c>
      <c r="F45">
        <f t="shared" si="2"/>
        <v>400</v>
      </c>
    </row>
    <row r="46" spans="1:6">
      <c r="A46" t="s">
        <v>537</v>
      </c>
      <c r="B46">
        <v>177</v>
      </c>
      <c r="C46">
        <v>98</v>
      </c>
      <c r="D46">
        <v>71</v>
      </c>
      <c r="E46">
        <v>54</v>
      </c>
      <c r="F46">
        <f t="shared" si="2"/>
        <v>400</v>
      </c>
    </row>
    <row r="76" spans="1:12">
      <c r="A76" s="948" t="s">
        <v>31</v>
      </c>
      <c r="B76">
        <v>1</v>
      </c>
      <c r="C76">
        <v>2</v>
      </c>
      <c r="D76">
        <v>3</v>
      </c>
      <c r="E76">
        <v>4</v>
      </c>
      <c r="G76" s="948" t="s">
        <v>32</v>
      </c>
      <c r="H76">
        <v>1</v>
      </c>
      <c r="I76">
        <v>2</v>
      </c>
      <c r="J76">
        <v>3</v>
      </c>
      <c r="K76">
        <v>4</v>
      </c>
    </row>
    <row r="77" spans="1:12">
      <c r="A77" t="s">
        <v>534</v>
      </c>
      <c r="B77">
        <v>40</v>
      </c>
      <c r="C77">
        <f>74/2</f>
        <v>37</v>
      </c>
      <c r="D77">
        <f>198/3</f>
        <v>66</v>
      </c>
      <c r="E77">
        <f>200/4</f>
        <v>50</v>
      </c>
      <c r="F77" s="82">
        <f>+B77+C77+D77+E77</f>
        <v>193</v>
      </c>
      <c r="G77" t="s">
        <v>534</v>
      </c>
      <c r="H77">
        <f t="shared" ref="H77:K80" si="3">+B43-B77</f>
        <v>38</v>
      </c>
      <c r="I77">
        <f>+C43-C77</f>
        <v>50</v>
      </c>
      <c r="J77">
        <f t="shared" si="3"/>
        <v>54</v>
      </c>
      <c r="K77">
        <f t="shared" si="3"/>
        <v>65</v>
      </c>
      <c r="L77" s="82">
        <f>+H77+I77+J77+K77</f>
        <v>207</v>
      </c>
    </row>
    <row r="78" spans="1:12">
      <c r="A78" t="s">
        <v>535</v>
      </c>
      <c r="B78">
        <v>41</v>
      </c>
      <c r="C78">
        <f>158/2</f>
        <v>79</v>
      </c>
      <c r="D78">
        <f>123/3</f>
        <v>41</v>
      </c>
      <c r="E78">
        <v>32</v>
      </c>
      <c r="F78" s="82">
        <f t="shared" ref="F78:F80" si="4">+B78+C78+D78+E78</f>
        <v>193</v>
      </c>
      <c r="G78" t="s">
        <v>535</v>
      </c>
      <c r="H78">
        <f t="shared" si="3"/>
        <v>48</v>
      </c>
      <c r="I78">
        <f t="shared" si="3"/>
        <v>73</v>
      </c>
      <c r="J78">
        <f t="shared" si="3"/>
        <v>50</v>
      </c>
      <c r="K78">
        <f t="shared" si="3"/>
        <v>36</v>
      </c>
      <c r="L78" s="82">
        <f t="shared" ref="L78:L80" si="5">+H78+I78+J78+K78</f>
        <v>207</v>
      </c>
    </row>
    <row r="79" spans="1:12">
      <c r="A79" t="s">
        <v>536</v>
      </c>
      <c r="B79">
        <v>21</v>
      </c>
      <c r="C79">
        <v>36</v>
      </c>
      <c r="D79">
        <v>54</v>
      </c>
      <c r="E79">
        <v>82</v>
      </c>
      <c r="F79" s="82">
        <f t="shared" si="4"/>
        <v>193</v>
      </c>
      <c r="G79" t="s">
        <v>536</v>
      </c>
      <c r="H79">
        <f t="shared" si="3"/>
        <v>36</v>
      </c>
      <c r="I79">
        <f t="shared" si="3"/>
        <v>27</v>
      </c>
      <c r="J79">
        <f t="shared" si="3"/>
        <v>64</v>
      </c>
      <c r="K79">
        <f t="shared" si="3"/>
        <v>80</v>
      </c>
      <c r="L79" s="82">
        <f t="shared" si="5"/>
        <v>207</v>
      </c>
    </row>
    <row r="80" spans="1:12">
      <c r="A80" t="s">
        <v>537</v>
      </c>
      <c r="B80">
        <v>91</v>
      </c>
      <c r="C80">
        <v>42</v>
      </c>
      <c r="D80">
        <v>32</v>
      </c>
      <c r="E80">
        <v>28</v>
      </c>
      <c r="F80" s="82">
        <f t="shared" si="4"/>
        <v>193</v>
      </c>
      <c r="G80" t="s">
        <v>537</v>
      </c>
      <c r="H80">
        <f t="shared" si="3"/>
        <v>86</v>
      </c>
      <c r="I80">
        <f t="shared" si="3"/>
        <v>56</v>
      </c>
      <c r="J80">
        <f t="shared" si="3"/>
        <v>39</v>
      </c>
      <c r="K80">
        <f t="shared" si="3"/>
        <v>26</v>
      </c>
      <c r="L80" s="82">
        <f t="shared" si="5"/>
        <v>207</v>
      </c>
    </row>
    <row r="84" spans="1:3">
      <c r="A84" t="s">
        <v>538</v>
      </c>
      <c r="B84" t="s">
        <v>31</v>
      </c>
      <c r="C84" t="s">
        <v>32</v>
      </c>
    </row>
    <row r="85" spans="1:3">
      <c r="A85" t="s">
        <v>539</v>
      </c>
      <c r="B85">
        <v>115</v>
      </c>
      <c r="C85">
        <v>115</v>
      </c>
    </row>
    <row r="86" spans="1:3">
      <c r="A86" t="s">
        <v>540</v>
      </c>
      <c r="B86">
        <v>62</v>
      </c>
      <c r="C86">
        <v>70</v>
      </c>
    </row>
    <row r="87" spans="1:3">
      <c r="A87" t="s">
        <v>541</v>
      </c>
      <c r="B87">
        <v>16</v>
      </c>
      <c r="C87">
        <v>22</v>
      </c>
    </row>
    <row r="88" spans="1:3">
      <c r="A88" t="s">
        <v>33</v>
      </c>
      <c r="B88">
        <f>+B87+B86+B85</f>
        <v>193</v>
      </c>
      <c r="C88">
        <f>+C87+C86+C85</f>
        <v>207</v>
      </c>
    </row>
    <row r="103" spans="1:4">
      <c r="B103" t="s">
        <v>31</v>
      </c>
      <c r="C103" t="s">
        <v>32</v>
      </c>
    </row>
    <row r="104" spans="1:4">
      <c r="A104" t="s">
        <v>542</v>
      </c>
      <c r="B104">
        <v>176</v>
      </c>
      <c r="C104">
        <v>166</v>
      </c>
      <c r="D104">
        <f>+B104+C104</f>
        <v>342</v>
      </c>
    </row>
    <row r="105" spans="1:4">
      <c r="A105" t="s">
        <v>525</v>
      </c>
      <c r="B105">
        <v>12</v>
      </c>
      <c r="C105">
        <v>25</v>
      </c>
      <c r="D105">
        <f>+B105+C105</f>
        <v>37</v>
      </c>
    </row>
    <row r="106" spans="1:4">
      <c r="A106" t="s">
        <v>543</v>
      </c>
      <c r="B106">
        <v>1</v>
      </c>
      <c r="C106">
        <v>11</v>
      </c>
      <c r="D106">
        <f>+B106+C106</f>
        <v>12</v>
      </c>
    </row>
    <row r="107" spans="1:4">
      <c r="A107" t="s">
        <v>544</v>
      </c>
      <c r="B107">
        <v>4</v>
      </c>
      <c r="C107">
        <v>5</v>
      </c>
      <c r="D107">
        <f>+B107+C107</f>
        <v>9</v>
      </c>
    </row>
    <row r="108" spans="1:4">
      <c r="D108">
        <f>+D104+D105+D106+D107</f>
        <v>400</v>
      </c>
    </row>
    <row r="124" spans="1:4">
      <c r="B124" t="s">
        <v>31</v>
      </c>
      <c r="C124" t="s">
        <v>32</v>
      </c>
    </row>
    <row r="125" spans="1:4">
      <c r="A125" t="s">
        <v>545</v>
      </c>
      <c r="B125">
        <v>117</v>
      </c>
      <c r="C125">
        <f>+D125-B125</f>
        <v>226</v>
      </c>
      <c r="D125">
        <v>343</v>
      </c>
    </row>
    <row r="126" spans="1:4">
      <c r="A126" t="s">
        <v>546</v>
      </c>
      <c r="B126">
        <v>16</v>
      </c>
      <c r="C126">
        <f>400-D125-B126</f>
        <v>41</v>
      </c>
      <c r="D126">
        <f>+B126+C126</f>
        <v>57</v>
      </c>
    </row>
    <row r="130" spans="1:9">
      <c r="A130" s="948"/>
      <c r="B130" s="82">
        <v>1</v>
      </c>
      <c r="C130" s="82">
        <v>2</v>
      </c>
      <c r="D130" s="82">
        <v>3</v>
      </c>
      <c r="E130" s="82">
        <v>4</v>
      </c>
      <c r="F130" s="82">
        <v>5</v>
      </c>
      <c r="G130" s="82">
        <v>6</v>
      </c>
      <c r="H130" s="82">
        <v>7</v>
      </c>
    </row>
    <row r="131" spans="1:9">
      <c r="A131" s="876" t="s">
        <v>504</v>
      </c>
      <c r="B131">
        <v>24</v>
      </c>
      <c r="C131">
        <v>38</v>
      </c>
      <c r="D131">
        <v>55</v>
      </c>
      <c r="E131">
        <v>79</v>
      </c>
      <c r="F131">
        <v>51</v>
      </c>
      <c r="G131">
        <v>72</v>
      </c>
      <c r="H131">
        <v>81</v>
      </c>
      <c r="I131" s="82">
        <f>SUM(B131:H131)</f>
        <v>400</v>
      </c>
    </row>
    <row r="132" spans="1:9">
      <c r="A132" s="876" t="s">
        <v>505</v>
      </c>
      <c r="B132">
        <v>39</v>
      </c>
      <c r="C132">
        <v>55</v>
      </c>
      <c r="D132">
        <v>101</v>
      </c>
      <c r="E132">
        <v>58</v>
      </c>
      <c r="F132">
        <v>65</v>
      </c>
      <c r="G132">
        <v>31</v>
      </c>
      <c r="H132">
        <v>51</v>
      </c>
      <c r="I132" s="82">
        <f t="shared" ref="I132:I137" si="6">SUM(B132:H132)</f>
        <v>400</v>
      </c>
    </row>
    <row r="133" spans="1:9">
      <c r="A133" s="876" t="s">
        <v>506</v>
      </c>
      <c r="B133">
        <v>49</v>
      </c>
      <c r="C133">
        <v>39</v>
      </c>
      <c r="D133">
        <v>40</v>
      </c>
      <c r="E133">
        <v>79</v>
      </c>
      <c r="F133">
        <v>100</v>
      </c>
      <c r="G133">
        <v>63</v>
      </c>
      <c r="H133">
        <v>30</v>
      </c>
      <c r="I133" s="82">
        <f t="shared" si="6"/>
        <v>400</v>
      </c>
    </row>
    <row r="134" spans="1:9">
      <c r="A134" s="876" t="s">
        <v>507</v>
      </c>
      <c r="B134">
        <v>19</v>
      </c>
      <c r="C134">
        <v>42</v>
      </c>
      <c r="D134">
        <v>39</v>
      </c>
      <c r="E134">
        <v>38</v>
      </c>
      <c r="F134">
        <v>57</v>
      </c>
      <c r="G134">
        <v>89</v>
      </c>
      <c r="H134">
        <f>812/7</f>
        <v>116</v>
      </c>
      <c r="I134" s="82">
        <f t="shared" si="6"/>
        <v>400</v>
      </c>
    </row>
    <row r="135" spans="1:9">
      <c r="A135" s="876" t="s">
        <v>508</v>
      </c>
      <c r="B135">
        <v>155</v>
      </c>
      <c r="C135">
        <v>78</v>
      </c>
      <c r="D135">
        <v>42</v>
      </c>
      <c r="E135">
        <v>50</v>
      </c>
      <c r="F135">
        <v>22</v>
      </c>
      <c r="G135">
        <v>32</v>
      </c>
      <c r="H135">
        <f>147/7</f>
        <v>21</v>
      </c>
      <c r="I135" s="82">
        <f t="shared" si="6"/>
        <v>400</v>
      </c>
    </row>
    <row r="136" spans="1:9">
      <c r="A136" s="876" t="s">
        <v>509</v>
      </c>
      <c r="B136">
        <v>101</v>
      </c>
      <c r="C136">
        <v>109</v>
      </c>
      <c r="D136">
        <v>63</v>
      </c>
      <c r="E136">
        <v>51</v>
      </c>
      <c r="F136">
        <v>42</v>
      </c>
      <c r="G136">
        <v>20</v>
      </c>
      <c r="H136">
        <v>14</v>
      </c>
      <c r="I136" s="82">
        <f t="shared" si="6"/>
        <v>400</v>
      </c>
    </row>
    <row r="137" spans="1:9">
      <c r="A137" s="876" t="s">
        <v>510</v>
      </c>
      <c r="B137">
        <v>14</v>
      </c>
      <c r="C137">
        <v>42</v>
      </c>
      <c r="D137">
        <v>56</v>
      </c>
      <c r="E137">
        <v>46</v>
      </c>
      <c r="F137">
        <f>320/5</f>
        <v>64</v>
      </c>
      <c r="G137">
        <v>94</v>
      </c>
      <c r="H137">
        <f>588/7</f>
        <v>84</v>
      </c>
      <c r="I137" s="82">
        <f t="shared" si="6"/>
        <v>400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5"/>
  <sheetViews>
    <sheetView topLeftCell="A4" workbookViewId="0">
      <selection activeCell="A15" sqref="A15:E25"/>
    </sheetView>
  </sheetViews>
  <sheetFormatPr defaultColWidth="11.42578125" defaultRowHeight="15"/>
  <cols>
    <col min="1" max="5" width="11.42578125" customWidth="1"/>
  </cols>
  <sheetData>
    <row r="2" spans="1:5" ht="15.75" thickBot="1"/>
    <row r="3" spans="1:5">
      <c r="A3" s="1"/>
      <c r="B3" s="743" t="s">
        <v>0</v>
      </c>
      <c r="C3" s="743"/>
      <c r="D3" s="2"/>
    </row>
    <row r="4" spans="1:5" ht="15.7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5" ht="15.75" thickTop="1">
      <c r="A5" s="6" t="s">
        <v>5</v>
      </c>
      <c r="B5" s="7">
        <v>17620</v>
      </c>
      <c r="C5" s="7">
        <v>170423</v>
      </c>
      <c r="D5" s="8">
        <f>+B5+C5</f>
        <v>188043</v>
      </c>
    </row>
    <row r="6" spans="1:5">
      <c r="A6" s="6" t="s">
        <v>6</v>
      </c>
      <c r="B6" s="7">
        <f>+B5*(1.024)</f>
        <v>18042.88</v>
      </c>
      <c r="C6" s="7">
        <f>+C5*(1.024)</f>
        <v>174513.152</v>
      </c>
      <c r="D6" s="8">
        <f t="shared" ref="D6:D9" si="0">+B6+C6</f>
        <v>192556.03200000001</v>
      </c>
    </row>
    <row r="7" spans="1:5">
      <c r="A7" s="6" t="s">
        <v>7</v>
      </c>
      <c r="B7" s="7">
        <f t="shared" ref="B7:C8" si="1">+B6*(1.024)</f>
        <v>18475.90912</v>
      </c>
      <c r="C7" s="7">
        <f t="shared" si="1"/>
        <v>178701.46764800002</v>
      </c>
      <c r="D7" s="8">
        <f t="shared" si="0"/>
        <v>197177.37676800002</v>
      </c>
    </row>
    <row r="8" spans="1:5">
      <c r="A8" s="6" t="s">
        <v>8</v>
      </c>
      <c r="B8" s="7">
        <f t="shared" si="1"/>
        <v>18919.330938880001</v>
      </c>
      <c r="C8" s="7">
        <f t="shared" si="1"/>
        <v>182990.30287155203</v>
      </c>
      <c r="D8" s="8">
        <f t="shared" si="0"/>
        <v>201909.63381043205</v>
      </c>
    </row>
    <row r="9" spans="1:5" ht="15.75" thickBot="1">
      <c r="A9" s="9" t="s">
        <v>9</v>
      </c>
      <c r="B9" s="10">
        <f>+B8*(1.024)</f>
        <v>19373.394881413122</v>
      </c>
      <c r="C9" s="10">
        <f>+C8*(1.024)</f>
        <v>187382.0701404693</v>
      </c>
      <c r="D9" s="11">
        <f t="shared" si="0"/>
        <v>206755.46502188241</v>
      </c>
    </row>
    <row r="10" spans="1:5" ht="6" customHeight="1">
      <c r="A10" s="12"/>
      <c r="B10" s="12"/>
      <c r="C10" s="12"/>
      <c r="D10" s="12"/>
    </row>
    <row r="11" spans="1:5">
      <c r="A11" s="744" t="s">
        <v>10</v>
      </c>
      <c r="B11" s="744"/>
      <c r="C11" s="744"/>
      <c r="D11" s="744"/>
    </row>
    <row r="12" spans="1:5">
      <c r="A12" s="744"/>
      <c r="B12" s="744"/>
      <c r="C12" s="744"/>
      <c r="D12" s="744"/>
    </row>
    <row r="13" spans="1:5">
      <c r="A13" s="744"/>
      <c r="B13" s="744"/>
      <c r="C13" s="744"/>
      <c r="D13" s="744"/>
    </row>
    <row r="14" spans="1:5" ht="15.75" thickBot="1"/>
    <row r="15" spans="1:5" ht="15.75" thickBot="1">
      <c r="A15" s="714"/>
      <c r="B15" s="745" t="s">
        <v>11</v>
      </c>
      <c r="C15" s="745"/>
      <c r="D15" s="745"/>
      <c r="E15" s="715"/>
    </row>
    <row r="16" spans="1:5" ht="15.75" thickBot="1">
      <c r="A16" s="710" t="s">
        <v>1</v>
      </c>
      <c r="B16" s="711" t="s">
        <v>2</v>
      </c>
      <c r="C16" s="711" t="s">
        <v>3</v>
      </c>
      <c r="D16" s="712" t="s">
        <v>4</v>
      </c>
      <c r="E16" s="713" t="s">
        <v>12</v>
      </c>
    </row>
    <row r="17" spans="1:5" ht="15.75" thickTop="1">
      <c r="A17" s="703" t="s">
        <v>5</v>
      </c>
      <c r="B17" s="34">
        <f>+B5*0.6</f>
        <v>10572</v>
      </c>
      <c r="C17" s="34">
        <f>+C5*0.4</f>
        <v>68169.2</v>
      </c>
      <c r="D17" s="704">
        <f>+B17+C17</f>
        <v>78741.2</v>
      </c>
      <c r="E17" s="705">
        <f>+D17*0.04</f>
        <v>3149.6480000000001</v>
      </c>
    </row>
    <row r="18" spans="1:5">
      <c r="A18" s="706" t="s">
        <v>6</v>
      </c>
      <c r="B18" s="37">
        <f>+B6*0.6</f>
        <v>10825.728000000001</v>
      </c>
      <c r="C18" s="37">
        <f>+C6*0.4</f>
        <v>69805.260800000004</v>
      </c>
      <c r="D18" s="707">
        <f t="shared" ref="D18:D21" si="2">+B18+C18</f>
        <v>80630.988800000006</v>
      </c>
      <c r="E18" s="705">
        <f t="shared" ref="E18:E21" si="3">+D18*0.04</f>
        <v>3225.2395520000005</v>
      </c>
    </row>
    <row r="19" spans="1:5">
      <c r="A19" s="706" t="s">
        <v>7</v>
      </c>
      <c r="B19" s="37">
        <f t="shared" ref="B19:B20" si="4">+B7*0.6</f>
        <v>11085.545472</v>
      </c>
      <c r="C19" s="37">
        <f t="shared" ref="C19:C20" si="5">+C7*0.4</f>
        <v>71480.587059200014</v>
      </c>
      <c r="D19" s="707">
        <f t="shared" si="2"/>
        <v>82566.132531200012</v>
      </c>
      <c r="E19" s="705">
        <f t="shared" si="3"/>
        <v>3302.6453012480006</v>
      </c>
    </row>
    <row r="20" spans="1:5">
      <c r="A20" s="706" t="s">
        <v>8</v>
      </c>
      <c r="B20" s="37">
        <f t="shared" si="4"/>
        <v>11351.598563328</v>
      </c>
      <c r="C20" s="37">
        <f t="shared" si="5"/>
        <v>73196.121148620819</v>
      </c>
      <c r="D20" s="707">
        <f t="shared" si="2"/>
        <v>84547.719711948826</v>
      </c>
      <c r="E20" s="705">
        <f t="shared" si="3"/>
        <v>3381.9087884779533</v>
      </c>
    </row>
    <row r="21" spans="1:5" ht="15.75" thickBot="1">
      <c r="A21" s="708" t="s">
        <v>9</v>
      </c>
      <c r="B21" s="36">
        <f>+B9*0.6</f>
        <v>11624.036928847872</v>
      </c>
      <c r="C21" s="36">
        <f>+C9*0.4</f>
        <v>74952.828056187718</v>
      </c>
      <c r="D21" s="709">
        <f t="shared" si="2"/>
        <v>86576.864985035587</v>
      </c>
      <c r="E21" s="705">
        <f t="shared" si="3"/>
        <v>3463.0745994014237</v>
      </c>
    </row>
    <row r="22" spans="1:5" ht="6" customHeight="1">
      <c r="A22" s="12"/>
      <c r="B22" s="12"/>
      <c r="C22" s="12"/>
      <c r="D22" s="12"/>
      <c r="E22" s="12"/>
    </row>
    <row r="23" spans="1:5" ht="15" customHeight="1">
      <c r="A23" s="746" t="s">
        <v>10</v>
      </c>
      <c r="B23" s="746"/>
      <c r="C23" s="746"/>
      <c r="D23" s="746"/>
      <c r="E23" s="746"/>
    </row>
    <row r="24" spans="1:5">
      <c r="A24" s="746"/>
      <c r="B24" s="746"/>
      <c r="C24" s="746"/>
      <c r="D24" s="746"/>
      <c r="E24" s="746"/>
    </row>
    <row r="25" spans="1:5">
      <c r="A25" s="12" t="s">
        <v>400</v>
      </c>
      <c r="B25" s="12"/>
      <c r="C25" s="12"/>
      <c r="D25" s="12"/>
      <c r="E25" s="12"/>
    </row>
  </sheetData>
  <mergeCells count="4">
    <mergeCell ref="B3:C3"/>
    <mergeCell ref="A11:D13"/>
    <mergeCell ref="B15:D15"/>
    <mergeCell ref="A23:E24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28"/>
  <sheetViews>
    <sheetView topLeftCell="A10" workbookViewId="0">
      <selection activeCell="A16" sqref="A16:F28"/>
    </sheetView>
  </sheetViews>
  <sheetFormatPr defaultColWidth="11.42578125" defaultRowHeight="15"/>
  <sheetData>
    <row r="2" spans="1:6" ht="15.75" thickBot="1"/>
    <row r="3" spans="1:6">
      <c r="A3" s="1"/>
      <c r="B3" s="743" t="s">
        <v>0</v>
      </c>
      <c r="C3" s="743"/>
      <c r="D3" s="743"/>
      <c r="E3" s="2"/>
    </row>
    <row r="4" spans="1:6">
      <c r="A4" s="753" t="s">
        <v>1</v>
      </c>
      <c r="B4" s="755" t="s">
        <v>13</v>
      </c>
      <c r="C4" s="756"/>
      <c r="D4" s="757" t="s">
        <v>14</v>
      </c>
      <c r="E4" s="759" t="s">
        <v>4</v>
      </c>
    </row>
    <row r="5" spans="1:6" ht="15.75" thickBot="1">
      <c r="A5" s="754"/>
      <c r="B5" s="4" t="s">
        <v>2</v>
      </c>
      <c r="C5" s="4" t="s">
        <v>15</v>
      </c>
      <c r="D5" s="758"/>
      <c r="E5" s="760"/>
    </row>
    <row r="6" spans="1:6" ht="15.75" thickTop="1">
      <c r="A6" s="6">
        <v>2011</v>
      </c>
      <c r="B6" s="7">
        <v>214346</v>
      </c>
      <c r="C6" s="7">
        <v>145670</v>
      </c>
      <c r="D6" s="19">
        <v>120000</v>
      </c>
      <c r="E6" s="8">
        <f>+B6+C6+D6</f>
        <v>480016</v>
      </c>
    </row>
    <row r="7" spans="1:6">
      <c r="A7" s="6">
        <v>2012</v>
      </c>
      <c r="B7" s="7">
        <f>+B6*(1.024)</f>
        <v>219490.304</v>
      </c>
      <c r="C7" s="7">
        <f>+C6*(1.024)</f>
        <v>149166.08000000002</v>
      </c>
      <c r="D7" s="19">
        <f>+D6*1.012</f>
        <v>121440</v>
      </c>
      <c r="E7" s="8">
        <f>+B7+C7+D7</f>
        <v>490096.38400000002</v>
      </c>
    </row>
    <row r="8" spans="1:6">
      <c r="A8" s="6">
        <v>2013</v>
      </c>
      <c r="B8" s="7">
        <f t="shared" ref="B8:C10" si="0">+B7*(1.024)</f>
        <v>224758.07129600001</v>
      </c>
      <c r="C8" s="7">
        <f t="shared" si="0"/>
        <v>152746.06592000002</v>
      </c>
      <c r="D8" s="19">
        <f t="shared" ref="D8:D9" si="1">+D7*1.012</f>
        <v>122897.28</v>
      </c>
      <c r="E8" s="8">
        <f>+B8+C8+D8</f>
        <v>500401.41721600003</v>
      </c>
    </row>
    <row r="9" spans="1:6">
      <c r="A9" s="6">
        <v>2014</v>
      </c>
      <c r="B9" s="7">
        <f t="shared" si="0"/>
        <v>230152.26500710403</v>
      </c>
      <c r="C9" s="7">
        <f t="shared" si="0"/>
        <v>156411.97150208004</v>
      </c>
      <c r="D9" s="19">
        <f t="shared" si="1"/>
        <v>124372.04736</v>
      </c>
      <c r="E9" s="8">
        <f>+B9+C9+D9</f>
        <v>510936.28386918409</v>
      </c>
    </row>
    <row r="10" spans="1:6" ht="15.75" thickBot="1">
      <c r="A10" s="9">
        <v>2015</v>
      </c>
      <c r="B10" s="10">
        <f t="shared" si="0"/>
        <v>235675.91936727453</v>
      </c>
      <c r="C10" s="10">
        <f>+C9*(1.024)</f>
        <v>160165.85881812996</v>
      </c>
      <c r="D10" s="20">
        <f>+D9*1.012</f>
        <v>125864.51192832</v>
      </c>
      <c r="E10" s="11">
        <f>+B10+C10+D10</f>
        <v>521706.29011372448</v>
      </c>
    </row>
    <row r="11" spans="1:6">
      <c r="A11" s="12"/>
      <c r="B11" s="12"/>
      <c r="C11" s="12"/>
      <c r="D11" s="12"/>
      <c r="E11" s="12"/>
    </row>
    <row r="12" spans="1:6">
      <c r="A12" s="747" t="s">
        <v>16</v>
      </c>
      <c r="B12" s="747"/>
      <c r="C12" s="747"/>
      <c r="D12" s="747"/>
      <c r="E12" s="747"/>
    </row>
    <row r="13" spans="1:6">
      <c r="A13" s="747"/>
      <c r="B13" s="747"/>
      <c r="C13" s="747"/>
      <c r="D13" s="747"/>
      <c r="E13" s="747"/>
    </row>
    <row r="14" spans="1:6">
      <c r="A14" s="747"/>
      <c r="B14" s="747"/>
      <c r="C14" s="747"/>
      <c r="D14" s="747"/>
      <c r="E14" s="747"/>
    </row>
    <row r="15" spans="1:6" ht="15.75" thickBot="1"/>
    <row r="16" spans="1:6" ht="15.75" thickBot="1">
      <c r="A16" s="750" t="s">
        <v>0</v>
      </c>
      <c r="B16" s="751"/>
      <c r="C16" s="751"/>
      <c r="D16" s="751"/>
      <c r="E16" s="751"/>
      <c r="F16" s="752"/>
    </row>
    <row r="17" spans="1:6" ht="15.75" thickTop="1">
      <c r="A17" s="761" t="s">
        <v>1</v>
      </c>
      <c r="B17" s="763" t="s">
        <v>13</v>
      </c>
      <c r="C17" s="764"/>
      <c r="D17" s="765" t="s">
        <v>14</v>
      </c>
      <c r="E17" s="767" t="s">
        <v>4</v>
      </c>
      <c r="F17" s="748" t="s">
        <v>12</v>
      </c>
    </row>
    <row r="18" spans="1:6" ht="15.75" thickBot="1">
      <c r="A18" s="762"/>
      <c r="B18" s="716" t="s">
        <v>2</v>
      </c>
      <c r="C18" s="716" t="s">
        <v>15</v>
      </c>
      <c r="D18" s="766"/>
      <c r="E18" s="768"/>
      <c r="F18" s="749"/>
    </row>
    <row r="19" spans="1:6" ht="15.75" thickTop="1">
      <c r="A19" s="21">
        <v>2011</v>
      </c>
      <c r="B19" s="34">
        <f>+B6*0.6</f>
        <v>128607.59999999999</v>
      </c>
      <c r="C19" s="34">
        <f>+C6*0.3</f>
        <v>43701</v>
      </c>
      <c r="D19" s="704">
        <f>+D6*0.1</f>
        <v>12000</v>
      </c>
      <c r="E19" s="704">
        <f>+B19+C19+D19</f>
        <v>184308.59999999998</v>
      </c>
      <c r="F19" s="705">
        <f>+E19*0.025</f>
        <v>4607.7149999999992</v>
      </c>
    </row>
    <row r="20" spans="1:6">
      <c r="A20" s="16">
        <v>2012</v>
      </c>
      <c r="B20" s="37">
        <f>+B7*0.6</f>
        <v>131694.18239999999</v>
      </c>
      <c r="C20" s="37">
        <f>+C7*0.3</f>
        <v>44749.824000000001</v>
      </c>
      <c r="D20" s="707">
        <f>+D7*0.1</f>
        <v>12144</v>
      </c>
      <c r="E20" s="704">
        <f t="shared" ref="E20:E23" si="2">+B20+C20+D20</f>
        <v>188588.00639999998</v>
      </c>
      <c r="F20" s="705">
        <f t="shared" ref="F20:F23" si="3">+E20*0.025</f>
        <v>4714.7001599999994</v>
      </c>
    </row>
    <row r="21" spans="1:6">
      <c r="A21" s="16">
        <v>2013</v>
      </c>
      <c r="B21" s="37">
        <f t="shared" ref="B21:B22" si="4">+B8*0.6</f>
        <v>134854.84277759999</v>
      </c>
      <c r="C21" s="37">
        <f t="shared" ref="C21:C22" si="5">+C8*0.3</f>
        <v>45823.819776000004</v>
      </c>
      <c r="D21" s="707">
        <f>+D8*0.1</f>
        <v>12289.728000000001</v>
      </c>
      <c r="E21" s="704">
        <f t="shared" si="2"/>
        <v>192968.39055359998</v>
      </c>
      <c r="F21" s="705">
        <f t="shared" si="3"/>
        <v>4824.2097638400001</v>
      </c>
    </row>
    <row r="22" spans="1:6">
      <c r="A22" s="16">
        <v>2014</v>
      </c>
      <c r="B22" s="37">
        <f t="shared" si="4"/>
        <v>138091.3590042624</v>
      </c>
      <c r="C22" s="37">
        <f t="shared" si="5"/>
        <v>46923.591450624008</v>
      </c>
      <c r="D22" s="707">
        <f>+D9*0.1</f>
        <v>12437.204736</v>
      </c>
      <c r="E22" s="704">
        <f t="shared" si="2"/>
        <v>197452.15519088641</v>
      </c>
      <c r="F22" s="705">
        <f t="shared" si="3"/>
        <v>4936.3038797721601</v>
      </c>
    </row>
    <row r="23" spans="1:6" ht="15.75" thickBot="1">
      <c r="A23" s="18">
        <v>2015</v>
      </c>
      <c r="B23" s="36">
        <f>+B10*0.6</f>
        <v>141405.55162036471</v>
      </c>
      <c r="C23" s="36">
        <f>+C10*0.3</f>
        <v>48049.757645438985</v>
      </c>
      <c r="D23" s="709">
        <f>+D10*0.1</f>
        <v>12586.451192832001</v>
      </c>
      <c r="E23" s="717">
        <f t="shared" si="2"/>
        <v>202041.76045863569</v>
      </c>
      <c r="F23" s="705">
        <f t="shared" si="3"/>
        <v>5051.0440114658923</v>
      </c>
    </row>
    <row r="24" spans="1:6" ht="8.25" customHeight="1">
      <c r="A24" s="12"/>
      <c r="B24" s="12"/>
      <c r="C24" s="12"/>
      <c r="D24" s="12"/>
      <c r="E24" s="12"/>
      <c r="F24" s="12"/>
    </row>
    <row r="25" spans="1:6">
      <c r="A25" s="747" t="s">
        <v>16</v>
      </c>
      <c r="B25" s="747"/>
      <c r="C25" s="747"/>
      <c r="D25" s="747"/>
      <c r="E25" s="747"/>
      <c r="F25" s="12"/>
    </row>
    <row r="26" spans="1:6">
      <c r="A26" s="747"/>
      <c r="B26" s="747"/>
      <c r="C26" s="747"/>
      <c r="D26" s="747"/>
      <c r="E26" s="747"/>
      <c r="F26" s="12"/>
    </row>
    <row r="27" spans="1:6">
      <c r="A27" s="747"/>
      <c r="B27" s="747"/>
      <c r="C27" s="747"/>
      <c r="D27" s="747"/>
      <c r="E27" s="747"/>
      <c r="F27" s="12"/>
    </row>
    <row r="28" spans="1:6">
      <c r="A28" s="12" t="s">
        <v>401</v>
      </c>
      <c r="B28" s="12"/>
      <c r="C28" s="12"/>
      <c r="D28" s="12"/>
      <c r="E28" s="12"/>
      <c r="F28" s="12"/>
    </row>
  </sheetData>
  <mergeCells count="13">
    <mergeCell ref="A25:E27"/>
    <mergeCell ref="F17:F18"/>
    <mergeCell ref="A16:F16"/>
    <mergeCell ref="A12:E14"/>
    <mergeCell ref="B3:D3"/>
    <mergeCell ref="A4:A5"/>
    <mergeCell ref="B4:C4"/>
    <mergeCell ref="D4:D5"/>
    <mergeCell ref="E4:E5"/>
    <mergeCell ref="A17:A18"/>
    <mergeCell ref="B17:C17"/>
    <mergeCell ref="D17:D18"/>
    <mergeCell ref="E17:E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C25"/>
  <sheetViews>
    <sheetView workbookViewId="0">
      <selection activeCell="A4" sqref="A4:C13"/>
    </sheetView>
  </sheetViews>
  <sheetFormatPr defaultColWidth="11.42578125" defaultRowHeight="15"/>
  <cols>
    <col min="1" max="3" width="13.85546875" customWidth="1"/>
  </cols>
  <sheetData>
    <row r="3" spans="1:3" ht="15.75" thickBot="1">
      <c r="A3" s="769"/>
      <c r="B3" s="769"/>
      <c r="C3" s="769"/>
    </row>
    <row r="4" spans="1:3" ht="15.75" thickBot="1">
      <c r="A4" s="770" t="s">
        <v>17</v>
      </c>
      <c r="B4" s="771"/>
      <c r="C4" s="772"/>
    </row>
    <row r="5" spans="1:3" ht="15.75" thickBot="1">
      <c r="A5" s="515" t="s">
        <v>1</v>
      </c>
      <c r="B5" s="718" t="s">
        <v>4</v>
      </c>
      <c r="C5" s="719" t="s">
        <v>12</v>
      </c>
    </row>
    <row r="6" spans="1:3" ht="15.75" thickTop="1">
      <c r="A6" s="14" t="s">
        <v>5</v>
      </c>
      <c r="B6" s="34">
        <v>815199</v>
      </c>
      <c r="C6" s="59">
        <f>+B6*0.01</f>
        <v>8151.99</v>
      </c>
    </row>
    <row r="7" spans="1:3">
      <c r="A7" s="16" t="s">
        <v>6</v>
      </c>
      <c r="B7" s="37">
        <f>+B6*1.0787</f>
        <v>879355.16130000004</v>
      </c>
      <c r="C7" s="59">
        <f t="shared" ref="C7:C10" si="0">+B7*0.01</f>
        <v>8793.5516130000015</v>
      </c>
    </row>
    <row r="8" spans="1:3">
      <c r="A8" s="16" t="s">
        <v>7</v>
      </c>
      <c r="B8" s="37">
        <f t="shared" ref="B8:B10" si="1">+B7*1.0787</f>
        <v>948560.41249431006</v>
      </c>
      <c r="C8" s="59">
        <f t="shared" si="0"/>
        <v>9485.6041249431</v>
      </c>
    </row>
    <row r="9" spans="1:3">
      <c r="A9" s="16" t="s">
        <v>8</v>
      </c>
      <c r="B9" s="37">
        <f t="shared" si="1"/>
        <v>1023212.1169576122</v>
      </c>
      <c r="C9" s="59">
        <f t="shared" si="0"/>
        <v>10232.121169576123</v>
      </c>
    </row>
    <row r="10" spans="1:3" ht="15.75" thickBot="1">
      <c r="A10" s="18" t="s">
        <v>9</v>
      </c>
      <c r="B10" s="36">
        <f t="shared" si="1"/>
        <v>1103738.9105621763</v>
      </c>
      <c r="C10" s="720">
        <f t="shared" si="0"/>
        <v>11037.389105621764</v>
      </c>
    </row>
    <row r="11" spans="1:3" ht="9" customHeight="1">
      <c r="A11" s="12"/>
      <c r="B11" s="12"/>
      <c r="C11" s="12"/>
    </row>
    <row r="12" spans="1:3">
      <c r="A12" s="12" t="s">
        <v>18</v>
      </c>
      <c r="B12" s="12"/>
      <c r="C12" s="12"/>
    </row>
    <row r="13" spans="1:3">
      <c r="A13" s="12" t="s">
        <v>397</v>
      </c>
      <c r="B13" s="12"/>
      <c r="C13" s="12"/>
    </row>
    <row r="15" spans="1:3" ht="15.75" thickBot="1"/>
    <row r="16" spans="1:3" ht="15.75" thickBot="1">
      <c r="A16" s="770" t="s">
        <v>19</v>
      </c>
      <c r="B16" s="771"/>
      <c r="C16" s="772"/>
    </row>
    <row r="17" spans="1:3" ht="15.75" thickBot="1">
      <c r="A17" s="515" t="s">
        <v>1</v>
      </c>
      <c r="B17" s="718" t="s">
        <v>4</v>
      </c>
      <c r="C17" s="719" t="s">
        <v>12</v>
      </c>
    </row>
    <row r="18" spans="1:3" ht="15.75" thickTop="1">
      <c r="A18" s="14" t="s">
        <v>5</v>
      </c>
      <c r="B18" s="22">
        <f>(2586055*0.3)*0.2</f>
        <v>155163.30000000002</v>
      </c>
      <c r="C18" s="23">
        <f>+B18*0.02</f>
        <v>3103.2660000000005</v>
      </c>
    </row>
    <row r="19" spans="1:3">
      <c r="A19" s="16" t="s">
        <v>6</v>
      </c>
      <c r="B19" s="24">
        <f>+B18*1.0787</f>
        <v>167374.65171000001</v>
      </c>
      <c r="C19" s="25">
        <f t="shared" ref="C19:C22" si="2">+B19*0.02</f>
        <v>3347.4930342000002</v>
      </c>
    </row>
    <row r="20" spans="1:3">
      <c r="A20" s="16" t="s">
        <v>7</v>
      </c>
      <c r="B20" s="24">
        <f t="shared" ref="B20:B22" si="3">+B19*1.0787</f>
        <v>180547.03679957701</v>
      </c>
      <c r="C20" s="25">
        <f t="shared" si="2"/>
        <v>3610.9407359915404</v>
      </c>
    </row>
    <row r="21" spans="1:3">
      <c r="A21" s="16" t="s">
        <v>8</v>
      </c>
      <c r="B21" s="24">
        <f t="shared" si="3"/>
        <v>194756.08859570371</v>
      </c>
      <c r="C21" s="25">
        <f t="shared" si="2"/>
        <v>3895.1217719140741</v>
      </c>
    </row>
    <row r="22" spans="1:3" ht="15.75" thickBot="1">
      <c r="A22" s="18" t="s">
        <v>9</v>
      </c>
      <c r="B22" s="26">
        <f t="shared" si="3"/>
        <v>210083.39276818559</v>
      </c>
      <c r="C22" s="27">
        <f t="shared" si="2"/>
        <v>4201.6678553637121</v>
      </c>
    </row>
    <row r="23" spans="1:3" ht="5.25" customHeight="1">
      <c r="A23" s="12"/>
      <c r="B23" s="12"/>
      <c r="C23" s="12"/>
    </row>
    <row r="24" spans="1:3">
      <c r="A24" s="12" t="s">
        <v>18</v>
      </c>
      <c r="B24" s="12"/>
      <c r="C24" s="12"/>
    </row>
    <row r="25" spans="1:3">
      <c r="A25" s="12" t="s">
        <v>20</v>
      </c>
      <c r="B25" s="12"/>
      <c r="C25" s="12"/>
    </row>
  </sheetData>
  <mergeCells count="3">
    <mergeCell ref="A3:C3"/>
    <mergeCell ref="A16:C16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L37"/>
  <sheetViews>
    <sheetView topLeftCell="A26" workbookViewId="0">
      <selection activeCell="F35" sqref="F35:K37"/>
    </sheetView>
  </sheetViews>
  <sheetFormatPr defaultColWidth="11.42578125" defaultRowHeight="15"/>
  <cols>
    <col min="1" max="1" width="16.5703125" customWidth="1"/>
    <col min="4" max="4" width="15.42578125" customWidth="1"/>
    <col min="5" max="5" width="11.140625" customWidth="1"/>
    <col min="6" max="6" width="16.7109375" customWidth="1"/>
    <col min="7" max="11" width="9.28515625" customWidth="1"/>
  </cols>
  <sheetData>
    <row r="2" spans="1:7">
      <c r="A2" t="s">
        <v>21</v>
      </c>
    </row>
    <row r="4" spans="1:7">
      <c r="A4" t="s">
        <v>22</v>
      </c>
    </row>
    <row r="5" spans="1:7">
      <c r="D5" t="s">
        <v>23</v>
      </c>
      <c r="E5" t="s">
        <v>24</v>
      </c>
      <c r="F5" t="s">
        <v>25</v>
      </c>
      <c r="G5" t="s">
        <v>26</v>
      </c>
    </row>
    <row r="6" spans="1:7">
      <c r="A6" t="s">
        <v>27</v>
      </c>
      <c r="D6" s="28">
        <v>1114181</v>
      </c>
      <c r="E6" s="29">
        <v>9.6000000000000002E-2</v>
      </c>
      <c r="F6" s="28">
        <f>+D6*(1-E6)</f>
        <v>1007219.6240000001</v>
      </c>
      <c r="G6" s="28">
        <f>+D6*E6</f>
        <v>106961.376</v>
      </c>
    </row>
    <row r="7" spans="1:7">
      <c r="C7" t="s">
        <v>28</v>
      </c>
      <c r="D7" s="28" t="s">
        <v>23</v>
      </c>
      <c r="E7" s="29" t="s">
        <v>29</v>
      </c>
      <c r="F7" s="28" t="s">
        <v>30</v>
      </c>
      <c r="G7" s="28"/>
    </row>
    <row r="8" spans="1:7">
      <c r="A8" t="s">
        <v>31</v>
      </c>
      <c r="B8" s="28">
        <v>466448.82294400007</v>
      </c>
      <c r="C8">
        <f>+B8/B10</f>
        <v>0.56200000000000006</v>
      </c>
      <c r="D8" s="28">
        <f>+D6*C8</f>
        <v>626169.72200000007</v>
      </c>
      <c r="E8" s="30">
        <f>+F6*C8</f>
        <v>566057.42868800007</v>
      </c>
      <c r="F8" s="30">
        <f>+C8*G6</f>
        <v>60112.293312000009</v>
      </c>
      <c r="G8" s="28"/>
    </row>
    <row r="9" spans="1:7">
      <c r="A9" t="s">
        <v>32</v>
      </c>
      <c r="B9" s="28">
        <v>363531.28905600001</v>
      </c>
      <c r="C9">
        <f>+B9/B10</f>
        <v>0.43799999999999994</v>
      </c>
      <c r="D9" s="28">
        <f>+D6*C9</f>
        <v>488011.27799999993</v>
      </c>
      <c r="E9" s="30">
        <f>+F6*C9</f>
        <v>441162.195312</v>
      </c>
      <c r="F9" s="30">
        <f>+C9*G6</f>
        <v>46849.082687999995</v>
      </c>
      <c r="G9" s="28"/>
    </row>
    <row r="10" spans="1:7">
      <c r="A10" t="s">
        <v>33</v>
      </c>
      <c r="B10">
        <f>+B8+B9</f>
        <v>829980.11200000008</v>
      </c>
      <c r="C10">
        <f>+C8+C9</f>
        <v>1</v>
      </c>
      <c r="D10" s="28">
        <f>+D8+D9</f>
        <v>1114181</v>
      </c>
      <c r="E10" s="30">
        <f>+E8+E9</f>
        <v>1007219.6240000001</v>
      </c>
      <c r="F10" s="30">
        <f>+F8+F9</f>
        <v>106961.376</v>
      </c>
      <c r="G10" s="28"/>
    </row>
    <row r="11" spans="1:7">
      <c r="A11" t="s">
        <v>34</v>
      </c>
    </row>
    <row r="13" spans="1:7">
      <c r="A13" t="s">
        <v>35</v>
      </c>
      <c r="B13" s="28">
        <f>+D9*0.562</f>
        <v>274262.33823599998</v>
      </c>
      <c r="C13" t="s">
        <v>36</v>
      </c>
    </row>
    <row r="14" spans="1:7">
      <c r="A14" t="s">
        <v>37</v>
      </c>
      <c r="B14" s="28">
        <f>+D9*0.438</f>
        <v>213748.93976399998</v>
      </c>
      <c r="C14" t="s">
        <v>38</v>
      </c>
    </row>
    <row r="16" spans="1:7">
      <c r="A16" t="s">
        <v>39</v>
      </c>
    </row>
    <row r="18" spans="1:12">
      <c r="A18" t="s">
        <v>31</v>
      </c>
      <c r="B18" s="28">
        <f>E8</f>
        <v>566057.42868800007</v>
      </c>
      <c r="C18" t="s">
        <v>36</v>
      </c>
    </row>
    <row r="19" spans="1:12">
      <c r="A19" t="s">
        <v>32</v>
      </c>
      <c r="B19" s="28">
        <f>E9</f>
        <v>441162.195312</v>
      </c>
      <c r="C19" t="s">
        <v>38</v>
      </c>
    </row>
    <row r="22" spans="1:12">
      <c r="A22" t="s">
        <v>40</v>
      </c>
    </row>
    <row r="23" spans="1:12">
      <c r="C23" t="s">
        <v>41</v>
      </c>
      <c r="D23" t="s">
        <v>42</v>
      </c>
      <c r="E23" t="s">
        <v>43</v>
      </c>
    </row>
    <row r="24" spans="1:12">
      <c r="A24" t="s">
        <v>44</v>
      </c>
      <c r="C24" s="28">
        <f>+B18*0.01</f>
        <v>5660.5742868800007</v>
      </c>
      <c r="D24" s="28">
        <f>+C24/12</f>
        <v>471.71452390666673</v>
      </c>
      <c r="E24" s="31">
        <f>+D24/30</f>
        <v>15.723817463555557</v>
      </c>
    </row>
    <row r="25" spans="1:12">
      <c r="C25" s="28"/>
      <c r="D25" s="28"/>
      <c r="E25" s="28"/>
    </row>
    <row r="26" spans="1:12">
      <c r="A26" t="s">
        <v>45</v>
      </c>
      <c r="C26" s="28">
        <f>+B19*0.01</f>
        <v>4411.6219531200004</v>
      </c>
      <c r="D26" s="28">
        <f t="shared" ref="D26" si="0">+C26/12</f>
        <v>367.63516276000001</v>
      </c>
      <c r="E26" s="31">
        <f t="shared" ref="E26" si="1">+D26/30</f>
        <v>12.254505425333333</v>
      </c>
    </row>
    <row r="27" spans="1:12">
      <c r="C27" s="28"/>
      <c r="D27" s="28"/>
      <c r="E27" s="31"/>
    </row>
    <row r="28" spans="1:12" ht="15.75" thickBot="1">
      <c r="A28" s="773"/>
      <c r="B28" s="773"/>
      <c r="C28" s="773"/>
      <c r="D28" s="773"/>
      <c r="E28" s="773"/>
    </row>
    <row r="29" spans="1:12" ht="26.25" thickBot="1">
      <c r="A29" s="721"/>
      <c r="B29" s="722" t="s">
        <v>47</v>
      </c>
      <c r="C29" s="722" t="s">
        <v>25</v>
      </c>
      <c r="D29" s="722" t="s">
        <v>48</v>
      </c>
      <c r="E29" s="723" t="s">
        <v>49</v>
      </c>
      <c r="F29" s="736"/>
      <c r="G29" s="734" t="s">
        <v>5</v>
      </c>
      <c r="H29" s="734" t="s">
        <v>6</v>
      </c>
      <c r="I29" s="734" t="s">
        <v>7</v>
      </c>
      <c r="J29" s="734" t="s">
        <v>8</v>
      </c>
      <c r="K29" s="735" t="s">
        <v>9</v>
      </c>
      <c r="L29" s="32"/>
    </row>
    <row r="30" spans="1:12" ht="32.25" customHeight="1" thickTop="1">
      <c r="A30" s="724" t="s">
        <v>402</v>
      </c>
      <c r="B30" s="725">
        <v>626170</v>
      </c>
      <c r="C30" s="726">
        <f>E8</f>
        <v>566057.42868800007</v>
      </c>
      <c r="D30" s="727">
        <f>+C30*0.403</f>
        <v>228121.14376126404</v>
      </c>
      <c r="E30" s="728">
        <f>+D30*0.015</f>
        <v>3421.8171564189606</v>
      </c>
      <c r="F30" s="33" t="s">
        <v>51</v>
      </c>
      <c r="G30" s="34">
        <f>E30</f>
        <v>3421.8171564189606</v>
      </c>
      <c r="H30" s="34">
        <f>+G30*1.024</f>
        <v>3503.9407681730158</v>
      </c>
      <c r="I30" s="34">
        <f t="shared" ref="I30:K31" si="2">+H30*1.024</f>
        <v>3588.0353466091683</v>
      </c>
      <c r="J30" s="34">
        <f t="shared" si="2"/>
        <v>3674.1481949277886</v>
      </c>
      <c r="K30" s="59">
        <f t="shared" si="2"/>
        <v>3762.3277516060557</v>
      </c>
    </row>
    <row r="31" spans="1:12" ht="32.25" customHeight="1" thickBot="1">
      <c r="A31" s="729" t="s">
        <v>403</v>
      </c>
      <c r="B31" s="730">
        <v>488011</v>
      </c>
      <c r="C31" s="731">
        <f>E9</f>
        <v>441162.195312</v>
      </c>
      <c r="D31" s="732">
        <f>+C31*0.403</f>
        <v>177788.364710736</v>
      </c>
      <c r="E31" s="733">
        <f>+D31*0.015</f>
        <v>2666.8254706610401</v>
      </c>
      <c r="F31" s="35" t="s">
        <v>53</v>
      </c>
      <c r="G31" s="36">
        <f>E31</f>
        <v>2666.8254706610401</v>
      </c>
      <c r="H31" s="36">
        <f>+G31*1.024</f>
        <v>2730.8292819569051</v>
      </c>
      <c r="I31" s="36">
        <f t="shared" si="2"/>
        <v>2796.3691847238711</v>
      </c>
      <c r="J31" s="36">
        <f t="shared" si="2"/>
        <v>2863.4820451572441</v>
      </c>
      <c r="K31" s="39">
        <f t="shared" si="2"/>
        <v>2932.2056142410179</v>
      </c>
    </row>
    <row r="34" spans="1:11" ht="15.75" thickBot="1">
      <c r="A34" s="774" t="s">
        <v>54</v>
      </c>
      <c r="B34" s="774"/>
      <c r="C34" s="774"/>
      <c r="D34" s="774"/>
      <c r="E34" s="774"/>
    </row>
    <row r="35" spans="1:11" s="32" customFormat="1" ht="26.25" thickBot="1">
      <c r="A35" s="721"/>
      <c r="B35" s="722" t="s">
        <v>47</v>
      </c>
      <c r="C35" s="722" t="s">
        <v>25</v>
      </c>
      <c r="D35" s="722" t="s">
        <v>48</v>
      </c>
      <c r="E35" s="723" t="s">
        <v>55</v>
      </c>
      <c r="F35" s="736"/>
      <c r="G35" s="734" t="s">
        <v>5</v>
      </c>
      <c r="H35" s="734" t="s">
        <v>6</v>
      </c>
      <c r="I35" s="734" t="s">
        <v>7</v>
      </c>
      <c r="J35" s="734" t="s">
        <v>8</v>
      </c>
      <c r="K35" s="735" t="s">
        <v>9</v>
      </c>
    </row>
    <row r="36" spans="1:11" s="32" customFormat="1" ht="31.5" customHeight="1" thickTop="1">
      <c r="A36" s="739" t="s">
        <v>50</v>
      </c>
      <c r="B36" s="725">
        <f>B30</f>
        <v>626170</v>
      </c>
      <c r="C36" s="726">
        <f t="shared" ref="C36:D37" si="3">C30</f>
        <v>566057.42868800007</v>
      </c>
      <c r="D36" s="727">
        <f t="shared" si="3"/>
        <v>228121.14376126404</v>
      </c>
      <c r="E36" s="728">
        <f>+D36*0.005</f>
        <v>1140.6057188063203</v>
      </c>
      <c r="F36" s="737" t="s">
        <v>50</v>
      </c>
      <c r="G36" s="34">
        <f>+E36</f>
        <v>1140.6057188063203</v>
      </c>
      <c r="H36" s="34">
        <f>+G36*1.024</f>
        <v>1167.980256057672</v>
      </c>
      <c r="I36" s="34">
        <f t="shared" ref="I36:K37" si="4">+H36*1.024</f>
        <v>1196.0117822030561</v>
      </c>
      <c r="J36" s="34">
        <f t="shared" si="4"/>
        <v>1224.7160649759294</v>
      </c>
      <c r="K36" s="59">
        <f t="shared" si="4"/>
        <v>1254.1092505353517</v>
      </c>
    </row>
    <row r="37" spans="1:11" s="32" customFormat="1" ht="31.5" customHeight="1" thickBot="1">
      <c r="A37" s="740" t="s">
        <v>52</v>
      </c>
      <c r="B37" s="730">
        <f>B31</f>
        <v>488011</v>
      </c>
      <c r="C37" s="731">
        <f t="shared" si="3"/>
        <v>441162.195312</v>
      </c>
      <c r="D37" s="732">
        <f t="shared" si="3"/>
        <v>177788.364710736</v>
      </c>
      <c r="E37" s="733">
        <f>+D37*0.005</f>
        <v>888.94182355368002</v>
      </c>
      <c r="F37" s="738" t="s">
        <v>52</v>
      </c>
      <c r="G37" s="36">
        <f>+E37</f>
        <v>888.94182355368002</v>
      </c>
      <c r="H37" s="36">
        <f>+G37*1.024</f>
        <v>910.27642731896833</v>
      </c>
      <c r="I37" s="36">
        <f t="shared" si="4"/>
        <v>932.12306157462353</v>
      </c>
      <c r="J37" s="36">
        <f t="shared" si="4"/>
        <v>954.49401505241451</v>
      </c>
      <c r="K37" s="39">
        <f t="shared" si="4"/>
        <v>977.40187141367244</v>
      </c>
    </row>
  </sheetData>
  <mergeCells count="2">
    <mergeCell ref="A28:E28"/>
    <mergeCell ref="A34:E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0"/>
  <sheetViews>
    <sheetView topLeftCell="A34" workbookViewId="0">
      <selection activeCell="I6" sqref="I6"/>
    </sheetView>
  </sheetViews>
  <sheetFormatPr defaultColWidth="11.42578125" defaultRowHeight="15"/>
  <cols>
    <col min="1" max="1" width="18.140625" customWidth="1"/>
    <col min="2" max="2" width="22.28515625" customWidth="1"/>
    <col min="9" max="9" width="20" customWidth="1"/>
    <col min="10" max="10" width="14.28515625" bestFit="1" customWidth="1"/>
    <col min="12" max="12" width="18.42578125" customWidth="1"/>
    <col min="13" max="13" width="13.7109375" bestFit="1" customWidth="1"/>
    <col min="15" max="15" width="19.7109375" customWidth="1"/>
    <col min="16" max="16" width="13.7109375" bestFit="1" customWidth="1"/>
  </cols>
  <sheetData>
    <row r="1" spans="2:16" ht="15.75" thickBot="1"/>
    <row r="2" spans="2:16" ht="15.75" thickBot="1">
      <c r="B2" s="99" t="s">
        <v>11</v>
      </c>
      <c r="C2" s="40" t="s">
        <v>5</v>
      </c>
      <c r="D2" s="40" t="s">
        <v>6</v>
      </c>
      <c r="E2" s="40" t="s">
        <v>7</v>
      </c>
      <c r="F2" s="40" t="s">
        <v>8</v>
      </c>
      <c r="G2" s="86" t="s">
        <v>9</v>
      </c>
      <c r="H2" s="57" t="s">
        <v>33</v>
      </c>
    </row>
    <row r="3" spans="2:16" ht="15.75" thickTop="1">
      <c r="B3" s="54" t="s">
        <v>56</v>
      </c>
      <c r="C3" s="95">
        <f>Demanda!B3</f>
        <v>3149.6480000000001</v>
      </c>
      <c r="D3" s="95">
        <f>Demanda!C3</f>
        <v>3225.2395520000005</v>
      </c>
      <c r="E3" s="95">
        <f>Demanda!D3</f>
        <v>3302.6453012480006</v>
      </c>
      <c r="F3" s="95">
        <f>Demanda!E3</f>
        <v>3381.9087884779533</v>
      </c>
      <c r="G3" s="96">
        <f>Demanda!F3</f>
        <v>3463.0745994014237</v>
      </c>
      <c r="H3" s="87">
        <f>SUM(C3:G3)</f>
        <v>16522.516241127378</v>
      </c>
      <c r="I3">
        <f t="shared" ref="I3:I9" si="0">H3/$H$10</f>
        <v>0.11081330703955873</v>
      </c>
    </row>
    <row r="4" spans="2:16">
      <c r="B4" s="42" t="s">
        <v>57</v>
      </c>
      <c r="C4" s="43">
        <f>Demanda!B4</f>
        <v>4607.7149999999992</v>
      </c>
      <c r="D4" s="43">
        <f>Demanda!C4</f>
        <v>4714.7001599999994</v>
      </c>
      <c r="E4" s="43">
        <f>Demanda!D4</f>
        <v>4824.2097638400001</v>
      </c>
      <c r="F4" s="43">
        <f>Demanda!E4</f>
        <v>4936.3038797721601</v>
      </c>
      <c r="G4" s="44">
        <f>Demanda!F4</f>
        <v>5051.0440114658923</v>
      </c>
      <c r="H4" s="88">
        <f>SUM(C4:G4)</f>
        <v>24133.97281507805</v>
      </c>
      <c r="I4">
        <f t="shared" si="0"/>
        <v>0.16186186780586442</v>
      </c>
      <c r="J4" s="775" t="s">
        <v>90</v>
      </c>
      <c r="K4" s="775"/>
    </row>
    <row r="5" spans="2:16">
      <c r="B5" s="42" t="s">
        <v>58</v>
      </c>
      <c r="C5" s="43">
        <f>Demanda!B5</f>
        <v>8151.99</v>
      </c>
      <c r="D5" s="43">
        <f>Demanda!C5</f>
        <v>8793.5516130000015</v>
      </c>
      <c r="E5" s="43">
        <f>Demanda!D5</f>
        <v>9485.6041249431</v>
      </c>
      <c r="F5" s="43">
        <f>Demanda!E5</f>
        <v>10232.121169576123</v>
      </c>
      <c r="G5" s="44">
        <f>Demanda!F5</f>
        <v>11037.389105621764</v>
      </c>
      <c r="H5" s="88">
        <f t="shared" ref="H5:H9" si="1">SUM(C5:G5)</f>
        <v>47700.656013140986</v>
      </c>
      <c r="I5">
        <f t="shared" si="0"/>
        <v>0.31991903434267077</v>
      </c>
      <c r="J5" s="89">
        <v>815199</v>
      </c>
      <c r="K5" s="89">
        <f>J5*0.1</f>
        <v>81519.900000000009</v>
      </c>
    </row>
    <row r="6" spans="2:16">
      <c r="B6" s="42" t="s">
        <v>91</v>
      </c>
      <c r="C6" s="43">
        <f>Demanda!B6</f>
        <v>3103.2660000000005</v>
      </c>
      <c r="D6" s="43">
        <f>Demanda!C6</f>
        <v>3347.4930342000002</v>
      </c>
      <c r="E6" s="43">
        <f>Demanda!D6</f>
        <v>3610.9407359915404</v>
      </c>
      <c r="F6" s="43">
        <f>Demanda!E6</f>
        <v>3895.1217719140741</v>
      </c>
      <c r="G6" s="44">
        <f>Demanda!F6</f>
        <v>4201.6678553637121</v>
      </c>
      <c r="H6" s="88">
        <f t="shared" si="1"/>
        <v>18158.489397469326</v>
      </c>
      <c r="I6">
        <f t="shared" si="0"/>
        <v>0.1217854612221608</v>
      </c>
      <c r="J6" s="89">
        <f>(J5*(0.0787%))+J5</f>
        <v>815840.561613</v>
      </c>
      <c r="K6" s="89">
        <f t="shared" ref="K6:K9" si="2">J6*0.1</f>
        <v>81584.056161300003</v>
      </c>
    </row>
    <row r="7" spans="2:16">
      <c r="B7" s="42" t="s">
        <v>51</v>
      </c>
      <c r="C7" s="43">
        <f>Demanda!B7</f>
        <v>3421.8171564189606</v>
      </c>
      <c r="D7" s="43">
        <f>Demanda!C7</f>
        <v>3503.9407681730158</v>
      </c>
      <c r="E7" s="43">
        <f>Demanda!D7</f>
        <v>3588.0353466091683</v>
      </c>
      <c r="F7" s="43">
        <f>Demanda!E7</f>
        <v>3674.1481949277886</v>
      </c>
      <c r="G7" s="44">
        <f>Demanda!F7</f>
        <v>3762.3277516060557</v>
      </c>
      <c r="H7" s="88">
        <f t="shared" si="1"/>
        <v>17950.269217734989</v>
      </c>
      <c r="I7">
        <f t="shared" si="0"/>
        <v>0.12038896892207765</v>
      </c>
      <c r="J7" s="89">
        <f t="shared" ref="J7:J9" si="3">(J6*(0.0787%))+J6</f>
        <v>816482.62813498941</v>
      </c>
      <c r="K7" s="89">
        <f>J7*0.1</f>
        <v>81648.26281349895</v>
      </c>
    </row>
    <row r="8" spans="2:16">
      <c r="B8" s="42" t="s">
        <v>53</v>
      </c>
      <c r="C8" s="43">
        <f>Demanda!B8</f>
        <v>2666.8254706610401</v>
      </c>
      <c r="D8" s="43">
        <f>Demanda!C8</f>
        <v>2730.8292819569051</v>
      </c>
      <c r="E8" s="43">
        <f>Demanda!D8</f>
        <v>2796.3691847238711</v>
      </c>
      <c r="F8" s="43">
        <f>Demanda!E8</f>
        <v>2863.4820451572441</v>
      </c>
      <c r="G8" s="44">
        <f>Demanda!F8</f>
        <v>2932.2056142410179</v>
      </c>
      <c r="H8" s="88">
        <f t="shared" si="1"/>
        <v>13989.711596740079</v>
      </c>
      <c r="I8">
        <f t="shared" si="0"/>
        <v>9.3826278270231322E-2</v>
      </c>
      <c r="J8" s="89">
        <f t="shared" si="3"/>
        <v>817125.19996333169</v>
      </c>
      <c r="K8" s="89">
        <f t="shared" si="2"/>
        <v>81712.519996333169</v>
      </c>
    </row>
    <row r="9" spans="2:16" ht="15.75" thickBot="1">
      <c r="B9" s="47" t="s">
        <v>92</v>
      </c>
      <c r="C9" s="97">
        <f>Demanda!B9</f>
        <v>2029.5475423600003</v>
      </c>
      <c r="D9" s="97">
        <f>Demanda!C9</f>
        <v>2078.2566833766405</v>
      </c>
      <c r="E9" s="97">
        <f>Demanda!D9</f>
        <v>2128.1348437776796</v>
      </c>
      <c r="F9" s="97">
        <f>Demanda!E9</f>
        <v>2179.2100800283438</v>
      </c>
      <c r="G9" s="98">
        <f>Demanda!F9</f>
        <v>2231.5111219490241</v>
      </c>
      <c r="H9" s="90">
        <f t="shared" si="1"/>
        <v>10646.660271491688</v>
      </c>
      <c r="I9">
        <f t="shared" si="0"/>
        <v>7.1405082397436315E-2</v>
      </c>
      <c r="J9" s="89">
        <f t="shared" si="3"/>
        <v>817768.27749570285</v>
      </c>
      <c r="K9" s="89">
        <f t="shared" si="2"/>
        <v>81776.827749570293</v>
      </c>
    </row>
    <row r="10" spans="2:16" ht="16.5" thickTop="1" thickBot="1">
      <c r="B10" s="50" t="s">
        <v>33</v>
      </c>
      <c r="C10" s="51">
        <f>SUM(C3:C9)</f>
        <v>27130.809169439999</v>
      </c>
      <c r="D10" s="52">
        <f>SUM(D3:D9)</f>
        <v>28394.011092706562</v>
      </c>
      <c r="E10" s="52">
        <f>SUM(E3:E9)</f>
        <v>29735.93930113336</v>
      </c>
      <c r="F10" s="52">
        <f>SUM(F3:F9)</f>
        <v>31162.295929853684</v>
      </c>
      <c r="G10" s="91">
        <f>SUM(G3:G9)</f>
        <v>32679.220059648891</v>
      </c>
      <c r="H10" s="92">
        <f>SUM(C10:G10)</f>
        <v>149102.27555278249</v>
      </c>
    </row>
    <row r="11" spans="2:16" ht="15.75" thickBot="1">
      <c r="B11" s="93"/>
      <c r="C11" s="94"/>
      <c r="D11" s="94"/>
      <c r="E11" s="94"/>
      <c r="F11" s="94"/>
      <c r="G11" s="94"/>
    </row>
    <row r="12" spans="2:16" ht="45">
      <c r="B12" s="70" t="s">
        <v>62</v>
      </c>
      <c r="C12" s="71" t="s">
        <v>63</v>
      </c>
      <c r="D12" s="71" t="s">
        <v>64</v>
      </c>
      <c r="E12" s="71" t="s">
        <v>65</v>
      </c>
      <c r="F12" s="72" t="s">
        <v>66</v>
      </c>
      <c r="I12" s="79" t="s">
        <v>70</v>
      </c>
      <c r="L12" s="79" t="s">
        <v>71</v>
      </c>
      <c r="O12" s="79" t="s">
        <v>72</v>
      </c>
    </row>
    <row r="13" spans="2:16">
      <c r="B13" s="73" t="s">
        <v>67</v>
      </c>
      <c r="C13" s="74">
        <v>80000</v>
      </c>
      <c r="D13" s="74">
        <v>30000</v>
      </c>
      <c r="E13" s="74">
        <v>15</v>
      </c>
      <c r="F13" s="75">
        <v>200000</v>
      </c>
      <c r="I13" s="80" t="s">
        <v>73</v>
      </c>
      <c r="J13" s="80" t="s">
        <v>74</v>
      </c>
      <c r="L13" s="80" t="s">
        <v>73</v>
      </c>
      <c r="M13" s="80" t="s">
        <v>74</v>
      </c>
      <c r="O13" s="80" t="s">
        <v>73</v>
      </c>
      <c r="P13" s="80" t="s">
        <v>74</v>
      </c>
    </row>
    <row r="14" spans="2:16">
      <c r="B14" s="73" t="s">
        <v>68</v>
      </c>
      <c r="C14" s="74">
        <v>100000</v>
      </c>
      <c r="D14" s="74">
        <v>35000</v>
      </c>
      <c r="E14" s="74">
        <v>13</v>
      </c>
      <c r="F14" s="75">
        <v>300000</v>
      </c>
      <c r="I14" t="s">
        <v>75</v>
      </c>
      <c r="L14" t="s">
        <v>75</v>
      </c>
      <c r="O14" t="s">
        <v>75</v>
      </c>
    </row>
    <row r="15" spans="2:16" ht="15.75" thickBot="1">
      <c r="B15" s="76" t="s">
        <v>69</v>
      </c>
      <c r="C15" s="77">
        <v>120000</v>
      </c>
      <c r="D15" s="77">
        <v>40000</v>
      </c>
      <c r="E15" s="77">
        <v>11</v>
      </c>
      <c r="F15" s="78">
        <v>400000</v>
      </c>
      <c r="I15" t="s">
        <v>76</v>
      </c>
      <c r="L15" t="s">
        <v>76</v>
      </c>
      <c r="O15" t="s">
        <v>76</v>
      </c>
    </row>
    <row r="16" spans="2:16">
      <c r="I16" t="s">
        <v>77</v>
      </c>
      <c r="L16" t="s">
        <v>77</v>
      </c>
      <c r="O16" t="s">
        <v>77</v>
      </c>
    </row>
    <row r="17" spans="1:16">
      <c r="I17" t="s">
        <v>78</v>
      </c>
      <c r="L17" t="s">
        <v>78</v>
      </c>
      <c r="O17" t="s">
        <v>78</v>
      </c>
    </row>
    <row r="18" spans="1:16">
      <c r="A18" s="79" t="s">
        <v>70</v>
      </c>
      <c r="I18" t="s">
        <v>79</v>
      </c>
      <c r="L18" t="s">
        <v>79</v>
      </c>
      <c r="O18" t="s">
        <v>79</v>
      </c>
    </row>
    <row r="19" spans="1:16">
      <c r="A19" s="81" t="s">
        <v>1</v>
      </c>
      <c r="B19" s="81">
        <v>0</v>
      </c>
      <c r="C19" s="81">
        <v>1</v>
      </c>
      <c r="D19" s="81">
        <v>2</v>
      </c>
      <c r="E19" s="81">
        <v>3</v>
      </c>
      <c r="F19" s="81">
        <v>4</v>
      </c>
      <c r="G19" s="81">
        <v>5</v>
      </c>
      <c r="H19" s="80"/>
      <c r="I19" s="82" t="s">
        <v>80</v>
      </c>
      <c r="J19" t="e">
        <f>AVERAGE(J14:J18)</f>
        <v>#DIV/0!</v>
      </c>
      <c r="L19" s="82" t="s">
        <v>80</v>
      </c>
      <c r="M19" t="e">
        <f>AVERAGE(M14:M18)</f>
        <v>#DIV/0!</v>
      </c>
      <c r="O19" s="82" t="s">
        <v>80</v>
      </c>
      <c r="P19" t="e">
        <f>AVERAGE(P14:P18)</f>
        <v>#DIV/0!</v>
      </c>
    </row>
    <row r="20" spans="1:16">
      <c r="A20" s="74" t="s">
        <v>81</v>
      </c>
      <c r="B20" s="45"/>
      <c r="C20" s="45">
        <v>80000</v>
      </c>
      <c r="D20" s="45">
        <v>80000</v>
      </c>
      <c r="E20" s="45">
        <v>80000</v>
      </c>
      <c r="F20" s="45">
        <v>80000</v>
      </c>
      <c r="G20" s="45">
        <v>80000</v>
      </c>
    </row>
    <row r="21" spans="1:16">
      <c r="A21" s="74" t="s">
        <v>82</v>
      </c>
      <c r="B21" s="74"/>
      <c r="C21" s="74">
        <f>$C$20*25</f>
        <v>2000000</v>
      </c>
      <c r="D21" s="74">
        <f t="shared" ref="D21:G21" si="4">$C$20*25</f>
        <v>2000000</v>
      </c>
      <c r="E21" s="74">
        <f t="shared" si="4"/>
        <v>2000000</v>
      </c>
      <c r="F21" s="74">
        <f t="shared" si="4"/>
        <v>2000000</v>
      </c>
      <c r="G21" s="74">
        <f t="shared" si="4"/>
        <v>2000000</v>
      </c>
    </row>
    <row r="22" spans="1:16">
      <c r="A22" s="74" t="s">
        <v>83</v>
      </c>
      <c r="B22" s="74"/>
      <c r="C22" s="74">
        <f>$D$13</f>
        <v>30000</v>
      </c>
      <c r="D22" s="74">
        <f t="shared" ref="D22:G22" si="5">$D$13</f>
        <v>30000</v>
      </c>
      <c r="E22" s="74">
        <f t="shared" si="5"/>
        <v>30000</v>
      </c>
      <c r="F22" s="74">
        <f t="shared" si="5"/>
        <v>30000</v>
      </c>
      <c r="G22" s="74">
        <f t="shared" si="5"/>
        <v>30000</v>
      </c>
    </row>
    <row r="23" spans="1:16">
      <c r="A23" s="74" t="s">
        <v>84</v>
      </c>
      <c r="B23" s="74"/>
      <c r="C23" s="74">
        <f>$E$13*C20</f>
        <v>1200000</v>
      </c>
      <c r="D23" s="74">
        <f t="shared" ref="D23:G23" si="6">$E$13*D20</f>
        <v>1200000</v>
      </c>
      <c r="E23" s="74">
        <f t="shared" si="6"/>
        <v>1200000</v>
      </c>
      <c r="F23" s="74">
        <f t="shared" si="6"/>
        <v>1200000</v>
      </c>
      <c r="G23" s="74">
        <f t="shared" si="6"/>
        <v>1200000</v>
      </c>
      <c r="I23" s="80" t="s">
        <v>73</v>
      </c>
      <c r="J23" s="80" t="s">
        <v>85</v>
      </c>
    </row>
    <row r="24" spans="1:16">
      <c r="A24" s="74" t="s">
        <v>86</v>
      </c>
      <c r="B24" s="74"/>
      <c r="C24" s="74">
        <f>C22+C23</f>
        <v>1230000</v>
      </c>
      <c r="D24" s="74">
        <f t="shared" ref="D24:G24" si="7">D22+D23</f>
        <v>1230000</v>
      </c>
      <c r="E24" s="74">
        <f t="shared" si="7"/>
        <v>1230000</v>
      </c>
      <c r="F24" s="74">
        <f t="shared" si="7"/>
        <v>1230000</v>
      </c>
      <c r="G24" s="74">
        <f t="shared" si="7"/>
        <v>1230000</v>
      </c>
      <c r="I24" t="s">
        <v>75</v>
      </c>
    </row>
    <row r="25" spans="1:16">
      <c r="A25" s="74" t="s">
        <v>87</v>
      </c>
      <c r="B25" s="74">
        <f>-F13</f>
        <v>-200000</v>
      </c>
      <c r="C25" s="83">
        <f>C21-C24</f>
        <v>770000</v>
      </c>
      <c r="D25" s="74">
        <f t="shared" ref="D25:G25" si="8">D21-D24</f>
        <v>770000</v>
      </c>
      <c r="E25" s="74">
        <f t="shared" si="8"/>
        <v>770000</v>
      </c>
      <c r="F25" s="74">
        <f t="shared" si="8"/>
        <v>770000</v>
      </c>
      <c r="G25" s="74">
        <f t="shared" si="8"/>
        <v>770000</v>
      </c>
      <c r="I25" t="s">
        <v>76</v>
      </c>
    </row>
    <row r="26" spans="1:16">
      <c r="A26" s="84" t="s">
        <v>88</v>
      </c>
      <c r="B26" s="85">
        <f>NPV(10%,B25:G25)</f>
        <v>2471732.556767731</v>
      </c>
      <c r="I26" t="s">
        <v>77</v>
      </c>
    </row>
    <row r="27" spans="1:16">
      <c r="I27" t="s">
        <v>78</v>
      </c>
    </row>
    <row r="28" spans="1:16">
      <c r="I28" t="s">
        <v>79</v>
      </c>
    </row>
    <row r="29" spans="1:16">
      <c r="I29" s="82" t="s">
        <v>89</v>
      </c>
      <c r="J29" t="e">
        <f>AVERAGE(J24:J28)</f>
        <v>#DIV/0!</v>
      </c>
    </row>
    <row r="30" spans="1:16">
      <c r="A30" s="79" t="s">
        <v>71</v>
      </c>
    </row>
    <row r="31" spans="1:16">
      <c r="A31" s="81" t="s">
        <v>1</v>
      </c>
      <c r="B31" s="81">
        <v>0</v>
      </c>
      <c r="C31" s="81">
        <v>1</v>
      </c>
      <c r="D31" s="81">
        <v>2</v>
      </c>
      <c r="E31" s="81">
        <v>3</v>
      </c>
      <c r="F31" s="81">
        <v>4</v>
      </c>
      <c r="G31" s="81">
        <v>5</v>
      </c>
    </row>
    <row r="32" spans="1:16">
      <c r="A32" s="74" t="s">
        <v>81</v>
      </c>
      <c r="B32" s="74"/>
      <c r="C32" s="45">
        <v>100000</v>
      </c>
      <c r="D32" s="45">
        <v>100000</v>
      </c>
      <c r="E32" s="45">
        <v>100000</v>
      </c>
      <c r="F32" s="45">
        <v>100000</v>
      </c>
      <c r="G32" s="45">
        <v>100000</v>
      </c>
    </row>
    <row r="33" spans="1:7">
      <c r="A33" s="74" t="s">
        <v>82</v>
      </c>
      <c r="B33" s="74"/>
      <c r="C33" s="74">
        <f>$C$32*25</f>
        <v>2500000</v>
      </c>
      <c r="D33" s="74">
        <f t="shared" ref="D33:G33" si="9">$C$32*25</f>
        <v>2500000</v>
      </c>
      <c r="E33" s="74">
        <f t="shared" si="9"/>
        <v>2500000</v>
      </c>
      <c r="F33" s="74">
        <f t="shared" si="9"/>
        <v>2500000</v>
      </c>
      <c r="G33" s="74">
        <f t="shared" si="9"/>
        <v>2500000</v>
      </c>
    </row>
    <row r="34" spans="1:7">
      <c r="A34" s="74" t="s">
        <v>83</v>
      </c>
      <c r="B34" s="74"/>
      <c r="C34" s="74">
        <f>$D$14</f>
        <v>35000</v>
      </c>
      <c r="D34" s="74">
        <f t="shared" ref="D34:G34" si="10">$D$14</f>
        <v>35000</v>
      </c>
      <c r="E34" s="74">
        <f t="shared" si="10"/>
        <v>35000</v>
      </c>
      <c r="F34" s="74">
        <f t="shared" si="10"/>
        <v>35000</v>
      </c>
      <c r="G34" s="74">
        <f t="shared" si="10"/>
        <v>35000</v>
      </c>
    </row>
    <row r="35" spans="1:7">
      <c r="A35" s="74" t="s">
        <v>84</v>
      </c>
      <c r="B35" s="74"/>
      <c r="C35" s="74">
        <f>$E$14*C32</f>
        <v>1300000</v>
      </c>
      <c r="D35" s="74">
        <f t="shared" ref="D35:G35" si="11">$E$14*D32</f>
        <v>1300000</v>
      </c>
      <c r="E35" s="74">
        <f t="shared" si="11"/>
        <v>1300000</v>
      </c>
      <c r="F35" s="74">
        <f t="shared" si="11"/>
        <v>1300000</v>
      </c>
      <c r="G35" s="74">
        <f t="shared" si="11"/>
        <v>1300000</v>
      </c>
    </row>
    <row r="36" spans="1:7">
      <c r="A36" s="74" t="s">
        <v>86</v>
      </c>
      <c r="B36" s="74"/>
      <c r="C36" s="74">
        <f>C33-C35</f>
        <v>1200000</v>
      </c>
      <c r="D36" s="74">
        <f t="shared" ref="D36:G36" si="12">D33-D35</f>
        <v>1200000</v>
      </c>
      <c r="E36" s="74">
        <f t="shared" si="12"/>
        <v>1200000</v>
      </c>
      <c r="F36" s="74">
        <f t="shared" si="12"/>
        <v>1200000</v>
      </c>
      <c r="G36" s="74">
        <f t="shared" si="12"/>
        <v>1200000</v>
      </c>
    </row>
    <row r="37" spans="1:7">
      <c r="A37" s="74" t="s">
        <v>87</v>
      </c>
      <c r="B37" s="74">
        <f>-F14</f>
        <v>-300000</v>
      </c>
      <c r="C37" s="83">
        <f>C33-C36</f>
        <v>1300000</v>
      </c>
      <c r="D37" s="74">
        <f t="shared" ref="D37:G37" si="13">D33-D36</f>
        <v>1300000</v>
      </c>
      <c r="E37" s="74">
        <f t="shared" si="13"/>
        <v>1300000</v>
      </c>
      <c r="F37" s="74">
        <f t="shared" si="13"/>
        <v>1300000</v>
      </c>
      <c r="G37" s="74">
        <f t="shared" si="13"/>
        <v>1300000</v>
      </c>
    </row>
    <row r="38" spans="1:7">
      <c r="A38" s="84" t="s">
        <v>88</v>
      </c>
      <c r="B38" s="85">
        <f>NPV(10%,B37:G37)</f>
        <v>4207293.4547554366</v>
      </c>
    </row>
    <row r="42" spans="1:7">
      <c r="A42" s="79" t="s">
        <v>72</v>
      </c>
    </row>
    <row r="43" spans="1:7">
      <c r="A43" s="81" t="s">
        <v>1</v>
      </c>
      <c r="B43" s="81">
        <v>0</v>
      </c>
      <c r="C43" s="81">
        <v>1</v>
      </c>
      <c r="D43" s="81">
        <v>2</v>
      </c>
      <c r="E43" s="81">
        <v>3</v>
      </c>
      <c r="F43" s="81">
        <v>4</v>
      </c>
      <c r="G43" s="81">
        <v>5</v>
      </c>
    </row>
    <row r="44" spans="1:7">
      <c r="A44" s="74" t="s">
        <v>81</v>
      </c>
      <c r="B44" s="74"/>
      <c r="C44" s="45">
        <v>120000</v>
      </c>
      <c r="D44" s="45">
        <v>120000</v>
      </c>
      <c r="E44" s="45">
        <v>120000</v>
      </c>
      <c r="F44" s="45">
        <v>120000</v>
      </c>
      <c r="G44" s="45">
        <v>120000</v>
      </c>
    </row>
    <row r="45" spans="1:7">
      <c r="A45" s="74" t="s">
        <v>82</v>
      </c>
      <c r="B45" s="74"/>
      <c r="C45" s="74">
        <f>C44*25</f>
        <v>3000000</v>
      </c>
      <c r="D45" s="74">
        <f t="shared" ref="D45:G45" si="14">D44*25</f>
        <v>3000000</v>
      </c>
      <c r="E45" s="74">
        <f t="shared" si="14"/>
        <v>3000000</v>
      </c>
      <c r="F45" s="74">
        <f t="shared" si="14"/>
        <v>3000000</v>
      </c>
      <c r="G45" s="74">
        <f t="shared" si="14"/>
        <v>3000000</v>
      </c>
    </row>
    <row r="46" spans="1:7">
      <c r="A46" s="74" t="s">
        <v>83</v>
      </c>
      <c r="B46" s="74"/>
      <c r="C46" s="74">
        <f>$D$15</f>
        <v>40000</v>
      </c>
      <c r="D46" s="74">
        <f t="shared" ref="D46:G46" si="15">$D$15</f>
        <v>40000</v>
      </c>
      <c r="E46" s="74">
        <f t="shared" si="15"/>
        <v>40000</v>
      </c>
      <c r="F46" s="74">
        <f t="shared" si="15"/>
        <v>40000</v>
      </c>
      <c r="G46" s="74">
        <f t="shared" si="15"/>
        <v>40000</v>
      </c>
    </row>
    <row r="47" spans="1:7">
      <c r="A47" s="74" t="s">
        <v>84</v>
      </c>
      <c r="B47" s="74"/>
      <c r="C47" s="74">
        <f>$E$15*C44</f>
        <v>1320000</v>
      </c>
      <c r="D47" s="74">
        <f t="shared" ref="D47:G47" si="16">$E$15*D44</f>
        <v>1320000</v>
      </c>
      <c r="E47" s="74">
        <f t="shared" si="16"/>
        <v>1320000</v>
      </c>
      <c r="F47" s="74">
        <f t="shared" si="16"/>
        <v>1320000</v>
      </c>
      <c r="G47" s="74">
        <f t="shared" si="16"/>
        <v>1320000</v>
      </c>
    </row>
    <row r="48" spans="1:7">
      <c r="A48" s="74" t="s">
        <v>86</v>
      </c>
      <c r="B48" s="74"/>
      <c r="C48" s="74">
        <f>C46+C47</f>
        <v>1360000</v>
      </c>
      <c r="D48" s="74">
        <f t="shared" ref="D48:G48" si="17">D46+D47</f>
        <v>1360000</v>
      </c>
      <c r="E48" s="74">
        <f t="shared" si="17"/>
        <v>1360000</v>
      </c>
      <c r="F48" s="74">
        <f t="shared" si="17"/>
        <v>1360000</v>
      </c>
      <c r="G48" s="74">
        <f t="shared" si="17"/>
        <v>1360000</v>
      </c>
    </row>
    <row r="49" spans="1:7">
      <c r="A49" s="74" t="s">
        <v>87</v>
      </c>
      <c r="B49" s="74">
        <f>-F15</f>
        <v>-400000</v>
      </c>
      <c r="C49" s="83">
        <f>C45-C48</f>
        <v>1640000</v>
      </c>
      <c r="D49" s="74">
        <f t="shared" ref="D49:G49" si="18">D45-D48</f>
        <v>1640000</v>
      </c>
      <c r="E49" s="74">
        <f t="shared" si="18"/>
        <v>1640000</v>
      </c>
      <c r="F49" s="74">
        <f t="shared" si="18"/>
        <v>1640000</v>
      </c>
      <c r="G49" s="74">
        <f t="shared" si="18"/>
        <v>1640000</v>
      </c>
    </row>
    <row r="50" spans="1:7">
      <c r="A50" s="84" t="s">
        <v>88</v>
      </c>
      <c r="B50" s="85">
        <f>NPV(10%,B49:G49)</f>
        <v>5288082.0925725941</v>
      </c>
    </row>
  </sheetData>
  <mergeCells count="1">
    <mergeCell ref="J4:K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Encuesta</vt:lpstr>
      <vt:lpstr>Tabulacion</vt:lpstr>
      <vt:lpstr>Manual</vt:lpstr>
      <vt:lpstr>Resultados Encuesta</vt:lpstr>
      <vt:lpstr>Escolar</vt:lpstr>
      <vt:lpstr>Juvenil</vt:lpstr>
      <vt:lpstr>Viaj,vacac</vt:lpstr>
      <vt:lpstr>Ejectiv</vt:lpstr>
      <vt:lpstr>Tamano</vt:lpstr>
      <vt:lpstr>Localizacion</vt:lpstr>
      <vt:lpstr>Detalle compras</vt:lpstr>
      <vt:lpstr>Costos</vt:lpstr>
      <vt:lpstr>Analisis CVU</vt:lpstr>
      <vt:lpstr>Importaciones</vt:lpstr>
      <vt:lpstr>Estructura de capital</vt:lpstr>
      <vt:lpstr>Valor de desecho</vt:lpstr>
      <vt:lpstr>Contenedor</vt:lpstr>
      <vt:lpstr>Compras</vt:lpstr>
      <vt:lpstr>Capital de trabajo</vt:lpstr>
      <vt:lpstr>Demanda</vt:lpstr>
      <vt:lpstr>Flujo de caja</vt:lpstr>
      <vt:lpstr>Sensibilidad recesion</vt:lpstr>
      <vt:lpstr>Sensibilidad positivo</vt:lpstr>
      <vt:lpstr>Payback</vt:lpstr>
      <vt:lpstr>CAPM</vt:lpstr>
      <vt:lpstr>Analisis general</vt:lpstr>
      <vt:lpstr>Hoja6</vt:lpstr>
      <vt:lpstr>Encuesta!OLE_LINK1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Munoz</dc:creator>
  <cp:lastModifiedBy>User</cp:lastModifiedBy>
  <dcterms:created xsi:type="dcterms:W3CDTF">2012-01-15T22:22:46Z</dcterms:created>
  <dcterms:modified xsi:type="dcterms:W3CDTF">2012-02-16T02:22:47Z</dcterms:modified>
</cp:coreProperties>
</file>